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Jizeth G\Documents\JIZETH\Jizeth_González\CAPITAL\SEGUIMIENTOS\MRC\"/>
    </mc:Choice>
  </mc:AlternateContent>
  <xr:revisionPtr revIDLastSave="0" documentId="13_ncr:1_{0789CB9D-90E1-451C-BA60-332F4D24904C}" xr6:coauthVersionLast="44" xr6:coauthVersionMax="45" xr10:uidLastSave="{00000000-0000-0000-0000-000000000000}"/>
  <bookViews>
    <workbookView xWindow="-120" yWindow="-120" windowWidth="20730" windowHeight="11160" tabRatio="667" firstSheet="2" activeTab="2" xr2:uid="{00000000-000D-0000-FFFF-FFFF00000000}"/>
  </bookViews>
  <sheets>
    <sheet name="Mapa" sheetId="4" state="hidden" r:id="rId1"/>
    <sheet name="Listas" sheetId="3" state="hidden" r:id="rId2"/>
    <sheet name="Matriz" sheetId="1" r:id="rId3"/>
    <sheet name="Datos" sheetId="8" state="hidden" r:id="rId4"/>
    <sheet name="Anexo 1 - Impacto (RC)" sheetId="7" state="hidden" r:id="rId5"/>
    <sheet name="Anexo 2 - Valoración Controles" sheetId="6" state="hidden" r:id="rId6"/>
  </sheets>
  <externalReferences>
    <externalReference r:id="rId7"/>
  </externalReferences>
  <definedNames>
    <definedName name="_xlnm._FilterDatabase" localSheetId="2" hidden="1">Matriz!$A$8:$AX$32</definedName>
    <definedName name="A">[1]Listas!$I$6:$I$7</definedName>
    <definedName name="B">[1]Listas!#REF!</definedName>
    <definedName name="Ejecución">Listas!$P$3:$P$6</definedName>
    <definedName name="evaluación">'Anexo 2 - Valoración Controles'!$E$19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24" i="1" l="1"/>
  <c r="AV24" i="1" s="1"/>
  <c r="AU25" i="1"/>
  <c r="AV25" i="1" s="1"/>
  <c r="AU26" i="1"/>
  <c r="AV26" i="1" s="1"/>
  <c r="AU27" i="1"/>
  <c r="AV27" i="1" s="1"/>
  <c r="AU28" i="1"/>
  <c r="AV28" i="1" s="1"/>
  <c r="AU29" i="1"/>
  <c r="AV29" i="1" s="1"/>
  <c r="AU30" i="1"/>
  <c r="AV30" i="1" s="1"/>
  <c r="AU31" i="1"/>
  <c r="AV31" i="1" s="1"/>
  <c r="AU32" i="1"/>
  <c r="AV32" i="1" s="1"/>
  <c r="AU10" i="1"/>
  <c r="AV10" i="1" s="1"/>
  <c r="AU11" i="1"/>
  <c r="AV11" i="1" s="1"/>
  <c r="AU12" i="1"/>
  <c r="AV12" i="1" s="1"/>
  <c r="AU13" i="1"/>
  <c r="AV13" i="1" s="1"/>
  <c r="AU14" i="1"/>
  <c r="AV14" i="1" s="1"/>
  <c r="AU15" i="1"/>
  <c r="AV15" i="1" s="1"/>
  <c r="AU16" i="1"/>
  <c r="AV16" i="1" s="1"/>
  <c r="AU17" i="1"/>
  <c r="AV17" i="1" s="1"/>
  <c r="AU18" i="1"/>
  <c r="AV18" i="1" s="1"/>
  <c r="AU19" i="1"/>
  <c r="AV19" i="1" s="1"/>
  <c r="AU20" i="1"/>
  <c r="AV20" i="1" s="1"/>
  <c r="AU21" i="1"/>
  <c r="AV21" i="1" s="1"/>
  <c r="AU22" i="1"/>
  <c r="AV22" i="1" s="1"/>
  <c r="AU23" i="1"/>
  <c r="AV23" i="1" s="1"/>
  <c r="AU9" i="1" l="1"/>
  <c r="AV9" i="1" s="1"/>
  <c r="AO246" i="6" l="1"/>
  <c r="AG246" i="6"/>
  <c r="AA246" i="6"/>
  <c r="S246" i="6"/>
  <c r="K246" i="6"/>
  <c r="AP255" i="6"/>
  <c r="AH255" i="6"/>
  <c r="AB255" i="6"/>
  <c r="AP254" i="6"/>
  <c r="AH254" i="6"/>
  <c r="AB254" i="6"/>
  <c r="AP253" i="6"/>
  <c r="AH253" i="6"/>
  <c r="AB253" i="6"/>
  <c r="AP252" i="6"/>
  <c r="AH252" i="6"/>
  <c r="AB252" i="6"/>
  <c r="AP251" i="6"/>
  <c r="AH251" i="6"/>
  <c r="AB251" i="6"/>
  <c r="AP250" i="6"/>
  <c r="AH250" i="6"/>
  <c r="AB250" i="6"/>
  <c r="AP249" i="6"/>
  <c r="AH249" i="6"/>
  <c r="AB249" i="6"/>
  <c r="E246" i="6"/>
  <c r="B243" i="6"/>
  <c r="A243" i="6"/>
  <c r="T255" i="6"/>
  <c r="L255" i="6"/>
  <c r="F255" i="6"/>
  <c r="T254" i="6"/>
  <c r="L254" i="6"/>
  <c r="F254" i="6"/>
  <c r="T253" i="6"/>
  <c r="L253" i="6"/>
  <c r="F253" i="6"/>
  <c r="T252" i="6"/>
  <c r="L252" i="6"/>
  <c r="F252" i="6"/>
  <c r="T251" i="6"/>
  <c r="L251" i="6"/>
  <c r="F251" i="6"/>
  <c r="T250" i="6"/>
  <c r="L250" i="6"/>
  <c r="F250" i="6"/>
  <c r="T249" i="6"/>
  <c r="L249" i="6"/>
  <c r="K257" i="6" s="1"/>
  <c r="K258" i="6" s="1"/>
  <c r="R28" i="1" s="1"/>
  <c r="F249" i="6"/>
  <c r="T28" i="1" l="1"/>
  <c r="U28" i="1" s="1"/>
  <c r="V28" i="1"/>
  <c r="E257" i="6"/>
  <c r="E258" i="6" s="1"/>
  <c r="R27" i="1" s="1"/>
  <c r="AA257" i="6"/>
  <c r="AA258" i="6" s="1"/>
  <c r="R30" i="1" s="1"/>
  <c r="V30" i="1" s="1"/>
  <c r="AG257" i="6"/>
  <c r="AG258" i="6" s="1"/>
  <c r="R31" i="1" s="1"/>
  <c r="AO257" i="6"/>
  <c r="AO258" i="6" s="1"/>
  <c r="R32" i="1" s="1"/>
  <c r="V32" i="1" s="1"/>
  <c r="S257" i="6"/>
  <c r="S258" i="6" s="1"/>
  <c r="R29" i="1" s="1"/>
  <c r="T30" i="1"/>
  <c r="U30" i="1" s="1"/>
  <c r="T32" i="1" l="1"/>
  <c r="U32" i="1" s="1"/>
  <c r="T31" i="1"/>
  <c r="U31" i="1" s="1"/>
  <c r="V31" i="1"/>
  <c r="E229" i="6"/>
  <c r="E212" i="6"/>
  <c r="B226" i="6"/>
  <c r="A226" i="6"/>
  <c r="B209" i="6"/>
  <c r="A209" i="6"/>
  <c r="F238" i="6"/>
  <c r="F237" i="6"/>
  <c r="F236" i="6"/>
  <c r="F235" i="6"/>
  <c r="F234" i="6"/>
  <c r="F233" i="6"/>
  <c r="F232" i="6"/>
  <c r="F221" i="6"/>
  <c r="F220" i="6"/>
  <c r="F219" i="6"/>
  <c r="F218" i="6"/>
  <c r="F217" i="6"/>
  <c r="F216" i="6"/>
  <c r="F215" i="6"/>
  <c r="E240" i="6" l="1"/>
  <c r="E241" i="6" s="1"/>
  <c r="R25" i="1" s="1"/>
  <c r="E223" i="6"/>
  <c r="E224" i="6" s="1"/>
  <c r="R24" i="1" s="1"/>
  <c r="A192" i="6" l="1"/>
  <c r="B192" i="6"/>
  <c r="K195" i="6"/>
  <c r="E195" i="6"/>
  <c r="L204" i="6"/>
  <c r="F204" i="6"/>
  <c r="L203" i="6"/>
  <c r="F203" i="6"/>
  <c r="L202" i="6"/>
  <c r="F202" i="6"/>
  <c r="L201" i="6"/>
  <c r="F201" i="6"/>
  <c r="L200" i="6"/>
  <c r="F200" i="6"/>
  <c r="L199" i="6"/>
  <c r="F199" i="6"/>
  <c r="L198" i="6"/>
  <c r="F198" i="6"/>
  <c r="E206" i="6" s="1"/>
  <c r="E207" i="6" s="1"/>
  <c r="R21" i="1" s="1"/>
  <c r="K206" i="6" l="1"/>
  <c r="K207" i="6" s="1"/>
  <c r="R22" i="1" s="1"/>
  <c r="W18" i="1"/>
  <c r="W17" i="1"/>
  <c r="W16" i="1"/>
  <c r="S178" i="6"/>
  <c r="K178" i="6"/>
  <c r="E178" i="6"/>
  <c r="B175" i="6"/>
  <c r="A175" i="6"/>
  <c r="T187" i="6"/>
  <c r="T186" i="6"/>
  <c r="T185" i="6"/>
  <c r="T184" i="6"/>
  <c r="T183" i="6"/>
  <c r="T182" i="6"/>
  <c r="T181" i="6"/>
  <c r="L187" i="6"/>
  <c r="F187" i="6"/>
  <c r="L186" i="6"/>
  <c r="F186" i="6"/>
  <c r="L185" i="6"/>
  <c r="F185" i="6"/>
  <c r="L184" i="6"/>
  <c r="F184" i="6"/>
  <c r="L183" i="6"/>
  <c r="F183" i="6"/>
  <c r="L182" i="6"/>
  <c r="F182" i="6"/>
  <c r="E189" i="6" s="1"/>
  <c r="E190" i="6" s="1"/>
  <c r="R16" i="1" s="1"/>
  <c r="L181" i="6"/>
  <c r="K189" i="6" s="1"/>
  <c r="K190" i="6" s="1"/>
  <c r="R17" i="1" s="1"/>
  <c r="F181" i="6"/>
  <c r="S189" i="6" l="1"/>
  <c r="S190" i="6" s="1"/>
  <c r="R18" i="1" s="1"/>
  <c r="E161" i="6"/>
  <c r="B158" i="6"/>
  <c r="A158" i="6"/>
  <c r="F170" i="6"/>
  <c r="F169" i="6"/>
  <c r="F168" i="6"/>
  <c r="F167" i="6"/>
  <c r="F166" i="6"/>
  <c r="F165" i="6"/>
  <c r="F164" i="6"/>
  <c r="E172" i="6" l="1"/>
  <c r="E173" i="6" s="1"/>
  <c r="R23" i="1" s="1"/>
  <c r="E144" i="6" l="1"/>
  <c r="B141" i="6"/>
  <c r="A141" i="6"/>
  <c r="F153" i="6"/>
  <c r="F152" i="6"/>
  <c r="F151" i="6"/>
  <c r="F150" i="6"/>
  <c r="F149" i="6"/>
  <c r="F148" i="6"/>
  <c r="F147" i="6"/>
  <c r="E155" i="6" l="1"/>
  <c r="E156" i="6" s="1"/>
  <c r="R14" i="1" s="1"/>
  <c r="E127" i="6" l="1"/>
  <c r="B124" i="6"/>
  <c r="A124" i="6"/>
  <c r="F136" i="6"/>
  <c r="F135" i="6"/>
  <c r="F134" i="6"/>
  <c r="F133" i="6"/>
  <c r="F132" i="6"/>
  <c r="F131" i="6"/>
  <c r="F130" i="6"/>
  <c r="E138" i="6" l="1"/>
  <c r="E139" i="6" s="1"/>
  <c r="R13" i="1" s="1"/>
  <c r="E110" i="6" l="1"/>
  <c r="E93" i="6"/>
  <c r="B107" i="6"/>
  <c r="A107" i="6"/>
  <c r="B90" i="6"/>
  <c r="A90" i="6"/>
  <c r="F119" i="6"/>
  <c r="F118" i="6"/>
  <c r="F117" i="6"/>
  <c r="F116" i="6"/>
  <c r="F115" i="6"/>
  <c r="F114" i="6"/>
  <c r="F113" i="6"/>
  <c r="F102" i="6"/>
  <c r="F101" i="6"/>
  <c r="F100" i="6"/>
  <c r="F99" i="6"/>
  <c r="F98" i="6"/>
  <c r="F97" i="6"/>
  <c r="F96" i="6"/>
  <c r="E121" i="6" l="1"/>
  <c r="E122" i="6" s="1"/>
  <c r="R11" i="1" s="1"/>
  <c r="E104" i="6"/>
  <c r="E105" i="6" s="1"/>
  <c r="R10" i="1" s="1"/>
  <c r="E76" i="6" l="1"/>
  <c r="B73" i="6"/>
  <c r="A73" i="6"/>
  <c r="F85" i="6"/>
  <c r="F84" i="6"/>
  <c r="F83" i="6"/>
  <c r="F82" i="6"/>
  <c r="F81" i="6"/>
  <c r="F80" i="6"/>
  <c r="F79" i="6"/>
  <c r="N12" i="1"/>
  <c r="L12" i="1"/>
  <c r="L14" i="1"/>
  <c r="N14" i="1"/>
  <c r="T14" i="1"/>
  <c r="U14" i="1" s="1"/>
  <c r="X14" i="1" s="1"/>
  <c r="Y14" i="1" s="1"/>
  <c r="AA14" i="1" s="1"/>
  <c r="V14" i="1"/>
  <c r="AD14" i="1" l="1"/>
  <c r="AE14" i="1" s="1"/>
  <c r="AC14" i="1"/>
  <c r="AF14" i="1" s="1"/>
  <c r="AG14" i="1" s="1"/>
  <c r="O12" i="1"/>
  <c r="P12" i="1" s="1"/>
  <c r="E87" i="6"/>
  <c r="E88" i="6" s="1"/>
  <c r="R12" i="1" s="1"/>
  <c r="V12" i="1" s="1"/>
  <c r="O14" i="1"/>
  <c r="P14" i="1" s="1"/>
  <c r="AH14" i="1" l="1"/>
  <c r="AI14" i="1" s="1"/>
  <c r="AJ14" i="1" s="1"/>
  <c r="T12" i="1"/>
  <c r="U12" i="1" s="1"/>
  <c r="X12" i="1" s="1"/>
  <c r="Y12" i="1" s="1"/>
  <c r="AC12" i="1" s="1"/>
  <c r="AF12" i="1" s="1"/>
  <c r="AG12" i="1" s="1"/>
  <c r="AA12" i="1" l="1"/>
  <c r="AD12" i="1" s="1"/>
  <c r="AE12" i="1" s="1"/>
  <c r="AH12" i="1" l="1"/>
  <c r="AI12" i="1" s="1"/>
  <c r="AJ12" i="1" s="1"/>
  <c r="K59" i="6"/>
  <c r="E59" i="6"/>
  <c r="B56" i="6"/>
  <c r="A56" i="6"/>
  <c r="L68" i="6"/>
  <c r="F68" i="6"/>
  <c r="L67" i="6"/>
  <c r="F67" i="6"/>
  <c r="L66" i="6"/>
  <c r="F66" i="6"/>
  <c r="L65" i="6"/>
  <c r="F65" i="6"/>
  <c r="L64" i="6"/>
  <c r="F64" i="6"/>
  <c r="L63" i="6"/>
  <c r="F63" i="6"/>
  <c r="L62" i="6"/>
  <c r="F62" i="6"/>
  <c r="N19" i="1"/>
  <c r="L19" i="1"/>
  <c r="E70" i="6" l="1"/>
  <c r="E71" i="6" s="1"/>
  <c r="R19" i="1" s="1"/>
  <c r="T19" i="1" s="1"/>
  <c r="U19" i="1" s="1"/>
  <c r="O19" i="1"/>
  <c r="P19" i="1" s="1"/>
  <c r="K70" i="6"/>
  <c r="K71" i="6" s="1"/>
  <c r="R20" i="1" s="1"/>
  <c r="V20" i="1" s="1"/>
  <c r="V19" i="1" l="1"/>
  <c r="T20" i="1"/>
  <c r="U20" i="1" s="1"/>
  <c r="X19" i="1" s="1"/>
  <c r="Y19" i="1" s="1"/>
  <c r="AC19" i="1" l="1"/>
  <c r="AF19" i="1" s="1"/>
  <c r="AG19" i="1" s="1"/>
  <c r="AC20" i="1"/>
  <c r="AA19" i="1"/>
  <c r="AD19" i="1" s="1"/>
  <c r="AA20" i="1"/>
  <c r="AH19" i="1" l="1"/>
  <c r="AI19" i="1" s="1"/>
  <c r="AJ19" i="1" s="1"/>
  <c r="AE19" i="1"/>
  <c r="E42" i="6" l="1"/>
  <c r="B39" i="6"/>
  <c r="A39" i="6"/>
  <c r="F51" i="6"/>
  <c r="F50" i="6"/>
  <c r="F49" i="6"/>
  <c r="F48" i="6"/>
  <c r="F47" i="6"/>
  <c r="F46" i="6"/>
  <c r="F45" i="6"/>
  <c r="E53" i="6" l="1"/>
  <c r="E54" i="6" s="1"/>
  <c r="R15" i="1" s="1"/>
  <c r="E24" i="6"/>
  <c r="B21" i="6"/>
  <c r="A21" i="6"/>
  <c r="F33" i="6"/>
  <c r="F32" i="6"/>
  <c r="F31" i="6"/>
  <c r="F30" i="6"/>
  <c r="F29" i="6"/>
  <c r="F28" i="6"/>
  <c r="F27" i="6"/>
  <c r="L26" i="1"/>
  <c r="N26" i="1"/>
  <c r="O26" i="1" l="1"/>
  <c r="P26" i="1" s="1"/>
  <c r="E35" i="6"/>
  <c r="E36" i="6" s="1"/>
  <c r="R26" i="1" s="1"/>
  <c r="V26" i="1" s="1"/>
  <c r="T26" i="1" l="1"/>
  <c r="U26" i="1" s="1"/>
  <c r="X26" i="1" s="1"/>
  <c r="Y26" i="1" s="1"/>
  <c r="AA26" i="1" s="1"/>
  <c r="AD26" i="1" s="1"/>
  <c r="AE26" i="1" s="1"/>
  <c r="A4" i="6"/>
  <c r="AC26" i="1" l="1"/>
  <c r="AF26" i="1" s="1"/>
  <c r="AG26" i="1" s="1"/>
  <c r="E7" i="6"/>
  <c r="B4" i="6"/>
  <c r="AH26" i="1" l="1"/>
  <c r="AI26" i="1" s="1"/>
  <c r="AJ26" i="1" s="1"/>
  <c r="D4" i="7"/>
  <c r="D5" i="7" s="1"/>
  <c r="E4" i="7"/>
  <c r="E5" i="7" s="1"/>
  <c r="F4" i="7"/>
  <c r="F5" i="7" s="1"/>
  <c r="G4" i="7"/>
  <c r="G5" i="7" s="1"/>
  <c r="H4" i="7"/>
  <c r="H5" i="7" s="1"/>
  <c r="I4" i="7"/>
  <c r="I5" i="7" s="1"/>
  <c r="J4" i="7"/>
  <c r="J5" i="7" s="1"/>
  <c r="K4" i="7"/>
  <c r="K5" i="7" s="1"/>
  <c r="L4" i="7"/>
  <c r="L5" i="7" s="1"/>
  <c r="M4" i="7"/>
  <c r="M5" i="7" s="1"/>
  <c r="N4" i="7"/>
  <c r="N5" i="7" s="1"/>
  <c r="O4" i="7"/>
  <c r="O5" i="7" s="1"/>
  <c r="P4" i="7"/>
  <c r="P5" i="7" s="1"/>
  <c r="Q4" i="7"/>
  <c r="Q5" i="7" s="1"/>
  <c r="L10" i="1" l="1"/>
  <c r="N10" i="1"/>
  <c r="L11" i="1"/>
  <c r="N11" i="1"/>
  <c r="L13" i="1"/>
  <c r="N13" i="1"/>
  <c r="L15" i="1"/>
  <c r="N15" i="1"/>
  <c r="L16" i="1"/>
  <c r="N16" i="1"/>
  <c r="L21" i="1"/>
  <c r="N21" i="1"/>
  <c r="L23" i="1"/>
  <c r="N23" i="1"/>
  <c r="L24" i="1"/>
  <c r="N24" i="1"/>
  <c r="L25" i="1"/>
  <c r="N25" i="1"/>
  <c r="L27" i="1"/>
  <c r="N27" i="1"/>
  <c r="O13" i="1" l="1"/>
  <c r="P13" i="1" s="1"/>
  <c r="O27" i="1"/>
  <c r="P27" i="1" s="1"/>
  <c r="O25" i="1"/>
  <c r="P25" i="1" s="1"/>
  <c r="O15" i="1"/>
  <c r="P15" i="1" s="1"/>
  <c r="O24" i="1"/>
  <c r="P24" i="1" s="1"/>
  <c r="O23" i="1"/>
  <c r="P23" i="1" s="1"/>
  <c r="O21" i="1"/>
  <c r="P21" i="1" s="1"/>
  <c r="O16" i="1"/>
  <c r="P16" i="1" s="1"/>
  <c r="O11" i="1"/>
  <c r="P11" i="1" s="1"/>
  <c r="O10" i="1"/>
  <c r="P10" i="1" s="1"/>
  <c r="C4" i="7" l="1"/>
  <c r="C5" i="7" s="1"/>
  <c r="F16" i="6"/>
  <c r="F15" i="6"/>
  <c r="F14" i="6"/>
  <c r="F13" i="6"/>
  <c r="F12" i="6"/>
  <c r="F11" i="6"/>
  <c r="F10" i="6"/>
  <c r="E18" i="6" l="1"/>
  <c r="N9" i="1"/>
  <c r="L9" i="1"/>
  <c r="E19" i="6" l="1"/>
  <c r="O9" i="1"/>
  <c r="P9" i="1" s="1"/>
  <c r="R9" i="1" l="1"/>
  <c r="T9" i="1" s="1"/>
  <c r="U9" i="1" s="1"/>
  <c r="X9" i="1" s="1"/>
  <c r="Y9" i="1" s="1"/>
  <c r="AC9" i="1" s="1"/>
  <c r="AF9" i="1" s="1"/>
  <c r="AG9" i="1" s="1"/>
  <c r="V9" i="1" l="1"/>
  <c r="T15" i="1"/>
  <c r="U15" i="1" s="1"/>
  <c r="X15" i="1" s="1"/>
  <c r="Y15" i="1" s="1"/>
  <c r="V15" i="1"/>
  <c r="V25" i="1"/>
  <c r="T25" i="1"/>
  <c r="U25" i="1" s="1"/>
  <c r="X25" i="1" s="1"/>
  <c r="Y25" i="1" s="1"/>
  <c r="T10" i="1"/>
  <c r="U10" i="1" s="1"/>
  <c r="X10" i="1" s="1"/>
  <c r="Y10" i="1" s="1"/>
  <c r="V10" i="1"/>
  <c r="V21" i="1"/>
  <c r="T21" i="1"/>
  <c r="U21" i="1" s="1"/>
  <c r="V16" i="1"/>
  <c r="T16" i="1"/>
  <c r="U16" i="1" s="1"/>
  <c r="T11" i="1"/>
  <c r="U11" i="1" s="1"/>
  <c r="X11" i="1" s="1"/>
  <c r="Y11" i="1" s="1"/>
  <c r="V11" i="1"/>
  <c r="T22" i="1"/>
  <c r="U22" i="1" s="1"/>
  <c r="V22" i="1"/>
  <c r="T17" i="1"/>
  <c r="U17" i="1" s="1"/>
  <c r="V17" i="1"/>
  <c r="V23" i="1"/>
  <c r="T23" i="1"/>
  <c r="U23" i="1" s="1"/>
  <c r="X23" i="1" s="1"/>
  <c r="Y23" i="1" s="1"/>
  <c r="T18" i="1"/>
  <c r="U18" i="1" s="1"/>
  <c r="V18" i="1"/>
  <c r="V29" i="1"/>
  <c r="T29" i="1"/>
  <c r="U29" i="1" s="1"/>
  <c r="V13" i="1"/>
  <c r="T13" i="1"/>
  <c r="U13" i="1" s="1"/>
  <c r="X13" i="1" s="1"/>
  <c r="Y13" i="1" s="1"/>
  <c r="T24" i="1"/>
  <c r="U24" i="1" s="1"/>
  <c r="X24" i="1" s="1"/>
  <c r="Y24" i="1" s="1"/>
  <c r="V24" i="1"/>
  <c r="V27" i="1"/>
  <c r="T27" i="1"/>
  <c r="U27" i="1" s="1"/>
  <c r="AA9" i="1"/>
  <c r="X27" i="1" l="1"/>
  <c r="Y27" i="1" s="1"/>
  <c r="AA24" i="1"/>
  <c r="AD24" i="1" s="1"/>
  <c r="AC24" i="1"/>
  <c r="AF24" i="1" s="1"/>
  <c r="AG24" i="1" s="1"/>
  <c r="AA25" i="1"/>
  <c r="AD25" i="1" s="1"/>
  <c r="AC25" i="1"/>
  <c r="AF25" i="1" s="1"/>
  <c r="AG25" i="1" s="1"/>
  <c r="X21" i="1"/>
  <c r="Y21" i="1" s="1"/>
  <c r="X16" i="1"/>
  <c r="Y16" i="1" s="1"/>
  <c r="AA23" i="1"/>
  <c r="AD23" i="1" s="1"/>
  <c r="AC23" i="1"/>
  <c r="AF23" i="1" s="1"/>
  <c r="AG23" i="1" s="1"/>
  <c r="AA13" i="1"/>
  <c r="AD13" i="1" s="1"/>
  <c r="AC13" i="1"/>
  <c r="AF13" i="1" s="1"/>
  <c r="AG13" i="1" s="1"/>
  <c r="AA11" i="1"/>
  <c r="AD11" i="1" s="1"/>
  <c r="AC11" i="1"/>
  <c r="AF11" i="1" s="1"/>
  <c r="AG11" i="1" s="1"/>
  <c r="AA10" i="1"/>
  <c r="AD10" i="1" s="1"/>
  <c r="AC10" i="1"/>
  <c r="AF10" i="1" s="1"/>
  <c r="AG10" i="1" s="1"/>
  <c r="AA15" i="1"/>
  <c r="AD15" i="1" s="1"/>
  <c r="AC15" i="1"/>
  <c r="AF15" i="1" s="1"/>
  <c r="AG15" i="1" s="1"/>
  <c r="AD9" i="1"/>
  <c r="AE9" i="1" s="1"/>
  <c r="AC32" i="1" l="1"/>
  <c r="AC28" i="1"/>
  <c r="AA29" i="1"/>
  <c r="AC31" i="1"/>
  <c r="AA32" i="1"/>
  <c r="AA28" i="1"/>
  <c r="AC30" i="1"/>
  <c r="AA31" i="1"/>
  <c r="AC29" i="1"/>
  <c r="AA30" i="1"/>
  <c r="AA27" i="1"/>
  <c r="AD27" i="1" s="1"/>
  <c r="AC27" i="1"/>
  <c r="AF27" i="1" s="1"/>
  <c r="AG27" i="1" s="1"/>
  <c r="AH25" i="1"/>
  <c r="AI25" i="1" s="1"/>
  <c r="AJ25" i="1" s="1"/>
  <c r="AE25" i="1"/>
  <c r="AH24" i="1"/>
  <c r="AI24" i="1" s="1"/>
  <c r="AJ24" i="1" s="1"/>
  <c r="AE24" i="1"/>
  <c r="AC22" i="1"/>
  <c r="AF22" i="1" s="1"/>
  <c r="AG22" i="1" s="1"/>
  <c r="AA22" i="1"/>
  <c r="AD22" i="1" s="1"/>
  <c r="AA21" i="1"/>
  <c r="AD21" i="1" s="1"/>
  <c r="AC21" i="1"/>
  <c r="AF21" i="1" s="1"/>
  <c r="AG21" i="1" s="1"/>
  <c r="AC18" i="1"/>
  <c r="AC17" i="1"/>
  <c r="AA18" i="1"/>
  <c r="AA17" i="1"/>
  <c r="AC16" i="1"/>
  <c r="AF16" i="1" s="1"/>
  <c r="AG16" i="1" s="1"/>
  <c r="AA16" i="1"/>
  <c r="AD16" i="1" s="1"/>
  <c r="AE23" i="1"/>
  <c r="AH23" i="1"/>
  <c r="AI23" i="1" s="1"/>
  <c r="AJ23" i="1" s="1"/>
  <c r="AH13" i="1"/>
  <c r="AI13" i="1" s="1"/>
  <c r="AJ13" i="1" s="1"/>
  <c r="AE13" i="1"/>
  <c r="AH10" i="1"/>
  <c r="AI10" i="1" s="1"/>
  <c r="AJ10" i="1" s="1"/>
  <c r="AE10" i="1"/>
  <c r="AE11" i="1"/>
  <c r="AH11" i="1"/>
  <c r="AI11" i="1" s="1"/>
  <c r="AJ11" i="1" s="1"/>
  <c r="AE15" i="1"/>
  <c r="AH15" i="1"/>
  <c r="AI15" i="1" s="1"/>
  <c r="AJ15" i="1" s="1"/>
  <c r="AH9" i="1"/>
  <c r="AI9" i="1" s="1"/>
  <c r="AJ9" i="1" s="1"/>
  <c r="AH27" i="1" l="1"/>
  <c r="AI27" i="1" s="1"/>
  <c r="AJ27" i="1" s="1"/>
  <c r="AE27" i="1"/>
  <c r="AH21" i="1"/>
  <c r="AI21" i="1" s="1"/>
  <c r="AJ21" i="1" s="1"/>
  <c r="AE21" i="1"/>
  <c r="AH22" i="1"/>
  <c r="AI22" i="1" s="1"/>
  <c r="AJ22" i="1" s="1"/>
  <c r="AE22" i="1"/>
  <c r="AH16" i="1"/>
  <c r="AI16" i="1" s="1"/>
  <c r="AJ16" i="1" s="1"/>
  <c r="AE16" i="1"/>
</calcChain>
</file>

<file path=xl/sharedStrings.xml><?xml version="1.0" encoding="utf-8"?>
<sst xmlns="http://schemas.openxmlformats.org/spreadsheetml/2006/main" count="1764" uniqueCount="551">
  <si>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</si>
  <si>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</si>
  <si>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</si>
  <si>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</si>
  <si>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</si>
  <si>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</si>
  <si>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</si>
  <si>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</si>
  <si>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</si>
  <si>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</si>
  <si>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</si>
  <si>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</si>
  <si>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</si>
  <si>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</si>
  <si>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</si>
  <si>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</si>
  <si>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</si>
  <si>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</si>
  <si>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</si>
  <si>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</si>
  <si>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</si>
  <si>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Estatégico</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</si>
  <si>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</si>
  <si>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</si>
  <si>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</si>
  <si>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</si>
  <si>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</si>
  <si>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</si>
  <si>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</si>
  <si>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</si>
  <si>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</si>
  <si>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</si>
  <si>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</si>
  <si>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</si>
  <si>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</si>
  <si>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</si>
  <si>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</si>
  <si>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</si>
  <si>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</si>
  <si>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</si>
  <si>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</si>
  <si>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</si>
  <si>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</si>
  <si>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</si>
  <si>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</si>
  <si>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</si>
  <si>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</si>
  <si>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</si>
  <si>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</si>
  <si>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</si>
  <si>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</si>
  <si>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</si>
  <si>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</si>
  <si>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</si>
  <si>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</si>
  <si>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</si>
  <si>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</si>
  <si>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</si>
  <si>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</si>
  <si>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</si>
  <si>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</si>
  <si>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</si>
  <si>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</si>
  <si>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</si>
  <si>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</si>
  <si>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</si>
  <si>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</si>
  <si>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</si>
  <si>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</si>
  <si>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</si>
  <si>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</si>
  <si>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</si>
  <si>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</si>
  <si>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</si>
  <si>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</si>
  <si>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</si>
  <si>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</si>
  <si>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</si>
  <si>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</si>
  <si>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</si>
  <si>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</si>
  <si>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</si>
  <si>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</si>
  <si>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t>Descripción del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</si>
  <si>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</si>
  <si>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</si>
  <si>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</si>
  <si>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</si>
  <si>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</si>
  <si>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</si>
  <si>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</si>
  <si>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</si>
  <si>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</si>
  <si>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</si>
  <si>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</si>
  <si>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</si>
  <si>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</si>
  <si>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</si>
  <si>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</si>
  <si>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</si>
  <si>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</si>
  <si>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</si>
  <si>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</si>
  <si>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</si>
  <si>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</si>
  <si>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</si>
  <si>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</si>
  <si>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</si>
  <si>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</si>
  <si>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</si>
  <si>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</si>
  <si>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</si>
  <si>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</si>
  <si>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</si>
  <si>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</si>
  <si>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</si>
  <si>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</si>
  <si>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</si>
  <si>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</si>
  <si>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</si>
  <si>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</si>
  <si>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</si>
  <si>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</si>
  <si>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</si>
  <si>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</si>
  <si>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</si>
  <si>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</si>
  <si>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</si>
  <si>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</si>
  <si>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</si>
  <si>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</si>
  <si>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</si>
  <si>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</si>
  <si>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</si>
  <si>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</si>
  <si>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</si>
  <si>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</si>
  <si>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</si>
  <si>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</si>
  <si>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</si>
  <si>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</si>
  <si>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</si>
  <si>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</si>
  <si>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</si>
  <si>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</si>
  <si>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</si>
  <si>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</si>
  <si>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</si>
  <si>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</si>
  <si>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</si>
  <si>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</si>
  <si>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</si>
  <si>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</si>
  <si>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</si>
  <si>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</si>
  <si>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</si>
  <si>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</si>
  <si>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</si>
  <si>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</si>
  <si>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</si>
  <si>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</si>
  <si>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</si>
  <si>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</si>
  <si>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</si>
  <si>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</si>
  <si>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</si>
  <si>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</si>
  <si>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</si>
  <si>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</si>
  <si>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</si>
  <si>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</si>
  <si>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</si>
  <si>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</si>
  <si>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</si>
  <si>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</si>
  <si>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t>ANEXO 1 - IMPACTO (RIESGO DE CORRUPCIÓN)</t>
  </si>
  <si>
    <t>Opciones de manejo</t>
  </si>
  <si>
    <t>Evaluación de diseño
(Anexo 2)</t>
  </si>
  <si>
    <t>ANEXO 2 - VALORACIÓN DE CONTROLES</t>
  </si>
  <si>
    <t>Plazo de ejecución</t>
  </si>
  <si>
    <t>Clasificación</t>
  </si>
  <si>
    <t>Actividad de control</t>
  </si>
  <si>
    <t>Soporte</t>
  </si>
  <si>
    <t>Ambiental</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</si>
  <si>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</si>
  <si>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</si>
  <si>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</si>
  <si>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</si>
  <si>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Ofrecer a los televidentes y usuarios una parrilla de programación de calidad, que promueva la construcción de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</si>
  <si>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</si>
  <si>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</si>
  <si>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</si>
  <si>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</si>
  <si>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</si>
  <si>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</si>
  <si>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</si>
  <si>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</si>
  <si>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EPLE-RC-001</t>
  </si>
  <si>
    <t>MPTV-RC-001</t>
  </si>
  <si>
    <t>MPTV-RC-002</t>
  </si>
  <si>
    <t>MDCC-RC-001</t>
  </si>
  <si>
    <t>MECN-RC-001</t>
  </si>
  <si>
    <t>MCOM-RC-001</t>
  </si>
  <si>
    <t>AGTH-RC-001</t>
  </si>
  <si>
    <t>AGJU-RC-001</t>
  </si>
  <si>
    <t>AGFF-RC-001</t>
  </si>
  <si>
    <t>AGFF-RC-002</t>
  </si>
  <si>
    <t>AAUT-RC-001</t>
  </si>
  <si>
    <t>CCSE-RC-001</t>
  </si>
  <si>
    <t>Reportes de avances manipulados e inconsistentes respecto a la ejecución real de presupuesto y de metas de la Entidad a favor de un tercero.</t>
  </si>
  <si>
    <t>Aprovechamiento personal o para un tercero de los equipos de grabación del canal (Live U, microondas, etc.).</t>
  </si>
  <si>
    <t>Favorecer a un cliente respecto a la acomodación de contenidos en la parrilla.</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</si>
  <si>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</si>
  <si>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</si>
  <si>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</si>
  <si>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</si>
  <si>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</si>
  <si>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Facilitar copias de material audiovisual sin el debido procedimiento a cambio de beneficios económicos personales dados por parte de terceros</t>
  </si>
  <si>
    <t>Apropiarse de manera particular de los elementos y/o activos para las actividades institucionales.</t>
  </si>
  <si>
    <t>Obtención de comisiones u otro tipo de ventajas con los anunciantes favoreciendo intereses personales.</t>
  </si>
  <si>
    <t>Favorecimiento de un tercero en el proceso de contratación de equipos y servicios relacionados del área.</t>
  </si>
  <si>
    <t>1. Interés personales para obtener beneficios económicos</t>
  </si>
  <si>
    <t>1. Inadecuado manejo de los recursos del Canal por desvío intencional de recursos a título propio o a favor de terceros</t>
  </si>
  <si>
    <t>1. Presiones por parte de terceros o superiores
2. Ocultamiento de fallas en las operaciones contables.</t>
  </si>
  <si>
    <t>1. El servicio de transporte prestado no se realiza para actividades exclusivas del canal 
2. El personal no tiene claro los servicios de transporte contratados por el canal.</t>
  </si>
  <si>
    <t>1. Falta de puntos de control en la emisión de los contenidos.</t>
  </si>
  <si>
    <t>1. Interés de obtener comisiones o beneficiar a terceros.
2. Falta de transparencia al interior de la coordinación.</t>
  </si>
  <si>
    <t>1. Favorecimiento a los anunciantes para dar descuentos no permitidos o autorizados.
2. Desconocimiento y/o aplicación indebida de las resoluciones internas de tarifas.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</si>
  <si>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</si>
  <si>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</si>
  <si>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Interés sobre cualquier documento con información del Canal. 
2. Falta de control con el custodio documental 
3. Bajo control sobre la confidencialidad de la información con el equipo de trabajo</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</si>
  <si>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</si>
  <si>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</si>
  <si>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</si>
  <si>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Detrimento patrimonial.
2. Investigaciones Penales y Fiscales.</t>
  </si>
  <si>
    <t>1. Detrimento patrimonial.
2. Investigaciones Disciplinarias y Fiscales.</t>
  </si>
  <si>
    <t>1. Sanciones.
2. Daño a la imagen institucional
3. Afectación a la pertinencia de los contenidos
4. Pérdida de credibilidad y clientes.</t>
  </si>
  <si>
    <t>1. Medidas disciplinarias y penales.
2. Detrimento patrimonial.
3. Afectación de la imagen institucional.
4. No garantizar la calidad de la producción.</t>
  </si>
  <si>
    <t xml:space="preserve">1. Detrimento patrimonial
2. Investigaciones Penales y Fiscales
3. Daño de la imagen institucional </t>
  </si>
  <si>
    <t>1. Detrimento patrimonial
2. Investigaciones Penales y Fiscales.</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</si>
  <si>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</si>
  <si>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</si>
  <si>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1. Detrimento patrimonial
2. Investigaciones Disciplinarias, Penales y Fiscales.</t>
  </si>
  <si>
    <t>1. Perdida de los recursos financieros de la empresa e inadecuado manejo de los mismos. 
2. Detrimento patrimonial
Investigaciones Disciplinarias, Penales y Fiscales</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</si>
  <si>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por parte de copias de material audiovisual.</t>
  </si>
  <si>
    <t xml:space="preserve">No </t>
  </si>
  <si>
    <t>Autorización de salida de equipos, de la Coordinación de Producción y Coordinación Técnica (Laboratorio).</t>
  </si>
  <si>
    <t>Planillas de la empresa de transporte diligenciadas con la relación del uso de los vehículos, como soporte de la facturación de los servicios prestados.</t>
  </si>
  <si>
    <t>Continuidad  de emisión diaria
Parrilla de programación</t>
  </si>
  <si>
    <t>Anexos técnicos detallados de acuerdo a los bienes y/o servicios que se vayan a contratar</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</si>
  <si>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</si>
  <si>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</si>
  <si>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Sistema de seguridad física y tecnológica para la custodia de los bienes de la entidad. (Contrato de vigilancia).
1. Personal capacitado
2. Cámaras de monitoreo en HD
3. Sistema de comunicación</t>
  </si>
  <si>
    <t xml:space="preserve">Control al préstamo y consulta de los documentos físicos </t>
  </si>
  <si>
    <t>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t>
  </si>
  <si>
    <t>Ejecutar procedimiento: AAUT-PD-001 ATENCIÓN Y RESPUESTA A REQUERIMIENTOS DE LA CIUDADANIA - Punto de Control actividad 9</t>
  </si>
  <si>
    <t>Ejecutar procedimiento: AGRI-SA-PD-008 SALIDA DE ELEMENTOS. 
Puntos de Control: 2,3,6,7 y 8</t>
  </si>
  <si>
    <t>Actas de reunión de revisión trimestral sobre la información a reportar.
Correos electrónicos y/o actas de reunión con los responsables de las metas asociadas a los proyectos de inversión.
Reporte de información trimestral de seguimiento a la ejecución de proyectos de inversión en el sistema SEGPLAN.</t>
  </si>
  <si>
    <t xml:space="preserve">Revisión de las obligaciones contractuales
Solicitar anualmente un estudio de seguridad para el Canal.  </t>
  </si>
  <si>
    <t>Realizar una jornada de  socialización sobre el Manual de contratación, supervisión e interventoría y los procedimientos asociados.
Realizar la actualización del manual de contratación en caso de ser necesario</t>
  </si>
  <si>
    <t xml:space="preserve">
1. Revisar y mantener actualizados los procedimientos de la Subdirección Financiera, para que los mismos cumplan  con la normatividad en materia financiera.                                
</t>
  </si>
  <si>
    <t>Identificar los valores de referencia históricos de la entidad y del sector (Colombia Compra Eficiente)</t>
  </si>
  <si>
    <t>Coordinadora de producción</t>
  </si>
  <si>
    <t xml:space="preserve">Coordinadora Técnica </t>
  </si>
  <si>
    <t>Profesional Universitario de Ventas y Mercadeo</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</si>
  <si>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</si>
  <si>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</si>
  <si>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</si>
  <si>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</si>
  <si>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</si>
  <si>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</si>
  <si>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Jefe Oficina de Control Interno
Equipo Control Interno</t>
  </si>
  <si>
    <t>Profesional Universitario de Planeación.
Equipo de Planeación.</t>
  </si>
  <si>
    <t>Procedimiento actualizado</t>
  </si>
  <si>
    <t>Anexo técnico de los procesos adelantados en el periodo</t>
  </si>
  <si>
    <t xml:space="preserve">Contrato de seguridad firmado y estudios de seguridad </t>
  </si>
  <si>
    <t>Estudios del mercado y análisis del sector de los procesos adelantados</t>
  </si>
  <si>
    <t xml:space="preserve">Acta de asistencia a jornada de socialización
Manual de contratación actualizado </t>
  </si>
  <si>
    <t>Procedimientos actualizados y publicados</t>
  </si>
  <si>
    <t>Elaborar anexos técnicos para la adquisición de bienes y/o servicios que realiza el área.</t>
  </si>
  <si>
    <t>Número de anexos técnicos elaborados / Total de contratos de adquisición de bienes y servicios del área.</t>
  </si>
  <si>
    <t>Número de estudios de mercado y análisis de sector adelantados por adquisición de bienes y/o servicios / Total de contratos de adquisición de bienes y servicios del área.</t>
  </si>
  <si>
    <t>Información registrada y actualizada en el formato de préstamo de expedientes</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</si>
  <si>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</si>
  <si>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Cotejar mensualmente con el área de tráfico las solicitudes que se encuentran registradas en el cuadro de control frente a las tramitadas.</t>
  </si>
  <si>
    <t>1.  Comunicación enviada a las áreas competentes.
2. Cuadro de control revisado.</t>
  </si>
  <si>
    <t>1.  Una comunicación enviada a las áreas competentes.
2. 11 revisiones realizadas al cuadro de control con el auxiliar de tráfico.</t>
  </si>
  <si>
    <t>Para el registro y radicación de la solicitud el auxiliar de atención al ciudadano. Para la aprobación y cobro del material audiovisual el Director Operativo y el Coordinador de Programación</t>
  </si>
  <si>
    <t>Cada vez que se presenta una solicitud de copia de material audiovisual.</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</si>
  <si>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</si>
  <si>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</si>
  <si>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</si>
  <si>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No toda la información de la gestión de la solicitud de copias se registra en el cuadro de control. </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</si>
  <si>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</si>
  <si>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</si>
  <si>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</si>
  <si>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</si>
  <si>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</si>
  <si>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</si>
  <si>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</si>
  <si>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El control se ejecuta trimestralmente, de acuerdo con la periodicidad del reporte de información.</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</si>
  <si>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</si>
  <si>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</si>
  <si>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</si>
  <si>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Se cuenta con los correos remitidos por los líderes y responsables de las metas, las actas de revisión por parte de planeación previo al cargue de la misma y el registro de la información repostada en el sistema SEGPLAN.</t>
  </si>
  <si>
    <t xml:space="preserve">1. Realizar una reunión interna en el área de recursos humanos, abordando la temática de selección de personal. </t>
  </si>
  <si>
    <t xml:space="preserve">* Acta de reunión </t>
  </si>
  <si>
    <t>Número de reuniones realizadas / número de reuniones programadas.</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</si>
  <si>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</si>
  <si>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</si>
  <si>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</si>
  <si>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</si>
  <si>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El profesional de sistemas ó quien adelante los estudios previos de contratación.</t>
  </si>
  <si>
    <t>el área adelanta el estudio de mercado para adelantar el proceso de contratación y surte los tramites en las diferentes dependencias involucradas quienes sugieren los cambios a los que haya lugar.</t>
  </si>
  <si>
    <t xml:space="preserve">el control se ejecuta antes de realizar el proceso de convocatoria y contratación de los bienes y/o servicios. </t>
  </si>
  <si>
    <t>la aplicación del control busca compara las condiciones del mercado para evitar sobrecostos y beneficiar a terceros.</t>
  </si>
  <si>
    <t>Es tomada de la entidad, el mercado y entidades estatales de referencia.</t>
  </si>
  <si>
    <t>se toman acciones previas a la contratación para determinar el valor real de los bienes y/o servicios.</t>
  </si>
  <si>
    <t>este control es parte integral del proceso contractual.</t>
  </si>
  <si>
    <t>1. Correo electrónico con la continuidad diaria de emisión.
2. Solicitud a la gerencia de validación de la parrilla.
3. Bitácoras diarias de seguimiento a la emisión.</t>
  </si>
  <si>
    <t>Coordinadora de Programación
Auxiliar de tráfico</t>
  </si>
  <si>
    <t>El control valida que los contenidos puestos en la parrilla correspondan con los aprobados por la gerencia.</t>
  </si>
  <si>
    <t>La información es obtenida de reuniones entre la gerencia y la dirección operativa, las solicitudes de emisión por parte de la gestión comercial, solicitudes de espacios por parte del ente regulador.</t>
  </si>
  <si>
    <t>Se hacen las investigaciones y análisis de la situación presentada sobra la acomodación indebida de un contenido en la parrilla.</t>
  </si>
  <si>
    <t>Parrilla de programación, continuidad de emisión y la bitácora de emisión.</t>
  </si>
  <si>
    <t>El coordinador de programación.</t>
  </si>
  <si>
    <t>Responsabilidad del coordinador de programación.
Aprobación por parte de la gerencia.</t>
  </si>
  <si>
    <t>El control se ejecuta diariamente.</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</si>
  <si>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</si>
  <si>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</si>
  <si>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
Lo anterior, conforme a lo definido en el procedimiento EPLE-PD-006 FORMULACIÓN, REGISTRO Y ACTUALIZACIÓN DE PROYECTOS DE INVERSIÓN.</t>
  </si>
  <si>
    <t>Realizar revisiones periódicas de acuerdo con la programación de la SDP sobre el cumplimiento en la ejecución de los proyectos de inversión, como insumo de validación para el reporte y registro de información en el sistema SEGPLAN.</t>
  </si>
  <si>
    <t>Tres (3) reportes de información realizados en la vigencia en el sistema SEGPLAN.</t>
  </si>
  <si>
    <t>El riesgo de corrupción por aprovechamiento personal o para terceros de los equipos de grabación puede presentarse por intereses particulares en búsqueda de un beneficio económico, causando detrimento patrimonial e investigaciones de los entes de control.</t>
  </si>
  <si>
    <t>El riesgo de corrupción por mal uso del recurso de transporte, puede presentarse en provecho de que el servicio de transporte prestado no se realiza para actividades exclusivas del canal, así como por falta de claridad de su uso por parte del personal, ocasionando con ello detrimento patrimonial e investigaciones de los entes de control.</t>
  </si>
  <si>
    <t>Mal uso del recurso de transporte contratado, para obtener beneficios personales.</t>
  </si>
  <si>
    <t xml:space="preserve">La profesional de profesional de producción o la coordinadora de producción se encargan de llevar el control de la salida de elementos. </t>
  </si>
  <si>
    <t xml:space="preserve">Con el diligenciamiento de los formatos se garantiza conocer el uso externo que se le dará a los mismos. </t>
  </si>
  <si>
    <t xml:space="preserve">Los apoyos a la supervisión de la coordinación de producción. </t>
  </si>
  <si>
    <t xml:space="preserve">Se asignan las funciones de acuerdo con el rol dentro del proceso de gestión de la flota vehicular. </t>
  </si>
  <si>
    <t>Con el uso de las planillas y la programación diaria permiten identificar el uso del servicio</t>
  </si>
  <si>
    <t xml:space="preserve">Con los documentos soporte se garantiza conocer el uso del servicio de transporte evitando uso indebido del mismo.  </t>
  </si>
  <si>
    <t xml:space="preserve">Profesional de producción. </t>
  </si>
  <si>
    <t>Carpeta en drive con los seguimientos al contrato de transporte</t>
  </si>
  <si>
    <t xml:space="preserve">La coordinadora del área técnica se encarga de hacer la solicitud de requisitos a los oferentes en la fase precontractual del proceso, así mismo e caso de que la coordinadora no realice directamente el proceso designa a algún profesional de su equipo para hacer la solicitud. . </t>
  </si>
  <si>
    <t xml:space="preserve">El uso del anexo técnico garantiza que los oferentes estén en igualdad de condiciones, así mismo permite hacer una valoración transparente de estos en la fase precontractual. </t>
  </si>
  <si>
    <t xml:space="preserve">El equipo del área técnica se encarga de verificar y comparar la información suministrada por los diferentes oferentes con el fin de seleccionar aquel que garantice el objeto del contrato. </t>
  </si>
  <si>
    <t>El anexo técnico permite contar con los criterios para determinar si el oferente cumple o no con el objeto del contrato.</t>
  </si>
  <si>
    <t xml:space="preserve">Se cuenta con toda la información de soporte en el expediente. </t>
  </si>
  <si>
    <t>Elaborar anexos técnicos cuando sea requerido para la adquisición de bienes y/o servicios que realiza la coordinación</t>
  </si>
  <si>
    <t>Número de anexos técnicos elaborados / Total de contratos de adquisición de bienes y servicios de la coordinación técnica que requieren anexo técnico.</t>
  </si>
  <si>
    <t>MCOM-PD-002 GESTIÓN COMERCIAL Y VENTAS punto de control actividad 10</t>
  </si>
  <si>
    <t>Para la ejecución del control se cuenta con la profesional de ventas y mercadeo y su equipo de apoyo, los cuales son supervisados por el Director Operativo.</t>
  </si>
  <si>
    <t xml:space="preserve">La elaboración de la oferta comercial es responsabilidad de la profesional de ventas y mercadeo y la aprobación final está a cargo del Director Operativo. </t>
  </si>
  <si>
    <t xml:space="preserve">La elaboración de la propuesta comercial permite evidenciar los criterios para definir los costos y/o descuentos autorizados para proceder a pautar. </t>
  </si>
  <si>
    <t>La resolución de tarifas garantiza que los precios pactados así como las condiciones para ofrecer el servicio cumplen con los requisitos de ley y precios del mercado.</t>
  </si>
  <si>
    <t xml:space="preserve">Se hace la revisión de la propuesta comercial y los requisitos mínimos definidos para verificar su cumplimiento, validando con el cliente las inconsistencias que se puedan presentar. </t>
  </si>
  <si>
    <t>Se cuenta con los correos electrónicos y documentos físicos enviados a los clientes con la cotización inicial, oferta comercial y como soporte final la aceptación de la oferta del cliente con su correspondiente firma.</t>
  </si>
  <si>
    <t xml:space="preserve">Hacer seguimiento a los ejecutivos comerciales del Canal, verificando el cumplimiento en la elaboración, el seguimiento y validación de las ofertas comerciales en cumplimiento de los requisitos mínimos definidos en la resolución de tarifas y procedimiento comercial. </t>
  </si>
  <si>
    <t xml:space="preserve">Acta de reunión mensual </t>
  </si>
  <si>
    <t xml:space="preserve">Acta de reunión con el equipo comercial. </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</si>
  <si>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</si>
  <si>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</si>
  <si>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</si>
  <si>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</si>
  <si>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</si>
  <si>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</si>
  <si>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</si>
  <si>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</si>
  <si>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No. De actividades ejecutadas / No. De actividades programadas.</t>
  </si>
  <si>
    <t>Gestión de Recursos y Administración de la Información (Servicios administrativos)</t>
  </si>
  <si>
    <t>CONTROL 3</t>
  </si>
  <si>
    <t>CONTROL 4</t>
  </si>
  <si>
    <t xml:space="preserve">si es confiable </t>
  </si>
  <si>
    <t>se cuenta con toda la trazabilidad</t>
  </si>
  <si>
    <t xml:space="preserve">La periodicidad con la que se realiza  la toma fisca, mitiga la posibilidad de que se presente el riesgo </t>
  </si>
  <si>
    <t xml:space="preserve">Si es confiable </t>
  </si>
  <si>
    <t>Se cuenta con toda la trazabilidad</t>
  </si>
  <si>
    <t xml:space="preserve">Se cuenta con una empresa de vigilancia </t>
  </si>
  <si>
    <t xml:space="preserve">Ayuda a controlar  mas no prevenir </t>
  </si>
  <si>
    <t xml:space="preserve">Si, es confiable </t>
  </si>
  <si>
    <t xml:space="preserve">Un (1) procedimiento actualizado. O documento que sustente dicha actividad. </t>
  </si>
  <si>
    <t xml:space="preserve">Un (1) documento con el estudio de seguridad.
Un (1) documento contrato de vigilancia con la inclusión de los requisitos. O documento que sustente dicha actividad. </t>
  </si>
  <si>
    <t xml:space="preserve">
Revisar procedimiento AGRI-SA-PD-010 TOMA FÍSICA DE INVENTARIOS  y actualizar en caso de  requerirlo. </t>
  </si>
  <si>
    <t>Gestión de Recursos y Administración de la Información (Gestión documental)</t>
  </si>
  <si>
    <t>Puede presentarse el riesgo de corrupción de manipulación de la información para el beneficio de un tercero, como causa de la búsqueda de beneficios particulares sobre información específica y/o clasificada del canal, por fallas en el control de su custodia o de su confidencialidad, ocasionando alteraciones en la misma, sanciones e investigaciones y pérdida de la credibilidad en la gestión documental institucional.</t>
  </si>
  <si>
    <t xml:space="preserve">Entrega de documentos digitales a través de correo electrónico al solicitante </t>
  </si>
  <si>
    <t xml:space="preserve">Los puntos de control 6 y 7  del procedimiento AGRI-GD-PD-004 PRESTAMO Y CONSULTA DOCUMENTAL define como responsables a los encargados de los archivos de gestión de cada dependencia y central de la entidad. </t>
  </si>
  <si>
    <t xml:space="preserve">El equipo de gestión del archivo central cuenta con funciones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</si>
  <si>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</si>
  <si>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</si>
  <si>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</si>
  <si>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</si>
  <si>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El equipo de gestión del archivo central cuenta con funciones definidas frente al tema</t>
  </si>
  <si>
    <t xml:space="preserve">La registros permiten identificar las necesidad de información del solicitante así como las fechas del préstamo de los documentos. </t>
  </si>
  <si>
    <t xml:space="preserve">Al ser una entrega digital la información no puede ser modificada o alterada de alguna forma. </t>
  </si>
  <si>
    <t xml:space="preserve">Se cuenta con los soportes correspondientes del préstamo de la información. </t>
  </si>
  <si>
    <t xml:space="preserve">Diligenciar el formato de préstamo de expedientes </t>
  </si>
  <si>
    <t>Formato de préstamo de documentos diligenciado
Base de datos de control de préstamos de expedientes.
Registro de indicadores de préstamo de documentos</t>
  </si>
  <si>
    <t xml:space="preserve">Líder de Gestión Documental 
Equipo de Gestión Documental </t>
  </si>
  <si>
    <t xml:space="preserve">Revisar mensualmente la base de datos de las solicitudes para préstamo de documentos recibidas a través de correo electrónico. </t>
  </si>
  <si>
    <t>Correo electrónico de solicitud de préstamo de expedientes
Base de datos de control de préstamos de expedientes.
Registro de indicadores de préstamo de documentos</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</si>
  <si>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</si>
  <si>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</si>
  <si>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</si>
  <si>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</si>
  <si>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</si>
  <si>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</si>
  <si>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</si>
  <si>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</si>
  <si>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</si>
  <si>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 xml:space="preserve">
1. Revisar y mantener actualizados (en caso de ser necesario) los procedimientos de la Subdirección Financiera, para que los mismos cumplan  con la normatividad en materia financiera.                                
</t>
  </si>
  <si>
    <t xml:space="preserve">Acta de reunión de equipo de trabajo de la subdirección asociada a la revisión del procedimiento 
Procedimiento actualizado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</si>
  <si>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</si>
  <si>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Favorecimiento en la presentación de resultados de auditorías y/o seguimientos, omitiendo en los informes las observaciones detectadas.</t>
  </si>
  <si>
    <t xml:space="preserve">Puede materializarse el riesgo de corrupción debido a que alguno de los integrantes de la Oficina de la oficina de Control Interno omita el reporte de observaciones en los informes de auditoría y seguimientos, con el fin de ocultar información relevante que lleve a la entidad a detrimentos patrimoniales, investigaciones disciplinarias, penales o fiscales, que no se generen acciones en pro de la mejora continua y pérdida de credibilidad de la Oficina. </t>
  </si>
  <si>
    <t>Capacitaciones Internas Equipo de Control Interno</t>
  </si>
  <si>
    <t>CONTROL 5</t>
  </si>
  <si>
    <t>CONTROL 6</t>
  </si>
  <si>
    <t>Actas de reunión.</t>
  </si>
  <si>
    <t>Procedimiento revisado y/o actualizado.</t>
  </si>
  <si>
    <t>1. Actas de reunión.
2. Compromisos éticos diligenciados</t>
  </si>
  <si>
    <t>(No. Actividades realizadas/
3)*100</t>
  </si>
  <si>
    <t>(Documentos revisados o actualizados/
2*100)</t>
  </si>
  <si>
    <t>1. Realizar capacitaciones Internas Equipo de Control Interno</t>
  </si>
  <si>
    <t>Actas de reunión con capacitación / 10</t>
  </si>
  <si>
    <t xml:space="preserve">1. Revisar y/o actualizar Procedimiento FORMULACIÓN, SEGUIMIENTO Y EVALUACIÓN DEL PLAN ANUAL DE AUDITORÍAS  (CCSE-PD-004) </t>
  </si>
  <si>
    <t>1. Revisar y/o actualizar Procedimiento AUDITORIAS DE GESTIÓN (CCSE-PD-002)</t>
  </si>
  <si>
    <t>1. Revisar y/o actualizar Procedimiento SEGUIMIENTOS (CCSE-PD-003)</t>
  </si>
  <si>
    <t>1. Revisar y/o actualizar Código de Ética del Auditor - Canal Capital
2. Sensibilizar a los integrantes de la OCI, sobre el Código de Ética del Auditor y el Código de Integridad. 
3. Diligenciar Compromiso ético del Auditor interno Canal Capital,  por cada Auditor del equipo.</t>
  </si>
  <si>
    <t>1. Revisar y/o actualizar Estatuto de Auditoría - Canal Capital
2. Revisar y/o actualizar Manual de Auditoría Interna - Canal Capital</t>
  </si>
  <si>
    <t>AGRI-SA-RC-001</t>
  </si>
  <si>
    <t>AGRI-SI-RC-001</t>
  </si>
  <si>
    <t>AGRI-GD-RC-001</t>
  </si>
  <si>
    <t>Procedimiento SEGUIMIENTOS (CCSE-PD-003) Actividades 1,3,5,9,10,14 y 15.</t>
  </si>
  <si>
    <t>Procedimiento AUDITORIAS DE GESTIÓN (CCSE-PD-002) Actividades No.3,8,10,12,13 y 15.</t>
  </si>
  <si>
    <t>Código de Ética del Auditor - Compromiso</t>
  </si>
  <si>
    <t>Reuniones periódicas del Equipo de Control Interno</t>
  </si>
  <si>
    <t>Procedimiento FORMULACIÓN, SEGUIMIENTO Y EVALUACIÓN DEL PLAN ANUAL DE AUDITORÍAS  (CCSE-PD-004) Actividades No. 6,7,9 y 10</t>
  </si>
  <si>
    <t>Llevar un control para la asignación de los equipos a cargo de la coordinación de producción.</t>
  </si>
  <si>
    <t xml:space="preserve">Carpeta en drive con los seguimientos a la asignación de equipos. </t>
  </si>
  <si>
    <t xml:space="preserve">Llevar un control de la prestación del servicio de transporte a partir del seguimiento a la ejecución del contrato. </t>
  </si>
  <si>
    <t>El riesgo de corrupción se puede presentar cuando por presión de terceros para favorecimiento de un cliente particular, en conflicto de intereses, se privilegia acomodación de contenidos en la parrilla de programación. Esto puede ocasionar sanciones, daño a la imagen institucional y pérdida de credibilidad.</t>
  </si>
  <si>
    <t>1. Remitir correos electrónicos comunicando a las áreas competentes la continuidad de emisión de cada día.
2. Realizar semanalmente solicitudes a la gerencia de validación de la parrilla de programación, 
3. Diligenciar diariamente las bitácoras de seguimiento de los contenidos emitidos</t>
  </si>
  <si>
    <t>1. Correos electrónicos diarios.
2. Solicitud semanal de aprobación de la parrilla.
3. Bitácoras diarias de seguimiento.</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</si>
  <si>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</si>
  <si>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 xml:space="preserve">Facilitar la obtención de comisiones u otro tipo de ventajas con los anunciantes por fuera de los requisitos permitidos o autorizados por el canal, esto conlleva a posibles investigaciones penales y/o fiscales, detrimento patrimonial y daño de la imagen institucional del Canal. </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</si>
  <si>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</si>
  <si>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</si>
  <si>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 xml:space="preserve">1. Debilidades de control, en la salida y entrada de los elementos autorizados. 
2. Excesiva discrecionalidad.
</t>
  </si>
  <si>
    <t xml:space="preserve">Revisar procedimiento AGRI-SA-PD-008 SALIDA DE ELEMENTOS y actualización en caso de  requerirlo. </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</si>
  <si>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</si>
  <si>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Número de solicitudes por correo electrónico atendidas / Número de solicitudes de préstamo de documentos recibidas mediante correo electrónico.</t>
  </si>
  <si>
    <t>Servicio a la Ciudadanía y Defensor del Televidente</t>
  </si>
  <si>
    <t>El profesional Universitario de Planeación y el equipo de  profesionales de apoyo del área</t>
  </si>
  <si>
    <t>Con el diligenciamiento del formato se determina que la persona cumple con los requisitos de experiencia y formación para desempeñar el cargo correspondiente.</t>
  </si>
  <si>
    <t>suministrar información técnica detallada de los bienes y/o servicios a contratar</t>
  </si>
  <si>
    <t>la aplicación de la actividad de control, determina la necesidad de la entidad y enmarca la oferta del mercado, aun así no garantiza que el riesgo sea 100% mitigado.</t>
  </si>
  <si>
    <t>Esta determinada por las condiciones tecnológicas del mercado y de la entidad.</t>
  </si>
  <si>
    <t>Son resueltos por los oferentes contractuales teniendo como base las condiciones técnicas de los productos requeridos.</t>
  </si>
  <si>
    <t xml:space="preserve">Se cuenta con la definición de funciones para la administración de los equipos. </t>
  </si>
  <si>
    <t xml:space="preserve">El plan de grabación y el plan de eventos garantizan que la autorización de la salida de equipos sea consistente con las necesidades del canal. </t>
  </si>
  <si>
    <t>Se cuenta con niveles de responsabilidad (ejemplo productores responsables del evento o de la grabación) que garantizan que los equipos efectivamente serán utilizados por lo requerido por el Canal.</t>
  </si>
  <si>
    <t xml:space="preserve">Se cuenta con la información soporte que garantiza la trazabilidad de la información respecto al control. </t>
  </si>
  <si>
    <t xml:space="preserve">Con el uso de las planillas, la programación y los diferentes correos electrónicos de autorización se garantiza que el control sea efectivo y deje la trazabilidad correspondiente. </t>
  </si>
  <si>
    <t xml:space="preserve">Se cuenta con los soportes de seguimiento respectivo. </t>
  </si>
  <si>
    <t xml:space="preserve">La coordinadora del área técnica y/o el designado del equipo por esta tienen el conocimiento técnico para hacer la validación de los soportes técnicos suministrados por el oferente. </t>
  </si>
  <si>
    <t xml:space="preserve">No se ha presentado fallas en la ejecución del control toda vez que el mismo ha garantizado la validación oportuna de las condiciones del anexo técnico exigidas por el Canal. </t>
  </si>
  <si>
    <t xml:space="preserve">Dentro de todas las cotizaciones y/u ofertas comerciales se permite verificar y revisar la consistencia de las negociaciones anteriores así como la pertinencia de la cotización u oferta frente a la Resolución de tarifas. </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</si>
  <si>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</si>
  <si>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</si>
  <si>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</si>
  <si>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tiene las funciones y responsabilidades segregadas en el equipo </t>
  </si>
  <si>
    <t xml:space="preserve">El área cuenta con un sistema de inventario que permite realizar cualquier movimiento para los bienes </t>
  </si>
  <si>
    <t xml:space="preserve">Es permanente,  utilizando controles personal vigilancia, cámaras de monitoreo y sistemas de comunicación </t>
  </si>
  <si>
    <t>El área cuenta con un sistema de  inventarios  que  permite prevenir o detectar las causas que pueden dar origen al riesgo, Ej.: verificar, validar, cotejar, comparar, revisar, etc.?</t>
  </si>
  <si>
    <t xml:space="preserve">El área cuenta con un sistema de  inventarios  que  permite prevenir o detectar las causas que pueden dar origen al riesgo, Ej.: verificar, validar, cotejar, comparar, revisar, etc. Con cada uno de  los responsables de  los bienes. </t>
  </si>
  <si>
    <t>si se cuenta con investigación oportuna</t>
  </si>
  <si>
    <t xml:space="preserve">Si se cuenta con investigación oportuna, y después se procede con el proceso disciplinario respectivo </t>
  </si>
  <si>
    <t xml:space="preserve">Si realiza un control sobre las observaciones identificadas </t>
  </si>
  <si>
    <t xml:space="preserve">Se cuenta con toda la trazabilidad, cámaras, minutas, y personal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</si>
  <si>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</si>
  <si>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</si>
  <si>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</si>
  <si>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r>
      <t xml:space="preserve">Información general  </t>
    </r>
    <r>
      <rPr>
        <sz val="9"/>
        <color theme="1"/>
        <rFont val="Tahoma"/>
        <family val="2"/>
      </rPr>
      <t>(asignada por planeación)</t>
    </r>
  </si>
  <si>
    <r>
      <t xml:space="preserve">Riesgo 
</t>
    </r>
    <r>
      <rPr>
        <sz val="9"/>
        <color theme="1"/>
        <rFont val="Tahoma"/>
        <family val="2"/>
      </rPr>
      <t>(¿Qué puede suceder?)</t>
    </r>
  </si>
  <si>
    <r>
      <t xml:space="preserve">Causa - Vulnerabilidades y amenazas
 </t>
    </r>
    <r>
      <rPr>
        <sz val="9"/>
        <color theme="1"/>
        <rFont val="Tahoma"/>
        <family val="2"/>
      </rPr>
      <t>(Factores Internos y Externos, Agente Generador)</t>
    </r>
  </si>
  <si>
    <r>
      <t xml:space="preserve">Consecuencias
</t>
    </r>
    <r>
      <rPr>
        <sz val="9"/>
        <color theme="1"/>
        <rFont val="Tahoma"/>
        <family val="2"/>
      </rPr>
      <t>(Lo que podría ocasionar…)</t>
    </r>
  </si>
  <si>
    <r>
      <t xml:space="preserve">Probabilidad o Frecuencia
</t>
    </r>
    <r>
      <rPr>
        <sz val="9"/>
        <color theme="1"/>
        <rFont val="Tahoma"/>
        <family val="2"/>
      </rPr>
      <t>(Sobre las causas)</t>
    </r>
  </si>
  <si>
    <r>
      <t xml:space="preserve">Impacto
</t>
    </r>
    <r>
      <rPr>
        <sz val="9"/>
        <color theme="1"/>
        <rFont val="Tahoma"/>
        <family val="2"/>
      </rPr>
      <t>(Sobre las consecuencias)</t>
    </r>
  </si>
  <si>
    <r>
      <t xml:space="preserve">Total Nivel de Exposición
</t>
    </r>
    <r>
      <rPr>
        <sz val="9"/>
        <color theme="1"/>
        <rFont val="Tahoma"/>
        <family val="2"/>
      </rPr>
      <t>(F x I)</t>
    </r>
  </si>
  <si>
    <r>
      <t xml:space="preserve">Total nivel de exposición residual
</t>
    </r>
    <r>
      <rPr>
        <sz val="9"/>
        <color theme="1"/>
        <rFont val="Tahoma"/>
        <family val="2"/>
      </rPr>
      <t>(F' x I')</t>
    </r>
  </si>
  <si>
    <t>IDENTIFICACIÓN DEL RIESGO</t>
  </si>
  <si>
    <t>PLAN DE MANEJO DE RIESGOS</t>
  </si>
  <si>
    <t>Fecha Inicio</t>
  </si>
  <si>
    <t>Fecha Finalización</t>
  </si>
  <si>
    <t>Universo</t>
  </si>
  <si>
    <t>PRIMER SEGUIMIENTO 2020</t>
  </si>
  <si>
    <t>1. Fecha seguimiento</t>
  </si>
  <si>
    <t>2. Evidencias o soportes ejecución acción de mejora</t>
  </si>
  <si>
    <t>3. Actividades realizadas  a la fecha</t>
  </si>
  <si>
    <t>4. Resultado del indicador</t>
  </si>
  <si>
    <t>5. Alerta</t>
  </si>
  <si>
    <t>7. Auditor que realizó el seguimiento</t>
  </si>
  <si>
    <t>Mapa de Riesgos de Corrupción 2020
Versión 1
Fecha de publicación: 31/01/2020
Seguimiento vigencia 2020</t>
  </si>
  <si>
    <t xml:space="preserve">Actividades </t>
  </si>
  <si>
    <t>1. Acta de reunión, correos de soporte y enlace al cuadro de control AAUT-FT-009 SEGUIMIENTO Y CONTROL DE SOLICITUDES DE COPIA DE MATERIAL AUDIOVISUAL https://drive.google.com/file/d/1MWQ87R86DSMPEkQ2eD4JNwkK0vMMRVm5/view?usp=sharing</t>
  </si>
  <si>
    <t>1. EDICION FEBRERO
2. ESTUDIO FEBRERO
3. GRABACION FEBRERO
4. MOVIL FEBRERO</t>
  </si>
  <si>
    <t>Jizeth González</t>
  </si>
  <si>
    <r>
      <t xml:space="preserve">Análisis OCI: </t>
    </r>
    <r>
      <rPr>
        <sz val="9"/>
        <color theme="1"/>
        <rFont val="Tahoma"/>
        <family val="2"/>
      </rPr>
      <t xml:space="preserve">Se evidencia que el área no realiza ningún reporte de avances sobre las actividades realizadas con lo que se puedan correlacionar los soportes remitidos (Febrero), así como tampoco se puede verificar la aplicación del control toda vez que no se evidencia que los equipos relacionados en las matrices tengan su respectiva ficha de salida. 
Teniendo en cuenta lo anterior, así como las fechas de ejecución se califica la acción </t>
    </r>
    <r>
      <rPr>
        <b/>
        <sz val="9"/>
        <color theme="1"/>
        <rFont val="Tahoma"/>
        <family val="2"/>
      </rPr>
      <t xml:space="preserve">"En Proceso" </t>
    </r>
    <r>
      <rPr>
        <sz val="9"/>
        <color theme="1"/>
        <rFont val="Tahoma"/>
        <family val="2"/>
      </rPr>
      <t xml:space="preserve">y se recomienda al área adelantar acciones de mejora como fechar los formatos, realizar la consolidación y reporte para próximos seguimientos del registro mensual de los formatos de control y demás mejoras pertinentes,  con las que se puedan efectuar un mejor análisis de lo remitido y establecer el cumplimiento de lo formulado. </t>
    </r>
  </si>
  <si>
    <t>1. Control Ejecutivo- Cto. 352 Transporte 2019 - Platino VIP S.A.S</t>
  </si>
  <si>
    <t>No se remiten soportes para el seguimiento del primer cuatrimestre de la vigencia.</t>
  </si>
  <si>
    <r>
      <t xml:space="preserve">Análisis OCI: </t>
    </r>
    <r>
      <rPr>
        <sz val="9"/>
        <color theme="1"/>
        <rFont val="Tahoma"/>
        <family val="2"/>
      </rPr>
      <t xml:space="preserve">El área no reporta avances ni soportes sobre la ejecución de lo planteado, por lo que no es posible determinar la aplicación del control identificado, así como del cumplimiento de lo programado en el Plan. Teniendo en cuenta lo anterior, se califica la acción con alerta </t>
    </r>
    <r>
      <rPr>
        <b/>
        <sz val="9"/>
        <color theme="1"/>
        <rFont val="Tahoma"/>
        <family val="2"/>
      </rPr>
      <t>"Sin Iniciar"</t>
    </r>
    <r>
      <rPr>
        <sz val="9"/>
        <color theme="1"/>
        <rFont val="Tahoma"/>
        <family val="2"/>
      </rPr>
      <t xml:space="preserve"> y se recomienda al área adelantar las actividades pertinentes que permitan darle cabal cumplimiento a lo formulado.</t>
    </r>
  </si>
  <si>
    <t>1. Base de préstamos 2020
2. FORMATO SOLICITUD Y PRÉSTAMO-páginas-eliminadas</t>
  </si>
  <si>
    <t>1. Correo Solicitud expedientes CESAR ANDRES MORALES BERNAL
2. Correo Solicitud expedientes FLORESMIRO LUNA ACOSTA
3. Correo Solicitud expedientes JUAN PABLO CARDENAS LEON
4. Correo Solicitud expedientes LUIS ENRIQUE MUÑOZ PALACIO
5. Correo Solicitud expedientes OSCAR MAURICIO MARROQUIN
6. Correo SOLICITUD EXPEDIENTES URGENTE OSCAR EMILIO BUSTOS BUSTOS</t>
  </si>
  <si>
    <t>Mónica Virgüéz</t>
  </si>
  <si>
    <r>
      <rPr>
        <b/>
        <sz val="9"/>
        <color theme="1"/>
        <rFont val="Tahoma"/>
        <family val="2"/>
      </rPr>
      <t xml:space="preserve">Reporte Subdirección Financiera: </t>
    </r>
    <r>
      <rPr>
        <sz val="9"/>
        <color theme="1"/>
        <rFont val="Tahoma"/>
        <family val="2"/>
      </rPr>
      <t xml:space="preserve">El día 14 de abril se convocó reunión para revisión de los procedimientos de la subdirección financiera. 
</t>
    </r>
    <r>
      <rPr>
        <b/>
        <sz val="9"/>
        <color theme="1"/>
        <rFont val="Tahoma"/>
        <family val="2"/>
      </rPr>
      <t>Análisis OCI:</t>
    </r>
    <r>
      <rPr>
        <sz val="9"/>
        <color theme="1"/>
        <rFont val="Tahoma"/>
        <family val="2"/>
      </rPr>
      <t xml:space="preserve"> Se verificó la actualización del procedimiento referido de acuerdo con los soportes remitidos, en la intranet. De acuerdo con el desarrollo, acuerdos y conclusiones de la reunión realizada el 14/04/2020, indica el área que no es necesaria la actualización de más procedimientos por el primer cuatrimestre de la vigencia. Por tal razón, se califica </t>
    </r>
    <r>
      <rPr>
        <b/>
        <sz val="9"/>
        <color theme="1"/>
        <rFont val="Tahoma"/>
        <family val="2"/>
      </rPr>
      <t>"En Proceso".</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</si>
  <si>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del procedimiento AUDITORIAS DE GESTIÓN (CCSE-PD-002). Lo anterior, en atención a que la última actualización se realizó en noviembre de 2019. Por lo anteriormente expuesto, se califica </t>
    </r>
    <r>
      <rPr>
        <b/>
        <sz val="9"/>
        <color theme="1"/>
        <rFont val="Tahoma"/>
        <family val="2"/>
      </rPr>
      <t>"Sin iniciar"</t>
    </r>
    <r>
      <rPr>
        <sz val="9"/>
        <color theme="1"/>
        <rFont val="Tahoma"/>
        <family val="2"/>
      </rPr>
      <t>, teniendo en cuenta que el plazo finaliza al cierre de la vigencia 2020.</t>
    </r>
  </si>
  <si>
    <t>1. Procedimiento SEGUIMIENTOS (CCSE-PD-003), versión 4 del 11/02/2020.</t>
  </si>
  <si>
    <r>
      <rPr>
        <b/>
        <sz val="9"/>
        <color theme="1"/>
        <rFont val="Tahoma"/>
        <family val="2"/>
      </rPr>
      <t xml:space="preserve">Análisis OCI: </t>
    </r>
    <r>
      <rPr>
        <sz val="9"/>
        <color theme="1"/>
        <rFont val="Tahoma"/>
        <family val="2"/>
      </rPr>
      <t>Se verifica  actualización del procedimiento SEGUIMIENTOS conforme a la descripción de evidencias, que hace parte del proceso Control, Seguimiento y Evaluación del Canal,  dentro del primer cuatrimestre 2020. Sin embargo y de acuerdo con el plazo de ejecución, que finaliza el 31/12/2020, se califica como</t>
    </r>
    <r>
      <rPr>
        <b/>
        <sz val="9"/>
        <color theme="1"/>
        <rFont val="Tahoma"/>
        <family val="2"/>
      </rPr>
      <t xml:space="preserve"> "En proceso"</t>
    </r>
    <r>
      <rPr>
        <sz val="9"/>
        <color theme="1"/>
        <rFont val="Tahoma"/>
        <family val="2"/>
      </rPr>
      <t xml:space="preserve">. </t>
    </r>
  </si>
  <si>
    <t>1. Acta de reunión No. 15 del 27/02/2020, del Equipo de Control Interno.
2. Memorando No. 227 del 05/02/2020, remisión a Secretaría General - Coordinación Jurídica, remisión de Compromisos éticos diligenciados, de 3 contratistas del equipo de Control Interno (Ruta Carpeta control Interno Y:\2020\110.29 PROGRAMAS\110.29.48 P. ANUAL DE AUDITORÍA\EJECUCIÓN\ARCHIVO\MEMORANDO SALIENTE).</t>
  </si>
  <si>
    <r>
      <rPr>
        <b/>
        <sz val="9"/>
        <color theme="1"/>
        <rFont val="Tahoma"/>
        <family val="2"/>
      </rPr>
      <t>Análisis OCI:</t>
    </r>
    <r>
      <rPr>
        <sz val="9"/>
        <color theme="1"/>
        <rFont val="Tahoma"/>
        <family val="2"/>
      </rPr>
      <t xml:space="preserve"> En el acta de reunión que se soporta, se realizó socialización de los Principios de auditoría, el Código de ética de los auditores internos y el Código de Integridad del Canal, al equipo de control interno. De acuerdo con el memorando referido en las evidencias, se remitió el Compromiso ético de 3 de los profesionales del equipo de Control interno, que se encontraban vinculados a la fecha del memorando (Conforme al Código de ética para Auditores Internos CCSE-PO-004 del Canal).  Se encuentra pendiente diligenciar y enviar, el correspondiente al profesional Jhon Guancha. Por lo expuesto, se califica </t>
    </r>
    <r>
      <rPr>
        <b/>
        <sz val="9"/>
        <color theme="1"/>
        <rFont val="Tahoma"/>
        <family val="2"/>
      </rPr>
      <t>"En proceso"</t>
    </r>
    <r>
      <rPr>
        <sz val="9"/>
        <color theme="1"/>
        <rFont val="Tahoma"/>
        <family val="2"/>
      </rPr>
      <t xml:space="preserve">. </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</si>
  <si>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 los documentos: Estatuto de Auditoría y Manual de Auditoría Interna del Canal, por lo que se califica</t>
    </r>
    <r>
      <rPr>
        <b/>
        <sz val="9"/>
        <color theme="1"/>
        <rFont val="Tahoma"/>
        <family val="2"/>
      </rPr>
      <t xml:space="preserve"> "Sin iniciar".</t>
    </r>
  </si>
  <si>
    <t>1. Acta de reunión No. 15 del 27/02/2020, del Equipo de Control Interno. Temas capacitación: Principios de auditoría, el Código de ética de los auditores internos y el Código de Integridad del Canal.
2. Acta de reunión del 28/04/2020, del Equipo de Control Interno. Temas capacitación: Mapa de aseguramiento.</t>
  </si>
  <si>
    <r>
      <rPr>
        <b/>
        <sz val="9"/>
        <color theme="1"/>
        <rFont val="Tahoma"/>
        <family val="2"/>
      </rPr>
      <t xml:space="preserve">Análisis OCI: </t>
    </r>
    <r>
      <rPr>
        <sz val="9"/>
        <color theme="1"/>
        <rFont val="Tahoma"/>
        <family val="2"/>
      </rPr>
      <t>Se evidencian dos reuniones con capacitaciones, para el equipo de control interno, de acuerdo con los temas descritos en las evidencias que soportan la ejecución de las acciones. Con lo anterior, se califica</t>
    </r>
    <r>
      <rPr>
        <b/>
        <sz val="9"/>
        <color theme="1"/>
        <rFont val="Tahoma"/>
        <family val="2"/>
      </rPr>
      <t xml:space="preserve"> "En Proceso".</t>
    </r>
  </si>
  <si>
    <r>
      <rPr>
        <b/>
        <sz val="9"/>
        <color theme="1"/>
        <rFont val="Tahoma"/>
        <family val="2"/>
      </rPr>
      <t>Análisis OCI:</t>
    </r>
    <r>
      <rPr>
        <sz val="9"/>
        <color theme="1"/>
        <rFont val="Tahoma"/>
        <family val="2"/>
      </rPr>
      <t xml:space="preserve"> Para el periodo de seguimiento, no se han realizado acciones para cumplimiento de la revisión y/o actualización del procedimiento FORMULACIÓN, SEGUIMIENTO Y EVALUACIÓN DEL PLAN ANUAL DE AUDITORÍAS  (CCSE-PD-004). Lo anterior, en atención a que la última actualización se realizó en noviembre de 2019. Por lo anteriormente expuesto, se califica </t>
    </r>
    <r>
      <rPr>
        <b/>
        <sz val="9"/>
        <color theme="1"/>
        <rFont val="Tahoma"/>
        <family val="2"/>
      </rPr>
      <t>"Sin Iniciar"</t>
    </r>
    <r>
      <rPr>
        <sz val="9"/>
        <color theme="1"/>
        <rFont val="Tahoma"/>
        <family val="2"/>
      </rPr>
      <t>, teniendo en cuenta que el plazo finaliza al cierre de la vigencia 2020.</t>
    </r>
  </si>
  <si>
    <t>Henry Beltrán</t>
  </si>
  <si>
    <t>1. Presentación sobre Supervisión e Interventoría; Presentación Modalidades y Factores de Selección; Pantallazo aceptación de Capacitación; Pantalla capacitación e Invitación a capacitación</t>
  </si>
  <si>
    <t>6. Análisis - Seguimiento OCI</t>
  </si>
  <si>
    <t>1. Parrillas de enero, febrero, marzo, abril y los respectivos correos enviados a Gerencia y a la Dirección Operativa para la aprobación.  
2. Pantallazos de los correos que se envían con las continuidades a los diferentes contratistas que la requieren.
3. Bitácoras actualizadas durante los turnos de los operadores.</t>
  </si>
  <si>
    <r>
      <t xml:space="preserve">Reporte C. Programación: </t>
    </r>
    <r>
      <rPr>
        <sz val="9"/>
        <color theme="1"/>
        <rFont val="Tahoma"/>
        <family val="2"/>
      </rPr>
      <t xml:space="preserve">* Diariamente el Auxiliar de Tráfico realizó el envío de las continuidades a todas las personas que hacen parte del proceso de emisión para que todo el equipo este informado.
* La Coordinadora de Programación realizo el envío semanal de la parrilla de programación a la gerencia y al director Operativo para su revisión y aprobación. * Diariamente durante los turnos en el master de emisión los operadores llenan la bitácora con las novedades de sus funciones y todo lo relacionado con la emisión al aire. 
</t>
    </r>
    <r>
      <rPr>
        <b/>
        <sz val="9"/>
        <color theme="1"/>
        <rFont val="Tahoma"/>
        <family val="2"/>
      </rPr>
      <t xml:space="preserve">Análisis OCI: </t>
    </r>
    <r>
      <rPr>
        <sz val="9"/>
        <color theme="1"/>
        <rFont val="Tahoma"/>
        <family val="2"/>
      </rPr>
      <t xml:space="preserve">Se realiza la verificación de los soportes remitidos por el área evidenciando que se vienen entregando las parrillas semanales a la Dirección Operativa para aprobación (se recomienda ajustar el formato utilizado con los logos y encabezado), así como la remisión de las continuidades vía correo electrónico, frente a las cuales se recomienda al área remitir para los próximos seguimientos el registro de continuidades de tal manera que se pueda evidenciar la aplicación del formato determinado. De igual manera se evidencia el diligenciamiento de bitácoras por contratista (4) encargado del máster de emisión frente a la parrilla y el reporte de novedades.
Teniendo en cuenta lo anterior, así como las fechas de ejecución formuladas se califica </t>
    </r>
    <r>
      <rPr>
        <b/>
        <sz val="9"/>
        <color theme="1"/>
        <rFont val="Tahoma"/>
        <family val="2"/>
      </rPr>
      <t xml:space="preserve">"En Proceso" </t>
    </r>
    <r>
      <rPr>
        <sz val="9"/>
        <color theme="1"/>
        <rFont val="Tahoma"/>
        <family val="2"/>
      </rPr>
      <t xml:space="preserve">y se recomienda al área adelantar las mejoras pertinentes con el fin de dar continuidad a lo formulado en los tiempos establecidos. </t>
    </r>
  </si>
  <si>
    <r>
      <t xml:space="preserve">Reporte G. Documental: </t>
    </r>
    <r>
      <rPr>
        <sz val="9"/>
        <color theme="1"/>
        <rFont val="Tahoma"/>
        <family val="2"/>
      </rPr>
      <t xml:space="preserve">Se realizan  los prestamos correspondientes a la solicitudes por correo electrónico, se entregan físicamente cuando es requerido y se diligencia el formato de solicitud y préstamo de documentos. </t>
    </r>
    <r>
      <rPr>
        <b/>
        <sz val="9"/>
        <color theme="1"/>
        <rFont val="Tahoma"/>
        <family val="2"/>
      </rPr>
      <t xml:space="preserve">
Análisis OCI: </t>
    </r>
    <r>
      <rPr>
        <sz val="9"/>
        <color theme="1"/>
        <rFont val="Tahoma"/>
        <family val="2"/>
      </rPr>
      <t xml:space="preserve">Se revisan los soportes remitidos evidenciando la base de datos de préstamo de los expedientes del archivo central para la vigencia 2020, así como el formato de solicitud diligenciada; sin embargo, se observan diferencias entre los documentos entregados, adicionalmente, es importante mejorar el reporte de indicadores teniendo en cuenta lo formulado en las acciones, ya que no es posible evidenciar el objetivo de estos. De igual manera, no es posible verificar la implementación de los controles establecidos, toda vez que no es posible adelantar las comprobaciones de los seguimientos formulados. 
Por lo anterior, se califica </t>
    </r>
    <r>
      <rPr>
        <b/>
        <sz val="9"/>
        <color theme="1"/>
        <rFont val="Tahoma"/>
        <family val="2"/>
      </rPr>
      <t xml:space="preserve">"En Proceso" </t>
    </r>
    <r>
      <rPr>
        <sz val="9"/>
        <color theme="1"/>
        <rFont val="Tahoma"/>
        <family val="2"/>
      </rPr>
      <t xml:space="preserve">y se recomienda al área adelantar las modificaciones pertinentes a los documentos utilizados, de manera que se mejoren los procesos del área. </t>
    </r>
  </si>
  <si>
    <r>
      <rPr>
        <b/>
        <sz val="9"/>
        <color theme="1"/>
        <rFont val="Tahoma"/>
        <family val="2"/>
      </rPr>
      <t xml:space="preserve">Reporte G. Documental: </t>
    </r>
    <r>
      <rPr>
        <sz val="9"/>
        <color theme="1"/>
        <rFont val="Tahoma"/>
        <family val="2"/>
      </rPr>
      <t xml:space="preserve">Se realizan  los prestamos correspondientes a la solicitudes por correo electrónico, se entregan físicamente cuando es requerido y se diligencia el formato de solicitud y préstamo de documentos. 
</t>
    </r>
    <r>
      <rPr>
        <b/>
        <sz val="9"/>
        <color theme="1"/>
        <rFont val="Tahoma"/>
        <family val="2"/>
      </rPr>
      <t xml:space="preserve">Análisis OCI: </t>
    </r>
    <r>
      <rPr>
        <sz val="9"/>
        <color theme="1"/>
        <rFont val="Tahoma"/>
        <family val="2"/>
      </rPr>
      <t xml:space="preserve">Se realiza la verificación de los soportes observando que la base de datos de préstamo de expedientes no cuenta con el análisis de revisión de esta, frente a los soportes de correo de solicitud se evidencia la respuesta de algunos requerimientos; sin embargo, es importante mejorar el reporte de indicadores teniendo en cuenta lo formulado en las acciones, ya que no es posible evidenciar el objetivo de estos. De igual manera, es importante revisar los controles establecidos, ya que estos no cuentan con todos los requisitos al formularse como una actividad, por lo que no es posible establecer la eficiencia de su aplicación en la mitigación del riesgo identificado teniendo en cuenta las directrices de la "Guía para la administración del riesgo y diseño de controles en entidades públicas".
Por lo anterior, se califica </t>
    </r>
    <r>
      <rPr>
        <b/>
        <sz val="9"/>
        <color theme="1"/>
        <rFont val="Tahoma"/>
        <family val="2"/>
      </rPr>
      <t xml:space="preserve">"En Proceso" </t>
    </r>
    <r>
      <rPr>
        <sz val="9"/>
        <color theme="1"/>
        <rFont val="Tahoma"/>
        <family val="2"/>
      </rPr>
      <t xml:space="preserve">y se recomienda al área adelantar las modificaciones pertinentes a los documentos utilizados, de manera que se mejoren los procesos del área. </t>
    </r>
  </si>
  <si>
    <t xml:space="preserve">1. Acta de reunión. 
1.1. Convocatoria reunión 
2. Actualización del procedimiento de liquidación de órdenes de pago. 
2.1. Relación de pagos de contratistas 
3. Publicación y socialización del documento actualizado en la Intranet.        </t>
  </si>
  <si>
    <r>
      <rPr>
        <b/>
        <sz val="9"/>
        <color theme="1"/>
        <rFont val="Tahoma"/>
        <family val="2"/>
      </rPr>
      <t>Reporte Subdirección Financiera:</t>
    </r>
    <r>
      <rPr>
        <sz val="9"/>
        <color theme="1"/>
        <rFont val="Tahoma"/>
        <family val="2"/>
      </rPr>
      <t xml:space="preserve"> El día 14 de abril se convocó reunión para revisión de los procedimientos de la subdirección financiera. 
</t>
    </r>
    <r>
      <rPr>
        <b/>
        <sz val="9"/>
        <color theme="1"/>
        <rFont val="Tahoma"/>
        <family val="2"/>
      </rPr>
      <t xml:space="preserve">Análisis OCI: </t>
    </r>
    <r>
      <rPr>
        <sz val="9"/>
        <color theme="1"/>
        <rFont val="Tahoma"/>
        <family val="2"/>
      </rPr>
      <t xml:space="preserve">Se verificó la actualización del procedimiento "Liquidación de Órdenes de pago", código AGFF-PD-010, versión 7 del 31/03/2020, en la intranet. En virtud de lo concluido en el acta de reunión del equipo de la Subdirección Financiera (14/04/2020), al indicar que no es necesaria la actualización por el primer cuatrimestre de la vigencia.  se califica </t>
    </r>
    <r>
      <rPr>
        <b/>
        <sz val="9"/>
        <color theme="1"/>
        <rFont val="Tahoma"/>
        <family val="2"/>
      </rPr>
      <t>"En Proceso"</t>
    </r>
    <r>
      <rPr>
        <sz val="9"/>
        <color theme="1"/>
        <rFont val="Tahoma"/>
        <family val="2"/>
      </rPr>
      <t>, ya que la acción está planteada para toda la vigencia 2020.</t>
    </r>
  </si>
  <si>
    <r>
      <t xml:space="preserve">Reporte At. Ciudadano: </t>
    </r>
    <r>
      <rPr>
        <sz val="9"/>
        <color theme="1"/>
        <rFont val="Tahoma"/>
        <family val="2"/>
      </rPr>
      <t>Se creó en el cuadro de control AAUT-FT-009 SEGUIMIENTO Y CONTROL DE SOLICITUDES DE COPIA DE MATERIAL AUDIOVISUAL una hoja para las solicitudes de la presente vigencia, se vienen registrando allí las solicitudes recibidas. Se realizó reunión con las áreas de Programación, Dirección Operativa, Control Interno, Ventas y Mercadeo y Atención al Ciudadano el 27 de enero de 2020 para revisar el procedimiento que se le está dando desde Dirección Operativa a la autorización de copias de material audiovisual al igual que el cobro de las mismas. Se definieron desde Programación unas tipologías para establecer los costos y cobro de las copias de material audiovisual con el fin de que estás quedaran documentadas en el proceso de Atención y respuesta a los requerimientos de la ciudadanía cuando se documentaran igualmente en el tarifario del canal, aún no se han incluido teniendo en cuenta que el tarifario de la entidad no ha sido ajustado aún por el área. Se creo un formulario para solicitud de copias de material audiovisual y licencia de imágenes que se publicó en la página web. Este fue enviado para observaciones de las áreas encargadas el 16 de marzo de 2020. El 19 de marzo se solicitó la creación del botón en la página web. El 30 de abril se actualizó, se publico en la intranet y se socializo a través del correo electrónico el procedimiento de Atención y Respuesta a los Requerimientos de la Ciudadanía donde se incluyo el formulario mencionado.</t>
    </r>
    <r>
      <rPr>
        <b/>
        <sz val="9"/>
        <color theme="1"/>
        <rFont val="Tahoma"/>
        <family val="2"/>
      </rPr>
      <t xml:space="preserve">
Análisis OCI: </t>
    </r>
    <r>
      <rPr>
        <sz val="9"/>
        <color theme="1"/>
        <rFont val="Tahoma"/>
        <family val="2"/>
      </rPr>
      <t xml:space="preserve">Se procede a la verificación de los soportes remitidos evidenciando que se han venido trabajando las mejoras sobre el AAUT-PD-001 ATENCIÓN Y RESPUESTA A REQUERIMIENTOS DE LA CIUDADANIA frente a las políticas de operación y documentos para requerir copias de material audiovisual; sin embargo, frente al control establecido la actividad 9 del procedimiento, no cuenta con punto de control. De igual manera frente a las actividades formuladas no se evidencian los soportes que evidencien el comunicado a las áreas involucradas, así como tampoco se observa el cotejo mensual con el área de tráfico. 
Teniendo en cuenta lo anterior, así como las fechas de ejecución planteadas se califica con estado </t>
    </r>
    <r>
      <rPr>
        <b/>
        <sz val="9"/>
        <color theme="1"/>
        <rFont val="Tahoma"/>
        <family val="2"/>
      </rPr>
      <t>"En Proceso"</t>
    </r>
    <r>
      <rPr>
        <sz val="9"/>
        <color theme="1"/>
        <rFont val="Tahoma"/>
        <family val="2"/>
      </rPr>
      <t xml:space="preserve"> y se recomienda al área adelantar las revisiones pertinentes, así como la realización de las actividades con el fin de dar cabal cumplimiento a lo formulado. </t>
    </r>
  </si>
  <si>
    <t>1. ANEXO TECNICO MTO.
2. ANEXO TECNICO_EQUIPOS
3. Anexo_Técnico_Insumos_2020</t>
  </si>
  <si>
    <r>
      <t xml:space="preserve">Reporte Sistemas: </t>
    </r>
    <r>
      <rPr>
        <sz val="9"/>
        <color theme="1"/>
        <rFont val="Tahoma"/>
        <family val="2"/>
      </rPr>
      <t>se adelantaron 5 contratos de adquisición de bienes o servicios, sin embargo, se adjuntan 3 anexos técnicos porque los servicios de internet contratados se realizaron por adición de contrato por lo cual no se requirió realizar anexo técnico.</t>
    </r>
    <r>
      <rPr>
        <b/>
        <sz val="9"/>
        <color theme="1"/>
        <rFont val="Tahoma"/>
        <family val="2"/>
      </rPr>
      <t xml:space="preserve">
Análisis OCI: </t>
    </r>
    <r>
      <rPr>
        <sz val="9"/>
        <color theme="1"/>
        <rFont val="Tahoma"/>
        <family val="2"/>
      </rPr>
      <t xml:space="preserve">Se evidencian las condiciones mínimas y estudios de mercado para tres (3) contratos de adquisición de bienes y servicios de conformidad con lo formulado, se recomienda colocarle identificación al formato de estudios de mercado de manera que pueda evidenciarse el objeto del mismo; Adicionalmente, frente al control establecido para mitigación del riesgo, deben efectuarse las revisiones y modificaciones pertinentes ya que está determinado como una acción y no cuenta con todos los requisitos teniendo en cuenta las directrices de la "Guía para la administración del riesgo y diseño de controles en entidades públicas". 
Teniendo en cuenta lo anterior, así como como las fechas de ejecución se califica </t>
    </r>
    <r>
      <rPr>
        <b/>
        <sz val="9"/>
        <color theme="1"/>
        <rFont val="Tahoma"/>
        <family val="2"/>
      </rPr>
      <t xml:space="preserve">"En Proceso". </t>
    </r>
  </si>
  <si>
    <t>1. Acta 24.01.20 PAAC-MRC Recursos Humanos
2. Acta Reunión inducciones</t>
  </si>
  <si>
    <t>1. Correo de Bogotá es TIC - Solicitud de procedimientos editables</t>
  </si>
  <si>
    <t>1. ESTUDIO DE SEGURIDAD CANAL CAPITAL ACT. (1)
2. Cto 462-2019- Adición y Prórroga 1- Amcovit Ltda.</t>
  </si>
  <si>
    <r>
      <t xml:space="preserve">Reporte S. Administrativos: </t>
    </r>
    <r>
      <rPr>
        <sz val="9"/>
        <color theme="1"/>
        <rFont val="Tahoma"/>
        <family val="2"/>
      </rPr>
      <t>Se envía correo electrónico al área de Planeación solicitando el procedimiento en formato editable para realizar los cambios requeridos por el área.</t>
    </r>
    <r>
      <rPr>
        <b/>
        <sz val="9"/>
        <color theme="1"/>
        <rFont val="Tahoma"/>
        <family val="2"/>
      </rPr>
      <t xml:space="preserve">
Análisis OCI: </t>
    </r>
    <r>
      <rPr>
        <sz val="9"/>
        <color theme="1"/>
        <rFont val="Tahoma"/>
        <family val="2"/>
      </rPr>
      <t xml:space="preserve">Teniendo en cuenta el reporte del área, se evidencia la solicitud de los documentos a Planeación; sin embargo, no se evidencian avances frente a lo propuesto con lo que se pueda dar cumplimiento a la meta establecida. 
Teniendo en cuenta lo anterior, así como las fechas de ejecución programadas se califica la acción con alerta </t>
    </r>
    <r>
      <rPr>
        <b/>
        <sz val="9"/>
        <color theme="1"/>
        <rFont val="Tahoma"/>
        <family val="2"/>
      </rPr>
      <t xml:space="preserve">"Sin Iniciar" </t>
    </r>
    <r>
      <rPr>
        <sz val="9"/>
        <color theme="1"/>
        <rFont val="Tahoma"/>
        <family val="2"/>
      </rPr>
      <t xml:space="preserve">y se recomienda al área adelantar las acciones pertinentes que den cumplimiento a lo formulado. </t>
    </r>
  </si>
  <si>
    <r>
      <rPr>
        <b/>
        <sz val="9"/>
        <color theme="1"/>
        <rFont val="Tahoma"/>
        <family val="2"/>
      </rPr>
      <t xml:space="preserve">Reporte Coordinación Jurídica: </t>
    </r>
    <r>
      <rPr>
        <sz val="9"/>
        <color theme="1"/>
        <rFont val="Tahoma"/>
        <family val="2"/>
      </rPr>
      <t xml:space="preserve">Se adelantó capacitación del Manual de Contratación Supervisión e Interventoría el 31-03-2020 sobre Supervisión e Interventoría y Modalidades y Factores de Selección.
</t>
    </r>
    <r>
      <rPr>
        <b/>
        <sz val="9"/>
        <color theme="1"/>
        <rFont val="Tahoma"/>
        <family val="2"/>
      </rPr>
      <t xml:space="preserve">
Análisis OCI: </t>
    </r>
    <r>
      <rPr>
        <sz val="9"/>
        <color theme="1"/>
        <rFont val="Tahoma"/>
        <family val="2"/>
      </rPr>
      <t xml:space="preserve">Revisado los soportes remitidos se da cuenta del cumplimiento de la actividad de socialización del manual de contratación a las diferentes áreas de canal capital.  De la segunda actividad no se tiene información que haya sido necesaria durante el periodo de este seguimiento. Se sugiere al área mantener jornadas de autocontrol sobre los temas contractuales, aún más con la coyuntura de cambio de administración. Por lo anterior se califica la acción </t>
    </r>
    <r>
      <rPr>
        <b/>
        <sz val="9"/>
        <color theme="1"/>
        <rFont val="Tahoma"/>
        <family val="2"/>
      </rPr>
      <t xml:space="preserve">"En Proceso". </t>
    </r>
  </si>
  <si>
    <r>
      <t xml:space="preserve">Análisis OCI: </t>
    </r>
    <r>
      <rPr>
        <sz val="9"/>
        <color theme="1"/>
        <rFont val="Tahoma"/>
        <family val="2"/>
      </rPr>
      <t xml:space="preserve">Se procede a la verificación de lo remitido por el área evidenciando que no se realizó reporte de avances sobre las acciones formuladas y que los soportes entregados sobre el seguimiento del contrato de transporte 352-2019 VIP, no se relacionan con las fechas programadas para la realización de lo planteado. De igual manera, no es posible determinar la aplicación del control formulado, toda vez, que no se encuentran las planillas de la empresa de transporte con relación del uso de los vehículos. 
Teniendo en cuenta lo anterior, se califica la acción con alerta </t>
    </r>
    <r>
      <rPr>
        <b/>
        <sz val="9"/>
        <color theme="1"/>
        <rFont val="Tahoma"/>
        <family val="2"/>
      </rPr>
      <t xml:space="preserve">"Sin Iniciar" </t>
    </r>
    <r>
      <rPr>
        <sz val="9"/>
        <color theme="1"/>
        <rFont val="Tahoma"/>
        <family val="2"/>
      </rPr>
      <t xml:space="preserve">y se recomienda al área adelantar las mejoras como fechar los formatos utilizados y complementar los soportes que den cuenta de la realización de lo planteado. </t>
    </r>
  </si>
  <si>
    <r>
      <t xml:space="preserve">Reporte C. Técnica: </t>
    </r>
    <r>
      <rPr>
        <sz val="9"/>
        <color theme="1"/>
        <rFont val="Tahoma"/>
        <family val="2"/>
      </rPr>
      <t>La coordinación técnica en lo que lleva del año 2020 ha adelantado en procesos de contratación lo siguiente: Contrato 303-2020 - Empresa ISTRONYC - Objeto: Contar con los servicios de soporte técnico, mantenimiento y SLA para el sistema de LiveU propiedad de Canal Capital. Esta contratación no implica la adquisición de un producto o servicio, toda vez, que lo que es un contrato de SLA que incluye soporte técnico y RMA de acuerdo con lo ofertado por proveedor y respaldado por su fábrica. Adicional a lo anterior este contrato no cuenta con un proceso de estudio de mercado en el entendido que la empresa Istronyc es proveedor exclusivo para Colombia de la marca LiveU, productos amparados bajo el contrato celebrado (certificación esta adjunta en el expediente contractual).</t>
    </r>
    <r>
      <rPr>
        <b/>
        <sz val="9"/>
        <color theme="1"/>
        <rFont val="Tahoma"/>
        <family val="2"/>
      </rPr>
      <t xml:space="preserve">
Análisis OCI: </t>
    </r>
    <r>
      <rPr>
        <sz val="9"/>
        <color theme="1"/>
        <rFont val="Tahoma"/>
        <family val="2"/>
      </rPr>
      <t xml:space="preserve">Frente a lo reportado por el área no es posible evidenciar la documentación mencionada, así como tampoco se observa información ni soportes sobre el anexo técnico formulado en la acción; en consecuencia de lo anterior, es importante que se adelanten las verificaciones pertinentes con el fin de modificar la actividad de conformidad con lo indicado por el área. 
De manera adicional es importante verificar el control de la actividad toda vez que este no cuenta con todos los requisitos teniendo en cuenta las directrices de la </t>
    </r>
    <r>
      <rPr>
        <i/>
        <sz val="9"/>
        <color theme="1"/>
        <rFont val="Tahoma"/>
        <family val="2"/>
      </rPr>
      <t>"Guía para la administración del riesgo y diseño de controles en entidades públicas"</t>
    </r>
    <r>
      <rPr>
        <sz val="9"/>
        <color theme="1"/>
        <rFont val="Tahoma"/>
        <family val="2"/>
      </rPr>
      <t xml:space="preserve"> y por lo tanto no es posible establecer la eficiencia de su aplicación en la mitigación del riesgo identificado, al ser la misma actividad. Por lo anterior se califica la acción con alerta </t>
    </r>
    <r>
      <rPr>
        <b/>
        <sz val="9"/>
        <color theme="1"/>
        <rFont val="Tahoma"/>
        <family val="2"/>
      </rPr>
      <t>"Sin Iniciar".</t>
    </r>
  </si>
  <si>
    <r>
      <rPr>
        <b/>
        <sz val="9"/>
        <color theme="1"/>
        <rFont val="Tahoma"/>
        <family val="2"/>
      </rPr>
      <t>Reporte Planeación:</t>
    </r>
    <r>
      <rPr>
        <sz val="9"/>
        <color theme="1"/>
        <rFont val="Tahoma"/>
        <family val="2"/>
      </rPr>
      <t xml:space="preserve"> En este cuatrimestre no se ha realizado seguimiento, esto se debe al cierre del plan de desarrollo e inicio del nuevo, el último seguimiento se realizará a mediados de junio, por ende se reportará para el segundo cuatrimestre del año. 
</t>
    </r>
    <r>
      <rPr>
        <b/>
        <sz val="9"/>
        <color theme="1"/>
        <rFont val="Tahoma"/>
        <family val="2"/>
      </rPr>
      <t xml:space="preserve">
Análisis OCI: </t>
    </r>
    <r>
      <rPr>
        <sz val="9"/>
        <color theme="1"/>
        <rFont val="Tahoma"/>
        <family val="2"/>
      </rPr>
      <t>Conforme a lo informado por el área, al no adelantarse la actividad con ocasión al cierre de la administración anterior no se generaron evidencias. De esta manera se califica la acción</t>
    </r>
    <r>
      <rPr>
        <b/>
        <sz val="9"/>
        <color theme="1"/>
        <rFont val="Tahoma"/>
        <family val="2"/>
      </rPr>
      <t xml:space="preserve"> "Sin Iniciar"</t>
    </r>
    <r>
      <rPr>
        <sz val="9"/>
        <color theme="1"/>
        <rFont val="Tahoma"/>
        <family val="2"/>
      </rPr>
      <t>. Se recomienda al área para el próximo seguimiento reportar el estado de las actividades y la remisión de los soportes correspondientes. Igualmente, se sugiere remitir análisis cualitativo de la gestión del canal durante la anterior administración. Por último, es importante tener en cuenta que dentro de la matriz se programaron cuatro (4) seguimientos los cuales deberán ser evaluados.</t>
    </r>
  </si>
  <si>
    <r>
      <t xml:space="preserve">Reporte T. Humano: </t>
    </r>
    <r>
      <rPr>
        <sz val="9"/>
        <color theme="1"/>
        <rFont val="Tahoma"/>
        <family val="2"/>
      </rPr>
      <t xml:space="preserve">Se realizó una reunión en marzo sobre el tema de inducciones de las personas que ingresan al canal en la planta. Adicional se realizo una revisión del mapa en enero enero de 2020 con planeación.
</t>
    </r>
    <r>
      <rPr>
        <b/>
        <sz val="9"/>
        <color theme="1"/>
        <rFont val="Tahoma"/>
        <family val="2"/>
      </rPr>
      <t xml:space="preserve">Análisis OCI: </t>
    </r>
    <r>
      <rPr>
        <sz val="9"/>
        <color theme="1"/>
        <rFont val="Tahoma"/>
        <family val="2"/>
      </rPr>
      <t xml:space="preserve">Se procede a verificar los soportes evidenciando que no tienen relación a lo establecido en la acción, así como tampoco se evidencia que den cumplimiento a lo formulado en el punto de control del procedimiento AGTH-PD-005 INGRESO DE SERVIDORES PUBLICOS, ya que los soportes se enfocan a la actualización del Plan Anticorrupción y de Atención al Ciudadano y Mapa de Riesgos de Corrupción, así como del ingreso de personal. 
Teniendo en cuenta lo anterior, así como las fechas de ejecución establecidas se califica la acción con alerta </t>
    </r>
    <r>
      <rPr>
        <b/>
        <sz val="9"/>
        <color theme="1"/>
        <rFont val="Tahoma"/>
        <family val="2"/>
      </rPr>
      <t xml:space="preserve">"Sin Iniciar" </t>
    </r>
    <r>
      <rPr>
        <sz val="9"/>
        <color theme="1"/>
        <rFont val="Tahoma"/>
        <family val="2"/>
      </rPr>
      <t xml:space="preserve">y se recomienda al área adelantar las actividades pertinentes para dar cumplimiento a lo formulado.  </t>
    </r>
  </si>
  <si>
    <r>
      <rPr>
        <b/>
        <sz val="9"/>
        <color theme="1"/>
        <rFont val="Tahoma"/>
        <family val="2"/>
      </rPr>
      <t xml:space="preserve">Reporte S. Administrativos: </t>
    </r>
    <r>
      <rPr>
        <sz val="9"/>
        <color theme="1"/>
        <rFont val="Tahoma"/>
        <family val="2"/>
      </rPr>
      <t xml:space="preserve">Se envía estudio de seguridad realizado en la vigencia 2019 toda vez que, se realizo una adición al contrato actual y por esta razón, las condiciones de seguridad de vigilancia siguen siendo las mismas. 
</t>
    </r>
    <r>
      <rPr>
        <b/>
        <sz val="9"/>
        <color theme="1"/>
        <rFont val="Tahoma"/>
        <family val="2"/>
      </rPr>
      <t xml:space="preserve">Análisis OCI: </t>
    </r>
    <r>
      <rPr>
        <sz val="9"/>
        <color theme="1"/>
        <rFont val="Tahoma"/>
        <family val="2"/>
      </rPr>
      <t xml:space="preserve">Teniendo en cuenta el reporte del área, se evidencia el análisis de seguridad y la adición al contrato 462-2019 hasta septiembre de la presente vigencia, por lo que no se remiten soportes adicionales de cumplimiento a lo formulado. 
Teniendo en cuenta lo anterior, así como las fechas de ejecución se califica la acción </t>
    </r>
    <r>
      <rPr>
        <b/>
        <sz val="9"/>
        <color theme="1"/>
        <rFont val="Tahoma"/>
        <family val="2"/>
      </rPr>
      <t>"En Proceso"</t>
    </r>
    <r>
      <rPr>
        <sz val="9"/>
        <color theme="1"/>
        <rFont val="Tahoma"/>
        <family val="2"/>
      </rPr>
      <t xml:space="preserve">. </t>
    </r>
  </si>
  <si>
    <r>
      <t xml:space="preserve">Reporte Sistemas: </t>
    </r>
    <r>
      <rPr>
        <sz val="9"/>
        <color theme="1"/>
        <rFont val="Tahoma"/>
        <family val="2"/>
      </rPr>
      <t>se adelantaron 5 contratos de adquisición de bienes o servicios, sin embargo, se adjuntan 3 anexos técnicos porque los servicios de internet contratados se realizaron por adición de contrato por lo cual no se requirió realizar anexo técnico.</t>
    </r>
    <r>
      <rPr>
        <b/>
        <sz val="9"/>
        <color theme="1"/>
        <rFont val="Tahoma"/>
        <family val="2"/>
      </rPr>
      <t xml:space="preserve">
Análisis OCI: </t>
    </r>
    <r>
      <rPr>
        <sz val="9"/>
        <color theme="1"/>
        <rFont val="Tahoma"/>
        <family val="2"/>
      </rPr>
      <t xml:space="preserve">Se evidencian los Anexos técnicos para la contratación de los mantenimientos, adquisición de equipos e insumos de conformidad con lo formulado, se recomienda colocarle identificación al formato de manera que pueda evidenciarse el titulo y objeto del mismo; Adicionalmente, frente al control establecido para mitigación del riesgo, deben efectuarse las revisiones y modificaciones pertinentes ya que está determinado como una acción y no cuenta con todos los requisitos teniendo en cuenta las directrices de la "Guía para la administración del riesgo y diseño de controles en entidades públicas". 
Teniendo en cuenta lo anterior, así como como las fechas de ejecución se califica </t>
    </r>
    <r>
      <rPr>
        <b/>
        <sz val="9"/>
        <color theme="1"/>
        <rFont val="Tahoma"/>
        <family val="2"/>
      </rPr>
      <t xml:space="preserve">"En Proceso". </t>
    </r>
  </si>
  <si>
    <t>1. CONDICIONES MINIMAS
2. SLA y Anexo Técnico
3. CONDICIONES MINIMAS
4. Estudio de mercado - Cuadro comparativo
5. CONDICIONES MÍNIMAS
6. Estudio de mercado</t>
  </si>
  <si>
    <t>Mapa de Riesgos de Corrupción 2020
Versión 1
Fecha de publicación: 31/01/2020
Seguimiento vigencia 2020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</si>
</sst>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b/>
      <sz val="10"/>
      <color theme="1"/>
      <name val="Tahoma"/>
      <family val="2"/>
    </font>
    <font>
      <sz val="10"/>
      <color theme="1"/>
      <name val="Tahoma"/>
      <family val="2"/>
    </font>
    <font>
      <sz val="9"/>
      <color theme="1"/>
      <name val="Tahoma"/>
      <family val="2"/>
    </font>
    <font>
      <b/>
      <sz val="9"/>
      <color theme="1"/>
      <name val="Tahoma"/>
      <family val="2"/>
    </font>
    <font>
      <b/>
      <sz val="9"/>
      <name val="Tahoma"/>
      <family val="2"/>
    </font>
    <font>
      <b/>
      <sz val="9"/>
      <color theme="0"/>
      <name val="Tahoma"/>
      <family val="2"/>
    </font>
    <font>
      <b/>
      <sz val="10"/>
      <color theme="0"/>
      <name val="Tahoma"/>
      <family val="2"/>
    </font>
    <font>
      <b/>
      <sz val="12"/>
      <color theme="1"/>
      <name val="Tahoma"/>
      <family val="2"/>
    </font>
    <font>
      <i/>
      <sz val="9"/>
      <color theme="1"/>
      <name val="Tahoma"/>
      <family val="2"/>
    </font>
  </fonts>
  <fills count="21">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8" tint="0.59999389629810485"/>
        <bgColor indexed="64"/>
      </patternFill>
    </fill>
  </fills>
  <borders count="6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2" fillId="0" borderId="0"/>
    <xf numFmtId="0" fontId="7" fillId="0" borderId="0"/>
    <xf numFmtId="0" fontId="7" fillId="0" borderId="0"/>
    <xf numFmtId="9" fontId="11" fillId="0" borderId="0" applyFont="0" applyFill="0" applyBorder="0" applyAlignment="0" applyProtection="0"/>
  </cellStyleXfs>
  <cellXfs count="435">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7" fillId="0" borderId="23" xfId="0" applyFont="1" applyFill="1" applyBorder="1" applyAlignment="1">
      <alignment vertical="center" wrapText="1"/>
    </xf>
    <xf numFmtId="0" fontId="7" fillId="0" borderId="5" xfId="0" applyFont="1" applyFill="1" applyBorder="1" applyAlignment="1">
      <alignment vertical="center" wrapText="1"/>
    </xf>
    <xf numFmtId="0" fontId="7" fillId="0" borderId="24" xfId="0" applyFont="1" applyFill="1" applyBorder="1" applyAlignment="1">
      <alignment vertical="center" wrapText="1"/>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0" fillId="0" borderId="27"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16" fillId="0" borderId="7" xfId="0"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2"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6" xfId="0"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44"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57" xfId="0" applyFont="1" applyBorder="1" applyAlignment="1">
      <alignment horizontal="center" vertical="center"/>
    </xf>
    <xf numFmtId="0" fontId="9" fillId="0" borderId="58"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4" xfId="0" applyFont="1" applyBorder="1" applyAlignment="1">
      <alignment horizontal="center" vertical="center"/>
    </xf>
    <xf numFmtId="0" fontId="9" fillId="0" borderId="49" xfId="0" applyFont="1" applyBorder="1" applyAlignment="1">
      <alignment vertical="center"/>
    </xf>
    <xf numFmtId="0" fontId="8" fillId="0" borderId="54" xfId="0" applyFont="1" applyBorder="1"/>
    <xf numFmtId="0" fontId="8" fillId="0" borderId="55" xfId="0" applyFont="1" applyBorder="1"/>
    <xf numFmtId="0" fontId="14" fillId="0" borderId="0" xfId="0" applyFont="1" applyBorder="1" applyAlignment="1">
      <alignmen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0" fillId="0" borderId="31" xfId="0" applyBorder="1"/>
    <xf numFmtId="0" fontId="0" fillId="0" borderId="34" xfId="0" applyBorder="1"/>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9" fillId="0" borderId="0" xfId="0" applyFont="1" applyAlignment="1" applyProtection="1">
      <alignment vertical="center"/>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9" fontId="20" fillId="0" borderId="6" xfId="4" applyFont="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xf>
    <xf numFmtId="0" fontId="20" fillId="0" borderId="0" xfId="0" applyFont="1" applyBorder="1" applyAlignment="1" applyProtection="1">
      <alignment horizontal="left" vertical="center" wrapText="1"/>
      <protection locked="0"/>
    </xf>
    <xf numFmtId="0" fontId="20" fillId="0" borderId="21"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4" xfId="0" applyFont="1" applyBorder="1" applyAlignment="1" applyProtection="1">
      <alignment horizontal="left" vertical="center" wrapText="1"/>
      <protection locked="0"/>
    </xf>
    <xf numFmtId="0" fontId="20" fillId="0" borderId="22"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9" fontId="20" fillId="0" borderId="21" xfId="4" applyFont="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xf>
    <xf numFmtId="10" fontId="20" fillId="0" borderId="21" xfId="4" applyNumberFormat="1"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xf>
    <xf numFmtId="164" fontId="20" fillId="0" borderId="21" xfId="4" applyNumberFormat="1" applyFont="1" applyBorder="1" applyAlignment="1" applyProtection="1">
      <alignment horizontal="center" vertical="center" wrapText="1"/>
      <protection locked="0"/>
    </xf>
    <xf numFmtId="0" fontId="20" fillId="0" borderId="0" xfId="0" applyFont="1" applyProtection="1">
      <protection locked="0"/>
    </xf>
    <xf numFmtId="0" fontId="20" fillId="0" borderId="0" xfId="0" applyFont="1" applyAlignment="1" applyProtection="1">
      <alignment horizontal="center" vertical="center"/>
      <protection locked="0"/>
    </xf>
    <xf numFmtId="0" fontId="20" fillId="0" borderId="0" xfId="0" applyFont="1" applyAlignment="1" applyProtection="1">
      <alignment vertical="center"/>
      <protection locked="0"/>
    </xf>
    <xf numFmtId="14" fontId="20" fillId="0" borderId="0" xfId="0" applyNumberFormat="1" applyFont="1" applyAlignment="1" applyProtection="1">
      <alignment horizontal="center" vertical="center"/>
      <protection locked="0"/>
    </xf>
    <xf numFmtId="0" fontId="21" fillId="9" borderId="11" xfId="0" applyFont="1" applyFill="1" applyBorder="1" applyAlignment="1" applyProtection="1">
      <alignment horizontal="center" vertical="center"/>
      <protection locked="0"/>
    </xf>
    <xf numFmtId="0" fontId="21" fillId="9" borderId="12" xfId="0" applyFont="1" applyFill="1" applyBorder="1" applyAlignment="1" applyProtection="1">
      <alignment horizontal="center" vertical="center"/>
      <protection locked="0"/>
    </xf>
    <xf numFmtId="0" fontId="21" fillId="13" borderId="12"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0" fillId="0" borderId="0" xfId="0" applyFont="1" applyAlignment="1" applyProtection="1">
      <alignment horizontal="center"/>
      <protection locked="0"/>
    </xf>
    <xf numFmtId="14" fontId="20" fillId="0" borderId="14" xfId="0" applyNumberFormat="1" applyFont="1" applyBorder="1" applyAlignment="1" applyProtection="1">
      <alignment horizontal="center" vertical="center" wrapText="1"/>
      <protection locked="0"/>
    </xf>
    <xf numFmtId="0" fontId="21" fillId="15" borderId="12" xfId="0" applyFont="1" applyFill="1" applyBorder="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20" fillId="0" borderId="57" xfId="0" applyFont="1" applyBorder="1" applyAlignment="1" applyProtection="1">
      <alignment horizontal="center" vertical="center" wrapText="1"/>
      <protection locked="0"/>
    </xf>
    <xf numFmtId="0" fontId="25" fillId="0" borderId="34" xfId="0" applyFont="1" applyBorder="1" applyAlignment="1" applyProtection="1">
      <alignment vertical="center"/>
    </xf>
    <xf numFmtId="0" fontId="25" fillId="0" borderId="0" xfId="0" applyFont="1" applyBorder="1" applyAlignment="1" applyProtection="1">
      <alignment vertical="center"/>
    </xf>
    <xf numFmtId="0" fontId="25" fillId="0" borderId="29" xfId="0" applyFont="1" applyBorder="1" applyAlignment="1" applyProtection="1">
      <alignment vertical="center"/>
    </xf>
    <xf numFmtId="9" fontId="18" fillId="0" borderId="0" xfId="4" applyFont="1" applyAlignment="1">
      <alignment horizontal="center" vertical="center"/>
    </xf>
    <xf numFmtId="0" fontId="0" fillId="0" borderId="0" xfId="0" applyAlignment="1">
      <alignment horizontal="left" vertical="top"/>
    </xf>
    <xf numFmtId="0" fontId="19" fillId="0" borderId="0" xfId="0" applyFont="1" applyAlignment="1">
      <alignment horizontal="center" vertical="center"/>
    </xf>
    <xf numFmtId="1" fontId="19" fillId="0" borderId="0" xfId="4" applyNumberFormat="1" applyFont="1" applyAlignment="1">
      <alignment horizontal="center" vertical="center"/>
    </xf>
    <xf numFmtId="0" fontId="20" fillId="0" borderId="4" xfId="0" applyFont="1" applyBorder="1" applyAlignment="1" applyProtection="1">
      <alignment horizontal="center" vertical="center"/>
      <protection locked="0"/>
    </xf>
    <xf numFmtId="9" fontId="20" fillId="0" borderId="0" xfId="4" applyFont="1" applyAlignment="1" applyProtection="1">
      <alignment horizontal="center" vertical="center"/>
      <protection locked="0"/>
    </xf>
    <xf numFmtId="9" fontId="20" fillId="0" borderId="14" xfId="4" applyFont="1" applyBorder="1" applyAlignment="1" applyProtection="1">
      <alignment horizontal="center" vertical="center" wrapText="1"/>
      <protection locked="0"/>
    </xf>
    <xf numFmtId="9" fontId="20" fillId="0" borderId="14" xfId="4" applyFont="1" applyBorder="1" applyAlignment="1" applyProtection="1">
      <alignment horizontal="center" vertical="center" wrapText="1"/>
    </xf>
    <xf numFmtId="0" fontId="20" fillId="0" borderId="14"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xf>
    <xf numFmtId="0" fontId="20" fillId="0" borderId="4" xfId="0" applyFont="1" applyBorder="1" applyAlignment="1" applyProtection="1">
      <alignment vertical="center"/>
      <protection locked="0"/>
    </xf>
    <xf numFmtId="0" fontId="20" fillId="0" borderId="4" xfId="0" applyFont="1" applyBorder="1" applyAlignment="1" applyProtection="1">
      <alignment vertical="center" wrapText="1"/>
      <protection locked="0"/>
    </xf>
    <xf numFmtId="15" fontId="20" fillId="0" borderId="14" xfId="0" applyNumberFormat="1" applyFont="1" applyBorder="1" applyAlignment="1" applyProtection="1">
      <alignment horizontal="center" vertical="center" wrapText="1"/>
      <protection locked="0"/>
    </xf>
    <xf numFmtId="0" fontId="20" fillId="0" borderId="4" xfId="0" applyFont="1" applyBorder="1" applyAlignment="1" applyProtection="1">
      <alignment horizontal="left" vertical="center" wrapText="1"/>
      <protection locked="0"/>
    </xf>
    <xf numFmtId="0" fontId="20" fillId="0" borderId="14" xfId="0" applyFont="1" applyFill="1" applyBorder="1" applyAlignment="1" applyProtection="1">
      <alignment horizontal="justify" vertical="center" wrapText="1"/>
      <protection locked="0"/>
    </xf>
    <xf numFmtId="0" fontId="21" fillId="0" borderId="4" xfId="0" applyFont="1" applyFill="1" applyBorder="1" applyAlignment="1" applyProtection="1">
      <alignment horizontal="justify" vertical="center" wrapText="1"/>
      <protection locked="0"/>
    </xf>
    <xf numFmtId="0" fontId="21" fillId="0" borderId="4" xfId="0" applyFont="1" applyFill="1" applyBorder="1" applyAlignment="1" applyProtection="1">
      <alignment horizontal="justify" vertical="center"/>
      <protection locked="0"/>
    </xf>
    <xf numFmtId="0" fontId="20" fillId="0" borderId="4" xfId="0" applyFont="1" applyFill="1" applyBorder="1" applyAlignment="1" applyProtection="1">
      <alignment horizontal="justify"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1" fillId="15" borderId="61" xfId="0" applyFont="1" applyFill="1" applyBorder="1" applyAlignment="1" applyProtection="1">
      <alignment horizontal="center" vertical="center" wrapText="1"/>
      <protection locked="0"/>
    </xf>
    <xf numFmtId="0" fontId="21" fillId="15" borderId="62" xfId="0" applyFont="1" applyFill="1" applyBorder="1" applyAlignment="1" applyProtection="1">
      <alignment horizontal="center" vertical="center" wrapText="1"/>
      <protection locked="0"/>
    </xf>
    <xf numFmtId="0" fontId="21" fillId="15" borderId="17" xfId="0" applyFont="1" applyFill="1" applyBorder="1" applyAlignment="1" applyProtection="1">
      <alignment horizontal="center" vertical="center" wrapText="1"/>
      <protection locked="0"/>
    </xf>
    <xf numFmtId="0" fontId="21" fillId="15" borderId="40" xfId="0" applyFont="1" applyFill="1" applyBorder="1" applyAlignment="1" applyProtection="1">
      <alignment horizontal="center" vertical="center" wrapText="1"/>
      <protection locked="0"/>
    </xf>
    <xf numFmtId="0" fontId="21" fillId="9" borderId="17" xfId="0" applyFont="1" applyFill="1" applyBorder="1" applyAlignment="1" applyProtection="1">
      <alignment horizontal="center" vertical="center" wrapText="1"/>
      <protection locked="0"/>
    </xf>
    <xf numFmtId="0" fontId="21" fillId="9" borderId="40" xfId="0" applyFont="1" applyFill="1" applyBorder="1" applyAlignment="1" applyProtection="1">
      <alignment horizontal="center" vertical="center"/>
      <protection locked="0"/>
    </xf>
    <xf numFmtId="0" fontId="21" fillId="9" borderId="38" xfId="0" applyFont="1" applyFill="1" applyBorder="1" applyAlignment="1" applyProtection="1">
      <alignment horizontal="center" vertical="center" wrapText="1"/>
      <protection locked="0"/>
    </xf>
    <xf numFmtId="0" fontId="21" fillId="9" borderId="41" xfId="0" applyFont="1" applyFill="1" applyBorder="1" applyAlignment="1" applyProtection="1">
      <alignment horizontal="center" vertical="center" wrapText="1"/>
      <protection locked="0"/>
    </xf>
    <xf numFmtId="0" fontId="21" fillId="9" borderId="17" xfId="0" applyFont="1" applyFill="1" applyBorder="1" applyAlignment="1" applyProtection="1">
      <alignment horizontal="center" vertical="center"/>
      <protection locked="0"/>
    </xf>
    <xf numFmtId="0" fontId="24" fillId="16" borderId="6" xfId="0" applyFont="1" applyFill="1" applyBorder="1" applyAlignment="1" applyProtection="1">
      <alignment horizontal="center" vertical="center"/>
      <protection locked="0"/>
    </xf>
    <xf numFmtId="0" fontId="24" fillId="16" borderId="7" xfId="0" applyFont="1" applyFill="1" applyBorder="1" applyAlignment="1" applyProtection="1">
      <alignment horizontal="center" vertical="center"/>
      <protection locked="0"/>
    </xf>
    <xf numFmtId="0" fontId="24" fillId="16" borderId="8" xfId="0" applyFont="1" applyFill="1" applyBorder="1" applyAlignment="1" applyProtection="1">
      <alignment horizontal="center" vertical="center"/>
      <protection locked="0"/>
    </xf>
    <xf numFmtId="0" fontId="21" fillId="9" borderId="40" xfId="0" applyFont="1" applyFill="1" applyBorder="1" applyAlignment="1" applyProtection="1">
      <alignment horizontal="center" vertical="center" wrapText="1"/>
      <protection locked="0"/>
    </xf>
    <xf numFmtId="0" fontId="21" fillId="12" borderId="17" xfId="0" applyFont="1" applyFill="1" applyBorder="1" applyAlignment="1" applyProtection="1">
      <alignment horizontal="center" vertical="center" wrapText="1"/>
      <protection locked="0"/>
    </xf>
    <xf numFmtId="0" fontId="21" fillId="12" borderId="40" xfId="0" applyFont="1" applyFill="1" applyBorder="1" applyAlignment="1" applyProtection="1">
      <alignment horizontal="center" vertical="center" wrapText="1"/>
      <protection locked="0"/>
    </xf>
    <xf numFmtId="0" fontId="21" fillId="13" borderId="10" xfId="0" applyFont="1" applyFill="1" applyBorder="1" applyAlignment="1" applyProtection="1">
      <alignment horizontal="center" vertical="center" wrapText="1"/>
      <protection locked="0"/>
    </xf>
    <xf numFmtId="0" fontId="21" fillId="13" borderId="13" xfId="0" applyFont="1" applyFill="1" applyBorder="1" applyAlignment="1" applyProtection="1">
      <alignment horizontal="center" vertical="center" wrapText="1"/>
      <protection locked="0"/>
    </xf>
    <xf numFmtId="0" fontId="20" fillId="0" borderId="17" xfId="0" applyFont="1" applyBorder="1" applyAlignment="1" applyProtection="1">
      <alignment horizontal="center" vertical="center" wrapText="1"/>
    </xf>
    <xf numFmtId="0" fontId="20" fillId="0" borderId="36"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5" fillId="0" borderId="63" xfId="0" applyFont="1" applyBorder="1" applyAlignment="1" applyProtection="1">
      <alignment horizontal="center" vertical="center"/>
    </xf>
    <xf numFmtId="0" fontId="25" fillId="0" borderId="64" xfId="0" applyFont="1" applyBorder="1" applyAlignment="1" applyProtection="1">
      <alignment horizontal="center" vertical="center"/>
    </xf>
    <xf numFmtId="0" fontId="25" fillId="0" borderId="65" xfId="0" applyFont="1" applyBorder="1" applyAlignment="1" applyProtection="1">
      <alignment horizontal="center" vertical="center"/>
    </xf>
    <xf numFmtId="0" fontId="18" fillId="11" borderId="6" xfId="0" applyFont="1" applyFill="1" applyBorder="1" applyAlignment="1" applyProtection="1">
      <alignment horizontal="center" vertical="center"/>
      <protection locked="0"/>
    </xf>
    <xf numFmtId="0" fontId="18" fillId="11" borderId="7" xfId="0" applyFont="1" applyFill="1" applyBorder="1" applyAlignment="1" applyProtection="1">
      <alignment horizontal="center" vertical="center"/>
      <protection locked="0"/>
    </xf>
    <xf numFmtId="0" fontId="18" fillId="11" borderId="8" xfId="0" applyFont="1" applyFill="1" applyBorder="1" applyAlignment="1" applyProtection="1">
      <alignment horizontal="center" vertical="center"/>
      <protection locked="0"/>
    </xf>
    <xf numFmtId="0" fontId="18" fillId="18" borderId="6" xfId="0" applyFont="1" applyFill="1" applyBorder="1" applyAlignment="1" applyProtection="1">
      <alignment horizontal="center" vertical="center"/>
      <protection locked="0"/>
    </xf>
    <xf numFmtId="0" fontId="18" fillId="18" borderId="7" xfId="0" applyFont="1" applyFill="1" applyBorder="1" applyAlignment="1" applyProtection="1">
      <alignment horizontal="center" vertical="center"/>
      <protection locked="0"/>
    </xf>
    <xf numFmtId="0" fontId="18" fillId="18" borderId="8" xfId="0" applyFont="1" applyFill="1" applyBorder="1" applyAlignment="1" applyProtection="1">
      <alignment horizontal="center" vertical="center"/>
      <protection locked="0"/>
    </xf>
    <xf numFmtId="0" fontId="21" fillId="13" borderId="14" xfId="0" applyFont="1" applyFill="1" applyBorder="1" applyAlignment="1" applyProtection="1">
      <alignment horizontal="center" vertical="center" wrapText="1"/>
      <protection locked="0"/>
    </xf>
    <xf numFmtId="0" fontId="21" fillId="13" borderId="12" xfId="0" applyFont="1" applyFill="1" applyBorder="1" applyAlignment="1" applyProtection="1">
      <alignment horizontal="center" vertical="center" wrapText="1"/>
      <protection locked="0"/>
    </xf>
    <xf numFmtId="0" fontId="21" fillId="12" borderId="10" xfId="0" applyFont="1" applyFill="1" applyBorder="1" applyAlignment="1" applyProtection="1">
      <alignment horizontal="center" vertical="center" wrapText="1"/>
      <protection locked="0"/>
    </xf>
    <xf numFmtId="0" fontId="21" fillId="12" borderId="13" xfId="0" applyFont="1" applyFill="1" applyBorder="1" applyAlignment="1" applyProtection="1">
      <alignment horizontal="center" vertical="center" wrapText="1"/>
      <protection locked="0"/>
    </xf>
    <xf numFmtId="0" fontId="21" fillId="12" borderId="37" xfId="0" applyFont="1" applyFill="1" applyBorder="1" applyAlignment="1" applyProtection="1">
      <alignment horizontal="center" vertical="center" wrapText="1"/>
      <protection locked="0"/>
    </xf>
    <xf numFmtId="0" fontId="21" fillId="12" borderId="42" xfId="0" applyFont="1" applyFill="1" applyBorder="1" applyAlignment="1" applyProtection="1">
      <alignment horizontal="center" vertical="center" wrapText="1"/>
      <protection locked="0"/>
    </xf>
    <xf numFmtId="0" fontId="21" fillId="10" borderId="4" xfId="0" applyFont="1" applyFill="1" applyBorder="1" applyAlignment="1" applyProtection="1">
      <alignment horizontal="center" vertical="center" wrapText="1"/>
      <protection locked="0"/>
    </xf>
    <xf numFmtId="0" fontId="21" fillId="10" borderId="12" xfId="0" applyFont="1" applyFill="1" applyBorder="1" applyAlignment="1" applyProtection="1">
      <alignment horizontal="center" vertical="center" wrapText="1"/>
      <protection locked="0"/>
    </xf>
    <xf numFmtId="0" fontId="21" fillId="10" borderId="21" xfId="0" applyFont="1" applyFill="1" applyBorder="1" applyAlignment="1" applyProtection="1">
      <alignment horizontal="center" vertical="center" wrapText="1"/>
      <protection locked="0"/>
    </xf>
    <xf numFmtId="0" fontId="21" fillId="10" borderId="11" xfId="0" applyFont="1" applyFill="1" applyBorder="1" applyAlignment="1" applyProtection="1">
      <alignment horizontal="center" vertical="center" wrapText="1"/>
      <protection locked="0"/>
    </xf>
    <xf numFmtId="0" fontId="24" fillId="17" borderId="6" xfId="0" applyFont="1" applyFill="1" applyBorder="1" applyAlignment="1" applyProtection="1">
      <alignment horizontal="center" vertical="center"/>
      <protection locked="0"/>
    </xf>
    <xf numFmtId="0" fontId="24" fillId="17" borderId="7" xfId="0" applyFont="1" applyFill="1" applyBorder="1" applyAlignment="1" applyProtection="1">
      <alignment horizontal="center" vertical="center"/>
      <protection locked="0"/>
    </xf>
    <xf numFmtId="0" fontId="24" fillId="17" borderId="8" xfId="0" applyFont="1" applyFill="1" applyBorder="1" applyAlignment="1" applyProtection="1">
      <alignment horizontal="center" vertical="center"/>
      <protection locked="0"/>
    </xf>
    <xf numFmtId="0" fontId="21" fillId="10" borderId="10" xfId="0" applyFont="1" applyFill="1" applyBorder="1" applyAlignment="1" applyProtection="1">
      <alignment horizontal="center" vertical="center" wrapText="1"/>
      <protection locked="0"/>
    </xf>
    <xf numFmtId="0" fontId="21" fillId="10" borderId="13" xfId="0" applyFont="1" applyFill="1" applyBorder="1" applyAlignment="1" applyProtection="1">
      <alignment horizontal="center" vertical="center" wrapText="1"/>
      <protection locked="0"/>
    </xf>
    <xf numFmtId="0" fontId="21" fillId="10" borderId="17" xfId="0" applyFont="1" applyFill="1" applyBorder="1" applyAlignment="1" applyProtection="1">
      <alignment horizontal="center" vertical="center" wrapText="1"/>
      <protection locked="0"/>
    </xf>
    <xf numFmtId="0" fontId="21" fillId="10" borderId="40" xfId="0" applyFont="1" applyFill="1" applyBorder="1" applyAlignment="1" applyProtection="1">
      <alignment horizontal="center" vertical="center" wrapText="1"/>
      <protection locked="0"/>
    </xf>
    <xf numFmtId="0" fontId="21" fillId="10" borderId="17" xfId="0" applyFont="1" applyFill="1" applyBorder="1" applyAlignment="1" applyProtection="1">
      <alignment horizontal="center" vertical="center" textRotation="90" wrapText="1"/>
      <protection locked="0"/>
    </xf>
    <xf numFmtId="0" fontId="21" fillId="10" borderId="40" xfId="0" applyFont="1" applyFill="1" applyBorder="1" applyAlignment="1" applyProtection="1">
      <alignment horizontal="center" vertical="center" textRotation="90" wrapText="1"/>
      <protection locked="0"/>
    </xf>
    <xf numFmtId="0" fontId="21" fillId="13" borderId="4" xfId="0" applyFont="1" applyFill="1" applyBorder="1" applyAlignment="1" applyProtection="1">
      <alignment horizontal="center" vertical="center" wrapText="1"/>
      <protection locked="0"/>
    </xf>
    <xf numFmtId="0" fontId="20" fillId="0" borderId="38" xfId="0" applyFont="1" applyBorder="1" applyAlignment="1" applyProtection="1">
      <alignment horizontal="center" vertical="center" wrapText="1"/>
    </xf>
    <xf numFmtId="0" fontId="20" fillId="0" borderId="60"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36" xfId="0" applyFont="1" applyFill="1" applyBorder="1" applyAlignment="1" applyProtection="1">
      <alignment horizontal="center" vertical="center" wrapText="1"/>
    </xf>
    <xf numFmtId="0" fontId="20" fillId="0" borderId="14"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38"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164" fontId="20" fillId="0" borderId="17" xfId="4" applyNumberFormat="1" applyFont="1" applyBorder="1" applyAlignment="1" applyProtection="1">
      <alignment horizontal="center" vertical="center" wrapText="1"/>
    </xf>
    <xf numFmtId="164" fontId="20" fillId="0" borderId="14" xfId="4" applyNumberFormat="1" applyFont="1" applyBorder="1" applyAlignment="1" applyProtection="1">
      <alignment horizontal="center" vertical="center" wrapText="1"/>
    </xf>
    <xf numFmtId="0" fontId="20" fillId="0" borderId="17"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37"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2" fillId="0" borderId="60" xfId="0" applyFont="1" applyFill="1" applyBorder="1" applyAlignment="1" applyProtection="1">
      <alignment horizontal="center" vertical="center" wrapText="1"/>
    </xf>
    <xf numFmtId="164" fontId="20" fillId="0" borderId="36" xfId="4" applyNumberFormat="1" applyFont="1" applyBorder="1" applyAlignment="1" applyProtection="1">
      <alignment horizontal="center" vertical="center" wrapText="1"/>
    </xf>
    <xf numFmtId="0" fontId="20" fillId="0" borderId="59" xfId="0" applyFont="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17"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2" fillId="0" borderId="36" xfId="0" applyFont="1" applyFill="1" applyBorder="1" applyAlignment="1" applyProtection="1">
      <alignment horizontal="center" vertical="center" wrapText="1"/>
    </xf>
    <xf numFmtId="0" fontId="23" fillId="19" borderId="27" xfId="0" applyFont="1" applyFill="1" applyBorder="1" applyAlignment="1">
      <alignment horizontal="center" vertical="center"/>
    </xf>
    <xf numFmtId="0" fontId="23" fillId="19" borderId="35" xfId="0" applyFont="1" applyFill="1" applyBorder="1" applyAlignment="1">
      <alignment horizontal="center" vertical="center"/>
    </xf>
    <xf numFmtId="0" fontId="23" fillId="19" borderId="28" xfId="0" applyFont="1" applyFill="1" applyBorder="1" applyAlignment="1">
      <alignment horizontal="center" vertical="center"/>
    </xf>
    <xf numFmtId="14" fontId="21" fillId="20" borderId="21" xfId="0" applyNumberFormat="1" applyFont="1" applyFill="1" applyBorder="1" applyAlignment="1">
      <alignment horizontal="center" vertical="center" wrapText="1"/>
    </xf>
    <xf numFmtId="14" fontId="21" fillId="20" borderId="11" xfId="0" applyNumberFormat="1" applyFont="1" applyFill="1" applyBorder="1" applyAlignment="1">
      <alignment horizontal="center" vertical="center" wrapText="1"/>
    </xf>
    <xf numFmtId="0" fontId="21" fillId="20" borderId="14" xfId="0" applyFont="1" applyFill="1" applyBorder="1" applyAlignment="1">
      <alignment horizontal="center" vertical="center" wrapText="1"/>
    </xf>
    <xf numFmtId="0" fontId="21" fillId="20" borderId="12" xfId="0" applyFont="1" applyFill="1" applyBorder="1" applyAlignment="1">
      <alignment horizontal="center" vertical="center" wrapText="1"/>
    </xf>
    <xf numFmtId="9" fontId="21" fillId="20" borderId="14" xfId="4" applyFont="1" applyFill="1" applyBorder="1" applyAlignment="1">
      <alignment horizontal="center" vertical="center" wrapText="1"/>
    </xf>
    <xf numFmtId="9" fontId="21" fillId="20" borderId="12" xfId="4" applyFont="1" applyFill="1" applyBorder="1" applyAlignment="1">
      <alignment horizontal="center" vertical="center" wrapText="1"/>
    </xf>
    <xf numFmtId="0" fontId="21" fillId="20" borderId="22" xfId="0" applyFont="1" applyFill="1" applyBorder="1" applyAlignment="1">
      <alignment horizontal="center" vertical="center" wrapText="1"/>
    </xf>
    <xf numFmtId="0" fontId="21" fillId="20" borderId="13" xfId="0" applyFont="1" applyFill="1" applyBorder="1" applyAlignment="1">
      <alignment horizontal="center" vertical="center" wrapText="1"/>
    </xf>
    <xf numFmtId="0" fontId="25" fillId="0" borderId="31" xfId="0" applyFont="1" applyBorder="1" applyAlignment="1" applyProtection="1">
      <alignment horizontal="center" vertical="center" wrapText="1"/>
    </xf>
    <xf numFmtId="0" fontId="25" fillId="0" borderId="34" xfId="0" applyFont="1" applyBorder="1" applyAlignment="1" applyProtection="1">
      <alignment horizontal="center" vertical="center" wrapText="1"/>
    </xf>
    <xf numFmtId="0" fontId="25" fillId="0" borderId="54"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33" xfId="0" applyFont="1" applyBorder="1" applyAlignment="1" applyProtection="1">
      <alignment horizontal="center" vertical="center" wrapText="1"/>
    </xf>
    <xf numFmtId="0" fontId="25" fillId="0" borderId="29" xfId="0" applyFont="1" applyBorder="1" applyAlignment="1" applyProtection="1">
      <alignment horizontal="center" vertical="center" wrapText="1"/>
    </xf>
    <xf numFmtId="0" fontId="20" fillId="0" borderId="63"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20" fillId="0" borderId="65" xfId="0" applyFont="1" applyBorder="1" applyAlignment="1" applyProtection="1">
      <alignment horizontal="center" vertical="center"/>
      <protection locked="0"/>
    </xf>
    <xf numFmtId="0" fontId="25" fillId="0" borderId="3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25" fillId="0" borderId="30" xfId="0" applyFont="1" applyBorder="1" applyAlignment="1" applyProtection="1">
      <alignment horizontal="center" vertical="center" wrapText="1"/>
    </xf>
    <xf numFmtId="0" fontId="25" fillId="0" borderId="31" xfId="0" applyFont="1" applyBorder="1" applyAlignment="1" applyProtection="1">
      <alignment horizontal="center" vertical="center"/>
    </xf>
    <xf numFmtId="0" fontId="25" fillId="0" borderId="34" xfId="0" applyFont="1" applyBorder="1" applyAlignment="1" applyProtection="1">
      <alignment horizontal="center" vertical="center"/>
    </xf>
    <xf numFmtId="0" fontId="25" fillId="0" borderId="32" xfId="0" applyFont="1" applyBorder="1" applyAlignment="1" applyProtection="1">
      <alignment horizontal="center" vertical="center"/>
    </xf>
    <xf numFmtId="0" fontId="25" fillId="0" borderId="54"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55" xfId="0" applyFont="1" applyBorder="1" applyAlignment="1" applyProtection="1">
      <alignment horizontal="center" vertical="center"/>
    </xf>
    <xf numFmtId="0" fontId="25" fillId="0" borderId="33" xfId="0" applyFont="1" applyBorder="1" applyAlignment="1" applyProtection="1">
      <alignment horizontal="center" vertical="center"/>
    </xf>
    <xf numFmtId="0" fontId="25" fillId="0" borderId="29" xfId="0" applyFont="1" applyBorder="1" applyAlignment="1" applyProtection="1">
      <alignment horizontal="center" vertical="center"/>
    </xf>
    <xf numFmtId="0" fontId="25" fillId="0" borderId="30" xfId="0" applyFont="1" applyBorder="1" applyAlignment="1" applyProtection="1">
      <alignment horizontal="center" vertical="center"/>
    </xf>
    <xf numFmtId="0" fontId="21" fillId="13" borderId="21" xfId="0" applyFont="1" applyFill="1" applyBorder="1" applyAlignment="1" applyProtection="1">
      <alignment horizontal="center" vertical="center" wrapText="1"/>
      <protection locked="0"/>
    </xf>
    <xf numFmtId="0" fontId="21" fillId="13" borderId="11" xfId="0" applyFont="1" applyFill="1" applyBorder="1" applyAlignment="1" applyProtection="1">
      <alignment horizontal="center" vertical="center" wrapText="1"/>
      <protection locked="0"/>
    </xf>
    <xf numFmtId="0" fontId="21" fillId="13" borderId="36" xfId="0" applyFont="1" applyFill="1" applyBorder="1" applyAlignment="1" applyProtection="1">
      <alignment horizontal="center" vertical="center" textRotation="90" wrapText="1"/>
      <protection locked="0"/>
    </xf>
    <xf numFmtId="0" fontId="21" fillId="13" borderId="40" xfId="0" applyFont="1" applyFill="1" applyBorder="1" applyAlignment="1" applyProtection="1">
      <alignment horizontal="center" vertical="center" textRotation="90" wrapText="1"/>
      <protection locked="0"/>
    </xf>
    <xf numFmtId="0" fontId="18" fillId="14" borderId="43" xfId="0" applyFont="1" applyFill="1" applyBorder="1" applyAlignment="1" applyProtection="1">
      <alignment horizontal="center" vertical="center"/>
      <protection locked="0"/>
    </xf>
    <xf numFmtId="0" fontId="18" fillId="14" borderId="39" xfId="0" applyFont="1" applyFill="1" applyBorder="1" applyAlignment="1" applyProtection="1">
      <alignment horizontal="center" vertical="center"/>
      <protection locked="0"/>
    </xf>
    <xf numFmtId="0" fontId="21" fillId="15" borderId="9" xfId="0" applyFont="1" applyFill="1" applyBorder="1" applyAlignment="1" applyProtection="1">
      <alignment horizontal="center" vertical="center" wrapText="1"/>
      <protection locked="0"/>
    </xf>
    <xf numFmtId="0" fontId="21" fillId="15" borderId="11" xfId="0" applyFont="1" applyFill="1" applyBorder="1" applyAlignment="1" applyProtection="1">
      <alignment horizontal="center" vertical="center" wrapText="1"/>
      <protection locked="0"/>
    </xf>
    <xf numFmtId="0" fontId="21" fillId="15" borderId="5" xfId="0" applyFont="1" applyFill="1" applyBorder="1" applyAlignment="1" applyProtection="1">
      <alignment horizontal="center" vertical="center" wrapText="1"/>
      <protection locked="0"/>
    </xf>
    <xf numFmtId="0" fontId="21" fillId="15" borderId="24" xfId="0" applyFont="1" applyFill="1" applyBorder="1" applyAlignment="1" applyProtection="1">
      <alignment horizontal="center" vertical="center" wrapText="1"/>
      <protection locked="0"/>
    </xf>
    <xf numFmtId="0" fontId="21" fillId="9" borderId="9" xfId="0" applyFont="1" applyFill="1" applyBorder="1" applyAlignment="1" applyProtection="1">
      <alignment horizontal="center" vertical="center" wrapText="1"/>
      <protection locked="0"/>
    </xf>
    <xf numFmtId="0" fontId="21" fillId="9" borderId="4" xfId="0" applyFont="1" applyFill="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0" fontId="12" fillId="0" borderId="28" xfId="0" applyFont="1" applyBorder="1" applyAlignment="1">
      <alignment horizontal="center" vertical="center"/>
    </xf>
    <xf numFmtId="0" fontId="14" fillId="0" borderId="27" xfId="0" applyFont="1" applyBorder="1" applyAlignment="1">
      <alignment horizontal="left" vertical="center"/>
    </xf>
    <xf numFmtId="0" fontId="14" fillId="0" borderId="35" xfId="0" applyFont="1" applyBorder="1" applyAlignment="1">
      <alignment horizontal="left" vertical="center"/>
    </xf>
    <xf numFmtId="0" fontId="14" fillId="0" borderId="28" xfId="0" applyFont="1" applyBorder="1" applyAlignment="1">
      <alignment horizontal="left" vertical="center"/>
    </xf>
    <xf numFmtId="0" fontId="10" fillId="0" borderId="27"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2" fillId="0" borderId="54" xfId="0" applyFont="1" applyBorder="1" applyAlignment="1">
      <alignment horizontal="center" vertical="center"/>
    </xf>
    <xf numFmtId="0" fontId="12" fillId="0" borderId="0" xfId="0" applyFont="1" applyBorder="1" applyAlignment="1">
      <alignment horizontal="center" vertical="center"/>
    </xf>
    <xf numFmtId="0" fontId="12" fillId="0" borderId="55"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8" fillId="0" borderId="52" xfId="0" applyFont="1" applyBorder="1" applyAlignment="1">
      <alignment horizontal="left" vertical="center" wrapText="1"/>
    </xf>
    <xf numFmtId="0" fontId="8" fillId="0" borderId="15" xfId="0" applyFont="1" applyBorder="1" applyAlignment="1">
      <alignment horizontal="left" vertical="center" wrapText="1"/>
    </xf>
    <xf numFmtId="0" fontId="8" fillId="0" borderId="53"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23" xfId="0" applyFont="1" applyBorder="1" applyAlignment="1">
      <alignment horizontal="center" vertical="center"/>
    </xf>
    <xf numFmtId="0" fontId="10" fillId="0" borderId="12" xfId="0" applyFont="1" applyBorder="1" applyAlignment="1">
      <alignment horizontal="center" vertical="center"/>
    </xf>
    <xf numFmtId="0" fontId="10" fillId="0" borderId="24" xfId="0" applyFont="1" applyBorder="1" applyAlignment="1">
      <alignment horizontal="center" vertical="center"/>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56" xfId="0" applyFont="1" applyBorder="1" applyAlignment="1">
      <alignment horizontal="left" vertical="center" wrapText="1"/>
    </xf>
    <xf numFmtId="0" fontId="8" fillId="0" borderId="31" xfId="0" applyFont="1" applyBorder="1" applyAlignment="1">
      <alignment horizontal="left" vertical="center" wrapText="1"/>
    </xf>
    <xf numFmtId="0" fontId="8" fillId="0" borderId="34" xfId="0" applyFont="1" applyBorder="1" applyAlignment="1">
      <alignment horizontal="left" vertical="center" wrapText="1"/>
    </xf>
    <xf numFmtId="0" fontId="8" fillId="0" borderId="32" xfId="0" applyFont="1" applyBorder="1" applyAlignment="1">
      <alignment horizontal="left" vertical="center" wrapText="1"/>
    </xf>
    <xf numFmtId="0" fontId="8" fillId="0" borderId="50" xfId="0" applyFont="1" applyBorder="1" applyAlignment="1">
      <alignment horizontal="left" vertical="center" wrapText="1"/>
    </xf>
    <xf numFmtId="0" fontId="8" fillId="0" borderId="1" xfId="0" applyFont="1" applyBorder="1" applyAlignment="1">
      <alignment horizontal="left" vertical="center" wrapText="1"/>
    </xf>
    <xf numFmtId="0" fontId="8" fillId="0" borderId="51"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21" xfId="0" applyFont="1" applyBorder="1" applyAlignment="1">
      <alignment horizontal="center"/>
    </xf>
    <xf numFmtId="0" fontId="12" fillId="0" borderId="22" xfId="0" applyFont="1" applyBorder="1" applyAlignment="1">
      <alignment horizont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0" fillId="0" borderId="31"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8" fillId="0" borderId="52" xfId="0" applyFont="1" applyBorder="1" applyAlignment="1">
      <alignment vertical="center" wrapText="1"/>
    </xf>
    <xf numFmtId="0" fontId="8" fillId="0" borderId="15" xfId="0" applyFont="1" applyBorder="1" applyAlignment="1">
      <alignment vertical="center" wrapText="1"/>
    </xf>
    <xf numFmtId="0" fontId="8" fillId="0" borderId="53" xfId="0" applyFont="1" applyBorder="1" applyAlignment="1">
      <alignment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31" xfId="0" applyFont="1" applyBorder="1" applyAlignment="1">
      <alignment vertical="center" wrapText="1"/>
    </xf>
    <xf numFmtId="0" fontId="8" fillId="0" borderId="34" xfId="0" applyFont="1" applyBorder="1" applyAlignment="1">
      <alignment vertical="center" wrapText="1"/>
    </xf>
    <xf numFmtId="0" fontId="8" fillId="0" borderId="32" xfId="0" applyFont="1" applyBorder="1" applyAlignment="1">
      <alignment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9"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5" fillId="0" borderId="54" xfId="0" applyFont="1" applyBorder="1" applyAlignment="1">
      <alignment horizontal="center" vertical="center" wrapText="1"/>
    </xf>
    <xf numFmtId="0" fontId="15" fillId="0" borderId="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2" fillId="0" borderId="6" xfId="0" applyFont="1" applyBorder="1" applyAlignment="1">
      <alignment horizontal="center"/>
    </xf>
    <xf numFmtId="0" fontId="12" fillId="0" borderId="8" xfId="0" applyFont="1" applyBorder="1" applyAlignment="1">
      <alignment horizontal="center"/>
    </xf>
    <xf numFmtId="0" fontId="15" fillId="0" borderId="4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8" fillId="0" borderId="0" xfId="0" applyFont="1" applyBorder="1" applyAlignment="1">
      <alignment horizontal="center" vertical="center"/>
    </xf>
    <xf numFmtId="0" fontId="8" fillId="0" borderId="47" xfId="0" applyFont="1" applyBorder="1" applyAlignment="1">
      <alignment vertical="center" wrapText="1"/>
    </xf>
    <xf numFmtId="0" fontId="8" fillId="0" borderId="48" xfId="0" applyFont="1" applyBorder="1" applyAlignment="1">
      <alignment vertical="center" wrapText="1"/>
    </xf>
    <xf numFmtId="0" fontId="8" fillId="0" borderId="56" xfId="0" applyFont="1" applyBorder="1" applyAlignment="1">
      <alignment vertical="center" wrapText="1"/>
    </xf>
    <xf numFmtId="0" fontId="14" fillId="0" borderId="27" xfId="0" applyFont="1" applyBorder="1" applyAlignment="1">
      <alignment horizontal="left" vertical="center" wrapText="1"/>
    </xf>
    <xf numFmtId="0" fontId="14" fillId="0" borderId="35" xfId="0" applyFont="1" applyBorder="1" applyAlignment="1">
      <alignment horizontal="left" vertical="center" wrapText="1"/>
    </xf>
    <xf numFmtId="0" fontId="14" fillId="0" borderId="28" xfId="0" applyFont="1" applyBorder="1" applyAlignment="1">
      <alignment horizontal="left" vertical="center"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Porcentaje" xfId="4" builtinId="5"/>
  </cellStyles>
  <dxfs count="64">
    <dxf>
      <font>
        <b/>
        <i val="0"/>
        <color theme="0"/>
      </font>
      <fill>
        <patternFill>
          <bgColor rgb="FFC00000"/>
        </patternFill>
      </fill>
    </dxf>
    <dxf>
      <font>
        <b/>
        <i val="0"/>
      </font>
      <fill>
        <patternFill>
          <bgColor rgb="FFFFC000"/>
        </patternFill>
      </fill>
    </dxf>
    <dxf>
      <font>
        <b/>
        <i val="0"/>
        <color theme="0"/>
      </font>
      <fill>
        <patternFill>
          <bgColor rgb="FFC00000"/>
        </patternFill>
      </fill>
    </dxf>
    <dxf>
      <font>
        <b/>
        <i val="0"/>
        <color theme="0"/>
      </font>
      <fill>
        <patternFill>
          <bgColor theme="6" tint="-0.499984740745262"/>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1</xdr:row>
      <xdr:rowOff>33618</xdr:rowOff>
    </xdr:from>
    <xdr:to>
      <xdr:col>1</xdr:col>
      <xdr:colOff>717177</xdr:colOff>
      <xdr:row>1</xdr:row>
      <xdr:rowOff>450477</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201706"/>
          <a:ext cx="806824" cy="416859"/>
        </a:xfrm>
        <a:prstGeom prst="rect">
          <a:avLst/>
        </a:prstGeom>
      </xdr:spPr>
    </xdr:pic>
    <xdr:clientData/>
  </xdr:twoCellAnchor>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666752</xdr:colOff>
      <xdr:row>0</xdr:row>
      <xdr:rowOff>52916</xdr:rowOff>
    </xdr:from>
    <xdr:to>
      <xdr:col>1</xdr:col>
      <xdr:colOff>698501</xdr:colOff>
      <xdr:row>3</xdr:row>
      <xdr:rowOff>222250</xdr:rowOff>
    </xdr:to>
    <xdr:pic>
      <xdr:nvPicPr>
        <xdr:cNvPr id="8" name="Imagen 7">
          <a:extLst>
            <a:ext uri="{FF2B5EF4-FFF2-40B4-BE49-F238E27FC236}">
              <a16:creationId xmlns:a16="http://schemas.microsoft.com/office/drawing/2014/main" id="{404A8E09-42B6-482A-8C19-D6BC38700A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2" y="52916"/>
          <a:ext cx="1566332" cy="963084"/>
        </a:xfrm>
        <a:prstGeom prst="rect">
          <a:avLst/>
        </a:prstGeom>
        <a:noFill/>
        <a:ln>
          <a:noFill/>
        </a:ln>
      </xdr:spPr>
    </xdr:pic>
    <xdr:clientData/>
  </xdr:twoCellAnchor>
  <xdr:twoCellAnchor editAs="oneCell">
    <xdr:from>
      <xdr:col>49</xdr:col>
      <xdr:colOff>52917</xdr:colOff>
      <xdr:row>0</xdr:row>
      <xdr:rowOff>105833</xdr:rowOff>
    </xdr:from>
    <xdr:to>
      <xdr:col>49</xdr:col>
      <xdr:colOff>1005417</xdr:colOff>
      <xdr:row>3</xdr:row>
      <xdr:rowOff>158749</xdr:rowOff>
    </xdr:to>
    <xdr:pic>
      <xdr:nvPicPr>
        <xdr:cNvPr id="10" name="2 Imagen" descr="C:\Users\john.garcia\Desktop\2020-01-08.png">
          <a:extLst>
            <a:ext uri="{FF2B5EF4-FFF2-40B4-BE49-F238E27FC236}">
              <a16:creationId xmlns:a16="http://schemas.microsoft.com/office/drawing/2014/main" id="{2BCAD3C5-7DEC-4EB1-9AEB-51B0E1E8DA7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63250" y="105833"/>
          <a:ext cx="952500" cy="846666"/>
        </a:xfrm>
        <a:prstGeom prst="rect">
          <a:avLst/>
        </a:prstGeom>
        <a:noFill/>
        <a:ln>
          <a:noFill/>
        </a:ln>
      </xdr:spPr>
    </xdr:pic>
    <xdr:clientData/>
  </xdr:twoCellAnchor>
  <xdr:twoCellAnchor editAs="oneCell">
    <xdr:from>
      <xdr:col>21</xdr:col>
      <xdr:colOff>71436</xdr:colOff>
      <xdr:row>0</xdr:row>
      <xdr:rowOff>107156</xdr:rowOff>
    </xdr:from>
    <xdr:to>
      <xdr:col>21</xdr:col>
      <xdr:colOff>1023936</xdr:colOff>
      <xdr:row>3</xdr:row>
      <xdr:rowOff>160072</xdr:rowOff>
    </xdr:to>
    <xdr:pic>
      <xdr:nvPicPr>
        <xdr:cNvPr id="11" name="2 Imagen" descr="C:\Users\john.garcia\Desktop\2020-01-08.png">
          <a:extLst>
            <a:ext uri="{FF2B5EF4-FFF2-40B4-BE49-F238E27FC236}">
              <a16:creationId xmlns:a16="http://schemas.microsoft.com/office/drawing/2014/main" id="{F1757443-1348-4500-BF41-E24FF1B3C8B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73561" y="107156"/>
          <a:ext cx="952500" cy="838729"/>
        </a:xfrm>
        <a:prstGeom prst="rect">
          <a:avLst/>
        </a:prstGeom>
        <a:noFill/>
        <a:ln>
          <a:noFill/>
        </a:ln>
      </xdr:spPr>
    </xdr:pic>
    <xdr:clientData/>
  </xdr:twoCellAnchor>
  <xdr:twoCellAnchor editAs="oneCell">
    <xdr:from>
      <xdr:col>22</xdr:col>
      <xdr:colOff>464344</xdr:colOff>
      <xdr:row>0</xdr:row>
      <xdr:rowOff>47625</xdr:rowOff>
    </xdr:from>
    <xdr:to>
      <xdr:col>25</xdr:col>
      <xdr:colOff>329405</xdr:colOff>
      <xdr:row>3</xdr:row>
      <xdr:rowOff>216959</xdr:rowOff>
    </xdr:to>
    <xdr:pic>
      <xdr:nvPicPr>
        <xdr:cNvPr id="12" name="Imagen 11">
          <a:extLst>
            <a:ext uri="{FF2B5EF4-FFF2-40B4-BE49-F238E27FC236}">
              <a16:creationId xmlns:a16="http://schemas.microsoft.com/office/drawing/2014/main" id="{C0AF1855-2E33-446F-8416-E74259452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61844" y="47625"/>
          <a:ext cx="1567655" cy="95514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224118</xdr:colOff>
      <xdr:row>1</xdr:row>
      <xdr:rowOff>33616</xdr:rowOff>
    </xdr:from>
    <xdr:to>
      <xdr:col>16</xdr:col>
      <xdr:colOff>932815</xdr:colOff>
      <xdr:row>1</xdr:row>
      <xdr:rowOff>647773</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3647" y="235322"/>
          <a:ext cx="708697" cy="614157"/>
        </a:xfrm>
        <a:prstGeom prst="rect">
          <a:avLst/>
        </a:prstGeom>
        <a:noFill/>
        <a:ln>
          <a:noFill/>
        </a:ln>
      </xdr:spPr>
    </xdr:pic>
    <xdr:clientData/>
  </xdr:twoCellAnchor>
  <xdr:twoCellAnchor editAs="oneCell">
    <xdr:from>
      <xdr:col>1</xdr:col>
      <xdr:colOff>78444</xdr:colOff>
      <xdr:row>1</xdr:row>
      <xdr:rowOff>44823</xdr:rowOff>
    </xdr:from>
    <xdr:to>
      <xdr:col>1</xdr:col>
      <xdr:colOff>897594</xdr:colOff>
      <xdr:row>1</xdr:row>
      <xdr:rowOff>666488</xdr:rowOff>
    </xdr:to>
    <xdr:pic>
      <xdr:nvPicPr>
        <xdr:cNvPr id="5" name="4 Imagen">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473" y="246529"/>
          <a:ext cx="819150" cy="621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212910</xdr:colOff>
      <xdr:row>1</xdr:row>
      <xdr:rowOff>33618</xdr:rowOff>
    </xdr:from>
    <xdr:to>
      <xdr:col>0</xdr:col>
      <xdr:colOff>1032060</xdr:colOff>
      <xdr:row>1</xdr:row>
      <xdr:rowOff>655283</xdr:rowOff>
    </xdr:to>
    <xdr:pic>
      <xdr:nvPicPr>
        <xdr:cNvPr id="4" name="3 Imagen">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2910" y="168089"/>
          <a:ext cx="819150" cy="621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izeth%20G/Downloads/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F9" sqref="F9"/>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178" t="s">
        <v>185</v>
      </c>
      <c r="B2" s="178"/>
      <c r="C2" s="178"/>
      <c r="D2" s="178"/>
      <c r="E2" s="178"/>
      <c r="F2" s="178"/>
      <c r="G2" s="178"/>
    </row>
    <row r="3" spans="1:8" ht="8.25" customHeight="1" x14ac:dyDescent="0.2"/>
    <row r="4" spans="1:8" ht="13.5" customHeight="1" x14ac:dyDescent="0.2">
      <c r="E4" s="186" t="s">
        <v>70</v>
      </c>
      <c r="F4" s="186"/>
      <c r="G4" s="186"/>
    </row>
    <row r="5" spans="1:8" ht="6" customHeight="1" x14ac:dyDescent="0.2">
      <c r="D5" s="2"/>
      <c r="E5" s="3"/>
      <c r="F5" s="3"/>
      <c r="G5" s="3"/>
      <c r="H5" s="4"/>
    </row>
    <row r="6" spans="1:8" ht="6" customHeight="1" thickBot="1" x14ac:dyDescent="0.25">
      <c r="E6" s="3"/>
      <c r="F6" s="3"/>
      <c r="G6" s="3"/>
    </row>
    <row r="7" spans="1:8" ht="20.25" customHeight="1" x14ac:dyDescent="0.2">
      <c r="A7" s="187" t="s">
        <v>2</v>
      </c>
      <c r="B7" s="5" t="s">
        <v>3</v>
      </c>
      <c r="C7" s="6">
        <v>5</v>
      </c>
      <c r="D7" s="7">
        <v>10</v>
      </c>
      <c r="E7" s="8">
        <v>15</v>
      </c>
      <c r="F7" s="9">
        <v>20</v>
      </c>
      <c r="G7" s="10">
        <v>25</v>
      </c>
    </row>
    <row r="8" spans="1:8" ht="20.25" customHeight="1" x14ac:dyDescent="0.2">
      <c r="A8" s="187"/>
      <c r="B8" s="5" t="s">
        <v>4</v>
      </c>
      <c r="C8" s="6">
        <v>4</v>
      </c>
      <c r="D8" s="7">
        <v>8</v>
      </c>
      <c r="E8" s="11">
        <v>12</v>
      </c>
      <c r="F8" s="12">
        <v>16</v>
      </c>
      <c r="G8" s="13">
        <v>20</v>
      </c>
    </row>
    <row r="9" spans="1:8" ht="20.25" customHeight="1" x14ac:dyDescent="0.2">
      <c r="A9" s="187"/>
      <c r="B9" s="5" t="s">
        <v>5</v>
      </c>
      <c r="C9" s="6">
        <v>3</v>
      </c>
      <c r="D9" s="14">
        <v>6</v>
      </c>
      <c r="E9" s="11">
        <v>9</v>
      </c>
      <c r="F9" s="15">
        <v>12</v>
      </c>
      <c r="G9" s="13">
        <v>15</v>
      </c>
    </row>
    <row r="10" spans="1:8" ht="20.25" customHeight="1" x14ac:dyDescent="0.2">
      <c r="A10" s="187"/>
      <c r="B10" s="5" t="s">
        <v>6</v>
      </c>
      <c r="C10" s="16">
        <v>2</v>
      </c>
      <c r="D10" s="14">
        <v>4</v>
      </c>
      <c r="E10" s="17">
        <v>6</v>
      </c>
      <c r="F10" s="15">
        <v>8</v>
      </c>
      <c r="G10" s="18">
        <v>10</v>
      </c>
    </row>
    <row r="11" spans="1:8" ht="20.25" customHeight="1" thickBot="1" x14ac:dyDescent="0.25">
      <c r="A11" s="187"/>
      <c r="B11" s="5" t="s">
        <v>7</v>
      </c>
      <c r="C11" s="16">
        <v>1</v>
      </c>
      <c r="D11" s="19">
        <v>2</v>
      </c>
      <c r="E11" s="20">
        <v>3</v>
      </c>
      <c r="F11" s="21">
        <v>4</v>
      </c>
      <c r="G11" s="22">
        <v>5</v>
      </c>
    </row>
    <row r="12" spans="1:8" ht="18" customHeight="1" x14ac:dyDescent="0.2">
      <c r="B12" s="188"/>
      <c r="C12" s="5" t="s">
        <v>8</v>
      </c>
      <c r="D12" s="5" t="s">
        <v>9</v>
      </c>
      <c r="E12" s="23" t="s">
        <v>10</v>
      </c>
      <c r="F12" s="23" t="s">
        <v>11</v>
      </c>
      <c r="G12" s="23" t="s">
        <v>12</v>
      </c>
    </row>
    <row r="13" spans="1:8" ht="22.5" customHeight="1" x14ac:dyDescent="0.2">
      <c r="B13" s="188"/>
      <c r="C13" s="189" t="s">
        <v>13</v>
      </c>
      <c r="D13" s="190"/>
      <c r="E13" s="190"/>
      <c r="F13" s="190"/>
      <c r="G13" s="191"/>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183" t="s">
        <v>65</v>
      </c>
      <c r="C16" s="184"/>
      <c r="D16" s="184"/>
      <c r="E16" s="184"/>
      <c r="F16" s="184"/>
      <c r="G16" s="185"/>
    </row>
    <row r="17" spans="1:7" ht="13.5" customHeight="1" x14ac:dyDescent="0.2">
      <c r="A17" s="3"/>
      <c r="B17" s="31" t="s">
        <v>58</v>
      </c>
      <c r="C17" s="32" t="s">
        <v>62</v>
      </c>
      <c r="D17" s="192" t="s">
        <v>66</v>
      </c>
      <c r="E17" s="192"/>
      <c r="F17" s="192"/>
      <c r="G17" s="193"/>
    </row>
    <row r="18" spans="1:7" ht="13.5" customHeight="1" x14ac:dyDescent="0.2">
      <c r="A18" s="3"/>
      <c r="B18" s="33" t="s">
        <v>59</v>
      </c>
      <c r="C18" s="29" t="s">
        <v>36</v>
      </c>
      <c r="D18" s="179" t="s">
        <v>67</v>
      </c>
      <c r="E18" s="179"/>
      <c r="F18" s="179"/>
      <c r="G18" s="180"/>
    </row>
    <row r="19" spans="1:7" ht="13.5" customHeight="1" x14ac:dyDescent="0.2">
      <c r="A19" s="3"/>
      <c r="B19" s="34" t="s">
        <v>60</v>
      </c>
      <c r="C19" s="29" t="s">
        <v>63</v>
      </c>
      <c r="D19" s="179" t="s">
        <v>68</v>
      </c>
      <c r="E19" s="179"/>
      <c r="F19" s="179"/>
      <c r="G19" s="180"/>
    </row>
    <row r="20" spans="1:7" ht="13.5" customHeight="1" thickBot="1" x14ac:dyDescent="0.25">
      <c r="A20" s="3"/>
      <c r="B20" s="35" t="s">
        <v>61</v>
      </c>
      <c r="C20" s="30" t="s">
        <v>64</v>
      </c>
      <c r="D20" s="181" t="s">
        <v>69</v>
      </c>
      <c r="E20" s="181"/>
      <c r="F20" s="181"/>
      <c r="G20" s="182"/>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B33" sqref="B33"/>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hidden="1" x14ac:dyDescent="0.25">
      <c r="A2" s="36" t="s">
        <v>14</v>
      </c>
      <c r="B2" s="36" t="s">
        <v>15</v>
      </c>
      <c r="C2" s="36" t="s">
        <v>56</v>
      </c>
      <c r="D2" s="36" t="s">
        <v>76</v>
      </c>
      <c r="E2" s="36" t="s">
        <v>16</v>
      </c>
      <c r="F2" s="36" t="s">
        <v>13</v>
      </c>
      <c r="G2" s="36" t="s">
        <v>17</v>
      </c>
      <c r="H2" s="36" t="s">
        <v>57</v>
      </c>
      <c r="I2" s="36" t="s">
        <v>92</v>
      </c>
      <c r="J2" s="36" t="s">
        <v>93</v>
      </c>
      <c r="K2" s="36" t="s">
        <v>94</v>
      </c>
      <c r="L2" s="36" t="s">
        <v>95</v>
      </c>
      <c r="M2" s="36" t="s">
        <v>96</v>
      </c>
      <c r="N2" s="36" t="s">
        <v>97</v>
      </c>
      <c r="O2" s="36" t="s">
        <v>98</v>
      </c>
      <c r="P2" s="36" t="s">
        <v>148</v>
      </c>
      <c r="Q2" s="36" t="s">
        <v>147</v>
      </c>
      <c r="R2" s="36" t="s">
        <v>169</v>
      </c>
    </row>
    <row r="3" spans="1:18" hidden="1" x14ac:dyDescent="0.25"/>
    <row r="4" spans="1:18" hidden="1" x14ac:dyDescent="0.25">
      <c r="A4" t="s">
        <v>18</v>
      </c>
      <c r="B4" t="s">
        <v>19</v>
      </c>
      <c r="C4" t="s">
        <v>20</v>
      </c>
      <c r="D4" t="s">
        <v>21</v>
      </c>
      <c r="E4" t="s">
        <v>22</v>
      </c>
      <c r="F4" t="s">
        <v>81</v>
      </c>
      <c r="G4" t="s">
        <v>23</v>
      </c>
      <c r="H4" t="s">
        <v>24</v>
      </c>
      <c r="I4" t="s">
        <v>99</v>
      </c>
      <c r="J4" t="s">
        <v>101</v>
      </c>
      <c r="K4" t="s">
        <v>103</v>
      </c>
      <c r="L4" t="s">
        <v>105</v>
      </c>
      <c r="M4" t="s">
        <v>107</v>
      </c>
      <c r="N4" t="s">
        <v>109</v>
      </c>
      <c r="O4" t="s">
        <v>111</v>
      </c>
      <c r="P4" t="s">
        <v>149</v>
      </c>
      <c r="Q4" t="s">
        <v>157</v>
      </c>
      <c r="R4" t="s">
        <v>157</v>
      </c>
    </row>
    <row r="5" spans="1:18" hidden="1" x14ac:dyDescent="0.25">
      <c r="A5" t="s">
        <v>25</v>
      </c>
      <c r="B5" t="s">
        <v>26</v>
      </c>
      <c r="C5" t="s">
        <v>27</v>
      </c>
      <c r="D5" t="s">
        <v>34</v>
      </c>
      <c r="E5" t="s">
        <v>29</v>
      </c>
      <c r="F5" t="s">
        <v>82</v>
      </c>
      <c r="G5" t="s">
        <v>30</v>
      </c>
      <c r="H5" t="s">
        <v>31</v>
      </c>
      <c r="I5" t="s">
        <v>100</v>
      </c>
      <c r="J5" t="s">
        <v>102</v>
      </c>
      <c r="K5" t="s">
        <v>104</v>
      </c>
      <c r="L5" t="s">
        <v>106</v>
      </c>
      <c r="M5" t="s">
        <v>108</v>
      </c>
      <c r="N5" t="s">
        <v>110</v>
      </c>
      <c r="O5" t="s">
        <v>112</v>
      </c>
      <c r="P5" t="s">
        <v>36</v>
      </c>
      <c r="Q5" t="s">
        <v>158</v>
      </c>
      <c r="R5" t="s">
        <v>159</v>
      </c>
    </row>
    <row r="6" spans="1:18" hidden="1" x14ac:dyDescent="0.25">
      <c r="A6" t="s">
        <v>32</v>
      </c>
      <c r="B6" t="s">
        <v>33</v>
      </c>
      <c r="C6" t="s">
        <v>183</v>
      </c>
      <c r="D6" t="s">
        <v>28</v>
      </c>
      <c r="E6" t="s">
        <v>35</v>
      </c>
      <c r="F6" t="s">
        <v>36</v>
      </c>
      <c r="H6" t="s">
        <v>37</v>
      </c>
      <c r="O6" t="s">
        <v>113</v>
      </c>
      <c r="P6" t="s">
        <v>150</v>
      </c>
      <c r="R6" t="s">
        <v>158</v>
      </c>
    </row>
    <row r="7" spans="1:18" hidden="1" x14ac:dyDescent="0.25">
      <c r="A7" t="s">
        <v>38</v>
      </c>
      <c r="B7" t="s">
        <v>39</v>
      </c>
      <c r="D7" t="s">
        <v>44</v>
      </c>
      <c r="E7" t="s">
        <v>40</v>
      </c>
      <c r="F7" t="s">
        <v>41</v>
      </c>
      <c r="H7" t="s">
        <v>42</v>
      </c>
    </row>
    <row r="8" spans="1:18" hidden="1" x14ac:dyDescent="0.25">
      <c r="B8" t="s">
        <v>43</v>
      </c>
      <c r="D8" t="s">
        <v>72</v>
      </c>
      <c r="E8" t="s">
        <v>45</v>
      </c>
      <c r="F8" t="s">
        <v>46</v>
      </c>
    </row>
    <row r="9" spans="1:18" hidden="1" x14ac:dyDescent="0.25">
      <c r="B9" t="s">
        <v>47</v>
      </c>
      <c r="D9" t="s">
        <v>27</v>
      </c>
    </row>
    <row r="10" spans="1:18" hidden="1" x14ac:dyDescent="0.25">
      <c r="B10" t="s">
        <v>48</v>
      </c>
      <c r="D10" t="s">
        <v>73</v>
      </c>
    </row>
    <row r="11" spans="1:18" hidden="1" x14ac:dyDescent="0.25">
      <c r="B11" t="s">
        <v>49</v>
      </c>
      <c r="D11" t="s">
        <v>74</v>
      </c>
    </row>
    <row r="12" spans="1:18" hidden="1" x14ac:dyDescent="0.25">
      <c r="B12" t="s">
        <v>50</v>
      </c>
      <c r="D12" t="s">
        <v>75</v>
      </c>
    </row>
    <row r="13" spans="1:18" hidden="1" x14ac:dyDescent="0.25">
      <c r="B13" t="s">
        <v>51</v>
      </c>
    </row>
    <row r="14" spans="1:18" hidden="1" x14ac:dyDescent="0.25">
      <c r="B14" t="s">
        <v>52</v>
      </c>
    </row>
    <row r="15" spans="1:18" hidden="1" x14ac:dyDescent="0.25">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32"/>
  <sheetViews>
    <sheetView tabSelected="1" topLeftCell="AT7" zoomScaleNormal="100" zoomScaleSheetLayoutView="90" workbookViewId="0">
      <selection activeCell="AW7" sqref="AW7:AW8"/>
    </sheetView>
  </sheetViews>
  <sheetFormatPr baseColWidth="10" defaultRowHeight="11.25" x14ac:dyDescent="0.15"/>
  <cols>
    <col min="1" max="1" width="23" style="152" bestFit="1" customWidth="1"/>
    <col min="2" max="2" width="22.140625" style="152" customWidth="1"/>
    <col min="3" max="3" width="35.7109375" style="141" hidden="1" customWidth="1"/>
    <col min="4" max="4" width="11.42578125" style="152"/>
    <col min="5" max="5" width="12.28515625" style="152" customWidth="1"/>
    <col min="6" max="6" width="29.42578125" style="152" customWidth="1"/>
    <col min="7" max="7" width="29.42578125" style="152" hidden="1" customWidth="1"/>
    <col min="8" max="8" width="15.7109375" style="152" hidden="1" customWidth="1"/>
    <col min="9" max="9" width="33" style="152" customWidth="1"/>
    <col min="10" max="10" width="25.85546875" style="152" customWidth="1"/>
    <col min="11" max="11" width="15" style="141" customWidth="1"/>
    <col min="12" max="12" width="4.28515625" style="141" hidden="1" customWidth="1"/>
    <col min="13" max="13" width="15" style="141" customWidth="1"/>
    <col min="14" max="14" width="4.28515625" style="141" hidden="1" customWidth="1"/>
    <col min="15" max="15" width="17" style="141" hidden="1" customWidth="1"/>
    <col min="16" max="16" width="17" style="141" customWidth="1"/>
    <col min="17" max="17" width="34.7109375" style="152" customWidth="1"/>
    <col min="18" max="19" width="17.28515625" style="141" hidden="1" customWidth="1"/>
    <col min="20" max="20" width="16" style="141" customWidth="1"/>
    <col min="21" max="21" width="4.28515625" style="141" hidden="1" customWidth="1"/>
    <col min="22" max="22" width="16.42578125" style="141" customWidth="1"/>
    <col min="23" max="23" width="13.5703125" style="141" customWidth="1"/>
    <col min="24" max="24" width="9.140625" style="141" hidden="1" customWidth="1"/>
    <col min="25" max="25" width="12" style="141" customWidth="1"/>
    <col min="26" max="26" width="13.85546875" style="152" customWidth="1"/>
    <col min="27" max="27" width="8.42578125" style="152" hidden="1" customWidth="1"/>
    <col min="28" max="28" width="13.85546875" style="152" customWidth="1"/>
    <col min="29" max="29" width="8.42578125" style="152" hidden="1" customWidth="1"/>
    <col min="30" max="30" width="5.5703125" style="152" hidden="1" customWidth="1"/>
    <col min="31" max="31" width="16" style="152" customWidth="1"/>
    <col min="32" max="32" width="5.5703125" style="141" hidden="1" customWidth="1"/>
    <col min="33" max="33" width="16" style="141" customWidth="1"/>
    <col min="34" max="34" width="15.85546875" style="141" hidden="1" customWidth="1"/>
    <col min="35" max="35" width="13.42578125" style="141" customWidth="1"/>
    <col min="36" max="36" width="21" style="152" customWidth="1"/>
    <col min="37" max="37" width="42.85546875" style="152" customWidth="1"/>
    <col min="38" max="38" width="14.7109375" style="152" customWidth="1"/>
    <col min="39" max="39" width="28.42578125" style="152" customWidth="1"/>
    <col min="40" max="40" width="21.42578125" style="152" customWidth="1"/>
    <col min="41" max="42" width="14.7109375" style="152" customWidth="1"/>
    <col min="43" max="43" width="26.85546875" style="152" customWidth="1"/>
    <col min="44" max="44" width="15.7109375" style="144" customWidth="1"/>
    <col min="45" max="45" width="55.7109375" style="143" customWidth="1"/>
    <col min="46" max="46" width="15.7109375" style="142" customWidth="1"/>
    <col min="47" max="47" width="15.7109375" style="165" customWidth="1"/>
    <col min="48" max="48" width="15.7109375" style="142" customWidth="1"/>
    <col min="49" max="49" width="81.28515625" style="143" customWidth="1"/>
    <col min="50" max="50" width="15.7109375" style="142" customWidth="1"/>
    <col min="51" max="16384" width="11.42578125" style="143"/>
  </cols>
  <sheetData>
    <row r="1" spans="1:50" s="141" customFormat="1" ht="21" customHeight="1" x14ac:dyDescent="0.15">
      <c r="A1" s="284"/>
      <c r="B1" s="285"/>
      <c r="C1" s="157"/>
      <c r="D1" s="284" t="s">
        <v>504</v>
      </c>
      <c r="E1" s="285"/>
      <c r="F1" s="285"/>
      <c r="G1" s="285"/>
      <c r="H1" s="285"/>
      <c r="I1" s="285"/>
      <c r="J1" s="285"/>
      <c r="K1" s="285"/>
      <c r="L1" s="285"/>
      <c r="M1" s="285"/>
      <c r="N1" s="285"/>
      <c r="O1" s="285"/>
      <c r="P1" s="285"/>
      <c r="Q1" s="285"/>
      <c r="R1" s="285"/>
      <c r="S1" s="285"/>
      <c r="T1" s="293"/>
      <c r="U1" s="157"/>
      <c r="V1" s="214"/>
      <c r="W1" s="296"/>
      <c r="X1" s="297"/>
      <c r="Y1" s="297"/>
      <c r="Z1" s="298"/>
      <c r="AA1" s="157"/>
      <c r="AB1" s="285" t="s">
        <v>550</v>
      </c>
      <c r="AC1" s="297"/>
      <c r="AD1" s="297"/>
      <c r="AE1" s="297"/>
      <c r="AF1" s="297"/>
      <c r="AG1" s="297"/>
      <c r="AH1" s="297"/>
      <c r="AI1" s="297"/>
      <c r="AJ1" s="297"/>
      <c r="AK1" s="297"/>
      <c r="AL1" s="297"/>
      <c r="AM1" s="297"/>
      <c r="AN1" s="297"/>
      <c r="AO1" s="297"/>
      <c r="AP1" s="297"/>
      <c r="AQ1" s="297"/>
      <c r="AR1" s="297"/>
      <c r="AS1" s="297"/>
      <c r="AT1" s="297"/>
      <c r="AU1" s="297"/>
      <c r="AV1" s="297"/>
      <c r="AW1" s="298"/>
      <c r="AX1" s="290"/>
    </row>
    <row r="2" spans="1:50" s="141" customFormat="1" ht="21" customHeight="1" x14ac:dyDescent="0.15">
      <c r="A2" s="286"/>
      <c r="B2" s="287"/>
      <c r="C2" s="158"/>
      <c r="D2" s="286"/>
      <c r="E2" s="287"/>
      <c r="F2" s="287"/>
      <c r="G2" s="287"/>
      <c r="H2" s="287"/>
      <c r="I2" s="287"/>
      <c r="J2" s="287"/>
      <c r="K2" s="287"/>
      <c r="L2" s="287"/>
      <c r="M2" s="287"/>
      <c r="N2" s="287"/>
      <c r="O2" s="287"/>
      <c r="P2" s="287"/>
      <c r="Q2" s="287"/>
      <c r="R2" s="287"/>
      <c r="S2" s="287"/>
      <c r="T2" s="294"/>
      <c r="U2" s="158"/>
      <c r="V2" s="215"/>
      <c r="W2" s="299"/>
      <c r="X2" s="300"/>
      <c r="Y2" s="300"/>
      <c r="Z2" s="301"/>
      <c r="AA2" s="158"/>
      <c r="AB2" s="300"/>
      <c r="AC2" s="300"/>
      <c r="AD2" s="300"/>
      <c r="AE2" s="300"/>
      <c r="AF2" s="300"/>
      <c r="AG2" s="300"/>
      <c r="AH2" s="300"/>
      <c r="AI2" s="300"/>
      <c r="AJ2" s="300"/>
      <c r="AK2" s="300"/>
      <c r="AL2" s="300"/>
      <c r="AM2" s="300"/>
      <c r="AN2" s="300"/>
      <c r="AO2" s="300"/>
      <c r="AP2" s="300"/>
      <c r="AQ2" s="300"/>
      <c r="AR2" s="300"/>
      <c r="AS2" s="300"/>
      <c r="AT2" s="300"/>
      <c r="AU2" s="300"/>
      <c r="AV2" s="300"/>
      <c r="AW2" s="301"/>
      <c r="AX2" s="291"/>
    </row>
    <row r="3" spans="1:50" s="141" customFormat="1" ht="21" customHeight="1" x14ac:dyDescent="0.15">
      <c r="A3" s="286"/>
      <c r="B3" s="287"/>
      <c r="C3" s="158"/>
      <c r="D3" s="286"/>
      <c r="E3" s="287"/>
      <c r="F3" s="287"/>
      <c r="G3" s="287"/>
      <c r="H3" s="287"/>
      <c r="I3" s="287"/>
      <c r="J3" s="287"/>
      <c r="K3" s="287"/>
      <c r="L3" s="287"/>
      <c r="M3" s="287"/>
      <c r="N3" s="287"/>
      <c r="O3" s="287"/>
      <c r="P3" s="287"/>
      <c r="Q3" s="287"/>
      <c r="R3" s="287"/>
      <c r="S3" s="287"/>
      <c r="T3" s="294"/>
      <c r="U3" s="158"/>
      <c r="V3" s="215"/>
      <c r="W3" s="299"/>
      <c r="X3" s="300"/>
      <c r="Y3" s="300"/>
      <c r="Z3" s="301"/>
      <c r="AA3" s="158"/>
      <c r="AB3" s="300"/>
      <c r="AC3" s="300"/>
      <c r="AD3" s="300"/>
      <c r="AE3" s="300"/>
      <c r="AF3" s="300"/>
      <c r="AG3" s="300"/>
      <c r="AH3" s="300"/>
      <c r="AI3" s="300"/>
      <c r="AJ3" s="300"/>
      <c r="AK3" s="300"/>
      <c r="AL3" s="300"/>
      <c r="AM3" s="300"/>
      <c r="AN3" s="300"/>
      <c r="AO3" s="300"/>
      <c r="AP3" s="300"/>
      <c r="AQ3" s="300"/>
      <c r="AR3" s="300"/>
      <c r="AS3" s="300"/>
      <c r="AT3" s="300"/>
      <c r="AU3" s="300"/>
      <c r="AV3" s="300"/>
      <c r="AW3" s="301"/>
      <c r="AX3" s="291"/>
    </row>
    <row r="4" spans="1:50" s="141" customFormat="1" ht="36" customHeight="1" thickBot="1" x14ac:dyDescent="0.2">
      <c r="A4" s="288"/>
      <c r="B4" s="289"/>
      <c r="C4" s="159"/>
      <c r="D4" s="288"/>
      <c r="E4" s="289"/>
      <c r="F4" s="289"/>
      <c r="G4" s="289"/>
      <c r="H4" s="289"/>
      <c r="I4" s="289"/>
      <c r="J4" s="289"/>
      <c r="K4" s="289"/>
      <c r="L4" s="289"/>
      <c r="M4" s="289"/>
      <c r="N4" s="289"/>
      <c r="O4" s="289"/>
      <c r="P4" s="289"/>
      <c r="Q4" s="289"/>
      <c r="R4" s="289"/>
      <c r="S4" s="289"/>
      <c r="T4" s="295"/>
      <c r="U4" s="159"/>
      <c r="V4" s="216"/>
      <c r="W4" s="302"/>
      <c r="X4" s="303"/>
      <c r="Y4" s="303"/>
      <c r="Z4" s="304"/>
      <c r="AA4" s="159"/>
      <c r="AB4" s="303"/>
      <c r="AC4" s="303"/>
      <c r="AD4" s="303"/>
      <c r="AE4" s="303"/>
      <c r="AF4" s="303"/>
      <c r="AG4" s="303"/>
      <c r="AH4" s="303"/>
      <c r="AI4" s="303"/>
      <c r="AJ4" s="303"/>
      <c r="AK4" s="303"/>
      <c r="AL4" s="303"/>
      <c r="AM4" s="303"/>
      <c r="AN4" s="303"/>
      <c r="AO4" s="303"/>
      <c r="AP4" s="303"/>
      <c r="AQ4" s="303"/>
      <c r="AR4" s="303"/>
      <c r="AS4" s="303"/>
      <c r="AT4" s="303"/>
      <c r="AU4" s="303"/>
      <c r="AV4" s="303"/>
      <c r="AW4" s="304"/>
      <c r="AX4" s="292"/>
    </row>
    <row r="5" spans="1:50" ht="6.75" customHeight="1" thickBot="1" x14ac:dyDescent="0.3">
      <c r="A5" s="142"/>
      <c r="B5" s="142"/>
      <c r="C5" s="143"/>
      <c r="D5" s="142"/>
      <c r="E5" s="142"/>
      <c r="F5" s="142"/>
      <c r="G5" s="142"/>
      <c r="H5" s="142"/>
      <c r="I5" s="142"/>
      <c r="J5" s="142"/>
      <c r="K5" s="143"/>
      <c r="L5" s="143"/>
      <c r="M5" s="143"/>
      <c r="N5" s="143"/>
      <c r="O5" s="143"/>
      <c r="P5" s="143"/>
      <c r="Q5" s="142"/>
      <c r="R5" s="143"/>
      <c r="S5" s="143"/>
      <c r="T5" s="143"/>
      <c r="U5" s="143"/>
      <c r="V5" s="143"/>
      <c r="W5" s="143"/>
      <c r="X5" s="143"/>
      <c r="Y5" s="143"/>
      <c r="Z5" s="142"/>
      <c r="AA5" s="142"/>
      <c r="AB5" s="142"/>
      <c r="AC5" s="142"/>
      <c r="AD5" s="142"/>
      <c r="AE5" s="142"/>
      <c r="AF5" s="143"/>
      <c r="AG5" s="143"/>
      <c r="AH5" s="143"/>
      <c r="AI5" s="143"/>
      <c r="AJ5" s="142"/>
      <c r="AK5" s="142"/>
      <c r="AL5" s="142"/>
      <c r="AM5" s="142"/>
      <c r="AN5" s="142"/>
      <c r="AO5" s="142"/>
      <c r="AP5" s="142"/>
      <c r="AQ5" s="142"/>
    </row>
    <row r="6" spans="1:50" s="120" customFormat="1" ht="18.75" customHeight="1" thickBot="1" x14ac:dyDescent="0.3">
      <c r="A6" s="203" t="s">
        <v>492</v>
      </c>
      <c r="B6" s="204"/>
      <c r="C6" s="204"/>
      <c r="D6" s="204"/>
      <c r="E6" s="204"/>
      <c r="F6" s="204"/>
      <c r="G6" s="204"/>
      <c r="H6" s="204"/>
      <c r="I6" s="204"/>
      <c r="J6" s="205"/>
      <c r="K6" s="217" t="s">
        <v>77</v>
      </c>
      <c r="L6" s="218"/>
      <c r="M6" s="218"/>
      <c r="N6" s="218"/>
      <c r="O6" s="218"/>
      <c r="P6" s="219"/>
      <c r="Q6" s="233" t="s">
        <v>166</v>
      </c>
      <c r="R6" s="234"/>
      <c r="S6" s="234"/>
      <c r="T6" s="234"/>
      <c r="U6" s="234"/>
      <c r="V6" s="235"/>
      <c r="W6" s="220" t="s">
        <v>153</v>
      </c>
      <c r="X6" s="221"/>
      <c r="Y6" s="221"/>
      <c r="Z6" s="221"/>
      <c r="AA6" s="221"/>
      <c r="AB6" s="221"/>
      <c r="AC6" s="221"/>
      <c r="AD6" s="221"/>
      <c r="AE6" s="221"/>
      <c r="AF6" s="221"/>
      <c r="AG6" s="221"/>
      <c r="AH6" s="221"/>
      <c r="AI6" s="221"/>
      <c r="AJ6" s="222"/>
      <c r="AK6" s="309" t="s">
        <v>493</v>
      </c>
      <c r="AL6" s="310"/>
      <c r="AM6" s="310"/>
      <c r="AN6" s="310"/>
      <c r="AO6" s="310"/>
      <c r="AP6" s="310"/>
      <c r="AQ6" s="310"/>
      <c r="AR6" s="273" t="s">
        <v>497</v>
      </c>
      <c r="AS6" s="274"/>
      <c r="AT6" s="274"/>
      <c r="AU6" s="274"/>
      <c r="AV6" s="274"/>
      <c r="AW6" s="274"/>
      <c r="AX6" s="275"/>
    </row>
    <row r="7" spans="1:50" ht="24" customHeight="1" x14ac:dyDescent="0.25">
      <c r="A7" s="315" t="s">
        <v>484</v>
      </c>
      <c r="B7" s="316"/>
      <c r="C7" s="316"/>
      <c r="D7" s="316"/>
      <c r="E7" s="316"/>
      <c r="F7" s="198" t="s">
        <v>485</v>
      </c>
      <c r="G7" s="198" t="s">
        <v>71</v>
      </c>
      <c r="H7" s="202" t="s">
        <v>180</v>
      </c>
      <c r="I7" s="198" t="s">
        <v>486</v>
      </c>
      <c r="J7" s="200" t="s">
        <v>487</v>
      </c>
      <c r="K7" s="227" t="s">
        <v>488</v>
      </c>
      <c r="L7" s="207" t="s">
        <v>79</v>
      </c>
      <c r="M7" s="207" t="s">
        <v>489</v>
      </c>
      <c r="N7" s="207" t="s">
        <v>80</v>
      </c>
      <c r="O7" s="207" t="s">
        <v>490</v>
      </c>
      <c r="P7" s="225" t="s">
        <v>78</v>
      </c>
      <c r="Q7" s="231" t="s">
        <v>83</v>
      </c>
      <c r="R7" s="229" t="s">
        <v>177</v>
      </c>
      <c r="S7" s="238" t="s">
        <v>160</v>
      </c>
      <c r="T7" s="229" t="s">
        <v>162</v>
      </c>
      <c r="U7" s="240" t="s">
        <v>164</v>
      </c>
      <c r="V7" s="236" t="s">
        <v>151</v>
      </c>
      <c r="W7" s="305" t="s">
        <v>163</v>
      </c>
      <c r="X7" s="307" t="s">
        <v>165</v>
      </c>
      <c r="Y7" s="223" t="s">
        <v>161</v>
      </c>
      <c r="Z7" s="223" t="s">
        <v>155</v>
      </c>
      <c r="AA7" s="307" t="s">
        <v>167</v>
      </c>
      <c r="AB7" s="223" t="s">
        <v>156</v>
      </c>
      <c r="AC7" s="307" t="s">
        <v>168</v>
      </c>
      <c r="AD7" s="223" t="s">
        <v>170</v>
      </c>
      <c r="AE7" s="223"/>
      <c r="AF7" s="223"/>
      <c r="AG7" s="223"/>
      <c r="AH7" s="223"/>
      <c r="AI7" s="242" t="s">
        <v>154</v>
      </c>
      <c r="AJ7" s="209" t="s">
        <v>176</v>
      </c>
      <c r="AK7" s="311" t="s">
        <v>181</v>
      </c>
      <c r="AL7" s="196" t="s">
        <v>496</v>
      </c>
      <c r="AM7" s="196" t="s">
        <v>182</v>
      </c>
      <c r="AN7" s="196" t="s">
        <v>121</v>
      </c>
      <c r="AO7" s="194" t="s">
        <v>179</v>
      </c>
      <c r="AP7" s="195"/>
      <c r="AQ7" s="313" t="s">
        <v>184</v>
      </c>
      <c r="AR7" s="276" t="s">
        <v>498</v>
      </c>
      <c r="AS7" s="278" t="s">
        <v>499</v>
      </c>
      <c r="AT7" s="278" t="s">
        <v>500</v>
      </c>
      <c r="AU7" s="280" t="s">
        <v>501</v>
      </c>
      <c r="AV7" s="278" t="s">
        <v>502</v>
      </c>
      <c r="AW7" s="278" t="s">
        <v>528</v>
      </c>
      <c r="AX7" s="282" t="s">
        <v>503</v>
      </c>
    </row>
    <row r="8" spans="1:50" ht="45.75" thickBot="1" x14ac:dyDescent="0.3">
      <c r="A8" s="145" t="s">
        <v>0</v>
      </c>
      <c r="B8" s="146" t="s">
        <v>1</v>
      </c>
      <c r="C8" s="146" t="s">
        <v>54</v>
      </c>
      <c r="D8" s="146" t="s">
        <v>56</v>
      </c>
      <c r="E8" s="146" t="s">
        <v>55</v>
      </c>
      <c r="F8" s="199"/>
      <c r="G8" s="199"/>
      <c r="H8" s="199"/>
      <c r="I8" s="206"/>
      <c r="J8" s="201"/>
      <c r="K8" s="228"/>
      <c r="L8" s="208"/>
      <c r="M8" s="208"/>
      <c r="N8" s="208"/>
      <c r="O8" s="208"/>
      <c r="P8" s="226"/>
      <c r="Q8" s="232"/>
      <c r="R8" s="230"/>
      <c r="S8" s="239"/>
      <c r="T8" s="230"/>
      <c r="U8" s="241"/>
      <c r="V8" s="237"/>
      <c r="W8" s="306"/>
      <c r="X8" s="308"/>
      <c r="Y8" s="224"/>
      <c r="Z8" s="224"/>
      <c r="AA8" s="308"/>
      <c r="AB8" s="224"/>
      <c r="AC8" s="308"/>
      <c r="AD8" s="147" t="s">
        <v>171</v>
      </c>
      <c r="AE8" s="147" t="s">
        <v>172</v>
      </c>
      <c r="AF8" s="147" t="s">
        <v>173</v>
      </c>
      <c r="AG8" s="147" t="s">
        <v>174</v>
      </c>
      <c r="AH8" s="147" t="s">
        <v>491</v>
      </c>
      <c r="AI8" s="224"/>
      <c r="AJ8" s="210"/>
      <c r="AK8" s="312"/>
      <c r="AL8" s="197"/>
      <c r="AM8" s="197"/>
      <c r="AN8" s="197"/>
      <c r="AO8" s="154" t="s">
        <v>494</v>
      </c>
      <c r="AP8" s="154" t="s">
        <v>495</v>
      </c>
      <c r="AQ8" s="314"/>
      <c r="AR8" s="277"/>
      <c r="AS8" s="279"/>
      <c r="AT8" s="279"/>
      <c r="AU8" s="281"/>
      <c r="AV8" s="279"/>
      <c r="AW8" s="279"/>
      <c r="AX8" s="283"/>
    </row>
    <row r="9" spans="1:50" s="129" customFormat="1" ht="225" x14ac:dyDescent="0.25">
      <c r="A9" s="121" t="s">
        <v>18</v>
      </c>
      <c r="B9" s="122" t="s">
        <v>19</v>
      </c>
      <c r="C9" s="123" t="s">
        <v>186</v>
      </c>
      <c r="D9" s="122" t="s">
        <v>27</v>
      </c>
      <c r="E9" s="122" t="s">
        <v>197</v>
      </c>
      <c r="F9" s="122" t="s">
        <v>209</v>
      </c>
      <c r="G9" s="122" t="s">
        <v>328</v>
      </c>
      <c r="H9" s="122" t="s">
        <v>27</v>
      </c>
      <c r="I9" s="122" t="s">
        <v>329</v>
      </c>
      <c r="J9" s="124" t="s">
        <v>233</v>
      </c>
      <c r="K9" s="121" t="s">
        <v>22</v>
      </c>
      <c r="L9" s="125">
        <f>IF(K9="Rara vez",1,IF(K9="Improbable",2,IF(K9="Posible",3,IF(K9="Probable",4,IF(K9="Casi seguro",5,"")))))</f>
        <v>1</v>
      </c>
      <c r="M9" s="122" t="s">
        <v>41</v>
      </c>
      <c r="N9" s="125">
        <f>IF(M9="Insignificante",1,IF(M9="Menor",2,IF(M9="Moderado",3,IF(M9="Mayor",4,IF(M9="Catastrófico",5,"")))))</f>
        <v>4</v>
      </c>
      <c r="O9" s="125">
        <f>IF(OR(L9="",N9=""),"",L9*N9)</f>
        <v>4</v>
      </c>
      <c r="P9" s="148" t="str">
        <f>IF(O9="","",IF(O9&lt;=2,"BAJA",IF(O9&lt;=6,"MODERADA",IF(O9&lt;=12,"ALTA","EXTREMA"))))</f>
        <v>MODERADA</v>
      </c>
      <c r="Q9" s="121" t="s">
        <v>330</v>
      </c>
      <c r="R9" s="125" t="str">
        <f>'Anexo 2 - Valoración Controles'!$E$19</f>
        <v>Fuerte</v>
      </c>
      <c r="S9" s="122" t="s">
        <v>149</v>
      </c>
      <c r="T9" s="125" t="str">
        <f>IF(OR(R9="",S9=""),"",IF(AND(R9="Fuerte",S9="Fuerte"),"Fuerte",IF(OR(R9="Débil",S9="Débil"),"Débil","Moderado")))</f>
        <v>Fuerte</v>
      </c>
      <c r="U9" s="125">
        <f>IF(T9="","",IF(T9="Fuerte",100,IF(T9="Moderado",50,0)))</f>
        <v>100</v>
      </c>
      <c r="V9" s="126" t="str">
        <f>IF(OR(R9="",S9=""),"",(IF(AND(R9="Fuerte",S9="Fuerte"),"No","Si")))</f>
        <v>No</v>
      </c>
      <c r="W9" s="127">
        <v>1</v>
      </c>
      <c r="X9" s="125">
        <f>IF(U9="","",AVERAGE(U9*W9))</f>
        <v>100</v>
      </c>
      <c r="Y9" s="125" t="str">
        <f>IF(X9="","",IF(X9&lt;50,"Débil",IF(X9&lt;=99,"Moderado","Fuerte")))</f>
        <v>Fuerte</v>
      </c>
      <c r="Z9" s="122" t="s">
        <v>157</v>
      </c>
      <c r="AA9" s="125">
        <f>IF(Z9="","",IF(AND(Y9="Fuerte",Z9="Directamente"),2,IF(AND(Y9="Moderado",Z9="Directamente"),1,0)))</f>
        <v>2</v>
      </c>
      <c r="AB9" s="122" t="s">
        <v>159</v>
      </c>
      <c r="AC9" s="125">
        <f>IF(AB9="","",IF(AND(Y9="Fuerte",AB9="Directamente"),2,IF(AND(Y9="Fuerte",AB9="indirectamente"),1,IF(AND(Y9="Fuerte",AB9="No disminuye"),0,IF(AND(Y9="Moderado",AB9="Directamente"),1,IF(AND(Y9="Moderado",AB9="indirectamente"),0,IF(AND(Y9="Moderado",AB9="No disminuye"),0,0)))))))</f>
        <v>1</v>
      </c>
      <c r="AD9" s="128">
        <f>IF(AA9="","",IF((L9-AA9)&lt;=0,1,L9-AA9))</f>
        <v>1</v>
      </c>
      <c r="AE9" s="128" t="str">
        <f>IF(AD9=1,"Rara vez",IF(AD9=2,"Improbable",IF(AD9=3,"Posible",IF(AD9=4,"Probable",IF(AD9=5,"Casi seguro","")))))</f>
        <v>Rara vez</v>
      </c>
      <c r="AF9" s="128">
        <f>IF(AC9="","",IF(AND(D9="Corrupción",(N9-AC9)&lt;=3),3,IF((N9-AC9)&lt;=1,1,N9-AC9)))</f>
        <v>3</v>
      </c>
      <c r="AG9" s="128" t="str">
        <f>IF(AF9=1,"Insignificante",IF(AF9=2,"Menor",IF(AF9=3,"Moderado",IF(AF9=4,"Mayor",IF(AF9=5,"Catastrófico","")))))</f>
        <v>Moderado</v>
      </c>
      <c r="AH9" s="125">
        <f>IF(OR(AD9="",AF9=""),"",AD9*AF9)</f>
        <v>3</v>
      </c>
      <c r="AI9" s="149" t="str">
        <f>IF(AH9="","",IF(AH9&lt;=2,"BAJA",IF(AH9&lt;=6,"MODERADA",IF(AH9&lt;=12,"ALTA","EXTREMA"))))</f>
        <v>MODERADA</v>
      </c>
      <c r="AJ9" s="126" t="str">
        <f>IF(AI9="","",IF(AI9="Baja","Asumir el Riesgo.",IF(AI9="Moderada","Reducir el Riesgo.",IF(AI9="Alta","Reducir el Riesgo, Evitar, Compartir o Transferir.",IF(AI9="Extrema","Reducir el Riesgo, Evitar o Compartir (Se requiere acción inmediata).","")))))</f>
        <v>Reducir el Riesgo.</v>
      </c>
      <c r="AK9" s="130" t="s">
        <v>331</v>
      </c>
      <c r="AL9" s="155">
        <v>4</v>
      </c>
      <c r="AM9" s="131" t="s">
        <v>257</v>
      </c>
      <c r="AN9" s="131" t="s">
        <v>272</v>
      </c>
      <c r="AO9" s="153">
        <v>43831</v>
      </c>
      <c r="AP9" s="153">
        <v>44227</v>
      </c>
      <c r="AQ9" s="156" t="s">
        <v>332</v>
      </c>
      <c r="AR9" s="172">
        <v>43951</v>
      </c>
      <c r="AS9" s="132" t="s">
        <v>511</v>
      </c>
      <c r="AT9" s="131">
        <v>0</v>
      </c>
      <c r="AU9" s="166">
        <f>IF(AT9="","",IF(OR(AL9=0,AL9="",AR9=""),"",(AT9*100%)/AL9))</f>
        <v>0</v>
      </c>
      <c r="AV9" s="134" t="str">
        <f t="shared" ref="AV9:AV14" si="0">IF(AT9="","",IF(AR9&lt;&gt;AP9,IF(AU9=0%,"SIN INICIAR",IF(AU9=100%,"TERMINADA",IF(AU9&gt;0%,"EN PROCESO",IF(AU9&lt;=0%,"INCUMPLIDA"))))))</f>
        <v>SIN INICIAR</v>
      </c>
      <c r="AW9" s="174" t="s">
        <v>545</v>
      </c>
      <c r="AX9" s="168" t="s">
        <v>526</v>
      </c>
    </row>
    <row r="10" spans="1:50" s="141" customFormat="1" ht="112.5" x14ac:dyDescent="0.15">
      <c r="A10" s="130" t="s">
        <v>25</v>
      </c>
      <c r="B10" s="131" t="s">
        <v>47</v>
      </c>
      <c r="C10" s="132" t="s">
        <v>187</v>
      </c>
      <c r="D10" s="131" t="s">
        <v>27</v>
      </c>
      <c r="E10" s="131" t="s">
        <v>198</v>
      </c>
      <c r="F10" s="131" t="s">
        <v>210</v>
      </c>
      <c r="G10" s="131" t="s">
        <v>333</v>
      </c>
      <c r="H10" s="131" t="s">
        <v>27</v>
      </c>
      <c r="I10" s="131" t="s">
        <v>221</v>
      </c>
      <c r="J10" s="133" t="s">
        <v>234</v>
      </c>
      <c r="K10" s="130" t="s">
        <v>22</v>
      </c>
      <c r="L10" s="134">
        <f t="shared" ref="L10:L27" si="1">IF(K10="Rara vez",1,IF(K10="Improbable",2,IF(K10="Posible",3,IF(K10="Probable",4,IF(K10="Casi seguro",5,"")))))</f>
        <v>1</v>
      </c>
      <c r="M10" s="131" t="s">
        <v>41</v>
      </c>
      <c r="N10" s="134">
        <f t="shared" ref="N10:N27" si="2">IF(M10="Insignificante",1,IF(M10="Menor",2,IF(M10="Moderado",3,IF(M10="Mayor",4,IF(M10="Catastrófico",5,"")))))</f>
        <v>4</v>
      </c>
      <c r="O10" s="134">
        <f t="shared" ref="O10:O27" si="3">IF(OR(L10="",N10=""),"",L10*N10)</f>
        <v>4</v>
      </c>
      <c r="P10" s="150" t="str">
        <f t="shared" ref="P10:P27" si="4">IF(O10="","",IF(O10&lt;=2,"BAJA",IF(O10&lt;=6,"MODERADA",IF(O10&lt;=12,"ALTA","EXTREMA"))))</f>
        <v>MODERADA</v>
      </c>
      <c r="Q10" s="130" t="s">
        <v>246</v>
      </c>
      <c r="R10" s="134" t="str">
        <f>+'Anexo 2 - Valoración Controles'!E105</f>
        <v>Fuerte</v>
      </c>
      <c r="S10" s="131" t="s">
        <v>149</v>
      </c>
      <c r="T10" s="134" t="str">
        <f t="shared" ref="T10:T30" si="5">IF(OR(R10="",S10=""),"",IF(AND(R10="Fuerte",S10="Fuerte"),"Fuerte",IF(OR(R10="Débil",S10="Débil"),"Débil","Moderado")))</f>
        <v>Fuerte</v>
      </c>
      <c r="U10" s="134">
        <f t="shared" ref="U10:U30" si="6">IF(T10="","",IF(T10="Fuerte",100,IF(T10="Moderado",50,0)))</f>
        <v>100</v>
      </c>
      <c r="V10" s="135" t="str">
        <f t="shared" ref="V10:V30" si="7">IF(OR(R10="",S10=""),"",(IF(AND(R10="Fuerte",S10="Fuerte"),"No","Si")))</f>
        <v>No</v>
      </c>
      <c r="W10" s="136">
        <v>1</v>
      </c>
      <c r="X10" s="134">
        <f t="shared" ref="X10:X26" si="8">IF(U10="","",AVERAGE(U10*W10))</f>
        <v>100</v>
      </c>
      <c r="Y10" s="134" t="str">
        <f t="shared" ref="Y10:Y27" si="9">IF(X10="","",IF(X10&lt;50,"Débil",IF(X10&lt;=99,"Moderado","Fuerte")))</f>
        <v>Fuerte</v>
      </c>
      <c r="Z10" s="131" t="s">
        <v>157</v>
      </c>
      <c r="AA10" s="134">
        <f t="shared" ref="AA10:AA27" si="10">IF(Z10="","",IF(AND(Y10="Fuerte",Z10="Directamente"),2,IF(AND(Y10="Moderado",Z10="Directamente"),1,0)))</f>
        <v>2</v>
      </c>
      <c r="AB10" s="131" t="s">
        <v>157</v>
      </c>
      <c r="AC10" s="134">
        <f t="shared" ref="AC10:AC27" si="11">IF(AB10="","",IF(AND(Y10="Fuerte",AB10="Directamente"),2,IF(AND(Y10="Fuerte",AB10="indirectamente"),1,IF(AND(Y10="Fuerte",AB10="No disminuye"),0,IF(AND(Y10="Moderado",AB10="Directamente"),1,IF(AND(Y10="Moderado",AB10="indirectamente"),0,IF(AND(Y10="Moderado",AB10="No disminuye"),0,0)))))))</f>
        <v>2</v>
      </c>
      <c r="AD10" s="137">
        <f t="shared" ref="AD10:AD27" si="12">IF(AA10="","",IF((L10-AA10)&lt;=0,1,L10-AA10))</f>
        <v>1</v>
      </c>
      <c r="AE10" s="137" t="str">
        <f t="shared" ref="AE10:AE27" si="13">IF(AD10=1,"Rara vez",IF(AD10=2,"Improbable",IF(AD10=3,"Posible",IF(AD10=4,"Probable",IF(AD10=5,"Casi seguro","")))))</f>
        <v>Rara vez</v>
      </c>
      <c r="AF10" s="137">
        <f t="shared" ref="AF10:AF27" si="14">IF(AC10="","",IF(AND(D10="Corrupción",(N10-AC10)&lt;=3),3,IF((N10-AC10)&lt;=1,1,N10-AC10)))</f>
        <v>3</v>
      </c>
      <c r="AG10" s="137" t="str">
        <f t="shared" ref="AG10:AG27" si="15">IF(AF10=1,"Insignificante",IF(AF10=2,"Menor",IF(AF10=3,"Moderado",IF(AF10=4,"Mayor",IF(AF10=5,"Catastrófico","")))))</f>
        <v>Moderado</v>
      </c>
      <c r="AH10" s="134">
        <f t="shared" ref="AH10:AH27" si="16">IF(OR(AD10="",AF10=""),"",AD10*AF10)</f>
        <v>3</v>
      </c>
      <c r="AI10" s="151" t="str">
        <f t="shared" ref="AI10:AI27" si="17">IF(AH10="","",IF(AH10&lt;=2,"BAJA",IF(AH10&lt;=6,"MODERADA",IF(AH10&lt;=12,"ALTA","EXTREMA"))))</f>
        <v>MODERADA</v>
      </c>
      <c r="AJ10" s="135" t="str">
        <f t="shared" ref="AJ10:AJ27" si="18">IF(AI10="","",IF(AI10="Baja","Asumir el Riesgo.",IF(AI10="Moderada","Reducir el Riesgo.",IF(AI10="Alta","Reducir el Riesgo, Evitar, Compartir o Transferir.",IF(AI10="Extrema","Reducir el Riesgo, Evitar o Compartir (Se requiere acción inmediata).","")))))</f>
        <v>Reducir el Riesgo.</v>
      </c>
      <c r="AK10" s="130" t="s">
        <v>439</v>
      </c>
      <c r="AL10" s="155">
        <v>4</v>
      </c>
      <c r="AM10" s="131" t="s">
        <v>440</v>
      </c>
      <c r="AN10" s="131" t="s">
        <v>342</v>
      </c>
      <c r="AO10" s="153">
        <v>43831</v>
      </c>
      <c r="AP10" s="153">
        <v>44196</v>
      </c>
      <c r="AQ10" s="156" t="s">
        <v>440</v>
      </c>
      <c r="AR10" s="172">
        <v>43951</v>
      </c>
      <c r="AS10" s="171" t="s">
        <v>507</v>
      </c>
      <c r="AT10" s="164">
        <v>0.5</v>
      </c>
      <c r="AU10" s="167">
        <f t="shared" ref="AU10:AU23" si="19">IF(AT10="","",IF(OR(AL10=0,AL10="",AR10=""),"",(AT10*100%)/AL10))</f>
        <v>0.125</v>
      </c>
      <c r="AV10" s="139" t="str">
        <f t="shared" si="0"/>
        <v>EN PROCESO</v>
      </c>
      <c r="AW10" s="175" t="s">
        <v>509</v>
      </c>
      <c r="AX10" s="164" t="s">
        <v>508</v>
      </c>
    </row>
    <row r="11" spans="1:50" s="141" customFormat="1" ht="123.75" x14ac:dyDescent="0.15">
      <c r="A11" s="130" t="s">
        <v>25</v>
      </c>
      <c r="B11" s="131" t="s">
        <v>47</v>
      </c>
      <c r="C11" s="132" t="s">
        <v>187</v>
      </c>
      <c r="D11" s="131" t="s">
        <v>27</v>
      </c>
      <c r="E11" s="131" t="s">
        <v>199</v>
      </c>
      <c r="F11" s="131" t="s">
        <v>335</v>
      </c>
      <c r="G11" s="131" t="s">
        <v>334</v>
      </c>
      <c r="H11" s="131" t="s">
        <v>27</v>
      </c>
      <c r="I11" s="131" t="s">
        <v>224</v>
      </c>
      <c r="J11" s="133" t="s">
        <v>235</v>
      </c>
      <c r="K11" s="130" t="s">
        <v>29</v>
      </c>
      <c r="L11" s="134">
        <f t="shared" si="1"/>
        <v>2</v>
      </c>
      <c r="M11" s="131" t="s">
        <v>41</v>
      </c>
      <c r="N11" s="134">
        <f t="shared" si="2"/>
        <v>4</v>
      </c>
      <c r="O11" s="134">
        <f t="shared" si="3"/>
        <v>8</v>
      </c>
      <c r="P11" s="150" t="str">
        <f t="shared" si="4"/>
        <v>ALTA</v>
      </c>
      <c r="Q11" s="130" t="s">
        <v>247</v>
      </c>
      <c r="R11" s="134" t="str">
        <f>+'Anexo 2 - Valoración Controles'!E122</f>
        <v>Fuerte</v>
      </c>
      <c r="S11" s="131" t="s">
        <v>149</v>
      </c>
      <c r="T11" s="134" t="str">
        <f t="shared" si="5"/>
        <v>Fuerte</v>
      </c>
      <c r="U11" s="134">
        <f t="shared" si="6"/>
        <v>100</v>
      </c>
      <c r="V11" s="135" t="str">
        <f t="shared" si="7"/>
        <v>No</v>
      </c>
      <c r="W11" s="136">
        <v>1</v>
      </c>
      <c r="X11" s="134">
        <f t="shared" si="8"/>
        <v>100</v>
      </c>
      <c r="Y11" s="134" t="str">
        <f t="shared" si="9"/>
        <v>Fuerte</v>
      </c>
      <c r="Z11" s="131" t="s">
        <v>157</v>
      </c>
      <c r="AA11" s="134">
        <f t="shared" si="10"/>
        <v>2</v>
      </c>
      <c r="AB11" s="131" t="s">
        <v>157</v>
      </c>
      <c r="AC11" s="134">
        <f t="shared" si="11"/>
        <v>2</v>
      </c>
      <c r="AD11" s="137">
        <f t="shared" si="12"/>
        <v>1</v>
      </c>
      <c r="AE11" s="137" t="str">
        <f t="shared" si="13"/>
        <v>Rara vez</v>
      </c>
      <c r="AF11" s="137">
        <f t="shared" si="14"/>
        <v>3</v>
      </c>
      <c r="AG11" s="137" t="str">
        <f t="shared" si="15"/>
        <v>Moderado</v>
      </c>
      <c r="AH11" s="134">
        <f t="shared" si="16"/>
        <v>3</v>
      </c>
      <c r="AI11" s="151" t="str">
        <f t="shared" si="17"/>
        <v>MODERADA</v>
      </c>
      <c r="AJ11" s="135" t="str">
        <f t="shared" si="18"/>
        <v>Reducir el Riesgo.</v>
      </c>
      <c r="AK11" s="130" t="s">
        <v>441</v>
      </c>
      <c r="AL11" s="155">
        <v>1</v>
      </c>
      <c r="AM11" s="131" t="s">
        <v>343</v>
      </c>
      <c r="AN11" s="131" t="s">
        <v>262</v>
      </c>
      <c r="AO11" s="153">
        <v>43831</v>
      </c>
      <c r="AP11" s="153">
        <v>44196</v>
      </c>
      <c r="AQ11" s="156" t="s">
        <v>343</v>
      </c>
      <c r="AR11" s="172">
        <v>43951</v>
      </c>
      <c r="AS11" s="170" t="s">
        <v>510</v>
      </c>
      <c r="AT11" s="164">
        <v>0</v>
      </c>
      <c r="AU11" s="167">
        <f t="shared" si="19"/>
        <v>0</v>
      </c>
      <c r="AV11" s="139" t="str">
        <f t="shared" si="0"/>
        <v>SIN INICIAR</v>
      </c>
      <c r="AW11" s="175" t="s">
        <v>543</v>
      </c>
      <c r="AX11" s="164" t="s">
        <v>508</v>
      </c>
    </row>
    <row r="12" spans="1:50" s="141" customFormat="1" ht="213.75" x14ac:dyDescent="0.15">
      <c r="A12" s="130" t="s">
        <v>25</v>
      </c>
      <c r="B12" s="131" t="s">
        <v>33</v>
      </c>
      <c r="C12" s="132" t="s">
        <v>188</v>
      </c>
      <c r="D12" s="131" t="s">
        <v>27</v>
      </c>
      <c r="E12" s="131" t="s">
        <v>200</v>
      </c>
      <c r="F12" s="131" t="s">
        <v>211</v>
      </c>
      <c r="G12" s="131" t="s">
        <v>442</v>
      </c>
      <c r="H12" s="131" t="s">
        <v>27</v>
      </c>
      <c r="I12" s="131" t="s">
        <v>225</v>
      </c>
      <c r="J12" s="133" t="s">
        <v>236</v>
      </c>
      <c r="K12" s="130" t="s">
        <v>22</v>
      </c>
      <c r="L12" s="134">
        <f t="shared" si="1"/>
        <v>1</v>
      </c>
      <c r="M12" s="131" t="s">
        <v>41</v>
      </c>
      <c r="N12" s="134">
        <f t="shared" si="2"/>
        <v>4</v>
      </c>
      <c r="O12" s="134">
        <f t="shared" si="3"/>
        <v>4</v>
      </c>
      <c r="P12" s="150" t="str">
        <f t="shared" si="4"/>
        <v>MODERADA</v>
      </c>
      <c r="Q12" s="130" t="s">
        <v>248</v>
      </c>
      <c r="R12" s="134" t="str">
        <f>+'Anexo 2 - Valoración Controles'!E88</f>
        <v>Fuerte</v>
      </c>
      <c r="S12" s="131" t="s">
        <v>149</v>
      </c>
      <c r="T12" s="134" t="str">
        <f t="shared" si="5"/>
        <v>Fuerte</v>
      </c>
      <c r="U12" s="134">
        <f t="shared" si="6"/>
        <v>100</v>
      </c>
      <c r="V12" s="135" t="str">
        <f t="shared" si="7"/>
        <v>No</v>
      </c>
      <c r="W12" s="136">
        <v>1</v>
      </c>
      <c r="X12" s="134">
        <f t="shared" si="8"/>
        <v>100</v>
      </c>
      <c r="Y12" s="134" t="str">
        <f t="shared" si="9"/>
        <v>Fuerte</v>
      </c>
      <c r="Z12" s="131" t="s">
        <v>157</v>
      </c>
      <c r="AA12" s="134">
        <f t="shared" si="10"/>
        <v>2</v>
      </c>
      <c r="AB12" s="131" t="s">
        <v>159</v>
      </c>
      <c r="AC12" s="134">
        <f t="shared" si="11"/>
        <v>1</v>
      </c>
      <c r="AD12" s="137">
        <f t="shared" si="12"/>
        <v>1</v>
      </c>
      <c r="AE12" s="137" t="str">
        <f t="shared" si="13"/>
        <v>Rara vez</v>
      </c>
      <c r="AF12" s="137">
        <f t="shared" si="14"/>
        <v>3</v>
      </c>
      <c r="AG12" s="137" t="str">
        <f t="shared" si="15"/>
        <v>Moderado</v>
      </c>
      <c r="AH12" s="134">
        <f t="shared" si="16"/>
        <v>3</v>
      </c>
      <c r="AI12" s="151" t="str">
        <f t="shared" si="17"/>
        <v>MODERADA</v>
      </c>
      <c r="AJ12" s="135" t="str">
        <f t="shared" si="18"/>
        <v>Reducir el Riesgo.</v>
      </c>
      <c r="AK12" s="130" t="s">
        <v>443</v>
      </c>
      <c r="AL12" s="155">
        <v>3</v>
      </c>
      <c r="AM12" s="131" t="s">
        <v>319</v>
      </c>
      <c r="AN12" s="131" t="s">
        <v>320</v>
      </c>
      <c r="AO12" s="153">
        <v>43831</v>
      </c>
      <c r="AP12" s="153">
        <v>44196</v>
      </c>
      <c r="AQ12" s="156" t="s">
        <v>444</v>
      </c>
      <c r="AR12" s="172">
        <v>43951</v>
      </c>
      <c r="AS12" s="171" t="s">
        <v>529</v>
      </c>
      <c r="AT12" s="164">
        <v>1</v>
      </c>
      <c r="AU12" s="167">
        <f t="shared" si="19"/>
        <v>0.33333333333333331</v>
      </c>
      <c r="AV12" s="134" t="str">
        <f t="shared" si="0"/>
        <v>EN PROCESO</v>
      </c>
      <c r="AW12" s="175" t="s">
        <v>530</v>
      </c>
      <c r="AX12" s="164" t="s">
        <v>508</v>
      </c>
    </row>
    <row r="13" spans="1:50" s="141" customFormat="1" ht="236.25" x14ac:dyDescent="0.15">
      <c r="A13" s="130" t="s">
        <v>25</v>
      </c>
      <c r="B13" s="131" t="s">
        <v>39</v>
      </c>
      <c r="C13" s="132" t="s">
        <v>189</v>
      </c>
      <c r="D13" s="131" t="s">
        <v>27</v>
      </c>
      <c r="E13" s="131" t="s">
        <v>201</v>
      </c>
      <c r="F13" s="131" t="s">
        <v>220</v>
      </c>
      <c r="G13" s="131" t="s">
        <v>445</v>
      </c>
      <c r="H13" s="131" t="s">
        <v>27</v>
      </c>
      <c r="I13" s="131" t="s">
        <v>226</v>
      </c>
      <c r="J13" s="133" t="s">
        <v>237</v>
      </c>
      <c r="K13" s="130" t="s">
        <v>29</v>
      </c>
      <c r="L13" s="134">
        <f t="shared" si="1"/>
        <v>2</v>
      </c>
      <c r="M13" s="131" t="s">
        <v>46</v>
      </c>
      <c r="N13" s="134">
        <f t="shared" si="2"/>
        <v>5</v>
      </c>
      <c r="O13" s="134">
        <f t="shared" si="3"/>
        <v>10</v>
      </c>
      <c r="P13" s="150" t="str">
        <f t="shared" si="4"/>
        <v>ALTA</v>
      </c>
      <c r="Q13" s="130" t="s">
        <v>249</v>
      </c>
      <c r="R13" s="134" t="str">
        <f>+'Anexo 2 - Valoración Controles'!E139</f>
        <v>Fuerte</v>
      </c>
      <c r="S13" s="131" t="s">
        <v>149</v>
      </c>
      <c r="T13" s="134" t="str">
        <f t="shared" si="5"/>
        <v>Fuerte</v>
      </c>
      <c r="U13" s="134">
        <f t="shared" si="6"/>
        <v>100</v>
      </c>
      <c r="V13" s="135" t="str">
        <f t="shared" si="7"/>
        <v>No</v>
      </c>
      <c r="W13" s="136">
        <v>1</v>
      </c>
      <c r="X13" s="134">
        <f t="shared" si="8"/>
        <v>100</v>
      </c>
      <c r="Y13" s="134" t="str">
        <f t="shared" si="9"/>
        <v>Fuerte</v>
      </c>
      <c r="Z13" s="131" t="s">
        <v>157</v>
      </c>
      <c r="AA13" s="134">
        <f t="shared" si="10"/>
        <v>2</v>
      </c>
      <c r="AB13" s="131" t="s">
        <v>159</v>
      </c>
      <c r="AC13" s="134">
        <f t="shared" si="11"/>
        <v>1</v>
      </c>
      <c r="AD13" s="137">
        <f t="shared" si="12"/>
        <v>1</v>
      </c>
      <c r="AE13" s="137" t="str">
        <f t="shared" si="13"/>
        <v>Rara vez</v>
      </c>
      <c r="AF13" s="137">
        <f t="shared" si="14"/>
        <v>4</v>
      </c>
      <c r="AG13" s="137" t="str">
        <f t="shared" si="15"/>
        <v>Mayor</v>
      </c>
      <c r="AH13" s="134">
        <f t="shared" si="16"/>
        <v>4</v>
      </c>
      <c r="AI13" s="151" t="str">
        <f t="shared" si="17"/>
        <v>MODERADA</v>
      </c>
      <c r="AJ13" s="135" t="str">
        <f t="shared" si="18"/>
        <v>Reducir el Riesgo.</v>
      </c>
      <c r="AK13" s="130" t="s">
        <v>349</v>
      </c>
      <c r="AL13" s="155">
        <v>1</v>
      </c>
      <c r="AM13" s="131" t="s">
        <v>274</v>
      </c>
      <c r="AN13" s="131" t="s">
        <v>263</v>
      </c>
      <c r="AO13" s="153">
        <v>43854</v>
      </c>
      <c r="AP13" s="153">
        <v>44196</v>
      </c>
      <c r="AQ13" s="156" t="s">
        <v>350</v>
      </c>
      <c r="AR13" s="172">
        <v>43951</v>
      </c>
      <c r="AS13" s="171" t="s">
        <v>511</v>
      </c>
      <c r="AT13" s="164">
        <v>0</v>
      </c>
      <c r="AU13" s="167">
        <f t="shared" si="19"/>
        <v>0</v>
      </c>
      <c r="AV13" s="134" t="str">
        <f t="shared" si="0"/>
        <v>SIN INICIAR</v>
      </c>
      <c r="AW13" s="175" t="s">
        <v>544</v>
      </c>
      <c r="AX13" s="164" t="s">
        <v>508</v>
      </c>
    </row>
    <row r="14" spans="1:50" s="141" customFormat="1" ht="101.25" x14ac:dyDescent="0.15">
      <c r="A14" s="130" t="s">
        <v>25</v>
      </c>
      <c r="B14" s="131" t="s">
        <v>43</v>
      </c>
      <c r="C14" s="132" t="s">
        <v>190</v>
      </c>
      <c r="D14" s="131" t="s">
        <v>27</v>
      </c>
      <c r="E14" s="131" t="s">
        <v>202</v>
      </c>
      <c r="F14" s="131" t="s">
        <v>219</v>
      </c>
      <c r="G14" s="131" t="s">
        <v>446</v>
      </c>
      <c r="H14" s="131" t="s">
        <v>27</v>
      </c>
      <c r="I14" s="131" t="s">
        <v>227</v>
      </c>
      <c r="J14" s="133" t="s">
        <v>238</v>
      </c>
      <c r="K14" s="130" t="s">
        <v>22</v>
      </c>
      <c r="L14" s="134">
        <f t="shared" si="1"/>
        <v>1</v>
      </c>
      <c r="M14" s="131" t="s">
        <v>41</v>
      </c>
      <c r="N14" s="134">
        <f t="shared" si="2"/>
        <v>4</v>
      </c>
      <c r="O14" s="134">
        <f t="shared" si="3"/>
        <v>4</v>
      </c>
      <c r="P14" s="150" t="str">
        <f t="shared" si="4"/>
        <v>MODERADA</v>
      </c>
      <c r="Q14" s="130" t="s">
        <v>351</v>
      </c>
      <c r="R14" s="134" t="str">
        <f>+'Anexo 2 - Valoración Controles'!E156</f>
        <v>Fuerte</v>
      </c>
      <c r="S14" s="131" t="s">
        <v>149</v>
      </c>
      <c r="T14" s="134" t="str">
        <f t="shared" si="5"/>
        <v>Fuerte</v>
      </c>
      <c r="U14" s="134">
        <f t="shared" si="6"/>
        <v>100</v>
      </c>
      <c r="V14" s="135" t="str">
        <f t="shared" si="7"/>
        <v>No</v>
      </c>
      <c r="W14" s="136">
        <v>1</v>
      </c>
      <c r="X14" s="134">
        <f t="shared" si="8"/>
        <v>100</v>
      </c>
      <c r="Y14" s="134" t="str">
        <f t="shared" si="9"/>
        <v>Fuerte</v>
      </c>
      <c r="Z14" s="131" t="s">
        <v>157</v>
      </c>
      <c r="AA14" s="134">
        <f t="shared" si="10"/>
        <v>2</v>
      </c>
      <c r="AB14" s="131" t="s">
        <v>157</v>
      </c>
      <c r="AC14" s="134">
        <f t="shared" si="11"/>
        <v>2</v>
      </c>
      <c r="AD14" s="137">
        <f t="shared" si="12"/>
        <v>1</v>
      </c>
      <c r="AE14" s="137" t="str">
        <f t="shared" si="13"/>
        <v>Rara vez</v>
      </c>
      <c r="AF14" s="137">
        <f t="shared" si="14"/>
        <v>3</v>
      </c>
      <c r="AG14" s="137" t="str">
        <f t="shared" si="15"/>
        <v>Moderado</v>
      </c>
      <c r="AH14" s="134">
        <f t="shared" si="16"/>
        <v>3</v>
      </c>
      <c r="AI14" s="151" t="str">
        <f t="shared" si="17"/>
        <v>MODERADA</v>
      </c>
      <c r="AJ14" s="135" t="str">
        <f t="shared" si="18"/>
        <v>Reducir el Riesgo.</v>
      </c>
      <c r="AK14" s="130" t="s">
        <v>358</v>
      </c>
      <c r="AL14" s="155">
        <v>8</v>
      </c>
      <c r="AM14" s="131" t="s">
        <v>359</v>
      </c>
      <c r="AN14" s="131" t="s">
        <v>264</v>
      </c>
      <c r="AO14" s="153">
        <v>43922</v>
      </c>
      <c r="AP14" s="153">
        <v>44196</v>
      </c>
      <c r="AQ14" s="156" t="s">
        <v>360</v>
      </c>
      <c r="AR14" s="172">
        <v>43951</v>
      </c>
      <c r="AS14" s="171" t="s">
        <v>511</v>
      </c>
      <c r="AT14" s="164">
        <v>0</v>
      </c>
      <c r="AU14" s="167">
        <f t="shared" si="19"/>
        <v>0</v>
      </c>
      <c r="AV14" s="134" t="str">
        <f t="shared" si="0"/>
        <v>SIN INICIAR</v>
      </c>
      <c r="AW14" s="176" t="s">
        <v>512</v>
      </c>
      <c r="AX14" s="164" t="s">
        <v>508</v>
      </c>
    </row>
    <row r="15" spans="1:50" s="141" customFormat="1" ht="146.25" x14ac:dyDescent="0.15">
      <c r="A15" s="130" t="s">
        <v>32</v>
      </c>
      <c r="B15" s="131" t="s">
        <v>51</v>
      </c>
      <c r="C15" s="132" t="s">
        <v>194</v>
      </c>
      <c r="D15" s="131" t="s">
        <v>27</v>
      </c>
      <c r="E15" s="131" t="s">
        <v>203</v>
      </c>
      <c r="F15" s="131" t="s">
        <v>213</v>
      </c>
      <c r="G15" s="131" t="s">
        <v>447</v>
      </c>
      <c r="H15" s="131" t="s">
        <v>27</v>
      </c>
      <c r="I15" s="131" t="s">
        <v>228</v>
      </c>
      <c r="J15" s="133" t="s">
        <v>293</v>
      </c>
      <c r="K15" s="130" t="s">
        <v>22</v>
      </c>
      <c r="L15" s="134">
        <f t="shared" si="1"/>
        <v>1</v>
      </c>
      <c r="M15" s="131" t="s">
        <v>46</v>
      </c>
      <c r="N15" s="134">
        <f t="shared" si="2"/>
        <v>5</v>
      </c>
      <c r="O15" s="134">
        <f t="shared" si="3"/>
        <v>5</v>
      </c>
      <c r="P15" s="150" t="str">
        <f t="shared" si="4"/>
        <v>MODERADA</v>
      </c>
      <c r="Q15" s="130" t="s">
        <v>250</v>
      </c>
      <c r="R15" s="134" t="str">
        <f>+'Anexo 2 - Valoración Controles'!E54</f>
        <v>Fuerte</v>
      </c>
      <c r="S15" s="131" t="s">
        <v>149</v>
      </c>
      <c r="T15" s="134" t="str">
        <f t="shared" si="5"/>
        <v>Fuerte</v>
      </c>
      <c r="U15" s="134">
        <f t="shared" si="6"/>
        <v>100</v>
      </c>
      <c r="V15" s="135" t="str">
        <f t="shared" si="7"/>
        <v>No</v>
      </c>
      <c r="W15" s="136">
        <v>1</v>
      </c>
      <c r="X15" s="134">
        <f t="shared" si="8"/>
        <v>100</v>
      </c>
      <c r="Y15" s="134" t="str">
        <f t="shared" si="9"/>
        <v>Fuerte</v>
      </c>
      <c r="Z15" s="131" t="s">
        <v>157</v>
      </c>
      <c r="AA15" s="134">
        <f t="shared" si="10"/>
        <v>2</v>
      </c>
      <c r="AB15" s="131" t="s">
        <v>157</v>
      </c>
      <c r="AC15" s="134">
        <f t="shared" si="11"/>
        <v>2</v>
      </c>
      <c r="AD15" s="137">
        <f t="shared" si="12"/>
        <v>1</v>
      </c>
      <c r="AE15" s="137" t="str">
        <f t="shared" si="13"/>
        <v>Rara vez</v>
      </c>
      <c r="AF15" s="137">
        <f t="shared" si="14"/>
        <v>3</v>
      </c>
      <c r="AG15" s="137" t="str">
        <f t="shared" si="15"/>
        <v>Moderado</v>
      </c>
      <c r="AH15" s="134">
        <f t="shared" si="16"/>
        <v>3</v>
      </c>
      <c r="AI15" s="151" t="str">
        <f t="shared" si="17"/>
        <v>MODERADA</v>
      </c>
      <c r="AJ15" s="135" t="str">
        <f t="shared" si="18"/>
        <v>Reducir el Riesgo.</v>
      </c>
      <c r="AK15" s="130" t="s">
        <v>305</v>
      </c>
      <c r="AL15" s="155">
        <v>1</v>
      </c>
      <c r="AM15" s="131" t="s">
        <v>306</v>
      </c>
      <c r="AN15" s="131" t="s">
        <v>265</v>
      </c>
      <c r="AO15" s="153">
        <v>43864</v>
      </c>
      <c r="AP15" s="153">
        <v>44196</v>
      </c>
      <c r="AQ15" s="156" t="s">
        <v>307</v>
      </c>
      <c r="AR15" s="172">
        <v>43951</v>
      </c>
      <c r="AS15" s="171" t="s">
        <v>538</v>
      </c>
      <c r="AT15" s="164">
        <v>0</v>
      </c>
      <c r="AU15" s="167">
        <f t="shared" si="19"/>
        <v>0</v>
      </c>
      <c r="AV15" s="134" t="str">
        <f t="shared" ref="AV15:AV20" si="20">IF(AT15="","",IF(AR15&lt;&gt;AP15,IF(AU15=0%,"SIN INICIAR",IF(AU15=100%,"TERMINADA",IF(AU15&gt;0%,"EN PROCESO",IF(AU15&lt;=0%,"INCUMPLIDA"))))))</f>
        <v>SIN INICIAR</v>
      </c>
      <c r="AW15" s="175" t="s">
        <v>546</v>
      </c>
      <c r="AX15" s="164" t="s">
        <v>508</v>
      </c>
    </row>
    <row r="16" spans="1:50" s="141" customFormat="1" ht="112.5" x14ac:dyDescent="0.15">
      <c r="A16" s="130" t="s">
        <v>32</v>
      </c>
      <c r="B16" s="131" t="s">
        <v>370</v>
      </c>
      <c r="C16" s="269" t="s">
        <v>191</v>
      </c>
      <c r="D16" s="131" t="s">
        <v>27</v>
      </c>
      <c r="E16" s="131" t="s">
        <v>431</v>
      </c>
      <c r="F16" s="255" t="s">
        <v>218</v>
      </c>
      <c r="G16" s="255" t="s">
        <v>448</v>
      </c>
      <c r="H16" s="255" t="s">
        <v>27</v>
      </c>
      <c r="I16" s="266" t="s">
        <v>449</v>
      </c>
      <c r="J16" s="258" t="s">
        <v>239</v>
      </c>
      <c r="K16" s="261" t="s">
        <v>35</v>
      </c>
      <c r="L16" s="211">
        <f t="shared" si="1"/>
        <v>3</v>
      </c>
      <c r="M16" s="255" t="s">
        <v>41</v>
      </c>
      <c r="N16" s="211">
        <f t="shared" si="2"/>
        <v>4</v>
      </c>
      <c r="O16" s="211">
        <f t="shared" si="3"/>
        <v>12</v>
      </c>
      <c r="P16" s="251" t="str">
        <f t="shared" si="4"/>
        <v>ALTA</v>
      </c>
      <c r="Q16" s="130" t="s">
        <v>256</v>
      </c>
      <c r="R16" s="134" t="str">
        <f>+'Anexo 2 - Valoración Controles'!E190</f>
        <v>Fuerte</v>
      </c>
      <c r="S16" s="131" t="s">
        <v>149</v>
      </c>
      <c r="T16" s="134" t="str">
        <f t="shared" si="5"/>
        <v>Fuerte</v>
      </c>
      <c r="U16" s="134">
        <f t="shared" si="6"/>
        <v>100</v>
      </c>
      <c r="V16" s="135" t="str">
        <f t="shared" si="7"/>
        <v>No</v>
      </c>
      <c r="W16" s="138">
        <f>100%/3</f>
        <v>0.33333333333333331</v>
      </c>
      <c r="X16" s="253">
        <f>((U16*W16)+(U17*W17)+(U18*W18))/100</f>
        <v>0.83333333333333315</v>
      </c>
      <c r="Y16" s="211" t="str">
        <f>IF(X16="","",IF(X16&lt;50%,"Débil",IF(X16&lt;=99%,"Moderado","Fuerte")))</f>
        <v>Moderado</v>
      </c>
      <c r="Z16" s="131" t="s">
        <v>157</v>
      </c>
      <c r="AA16" s="134">
        <f t="shared" si="10"/>
        <v>1</v>
      </c>
      <c r="AB16" s="131" t="s">
        <v>158</v>
      </c>
      <c r="AC16" s="134">
        <f t="shared" si="11"/>
        <v>0</v>
      </c>
      <c r="AD16" s="246">
        <f t="shared" si="12"/>
        <v>2</v>
      </c>
      <c r="AE16" s="246" t="str">
        <f t="shared" si="13"/>
        <v>Improbable</v>
      </c>
      <c r="AF16" s="246">
        <f t="shared" si="14"/>
        <v>4</v>
      </c>
      <c r="AG16" s="246" t="str">
        <f t="shared" si="15"/>
        <v>Mayor</v>
      </c>
      <c r="AH16" s="211">
        <f t="shared" si="16"/>
        <v>8</v>
      </c>
      <c r="AI16" s="249" t="str">
        <f t="shared" si="17"/>
        <v>ALTA</v>
      </c>
      <c r="AJ16" s="243" t="str">
        <f t="shared" si="18"/>
        <v>Reducir el Riesgo, Evitar, Compartir o Transferir.</v>
      </c>
      <c r="AK16" s="130" t="s">
        <v>450</v>
      </c>
      <c r="AL16" s="155">
        <v>1</v>
      </c>
      <c r="AM16" s="131" t="s">
        <v>273</v>
      </c>
      <c r="AN16" s="131" t="s">
        <v>266</v>
      </c>
      <c r="AO16" s="153">
        <v>43862</v>
      </c>
      <c r="AP16" s="153">
        <v>44196</v>
      </c>
      <c r="AQ16" s="156" t="s">
        <v>381</v>
      </c>
      <c r="AR16" s="172">
        <v>43951</v>
      </c>
      <c r="AS16" s="170" t="s">
        <v>539</v>
      </c>
      <c r="AT16" s="164">
        <v>0</v>
      </c>
      <c r="AU16" s="167">
        <f t="shared" si="19"/>
        <v>0</v>
      </c>
      <c r="AV16" s="134" t="str">
        <f t="shared" si="20"/>
        <v>SIN INICIAR</v>
      </c>
      <c r="AW16" s="175" t="s">
        <v>541</v>
      </c>
      <c r="AX16" s="164" t="s">
        <v>508</v>
      </c>
    </row>
    <row r="17" spans="1:50" s="141" customFormat="1" ht="112.5" x14ac:dyDescent="0.15">
      <c r="A17" s="130" t="s">
        <v>32</v>
      </c>
      <c r="B17" s="131" t="s">
        <v>370</v>
      </c>
      <c r="C17" s="270"/>
      <c r="D17" s="131" t="s">
        <v>27</v>
      </c>
      <c r="E17" s="131" t="s">
        <v>431</v>
      </c>
      <c r="F17" s="256"/>
      <c r="G17" s="256"/>
      <c r="H17" s="256"/>
      <c r="I17" s="267"/>
      <c r="J17" s="259"/>
      <c r="K17" s="265"/>
      <c r="L17" s="212"/>
      <c r="M17" s="256"/>
      <c r="N17" s="212"/>
      <c r="O17" s="212"/>
      <c r="P17" s="263"/>
      <c r="Q17" s="130" t="s">
        <v>251</v>
      </c>
      <c r="R17" s="134" t="str">
        <f>+'Anexo 2 - Valoración Controles'!K190</f>
        <v>Fuerte</v>
      </c>
      <c r="S17" s="131" t="s">
        <v>149</v>
      </c>
      <c r="T17" s="134" t="str">
        <f t="shared" si="5"/>
        <v>Fuerte</v>
      </c>
      <c r="U17" s="134">
        <f t="shared" si="6"/>
        <v>100</v>
      </c>
      <c r="V17" s="135" t="str">
        <f t="shared" si="7"/>
        <v>No</v>
      </c>
      <c r="W17" s="138">
        <f>100%/3</f>
        <v>0.33333333333333331</v>
      </c>
      <c r="X17" s="264"/>
      <c r="Y17" s="212"/>
      <c r="Z17" s="131" t="s">
        <v>157</v>
      </c>
      <c r="AA17" s="134">
        <f>IF(Z17="","",IF(AND(Y16="Fuerte",Z17="Directamente"),2,IF(AND(Y16="Moderado",Z17="Directamente"),1,0)))</f>
        <v>1</v>
      </c>
      <c r="AB17" s="131" t="s">
        <v>158</v>
      </c>
      <c r="AC17" s="134">
        <f>IF(AB17="","",IF(AND(Y16="Fuerte",AB17="Directamente"),2,IF(AND(Y16="Fuerte",AB17="indirectamente"),1,IF(AND(Y16="Fuerte",AB17="No disminuye"),0,IF(AND(Y16="Moderado",AB17="Directamente"),1,IF(AND(Y16="Moderado",AB17="indirectamente"),0,IF(AND(Y16="Moderado",AB17="No disminuye"),0,0)))))))</f>
        <v>0</v>
      </c>
      <c r="AD17" s="247"/>
      <c r="AE17" s="247"/>
      <c r="AF17" s="247"/>
      <c r="AG17" s="247"/>
      <c r="AH17" s="212"/>
      <c r="AI17" s="272"/>
      <c r="AJ17" s="244"/>
      <c r="AK17" s="130" t="s">
        <v>383</v>
      </c>
      <c r="AL17" s="155">
        <v>1</v>
      </c>
      <c r="AM17" s="131" t="s">
        <v>273</v>
      </c>
      <c r="AN17" s="131" t="s">
        <v>266</v>
      </c>
      <c r="AO17" s="153">
        <v>43862</v>
      </c>
      <c r="AP17" s="153">
        <v>44196</v>
      </c>
      <c r="AQ17" s="156" t="s">
        <v>381</v>
      </c>
      <c r="AR17" s="172">
        <v>43951</v>
      </c>
      <c r="AS17" s="170" t="s">
        <v>539</v>
      </c>
      <c r="AT17" s="164">
        <v>0</v>
      </c>
      <c r="AU17" s="167">
        <f t="shared" si="19"/>
        <v>0</v>
      </c>
      <c r="AV17" s="134" t="str">
        <f t="shared" si="20"/>
        <v>SIN INICIAR</v>
      </c>
      <c r="AW17" s="175" t="s">
        <v>541</v>
      </c>
      <c r="AX17" s="164" t="s">
        <v>508</v>
      </c>
    </row>
    <row r="18" spans="1:50" s="141" customFormat="1" ht="101.25" x14ac:dyDescent="0.15">
      <c r="A18" s="130" t="s">
        <v>32</v>
      </c>
      <c r="B18" s="131" t="s">
        <v>370</v>
      </c>
      <c r="C18" s="271"/>
      <c r="D18" s="131" t="s">
        <v>27</v>
      </c>
      <c r="E18" s="131" t="s">
        <v>431</v>
      </c>
      <c r="F18" s="257"/>
      <c r="G18" s="257"/>
      <c r="H18" s="257"/>
      <c r="I18" s="268"/>
      <c r="J18" s="260"/>
      <c r="K18" s="262"/>
      <c r="L18" s="213"/>
      <c r="M18" s="257"/>
      <c r="N18" s="213"/>
      <c r="O18" s="213"/>
      <c r="P18" s="252"/>
      <c r="Q18" s="130" t="s">
        <v>252</v>
      </c>
      <c r="R18" s="134" t="str">
        <f>+'Anexo 2 - Valoración Controles'!S190</f>
        <v>Moderado</v>
      </c>
      <c r="S18" s="131" t="s">
        <v>149</v>
      </c>
      <c r="T18" s="134" t="str">
        <f t="shared" si="5"/>
        <v>Moderado</v>
      </c>
      <c r="U18" s="134">
        <f t="shared" si="6"/>
        <v>50</v>
      </c>
      <c r="V18" s="135" t="str">
        <f t="shared" si="7"/>
        <v>Si</v>
      </c>
      <c r="W18" s="138">
        <f>100%/3</f>
        <v>0.33333333333333331</v>
      </c>
      <c r="X18" s="254"/>
      <c r="Y18" s="213"/>
      <c r="Z18" s="131" t="s">
        <v>157</v>
      </c>
      <c r="AA18" s="134">
        <f>IF(Z18="","",IF(AND(Y16="Fuerte",Z18="Directamente"),2,IF(AND(Y16="Moderado",Z18="Directamente"),1,0)))</f>
        <v>1</v>
      </c>
      <c r="AB18" s="131" t="s">
        <v>158</v>
      </c>
      <c r="AC18" s="134">
        <f>IF(AB18="","",IF(AND(Y16="Fuerte",AB18="Directamente"),2,IF(AND(Y16="Fuerte",AB18="indirectamente"),1,IF(AND(Y16="Fuerte",AB18="No disminuye"),0,IF(AND(Y16="Moderado",AB18="Directamente"),1,IF(AND(Y16="Moderado",AB18="indirectamente"),0,IF(AND(Y16="Moderado",AB18="No disminuye"),0,0)))))))</f>
        <v>0</v>
      </c>
      <c r="AD18" s="248"/>
      <c r="AE18" s="248"/>
      <c r="AF18" s="248"/>
      <c r="AG18" s="248"/>
      <c r="AH18" s="213"/>
      <c r="AI18" s="250"/>
      <c r="AJ18" s="245"/>
      <c r="AK18" s="130" t="s">
        <v>258</v>
      </c>
      <c r="AL18" s="155">
        <v>1</v>
      </c>
      <c r="AM18" s="131" t="s">
        <v>275</v>
      </c>
      <c r="AN18" s="131" t="s">
        <v>266</v>
      </c>
      <c r="AO18" s="153">
        <v>43862</v>
      </c>
      <c r="AP18" s="153">
        <v>44196</v>
      </c>
      <c r="AQ18" s="156" t="s">
        <v>382</v>
      </c>
      <c r="AR18" s="172">
        <v>43951</v>
      </c>
      <c r="AS18" s="171" t="s">
        <v>540</v>
      </c>
      <c r="AT18" s="164">
        <v>0.5</v>
      </c>
      <c r="AU18" s="167">
        <f t="shared" si="19"/>
        <v>0.5</v>
      </c>
      <c r="AV18" s="134" t="str">
        <f t="shared" si="20"/>
        <v>EN PROCESO</v>
      </c>
      <c r="AW18" s="177" t="s">
        <v>547</v>
      </c>
      <c r="AX18" s="164" t="s">
        <v>508</v>
      </c>
    </row>
    <row r="19" spans="1:50" s="141" customFormat="1" ht="146.25" x14ac:dyDescent="0.15">
      <c r="A19" s="130" t="s">
        <v>32</v>
      </c>
      <c r="B19" s="131" t="s">
        <v>308</v>
      </c>
      <c r="C19" s="269" t="s">
        <v>191</v>
      </c>
      <c r="D19" s="131" t="s">
        <v>27</v>
      </c>
      <c r="E19" s="131" t="s">
        <v>432</v>
      </c>
      <c r="F19" s="255" t="s">
        <v>212</v>
      </c>
      <c r="G19" s="255" t="s">
        <v>451</v>
      </c>
      <c r="H19" s="255" t="s">
        <v>27</v>
      </c>
      <c r="I19" s="255" t="s">
        <v>229</v>
      </c>
      <c r="J19" s="258" t="s">
        <v>240</v>
      </c>
      <c r="K19" s="261" t="s">
        <v>29</v>
      </c>
      <c r="L19" s="211">
        <f t="shared" si="1"/>
        <v>2</v>
      </c>
      <c r="M19" s="255" t="s">
        <v>41</v>
      </c>
      <c r="N19" s="211">
        <f t="shared" si="2"/>
        <v>4</v>
      </c>
      <c r="O19" s="211">
        <f t="shared" si="3"/>
        <v>8</v>
      </c>
      <c r="P19" s="251" t="str">
        <f t="shared" si="4"/>
        <v>ALTA</v>
      </c>
      <c r="Q19" s="130" t="s">
        <v>309</v>
      </c>
      <c r="R19" s="134" t="str">
        <f>+'Anexo 2 - Valoración Controles'!E71</f>
        <v>Fuerte</v>
      </c>
      <c r="S19" s="131" t="s">
        <v>149</v>
      </c>
      <c r="T19" s="134" t="str">
        <f t="shared" si="5"/>
        <v>Fuerte</v>
      </c>
      <c r="U19" s="134">
        <f t="shared" si="6"/>
        <v>100</v>
      </c>
      <c r="V19" s="135" t="str">
        <f t="shared" si="7"/>
        <v>No</v>
      </c>
      <c r="W19" s="136">
        <v>0.4</v>
      </c>
      <c r="X19" s="211">
        <f>(U19*W19)+(U20*W20)</f>
        <v>100</v>
      </c>
      <c r="Y19" s="211" t="str">
        <f t="shared" si="9"/>
        <v>Fuerte</v>
      </c>
      <c r="Z19" s="131" t="s">
        <v>157</v>
      </c>
      <c r="AA19" s="134">
        <f t="shared" si="10"/>
        <v>2</v>
      </c>
      <c r="AB19" s="131" t="s">
        <v>159</v>
      </c>
      <c r="AC19" s="134">
        <f t="shared" si="11"/>
        <v>1</v>
      </c>
      <c r="AD19" s="246">
        <f t="shared" si="12"/>
        <v>1</v>
      </c>
      <c r="AE19" s="246" t="str">
        <f t="shared" si="13"/>
        <v>Rara vez</v>
      </c>
      <c r="AF19" s="246">
        <f t="shared" si="14"/>
        <v>3</v>
      </c>
      <c r="AG19" s="246" t="str">
        <f t="shared" si="15"/>
        <v>Moderado</v>
      </c>
      <c r="AH19" s="211">
        <f t="shared" si="16"/>
        <v>3</v>
      </c>
      <c r="AI19" s="249" t="str">
        <f t="shared" si="17"/>
        <v>MODERADA</v>
      </c>
      <c r="AJ19" s="243" t="str">
        <f t="shared" si="18"/>
        <v>Reducir el Riesgo.</v>
      </c>
      <c r="AK19" s="130" t="s">
        <v>279</v>
      </c>
      <c r="AL19" s="155">
        <v>1</v>
      </c>
      <c r="AM19" s="131" t="s">
        <v>274</v>
      </c>
      <c r="AN19" s="131" t="s">
        <v>267</v>
      </c>
      <c r="AO19" s="153">
        <v>43862</v>
      </c>
      <c r="AP19" s="153">
        <v>44196</v>
      </c>
      <c r="AQ19" s="156" t="s">
        <v>280</v>
      </c>
      <c r="AR19" s="172">
        <v>43951</v>
      </c>
      <c r="AS19" s="171" t="s">
        <v>536</v>
      </c>
      <c r="AT19" s="164">
        <v>0.5</v>
      </c>
      <c r="AU19" s="167">
        <f t="shared" si="19"/>
        <v>0.5</v>
      </c>
      <c r="AV19" s="134" t="str">
        <f t="shared" si="20"/>
        <v>EN PROCESO</v>
      </c>
      <c r="AW19" s="175" t="s">
        <v>548</v>
      </c>
      <c r="AX19" s="164" t="s">
        <v>508</v>
      </c>
    </row>
    <row r="20" spans="1:50" s="141" customFormat="1" ht="146.25" x14ac:dyDescent="0.15">
      <c r="A20" s="130" t="s">
        <v>32</v>
      </c>
      <c r="B20" s="131" t="s">
        <v>308</v>
      </c>
      <c r="C20" s="271"/>
      <c r="D20" s="131" t="s">
        <v>27</v>
      </c>
      <c r="E20" s="131" t="s">
        <v>432</v>
      </c>
      <c r="F20" s="257"/>
      <c r="G20" s="257"/>
      <c r="H20" s="257"/>
      <c r="I20" s="257"/>
      <c r="J20" s="260"/>
      <c r="K20" s="262"/>
      <c r="L20" s="213"/>
      <c r="M20" s="257"/>
      <c r="N20" s="213"/>
      <c r="O20" s="213"/>
      <c r="P20" s="252"/>
      <c r="Q20" s="130" t="s">
        <v>310</v>
      </c>
      <c r="R20" s="134" t="str">
        <f>+'Anexo 2 - Valoración Controles'!K71</f>
        <v>Fuerte</v>
      </c>
      <c r="S20" s="131" t="s">
        <v>149</v>
      </c>
      <c r="T20" s="134" t="str">
        <f t="shared" si="5"/>
        <v>Fuerte</v>
      </c>
      <c r="U20" s="134">
        <f t="shared" si="6"/>
        <v>100</v>
      </c>
      <c r="V20" s="135" t="str">
        <f t="shared" si="7"/>
        <v>No</v>
      </c>
      <c r="W20" s="136">
        <v>0.6</v>
      </c>
      <c r="X20" s="213"/>
      <c r="Y20" s="213"/>
      <c r="Z20" s="131" t="s">
        <v>157</v>
      </c>
      <c r="AA20" s="134">
        <f>IF(Z19="","",IF(AND(Y19="Fuerte",Z19="Directamente"),2,IF(AND(Y19="Moderado",Z19="Directamente"),1,0)))</f>
        <v>2</v>
      </c>
      <c r="AB20" s="131" t="s">
        <v>157</v>
      </c>
      <c r="AC20" s="134">
        <f>IF(AB20="","",IF(AND(Y19="Fuerte",AB20="Directamente"),2,IF(AND(Y19="Fuerte",AB20="indirectamente"),1,IF(AND(Y19="Fuerte",AB20="No disminuye"),0,IF(AND(Y19="Moderado",AB20="Directamente"),1,IF(AND(Y19="Moderado",AB20="indirectamente"),0,IF(AND(Y19="Moderado",AB20="No disminuye"),0,0)))))))</f>
        <v>2</v>
      </c>
      <c r="AD20" s="248"/>
      <c r="AE20" s="248"/>
      <c r="AF20" s="248"/>
      <c r="AG20" s="248"/>
      <c r="AH20" s="213"/>
      <c r="AI20" s="250"/>
      <c r="AJ20" s="245"/>
      <c r="AK20" s="130" t="s">
        <v>261</v>
      </c>
      <c r="AL20" s="155">
        <v>1</v>
      </c>
      <c r="AM20" s="131" t="s">
        <v>276</v>
      </c>
      <c r="AN20" s="131" t="s">
        <v>267</v>
      </c>
      <c r="AO20" s="153">
        <v>43862</v>
      </c>
      <c r="AP20" s="153">
        <v>44196</v>
      </c>
      <c r="AQ20" s="156" t="s">
        <v>281</v>
      </c>
      <c r="AR20" s="172">
        <v>43951</v>
      </c>
      <c r="AS20" s="171" t="s">
        <v>549</v>
      </c>
      <c r="AT20" s="164">
        <v>0.5</v>
      </c>
      <c r="AU20" s="167">
        <f t="shared" si="19"/>
        <v>0.5</v>
      </c>
      <c r="AV20" s="134" t="str">
        <f t="shared" si="20"/>
        <v>EN PROCESO</v>
      </c>
      <c r="AW20" s="175" t="s">
        <v>537</v>
      </c>
      <c r="AX20" s="164" t="s">
        <v>508</v>
      </c>
    </row>
    <row r="21" spans="1:50" s="141" customFormat="1" ht="157.5" x14ac:dyDescent="0.15">
      <c r="A21" s="130" t="s">
        <v>32</v>
      </c>
      <c r="B21" s="131" t="s">
        <v>384</v>
      </c>
      <c r="C21" s="269" t="s">
        <v>191</v>
      </c>
      <c r="D21" s="131" t="s">
        <v>27</v>
      </c>
      <c r="E21" s="131" t="s">
        <v>433</v>
      </c>
      <c r="F21" s="255" t="s">
        <v>214</v>
      </c>
      <c r="G21" s="255" t="s">
        <v>385</v>
      </c>
      <c r="H21" s="255" t="s">
        <v>27</v>
      </c>
      <c r="I21" s="255" t="s">
        <v>230</v>
      </c>
      <c r="J21" s="258" t="s">
        <v>241</v>
      </c>
      <c r="K21" s="261" t="s">
        <v>35</v>
      </c>
      <c r="L21" s="211">
        <f t="shared" si="1"/>
        <v>3</v>
      </c>
      <c r="M21" s="255" t="s">
        <v>41</v>
      </c>
      <c r="N21" s="211">
        <f t="shared" si="2"/>
        <v>4</v>
      </c>
      <c r="O21" s="211">
        <f t="shared" si="3"/>
        <v>12</v>
      </c>
      <c r="P21" s="251" t="str">
        <f t="shared" si="4"/>
        <v>ALTA</v>
      </c>
      <c r="Q21" s="130" t="s">
        <v>253</v>
      </c>
      <c r="R21" s="134" t="str">
        <f>+'Anexo 2 - Valoración Controles'!E207</f>
        <v>Moderado</v>
      </c>
      <c r="S21" s="131" t="s">
        <v>149</v>
      </c>
      <c r="T21" s="134" t="str">
        <f t="shared" si="5"/>
        <v>Moderado</v>
      </c>
      <c r="U21" s="134">
        <f t="shared" si="6"/>
        <v>50</v>
      </c>
      <c r="V21" s="135" t="str">
        <f t="shared" si="7"/>
        <v>Si</v>
      </c>
      <c r="W21" s="136">
        <v>0.5</v>
      </c>
      <c r="X21" s="253">
        <f>((U21*W21)+(U22*W22))/100</f>
        <v>0.75</v>
      </c>
      <c r="Y21" s="211" t="str">
        <f>IF(X21="","",IF(X21&lt;50%,"Débil",IF(X21&lt;=99%,"Moderado","Fuerte")))</f>
        <v>Moderado</v>
      </c>
      <c r="Z21" s="131" t="s">
        <v>157</v>
      </c>
      <c r="AA21" s="134">
        <f t="shared" si="10"/>
        <v>1</v>
      </c>
      <c r="AB21" s="131" t="s">
        <v>157</v>
      </c>
      <c r="AC21" s="134">
        <f t="shared" si="11"/>
        <v>1</v>
      </c>
      <c r="AD21" s="137">
        <f t="shared" si="12"/>
        <v>2</v>
      </c>
      <c r="AE21" s="137" t="str">
        <f t="shared" si="13"/>
        <v>Improbable</v>
      </c>
      <c r="AF21" s="137">
        <f t="shared" si="14"/>
        <v>3</v>
      </c>
      <c r="AG21" s="137" t="str">
        <f t="shared" si="15"/>
        <v>Moderado</v>
      </c>
      <c r="AH21" s="134">
        <f t="shared" si="16"/>
        <v>6</v>
      </c>
      <c r="AI21" s="151" t="str">
        <f t="shared" si="17"/>
        <v>MODERADA</v>
      </c>
      <c r="AJ21" s="135" t="str">
        <f t="shared" si="18"/>
        <v>Reducir el Riesgo.</v>
      </c>
      <c r="AK21" s="130" t="s">
        <v>397</v>
      </c>
      <c r="AL21" s="155">
        <v>3</v>
      </c>
      <c r="AM21" s="131" t="s">
        <v>398</v>
      </c>
      <c r="AN21" s="131" t="s">
        <v>399</v>
      </c>
      <c r="AO21" s="153">
        <v>43864</v>
      </c>
      <c r="AP21" s="153">
        <v>44196</v>
      </c>
      <c r="AQ21" s="156" t="s">
        <v>282</v>
      </c>
      <c r="AR21" s="172">
        <v>43951</v>
      </c>
      <c r="AS21" s="173" t="s">
        <v>513</v>
      </c>
      <c r="AT21" s="164">
        <v>1</v>
      </c>
      <c r="AU21" s="167">
        <f t="shared" si="19"/>
        <v>0.33333333333333331</v>
      </c>
      <c r="AV21" s="134" t="str">
        <f t="shared" ref="AV21:AV32" si="21">IF(AT21="","",IF(AR21&lt;&gt;AP21,IF(AU21=0%,"SIN INICIAR",IF(AU21=100%,"TERMINADA",IF(AU21&gt;0%,"EN PROCESO",IF(AU21&lt;=0%,"INCUMPLIDA"))))))</f>
        <v>EN PROCESO</v>
      </c>
      <c r="AW21" s="175" t="s">
        <v>531</v>
      </c>
      <c r="AX21" s="164" t="s">
        <v>508</v>
      </c>
    </row>
    <row r="22" spans="1:50" s="141" customFormat="1" ht="180" x14ac:dyDescent="0.15">
      <c r="A22" s="130" t="s">
        <v>32</v>
      </c>
      <c r="B22" s="131" t="s">
        <v>384</v>
      </c>
      <c r="C22" s="271"/>
      <c r="D22" s="131" t="s">
        <v>27</v>
      </c>
      <c r="E22" s="131" t="s">
        <v>433</v>
      </c>
      <c r="F22" s="257"/>
      <c r="G22" s="257"/>
      <c r="H22" s="257"/>
      <c r="I22" s="257"/>
      <c r="J22" s="260"/>
      <c r="K22" s="262"/>
      <c r="L22" s="213"/>
      <c r="M22" s="257"/>
      <c r="N22" s="213"/>
      <c r="O22" s="213"/>
      <c r="P22" s="252"/>
      <c r="Q22" s="130" t="s">
        <v>386</v>
      </c>
      <c r="R22" s="134" t="str">
        <f>+'Anexo 2 - Valoración Controles'!K207</f>
        <v>Fuerte</v>
      </c>
      <c r="S22" s="131" t="s">
        <v>149</v>
      </c>
      <c r="T22" s="134" t="str">
        <f t="shared" si="5"/>
        <v>Fuerte</v>
      </c>
      <c r="U22" s="134">
        <f t="shared" si="6"/>
        <v>100</v>
      </c>
      <c r="V22" s="135" t="str">
        <f t="shared" si="7"/>
        <v>No</v>
      </c>
      <c r="W22" s="136">
        <v>0.5</v>
      </c>
      <c r="X22" s="254"/>
      <c r="Y22" s="213"/>
      <c r="Z22" s="131" t="s">
        <v>157</v>
      </c>
      <c r="AA22" s="134">
        <f>IF(Z22="","",IF(AND(Y21="Fuerte",Z22="Directamente"),2,IF(AND(Y21="Moderado",Z22="Directamente"),1,0)))</f>
        <v>1</v>
      </c>
      <c r="AB22" s="131" t="s">
        <v>157</v>
      </c>
      <c r="AC22" s="134">
        <f>IF(AB22="","",IF(AND(Y21="Fuerte",AB22="Directamente"),2,IF(AND(Y21="Fuerte",AB22="indirectamente"),1,IF(AND(Y21="Fuerte",AB22="No disminuye"),0,IF(AND(Y21="Moderado",AB22="Directamente"),1,IF(AND(Y21="Moderado",AB22="indirectamente"),0,IF(AND(Y21="Moderado",AB22="No disminuye"),0,0)))))))</f>
        <v>1</v>
      </c>
      <c r="AD22" s="137">
        <f>IF(AA22="","",IF((L21-AA22)&lt;=0,1,L21-AA22))</f>
        <v>2</v>
      </c>
      <c r="AE22" s="137" t="str">
        <f t="shared" si="13"/>
        <v>Improbable</v>
      </c>
      <c r="AF22" s="137">
        <f t="shared" si="14"/>
        <v>3</v>
      </c>
      <c r="AG22" s="137" t="str">
        <f t="shared" si="15"/>
        <v>Moderado</v>
      </c>
      <c r="AH22" s="134">
        <f t="shared" si="16"/>
        <v>6</v>
      </c>
      <c r="AI22" s="151" t="str">
        <f t="shared" si="17"/>
        <v>MODERADA</v>
      </c>
      <c r="AJ22" s="135" t="str">
        <f t="shared" si="18"/>
        <v>Reducir el Riesgo.</v>
      </c>
      <c r="AK22" s="130" t="s">
        <v>400</v>
      </c>
      <c r="AL22" s="155">
        <v>10</v>
      </c>
      <c r="AM22" s="131" t="s">
        <v>401</v>
      </c>
      <c r="AN22" s="131" t="s">
        <v>399</v>
      </c>
      <c r="AO22" s="153">
        <v>43864</v>
      </c>
      <c r="AP22" s="153">
        <v>44196</v>
      </c>
      <c r="AQ22" s="156" t="s">
        <v>452</v>
      </c>
      <c r="AR22" s="172">
        <v>43951</v>
      </c>
      <c r="AS22" s="171" t="s">
        <v>514</v>
      </c>
      <c r="AT22" s="164">
        <v>0.5</v>
      </c>
      <c r="AU22" s="167">
        <f t="shared" si="19"/>
        <v>0.05</v>
      </c>
      <c r="AV22" s="134" t="str">
        <f t="shared" si="21"/>
        <v>EN PROCESO</v>
      </c>
      <c r="AW22" s="177" t="s">
        <v>532</v>
      </c>
      <c r="AX22" s="164" t="s">
        <v>508</v>
      </c>
    </row>
    <row r="23" spans="1:50" s="141" customFormat="1" ht="213.75" x14ac:dyDescent="0.15">
      <c r="A23" s="130" t="s">
        <v>32</v>
      </c>
      <c r="B23" s="131" t="s">
        <v>49</v>
      </c>
      <c r="C23" s="132" t="s">
        <v>192</v>
      </c>
      <c r="D23" s="131" t="s">
        <v>27</v>
      </c>
      <c r="E23" s="131" t="s">
        <v>204</v>
      </c>
      <c r="F23" s="131" t="s">
        <v>361</v>
      </c>
      <c r="G23" s="131" t="s">
        <v>361</v>
      </c>
      <c r="H23" s="131" t="s">
        <v>27</v>
      </c>
      <c r="I23" s="131" t="s">
        <v>362</v>
      </c>
      <c r="J23" s="133" t="s">
        <v>363</v>
      </c>
      <c r="K23" s="130" t="s">
        <v>29</v>
      </c>
      <c r="L23" s="134">
        <f t="shared" si="1"/>
        <v>2</v>
      </c>
      <c r="M23" s="131" t="s">
        <v>46</v>
      </c>
      <c r="N23" s="134">
        <f t="shared" si="2"/>
        <v>5</v>
      </c>
      <c r="O23" s="134">
        <f t="shared" si="3"/>
        <v>10</v>
      </c>
      <c r="P23" s="150" t="str">
        <f t="shared" si="4"/>
        <v>ALTA</v>
      </c>
      <c r="Q23" s="130" t="s">
        <v>254</v>
      </c>
      <c r="R23" s="134" t="str">
        <f>+'Anexo 2 - Valoración Controles'!E173</f>
        <v>Moderado</v>
      </c>
      <c r="S23" s="131" t="s">
        <v>149</v>
      </c>
      <c r="T23" s="134" t="str">
        <f t="shared" si="5"/>
        <v>Moderado</v>
      </c>
      <c r="U23" s="134">
        <f t="shared" si="6"/>
        <v>50</v>
      </c>
      <c r="V23" s="135" t="str">
        <f t="shared" si="7"/>
        <v>Si</v>
      </c>
      <c r="W23" s="136">
        <v>1</v>
      </c>
      <c r="X23" s="134">
        <f t="shared" si="8"/>
        <v>50</v>
      </c>
      <c r="Y23" s="134" t="str">
        <f t="shared" si="9"/>
        <v>Moderado</v>
      </c>
      <c r="Z23" s="131" t="s">
        <v>157</v>
      </c>
      <c r="AA23" s="134">
        <f t="shared" si="10"/>
        <v>1</v>
      </c>
      <c r="AB23" s="131" t="s">
        <v>159</v>
      </c>
      <c r="AC23" s="134">
        <f t="shared" si="11"/>
        <v>0</v>
      </c>
      <c r="AD23" s="137">
        <f t="shared" si="12"/>
        <v>1</v>
      </c>
      <c r="AE23" s="137" t="str">
        <f t="shared" si="13"/>
        <v>Rara vez</v>
      </c>
      <c r="AF23" s="137">
        <f t="shared" si="14"/>
        <v>5</v>
      </c>
      <c r="AG23" s="137" t="str">
        <f t="shared" si="15"/>
        <v>Catastrófico</v>
      </c>
      <c r="AH23" s="134">
        <f t="shared" si="16"/>
        <v>5</v>
      </c>
      <c r="AI23" s="151" t="str">
        <f t="shared" si="17"/>
        <v>MODERADA</v>
      </c>
      <c r="AJ23" s="135" t="str">
        <f t="shared" si="18"/>
        <v>Reducir el Riesgo.</v>
      </c>
      <c r="AK23" s="130" t="s">
        <v>259</v>
      </c>
      <c r="AL23" s="155">
        <v>2</v>
      </c>
      <c r="AM23" s="131" t="s">
        <v>277</v>
      </c>
      <c r="AN23" s="131" t="s">
        <v>268</v>
      </c>
      <c r="AO23" s="153">
        <v>43831</v>
      </c>
      <c r="AP23" s="153">
        <v>44196</v>
      </c>
      <c r="AQ23" s="156" t="s">
        <v>369</v>
      </c>
      <c r="AR23" s="172">
        <v>43951</v>
      </c>
      <c r="AS23" s="171" t="s">
        <v>527</v>
      </c>
      <c r="AT23" s="164">
        <v>1</v>
      </c>
      <c r="AU23" s="167">
        <f t="shared" si="19"/>
        <v>0.5</v>
      </c>
      <c r="AV23" s="134" t="str">
        <f t="shared" si="21"/>
        <v>EN PROCESO</v>
      </c>
      <c r="AW23" s="177" t="s">
        <v>542</v>
      </c>
      <c r="AX23" s="168" t="s">
        <v>526</v>
      </c>
    </row>
    <row r="24" spans="1:50" s="141" customFormat="1" ht="135" x14ac:dyDescent="0.15">
      <c r="A24" s="130" t="s">
        <v>32</v>
      </c>
      <c r="B24" s="131" t="s">
        <v>48</v>
      </c>
      <c r="C24" s="132" t="s">
        <v>195</v>
      </c>
      <c r="D24" s="131" t="s">
        <v>27</v>
      </c>
      <c r="E24" s="131" t="s">
        <v>205</v>
      </c>
      <c r="F24" s="131" t="s">
        <v>215</v>
      </c>
      <c r="G24" s="131" t="s">
        <v>402</v>
      </c>
      <c r="H24" s="131" t="s">
        <v>27</v>
      </c>
      <c r="I24" s="131" t="s">
        <v>222</v>
      </c>
      <c r="J24" s="133" t="s">
        <v>242</v>
      </c>
      <c r="K24" s="130" t="s">
        <v>22</v>
      </c>
      <c r="L24" s="134">
        <f t="shared" si="1"/>
        <v>1</v>
      </c>
      <c r="M24" s="131" t="s">
        <v>41</v>
      </c>
      <c r="N24" s="134">
        <f t="shared" si="2"/>
        <v>4</v>
      </c>
      <c r="O24" s="134">
        <f t="shared" si="3"/>
        <v>4</v>
      </c>
      <c r="P24" s="150" t="str">
        <f t="shared" si="4"/>
        <v>MODERADA</v>
      </c>
      <c r="Q24" s="130" t="s">
        <v>404</v>
      </c>
      <c r="R24" s="134" t="str">
        <f>+'Anexo 2 - Valoración Controles'!E224</f>
        <v>Fuerte</v>
      </c>
      <c r="S24" s="131" t="s">
        <v>149</v>
      </c>
      <c r="T24" s="134" t="str">
        <f t="shared" si="5"/>
        <v>Fuerte</v>
      </c>
      <c r="U24" s="134">
        <f t="shared" si="6"/>
        <v>100</v>
      </c>
      <c r="V24" s="135" t="str">
        <f t="shared" si="7"/>
        <v>No</v>
      </c>
      <c r="W24" s="136">
        <v>1</v>
      </c>
      <c r="X24" s="134">
        <f t="shared" si="8"/>
        <v>100</v>
      </c>
      <c r="Y24" s="134" t="str">
        <f t="shared" si="9"/>
        <v>Fuerte</v>
      </c>
      <c r="Z24" s="131" t="s">
        <v>157</v>
      </c>
      <c r="AA24" s="134">
        <f t="shared" si="10"/>
        <v>2</v>
      </c>
      <c r="AB24" s="131" t="s">
        <v>157</v>
      </c>
      <c r="AC24" s="134">
        <f t="shared" si="11"/>
        <v>2</v>
      </c>
      <c r="AD24" s="137">
        <f t="shared" si="12"/>
        <v>1</v>
      </c>
      <c r="AE24" s="137" t="str">
        <f t="shared" si="13"/>
        <v>Rara vez</v>
      </c>
      <c r="AF24" s="137">
        <f t="shared" si="14"/>
        <v>3</v>
      </c>
      <c r="AG24" s="137" t="str">
        <f t="shared" si="15"/>
        <v>Moderado</v>
      </c>
      <c r="AH24" s="134">
        <f t="shared" si="16"/>
        <v>3</v>
      </c>
      <c r="AI24" s="151" t="str">
        <f t="shared" si="17"/>
        <v>MODERADA</v>
      </c>
      <c r="AJ24" s="135" t="str">
        <f t="shared" si="18"/>
        <v>Reducir el Riesgo.</v>
      </c>
      <c r="AK24" s="130" t="s">
        <v>411</v>
      </c>
      <c r="AL24" s="155">
        <v>1</v>
      </c>
      <c r="AM24" s="131" t="s">
        <v>278</v>
      </c>
      <c r="AN24" s="131" t="s">
        <v>270</v>
      </c>
      <c r="AO24" s="153">
        <v>43864</v>
      </c>
      <c r="AP24" s="153">
        <v>44196</v>
      </c>
      <c r="AQ24" s="156" t="s">
        <v>412</v>
      </c>
      <c r="AR24" s="172">
        <v>43951</v>
      </c>
      <c r="AS24" s="171" t="s">
        <v>533</v>
      </c>
      <c r="AT24" s="164">
        <v>0.5</v>
      </c>
      <c r="AU24" s="167">
        <f>IF(AT24="","",IF(OR(AL24=0,AL24="",AR24=""),"",(AT24*100%)/AL24))</f>
        <v>0.5</v>
      </c>
      <c r="AV24" s="134" t="str">
        <f t="shared" si="21"/>
        <v>EN PROCESO</v>
      </c>
      <c r="AW24" s="177" t="s">
        <v>516</v>
      </c>
      <c r="AX24" s="164" t="s">
        <v>515</v>
      </c>
    </row>
    <row r="25" spans="1:50" s="141" customFormat="1" ht="135" x14ac:dyDescent="0.15">
      <c r="A25" s="130" t="s">
        <v>32</v>
      </c>
      <c r="B25" s="131" t="s">
        <v>48</v>
      </c>
      <c r="C25" s="132" t="s">
        <v>195</v>
      </c>
      <c r="D25" s="131" t="s">
        <v>27</v>
      </c>
      <c r="E25" s="131" t="s">
        <v>206</v>
      </c>
      <c r="F25" s="131" t="s">
        <v>216</v>
      </c>
      <c r="G25" s="131" t="s">
        <v>403</v>
      </c>
      <c r="H25" s="131" t="s">
        <v>27</v>
      </c>
      <c r="I25" s="131" t="s">
        <v>223</v>
      </c>
      <c r="J25" s="133" t="s">
        <v>243</v>
      </c>
      <c r="K25" s="130" t="s">
        <v>29</v>
      </c>
      <c r="L25" s="134">
        <f t="shared" si="1"/>
        <v>2</v>
      </c>
      <c r="M25" s="131" t="s">
        <v>46</v>
      </c>
      <c r="N25" s="134">
        <f t="shared" si="2"/>
        <v>5</v>
      </c>
      <c r="O25" s="134">
        <f t="shared" si="3"/>
        <v>10</v>
      </c>
      <c r="P25" s="150" t="str">
        <f t="shared" si="4"/>
        <v>ALTA</v>
      </c>
      <c r="Q25" s="130" t="s">
        <v>405</v>
      </c>
      <c r="R25" s="134" t="str">
        <f>+'Anexo 2 - Valoración Controles'!E241</f>
        <v>Fuerte</v>
      </c>
      <c r="S25" s="131" t="s">
        <v>149</v>
      </c>
      <c r="T25" s="134" t="str">
        <f t="shared" si="5"/>
        <v>Fuerte</v>
      </c>
      <c r="U25" s="134">
        <f t="shared" si="6"/>
        <v>100</v>
      </c>
      <c r="V25" s="135" t="str">
        <f t="shared" si="7"/>
        <v>No</v>
      </c>
      <c r="W25" s="136">
        <v>1</v>
      </c>
      <c r="X25" s="134">
        <f t="shared" si="8"/>
        <v>100</v>
      </c>
      <c r="Y25" s="134" t="str">
        <f t="shared" si="9"/>
        <v>Fuerte</v>
      </c>
      <c r="Z25" s="131" t="s">
        <v>157</v>
      </c>
      <c r="AA25" s="134">
        <f t="shared" si="10"/>
        <v>2</v>
      </c>
      <c r="AB25" s="131" t="s">
        <v>157</v>
      </c>
      <c r="AC25" s="134">
        <f t="shared" si="11"/>
        <v>2</v>
      </c>
      <c r="AD25" s="137">
        <f t="shared" si="12"/>
        <v>1</v>
      </c>
      <c r="AE25" s="137" t="str">
        <f t="shared" si="13"/>
        <v>Rara vez</v>
      </c>
      <c r="AF25" s="137">
        <f t="shared" si="14"/>
        <v>3</v>
      </c>
      <c r="AG25" s="137" t="str">
        <f t="shared" si="15"/>
        <v>Moderado</v>
      </c>
      <c r="AH25" s="134">
        <f t="shared" si="16"/>
        <v>3</v>
      </c>
      <c r="AI25" s="151" t="str">
        <f t="shared" si="17"/>
        <v>MODERADA</v>
      </c>
      <c r="AJ25" s="135" t="str">
        <f t="shared" si="18"/>
        <v>Reducir el Riesgo.</v>
      </c>
      <c r="AK25" s="130" t="s">
        <v>260</v>
      </c>
      <c r="AL25" s="155">
        <v>3</v>
      </c>
      <c r="AM25" s="131" t="s">
        <v>278</v>
      </c>
      <c r="AN25" s="131" t="s">
        <v>270</v>
      </c>
      <c r="AO25" s="153">
        <v>43864</v>
      </c>
      <c r="AP25" s="153">
        <v>44196</v>
      </c>
      <c r="AQ25" s="156" t="s">
        <v>412</v>
      </c>
      <c r="AR25" s="172">
        <v>43951</v>
      </c>
      <c r="AS25" s="171" t="s">
        <v>533</v>
      </c>
      <c r="AT25" s="164">
        <v>0.5</v>
      </c>
      <c r="AU25" s="167">
        <f t="shared" ref="AU25:AU32" si="22">IF(AT25="","",IF(OR(AL25=0,AL25="",AR25=""),"",(AT25*100%)/AL25))</f>
        <v>0.16666666666666666</v>
      </c>
      <c r="AV25" s="134" t="str">
        <f t="shared" si="21"/>
        <v>EN PROCESO</v>
      </c>
      <c r="AW25" s="177" t="s">
        <v>534</v>
      </c>
      <c r="AX25" s="164" t="s">
        <v>515</v>
      </c>
    </row>
    <row r="26" spans="1:50" s="141" customFormat="1" ht="315" x14ac:dyDescent="0.15">
      <c r="A26" s="130" t="s">
        <v>32</v>
      </c>
      <c r="B26" s="131" t="s">
        <v>453</v>
      </c>
      <c r="C26" s="132" t="s">
        <v>193</v>
      </c>
      <c r="D26" s="131" t="s">
        <v>27</v>
      </c>
      <c r="E26" s="131" t="s">
        <v>207</v>
      </c>
      <c r="F26" s="131" t="s">
        <v>217</v>
      </c>
      <c r="G26" s="131" t="s">
        <v>283</v>
      </c>
      <c r="H26" s="131" t="s">
        <v>27</v>
      </c>
      <c r="I26" s="131" t="s">
        <v>231</v>
      </c>
      <c r="J26" s="133" t="s">
        <v>244</v>
      </c>
      <c r="K26" s="130" t="s">
        <v>29</v>
      </c>
      <c r="L26" s="134">
        <f t="shared" si="1"/>
        <v>2</v>
      </c>
      <c r="M26" s="131" t="s">
        <v>46</v>
      </c>
      <c r="N26" s="134">
        <f t="shared" si="2"/>
        <v>5</v>
      </c>
      <c r="O26" s="134">
        <f t="shared" si="3"/>
        <v>10</v>
      </c>
      <c r="P26" s="150" t="str">
        <f t="shared" si="4"/>
        <v>ALTA</v>
      </c>
      <c r="Q26" s="130" t="s">
        <v>255</v>
      </c>
      <c r="R26" s="134" t="str">
        <f>+'Anexo 2 - Valoración Controles'!E36</f>
        <v>Moderado</v>
      </c>
      <c r="S26" s="131" t="s">
        <v>149</v>
      </c>
      <c r="T26" s="134" t="str">
        <f t="shared" si="5"/>
        <v>Moderado</v>
      </c>
      <c r="U26" s="134">
        <f t="shared" si="6"/>
        <v>50</v>
      </c>
      <c r="V26" s="135" t="str">
        <f t="shared" si="7"/>
        <v>Si</v>
      </c>
      <c r="W26" s="136">
        <v>1</v>
      </c>
      <c r="X26" s="134">
        <f t="shared" si="8"/>
        <v>50</v>
      </c>
      <c r="Y26" s="134" t="str">
        <f t="shared" si="9"/>
        <v>Moderado</v>
      </c>
      <c r="Z26" s="131" t="s">
        <v>157</v>
      </c>
      <c r="AA26" s="134">
        <f t="shared" si="10"/>
        <v>1</v>
      </c>
      <c r="AB26" s="131" t="s">
        <v>159</v>
      </c>
      <c r="AC26" s="134">
        <f t="shared" si="11"/>
        <v>0</v>
      </c>
      <c r="AD26" s="137">
        <f t="shared" si="12"/>
        <v>1</v>
      </c>
      <c r="AE26" s="137" t="str">
        <f t="shared" si="13"/>
        <v>Rara vez</v>
      </c>
      <c r="AF26" s="137">
        <f t="shared" si="14"/>
        <v>5</v>
      </c>
      <c r="AG26" s="137" t="str">
        <f t="shared" si="15"/>
        <v>Catastrófico</v>
      </c>
      <c r="AH26" s="134">
        <f t="shared" si="16"/>
        <v>5</v>
      </c>
      <c r="AI26" s="151" t="str">
        <f t="shared" si="17"/>
        <v>MODERADA</v>
      </c>
      <c r="AJ26" s="135" t="str">
        <f t="shared" si="18"/>
        <v>Reducir el Riesgo.</v>
      </c>
      <c r="AK26" s="130" t="s">
        <v>284</v>
      </c>
      <c r="AL26" s="155">
        <v>11</v>
      </c>
      <c r="AM26" s="131" t="s">
        <v>285</v>
      </c>
      <c r="AN26" s="131" t="s">
        <v>269</v>
      </c>
      <c r="AO26" s="153">
        <v>43864</v>
      </c>
      <c r="AP26" s="153">
        <v>44196</v>
      </c>
      <c r="AQ26" s="156" t="s">
        <v>286</v>
      </c>
      <c r="AR26" s="172">
        <v>43951</v>
      </c>
      <c r="AS26" s="171" t="s">
        <v>506</v>
      </c>
      <c r="AT26" s="164">
        <v>0.5</v>
      </c>
      <c r="AU26" s="167">
        <f t="shared" si="22"/>
        <v>4.5454545454545456E-2</v>
      </c>
      <c r="AV26" s="134" t="str">
        <f t="shared" si="21"/>
        <v>EN PROCESO</v>
      </c>
      <c r="AW26" s="175" t="s">
        <v>535</v>
      </c>
      <c r="AX26" s="164" t="s">
        <v>508</v>
      </c>
    </row>
    <row r="27" spans="1:50" s="141" customFormat="1" ht="56.25" x14ac:dyDescent="0.15">
      <c r="A27" s="130" t="s">
        <v>38</v>
      </c>
      <c r="B27" s="131" t="s">
        <v>53</v>
      </c>
      <c r="C27" s="255" t="s">
        <v>196</v>
      </c>
      <c r="D27" s="131" t="s">
        <v>27</v>
      </c>
      <c r="E27" s="131" t="s">
        <v>208</v>
      </c>
      <c r="F27" s="255" t="s">
        <v>414</v>
      </c>
      <c r="G27" s="255" t="s">
        <v>415</v>
      </c>
      <c r="H27" s="255" t="s">
        <v>27</v>
      </c>
      <c r="I27" s="255" t="s">
        <v>413</v>
      </c>
      <c r="J27" s="258" t="s">
        <v>232</v>
      </c>
      <c r="K27" s="261" t="s">
        <v>29</v>
      </c>
      <c r="L27" s="211">
        <f t="shared" si="1"/>
        <v>2</v>
      </c>
      <c r="M27" s="255" t="s">
        <v>41</v>
      </c>
      <c r="N27" s="211">
        <f t="shared" si="2"/>
        <v>4</v>
      </c>
      <c r="O27" s="211">
        <f t="shared" si="3"/>
        <v>8</v>
      </c>
      <c r="P27" s="251" t="str">
        <f t="shared" si="4"/>
        <v>ALTA</v>
      </c>
      <c r="Q27" s="130" t="s">
        <v>435</v>
      </c>
      <c r="R27" s="134" t="str">
        <f>+'Anexo 2 - Valoración Controles'!E258</f>
        <v>Fuerte</v>
      </c>
      <c r="S27" s="131" t="s">
        <v>149</v>
      </c>
      <c r="T27" s="134" t="str">
        <f t="shared" si="5"/>
        <v>Fuerte</v>
      </c>
      <c r="U27" s="134">
        <f t="shared" si="6"/>
        <v>100</v>
      </c>
      <c r="V27" s="135" t="str">
        <f t="shared" si="7"/>
        <v>No</v>
      </c>
      <c r="W27" s="140">
        <v>0.18</v>
      </c>
      <c r="X27" s="211">
        <f>(U27*W27)+(U28*W28)+(U29*W29)+(U30*W30)+(U31*W31)+(U32*W32)</f>
        <v>100</v>
      </c>
      <c r="Y27" s="211" t="str">
        <f t="shared" si="9"/>
        <v>Fuerte</v>
      </c>
      <c r="Z27" s="131" t="s">
        <v>157</v>
      </c>
      <c r="AA27" s="134">
        <f t="shared" si="10"/>
        <v>2</v>
      </c>
      <c r="AB27" s="131" t="s">
        <v>158</v>
      </c>
      <c r="AC27" s="134">
        <f t="shared" si="11"/>
        <v>0</v>
      </c>
      <c r="AD27" s="246">
        <f t="shared" si="12"/>
        <v>1</v>
      </c>
      <c r="AE27" s="246" t="str">
        <f t="shared" si="13"/>
        <v>Rara vez</v>
      </c>
      <c r="AF27" s="246">
        <f t="shared" si="14"/>
        <v>4</v>
      </c>
      <c r="AG27" s="246" t="str">
        <f t="shared" si="15"/>
        <v>Mayor</v>
      </c>
      <c r="AH27" s="211">
        <f t="shared" si="16"/>
        <v>4</v>
      </c>
      <c r="AI27" s="249" t="str">
        <f t="shared" si="17"/>
        <v>MODERADA</v>
      </c>
      <c r="AJ27" s="243" t="str">
        <f t="shared" si="18"/>
        <v>Reducir el Riesgo.</v>
      </c>
      <c r="AK27" s="130" t="s">
        <v>427</v>
      </c>
      <c r="AL27" s="155">
        <v>1</v>
      </c>
      <c r="AM27" s="131" t="s">
        <v>419</v>
      </c>
      <c r="AN27" s="131" t="s">
        <v>271</v>
      </c>
      <c r="AO27" s="153">
        <v>43831</v>
      </c>
      <c r="AP27" s="153">
        <v>44196</v>
      </c>
      <c r="AQ27" s="156" t="s">
        <v>420</v>
      </c>
      <c r="AR27" s="172">
        <v>43951</v>
      </c>
      <c r="AS27" s="171" t="s">
        <v>511</v>
      </c>
      <c r="AT27" s="164">
        <v>0</v>
      </c>
      <c r="AU27" s="167">
        <f t="shared" si="22"/>
        <v>0</v>
      </c>
      <c r="AV27" s="134" t="str">
        <f t="shared" si="21"/>
        <v>SIN INICIAR</v>
      </c>
      <c r="AW27" s="177" t="s">
        <v>517</v>
      </c>
      <c r="AX27" s="164" t="s">
        <v>515</v>
      </c>
    </row>
    <row r="28" spans="1:50" ht="45" x14ac:dyDescent="0.25">
      <c r="A28" s="130" t="s">
        <v>38</v>
      </c>
      <c r="B28" s="131" t="s">
        <v>53</v>
      </c>
      <c r="C28" s="256"/>
      <c r="D28" s="131" t="s">
        <v>27</v>
      </c>
      <c r="E28" s="131" t="s">
        <v>208</v>
      </c>
      <c r="F28" s="256"/>
      <c r="G28" s="256"/>
      <c r="H28" s="256"/>
      <c r="I28" s="256"/>
      <c r="J28" s="259"/>
      <c r="K28" s="265"/>
      <c r="L28" s="212"/>
      <c r="M28" s="256"/>
      <c r="N28" s="212"/>
      <c r="O28" s="212"/>
      <c r="P28" s="263"/>
      <c r="Q28" s="130" t="s">
        <v>434</v>
      </c>
      <c r="R28" s="134" t="str">
        <f>+'Anexo 2 - Valoración Controles'!K258</f>
        <v>Fuerte</v>
      </c>
      <c r="S28" s="131" t="s">
        <v>149</v>
      </c>
      <c r="T28" s="134" t="str">
        <f t="shared" ref="T28" si="23">IF(OR(R28="",S28=""),"",IF(AND(R28="Fuerte",S28="Fuerte"),"Fuerte",IF(OR(R28="Débil",S28="Débil"),"Débil","Moderado")))</f>
        <v>Fuerte</v>
      </c>
      <c r="U28" s="134">
        <f t="shared" ref="U28" si="24">IF(T28="","",IF(T28="Fuerte",100,IF(T28="Moderado",50,0)))</f>
        <v>100</v>
      </c>
      <c r="V28" s="135" t="str">
        <f t="shared" ref="V28" si="25">IF(OR(R28="",S28=""),"",(IF(AND(R28="Fuerte",S28="Fuerte"),"No","Si")))</f>
        <v>No</v>
      </c>
      <c r="W28" s="140">
        <v>0.18</v>
      </c>
      <c r="X28" s="212"/>
      <c r="Y28" s="212"/>
      <c r="Z28" s="131" t="s">
        <v>157</v>
      </c>
      <c r="AA28" s="134">
        <f>IF(Z28="","",IF(AND(Y27="Fuerte",Z28="Directamente"),2,IF(AND(Y27="Moderado",Z28="Directamente"),1,0)))</f>
        <v>2</v>
      </c>
      <c r="AB28" s="131" t="s">
        <v>158</v>
      </c>
      <c r="AC28" s="134">
        <f>IF(AB28="","",IF(AND(Y27="Fuerte",AB28="Directamente"),2,IF(AND(Y27="Fuerte",AB28="indirectamente"),1,IF(AND(Y27="Fuerte",AB28="No disminuye"),0,IF(AND(Y27="Moderado",AB28="Directamente"),1,IF(AND(Y27="Moderado",AB28="indirectamente"),0,IF(AND(Y27="Moderado",AB28="No disminuye"),0,0)))))))</f>
        <v>0</v>
      </c>
      <c r="AD28" s="247"/>
      <c r="AE28" s="247"/>
      <c r="AF28" s="247"/>
      <c r="AG28" s="247"/>
      <c r="AH28" s="212"/>
      <c r="AI28" s="272"/>
      <c r="AJ28" s="244"/>
      <c r="AK28" s="130" t="s">
        <v>428</v>
      </c>
      <c r="AL28" s="155">
        <v>1</v>
      </c>
      <c r="AM28" s="131" t="s">
        <v>419</v>
      </c>
      <c r="AN28" s="131" t="s">
        <v>271</v>
      </c>
      <c r="AO28" s="153">
        <v>43831</v>
      </c>
      <c r="AP28" s="153">
        <v>44196</v>
      </c>
      <c r="AQ28" s="156" t="s">
        <v>420</v>
      </c>
      <c r="AR28" s="172">
        <v>43951</v>
      </c>
      <c r="AS28" s="171" t="s">
        <v>518</v>
      </c>
      <c r="AT28" s="164">
        <v>0.5</v>
      </c>
      <c r="AU28" s="167">
        <f t="shared" si="22"/>
        <v>0.5</v>
      </c>
      <c r="AV28" s="169" t="str">
        <f t="shared" si="21"/>
        <v>EN PROCESO</v>
      </c>
      <c r="AW28" s="177" t="s">
        <v>519</v>
      </c>
      <c r="AX28" s="164" t="s">
        <v>515</v>
      </c>
    </row>
    <row r="29" spans="1:50" ht="101.25" x14ac:dyDescent="0.25">
      <c r="A29" s="130" t="s">
        <v>38</v>
      </c>
      <c r="B29" s="131" t="s">
        <v>53</v>
      </c>
      <c r="C29" s="256"/>
      <c r="D29" s="131" t="s">
        <v>27</v>
      </c>
      <c r="E29" s="131" t="s">
        <v>208</v>
      </c>
      <c r="F29" s="256"/>
      <c r="G29" s="256"/>
      <c r="H29" s="256"/>
      <c r="I29" s="256"/>
      <c r="J29" s="259"/>
      <c r="K29" s="265"/>
      <c r="L29" s="212"/>
      <c r="M29" s="256"/>
      <c r="N29" s="212"/>
      <c r="O29" s="212"/>
      <c r="P29" s="263"/>
      <c r="Q29" s="130" t="s">
        <v>436</v>
      </c>
      <c r="R29" s="134" t="str">
        <f>+'Anexo 2 - Valoración Controles'!S258</f>
        <v>Fuerte</v>
      </c>
      <c r="S29" s="131" t="s">
        <v>149</v>
      </c>
      <c r="T29" s="134" t="str">
        <f t="shared" si="5"/>
        <v>Fuerte</v>
      </c>
      <c r="U29" s="134">
        <f t="shared" si="6"/>
        <v>100</v>
      </c>
      <c r="V29" s="135" t="str">
        <f t="shared" si="7"/>
        <v>No</v>
      </c>
      <c r="W29" s="140">
        <v>0.3</v>
      </c>
      <c r="X29" s="212"/>
      <c r="Y29" s="212"/>
      <c r="Z29" s="131" t="s">
        <v>157</v>
      </c>
      <c r="AA29" s="134">
        <f>IF(Z29="","",IF(AND(Y27="Fuerte",Z29="Directamente"),2,IF(AND(Y27="Moderado",Z29="Directamente"),1,0)))</f>
        <v>2</v>
      </c>
      <c r="AB29" s="131" t="s">
        <v>158</v>
      </c>
      <c r="AC29" s="134">
        <f>IF(AB29="","",IF(AND(Y27="Fuerte",AB29="Directamente"),2,IF(AND(Y27="Fuerte",AB29="indirectamente"),1,IF(AND(Y27="Fuerte",AB29="No disminuye"),0,IF(AND(Y27="Moderado",AB29="Directamente"),1,IF(AND(Y27="Moderado",AB29="indirectamente"),0,IF(AND(Y27="Moderado",AB29="No disminuye"),0,0)))))))</f>
        <v>0</v>
      </c>
      <c r="AD29" s="247"/>
      <c r="AE29" s="247"/>
      <c r="AF29" s="247"/>
      <c r="AG29" s="247"/>
      <c r="AH29" s="212"/>
      <c r="AI29" s="272"/>
      <c r="AJ29" s="244"/>
      <c r="AK29" s="130" t="s">
        <v>429</v>
      </c>
      <c r="AL29" s="155">
        <v>3</v>
      </c>
      <c r="AM29" s="131" t="s">
        <v>421</v>
      </c>
      <c r="AN29" s="131" t="s">
        <v>271</v>
      </c>
      <c r="AO29" s="153">
        <v>43831</v>
      </c>
      <c r="AP29" s="153">
        <v>44196</v>
      </c>
      <c r="AQ29" s="156" t="s">
        <v>422</v>
      </c>
      <c r="AR29" s="172">
        <v>43951</v>
      </c>
      <c r="AS29" s="171" t="s">
        <v>520</v>
      </c>
      <c r="AT29" s="164">
        <v>2</v>
      </c>
      <c r="AU29" s="167">
        <f t="shared" si="22"/>
        <v>0.66666666666666663</v>
      </c>
      <c r="AV29" s="169" t="str">
        <f t="shared" si="21"/>
        <v>EN PROCESO</v>
      </c>
      <c r="AW29" s="177" t="s">
        <v>521</v>
      </c>
      <c r="AX29" s="164" t="s">
        <v>515</v>
      </c>
    </row>
    <row r="30" spans="1:50" ht="56.25" x14ac:dyDescent="0.25">
      <c r="A30" s="130" t="s">
        <v>38</v>
      </c>
      <c r="B30" s="131" t="s">
        <v>53</v>
      </c>
      <c r="C30" s="256"/>
      <c r="D30" s="131" t="s">
        <v>27</v>
      </c>
      <c r="E30" s="131" t="s">
        <v>208</v>
      </c>
      <c r="F30" s="256"/>
      <c r="G30" s="256"/>
      <c r="H30" s="256"/>
      <c r="I30" s="256"/>
      <c r="J30" s="259"/>
      <c r="K30" s="265"/>
      <c r="L30" s="212"/>
      <c r="M30" s="256"/>
      <c r="N30" s="212"/>
      <c r="O30" s="212"/>
      <c r="P30" s="263"/>
      <c r="Q30" s="130" t="s">
        <v>437</v>
      </c>
      <c r="R30" s="134" t="str">
        <f>+'Anexo 2 - Valoración Controles'!AA258</f>
        <v>Fuerte</v>
      </c>
      <c r="S30" s="131" t="s">
        <v>149</v>
      </c>
      <c r="T30" s="134" t="str">
        <f t="shared" si="5"/>
        <v>Fuerte</v>
      </c>
      <c r="U30" s="134">
        <f t="shared" si="6"/>
        <v>100</v>
      </c>
      <c r="V30" s="135" t="str">
        <f t="shared" si="7"/>
        <v>No</v>
      </c>
      <c r="W30" s="140">
        <v>0.08</v>
      </c>
      <c r="X30" s="212"/>
      <c r="Y30" s="212"/>
      <c r="Z30" s="131" t="s">
        <v>157</v>
      </c>
      <c r="AA30" s="134">
        <f>IF(Z30="","",IF(AND(Y27="Fuerte",Z30="Directamente"),2,IF(AND(Y27="Moderado",Z30="Directamente"),1,0)))</f>
        <v>2</v>
      </c>
      <c r="AB30" s="131" t="s">
        <v>158</v>
      </c>
      <c r="AC30" s="134">
        <f>IF(AB30="","",IF(AND(Y27="Fuerte",AB30="Directamente"),2,IF(AND(Y27="Fuerte",AB30="indirectamente"),1,IF(AND(Y27="Fuerte",AB30="No disminuye"),0,IF(AND(Y27="Moderado",AB30="Directamente"),1,IF(AND(Y27="Moderado",AB30="indirectamente"),0,IF(AND(Y27="Moderado",AB30="No disminuye"),0,0)))))))</f>
        <v>0</v>
      </c>
      <c r="AD30" s="247"/>
      <c r="AE30" s="247"/>
      <c r="AF30" s="247"/>
      <c r="AG30" s="247"/>
      <c r="AH30" s="212"/>
      <c r="AI30" s="272"/>
      <c r="AJ30" s="244"/>
      <c r="AK30" s="130" t="s">
        <v>430</v>
      </c>
      <c r="AL30" s="155">
        <v>2</v>
      </c>
      <c r="AM30" s="131" t="s">
        <v>419</v>
      </c>
      <c r="AN30" s="131" t="s">
        <v>271</v>
      </c>
      <c r="AO30" s="153">
        <v>43831</v>
      </c>
      <c r="AP30" s="153">
        <v>44196</v>
      </c>
      <c r="AQ30" s="156" t="s">
        <v>423</v>
      </c>
      <c r="AR30" s="172">
        <v>43951</v>
      </c>
      <c r="AS30" s="171" t="s">
        <v>511</v>
      </c>
      <c r="AT30" s="164">
        <v>0</v>
      </c>
      <c r="AU30" s="167">
        <f t="shared" si="22"/>
        <v>0</v>
      </c>
      <c r="AV30" s="169" t="str">
        <f t="shared" si="21"/>
        <v>SIN INICIAR</v>
      </c>
      <c r="AW30" s="177" t="s">
        <v>522</v>
      </c>
      <c r="AX30" s="164" t="s">
        <v>515</v>
      </c>
    </row>
    <row r="31" spans="1:50" ht="67.5" x14ac:dyDescent="0.25">
      <c r="A31" s="130" t="s">
        <v>38</v>
      </c>
      <c r="B31" s="131" t="s">
        <v>53</v>
      </c>
      <c r="C31" s="256"/>
      <c r="D31" s="131" t="s">
        <v>27</v>
      </c>
      <c r="E31" s="131" t="s">
        <v>208</v>
      </c>
      <c r="F31" s="256"/>
      <c r="G31" s="256"/>
      <c r="H31" s="256"/>
      <c r="I31" s="256"/>
      <c r="J31" s="259"/>
      <c r="K31" s="265"/>
      <c r="L31" s="212"/>
      <c r="M31" s="256"/>
      <c r="N31" s="212"/>
      <c r="O31" s="212"/>
      <c r="P31" s="263"/>
      <c r="Q31" s="130" t="s">
        <v>416</v>
      </c>
      <c r="R31" s="134" t="str">
        <f>+'Anexo 2 - Valoración Controles'!AG258</f>
        <v>Fuerte</v>
      </c>
      <c r="S31" s="131" t="s">
        <v>149</v>
      </c>
      <c r="T31" s="134" t="str">
        <f t="shared" ref="T31:T32" si="26">IF(OR(R31="",S31=""),"",IF(AND(R31="Fuerte",S31="Fuerte"),"Fuerte",IF(OR(R31="Débil",S31="Débil"),"Débil","Moderado")))</f>
        <v>Fuerte</v>
      </c>
      <c r="U31" s="134">
        <f t="shared" ref="U31:U32" si="27">IF(T31="","",IF(T31="Fuerte",100,IF(T31="Moderado",50,0)))</f>
        <v>100</v>
      </c>
      <c r="V31" s="135" t="str">
        <f t="shared" ref="V31:V32" si="28">IF(OR(R31="",S31=""),"",(IF(AND(R31="Fuerte",S31="Fuerte"),"No","Si")))</f>
        <v>No</v>
      </c>
      <c r="W31" s="140">
        <v>0.08</v>
      </c>
      <c r="X31" s="212"/>
      <c r="Y31" s="212"/>
      <c r="Z31" s="131" t="s">
        <v>157</v>
      </c>
      <c r="AA31" s="134">
        <f>IF(Z31="","",IF(AND(Y27="Fuerte",Z31="Directamente"),2,IF(AND(Y27="Moderado",Z31="Directamente"),1,0)))</f>
        <v>2</v>
      </c>
      <c r="AB31" s="131" t="s">
        <v>158</v>
      </c>
      <c r="AC31" s="134">
        <f>IF(AB31="","",IF(AND(Y27="Fuerte",AB31="Directamente"),2,IF(AND(Y27="Fuerte",AB31="indirectamente"),1,IF(AND(Y27="Fuerte",AB31="No disminuye"),0,IF(AND(Y27="Moderado",AB31="Directamente"),1,IF(AND(Y27="Moderado",AB31="indirectamente"),0,IF(AND(Y27="Moderado",AB31="No disminuye"),0,0)))))))</f>
        <v>0</v>
      </c>
      <c r="AD31" s="247"/>
      <c r="AE31" s="247"/>
      <c r="AF31" s="247"/>
      <c r="AG31" s="247"/>
      <c r="AH31" s="212"/>
      <c r="AI31" s="272"/>
      <c r="AJ31" s="244"/>
      <c r="AK31" s="130" t="s">
        <v>424</v>
      </c>
      <c r="AL31" s="155">
        <v>10</v>
      </c>
      <c r="AM31" s="131" t="s">
        <v>419</v>
      </c>
      <c r="AN31" s="131" t="s">
        <v>271</v>
      </c>
      <c r="AO31" s="153">
        <v>43831</v>
      </c>
      <c r="AP31" s="153">
        <v>44196</v>
      </c>
      <c r="AQ31" s="156" t="s">
        <v>425</v>
      </c>
      <c r="AR31" s="172">
        <v>43951</v>
      </c>
      <c r="AS31" s="171" t="s">
        <v>523</v>
      </c>
      <c r="AT31" s="164">
        <v>2</v>
      </c>
      <c r="AU31" s="167">
        <f t="shared" si="22"/>
        <v>0.2</v>
      </c>
      <c r="AV31" s="169" t="str">
        <f t="shared" si="21"/>
        <v>EN PROCESO</v>
      </c>
      <c r="AW31" s="177" t="s">
        <v>524</v>
      </c>
      <c r="AX31" s="164" t="s">
        <v>515</v>
      </c>
    </row>
    <row r="32" spans="1:50" ht="56.25" x14ac:dyDescent="0.25">
      <c r="A32" s="130" t="s">
        <v>38</v>
      </c>
      <c r="B32" s="131" t="s">
        <v>53</v>
      </c>
      <c r="C32" s="257"/>
      <c r="D32" s="131" t="s">
        <v>27</v>
      </c>
      <c r="E32" s="131" t="s">
        <v>208</v>
      </c>
      <c r="F32" s="257"/>
      <c r="G32" s="257"/>
      <c r="H32" s="257"/>
      <c r="I32" s="257"/>
      <c r="J32" s="260"/>
      <c r="K32" s="262"/>
      <c r="L32" s="213"/>
      <c r="M32" s="257"/>
      <c r="N32" s="213"/>
      <c r="O32" s="213"/>
      <c r="P32" s="252"/>
      <c r="Q32" s="130" t="s">
        <v>438</v>
      </c>
      <c r="R32" s="134" t="str">
        <f>+'Anexo 2 - Valoración Controles'!AO258</f>
        <v>Fuerte</v>
      </c>
      <c r="S32" s="131" t="s">
        <v>149</v>
      </c>
      <c r="T32" s="134" t="str">
        <f t="shared" si="26"/>
        <v>Fuerte</v>
      </c>
      <c r="U32" s="134">
        <f t="shared" si="27"/>
        <v>100</v>
      </c>
      <c r="V32" s="135" t="str">
        <f t="shared" si="28"/>
        <v>No</v>
      </c>
      <c r="W32" s="140">
        <v>0.18</v>
      </c>
      <c r="X32" s="213"/>
      <c r="Y32" s="213"/>
      <c r="Z32" s="131" t="s">
        <v>157</v>
      </c>
      <c r="AA32" s="134">
        <f>IF(Z32="","",IF(AND(Y27="Fuerte",Z32="Directamente"),2,IF(AND(Y27="Moderado",Z32="Directamente"),1,0)))</f>
        <v>2</v>
      </c>
      <c r="AB32" s="131" t="s">
        <v>158</v>
      </c>
      <c r="AC32" s="134">
        <f>IF(AB32="","",IF(AND(Y27="Fuerte",AB32="Directamente"),2,IF(AND(Y27="Fuerte",AB32="indirectamente"),1,IF(AND(Y27="Fuerte",AB32="No disminuye"),0,IF(AND(Y27="Moderado",AB32="Directamente"),1,IF(AND(Y27="Moderado",AB32="indirectamente"),0,IF(AND(Y27="Moderado",AB32="No disminuye"),0,0)))))))</f>
        <v>0</v>
      </c>
      <c r="AD32" s="248"/>
      <c r="AE32" s="248"/>
      <c r="AF32" s="248"/>
      <c r="AG32" s="248"/>
      <c r="AH32" s="213"/>
      <c r="AI32" s="250"/>
      <c r="AJ32" s="245"/>
      <c r="AK32" s="130" t="s">
        <v>426</v>
      </c>
      <c r="AL32" s="155">
        <v>1</v>
      </c>
      <c r="AM32" s="131" t="s">
        <v>419</v>
      </c>
      <c r="AN32" s="131" t="s">
        <v>271</v>
      </c>
      <c r="AO32" s="153">
        <v>43831</v>
      </c>
      <c r="AP32" s="153">
        <v>44196</v>
      </c>
      <c r="AQ32" s="156" t="s">
        <v>420</v>
      </c>
      <c r="AR32" s="172">
        <v>43951</v>
      </c>
      <c r="AS32" s="171" t="s">
        <v>511</v>
      </c>
      <c r="AT32" s="164">
        <v>0</v>
      </c>
      <c r="AU32" s="167">
        <f t="shared" si="22"/>
        <v>0</v>
      </c>
      <c r="AV32" s="169" t="str">
        <f t="shared" si="21"/>
        <v>SIN INICIAR</v>
      </c>
      <c r="AW32" s="177" t="s">
        <v>525</v>
      </c>
      <c r="AX32" s="164" t="s">
        <v>515</v>
      </c>
    </row>
  </sheetData>
  <mergeCells count="130">
    <mergeCell ref="AR6:AX6"/>
    <mergeCell ref="AR7:AR8"/>
    <mergeCell ref="AS7:AS8"/>
    <mergeCell ref="AT7:AT8"/>
    <mergeCell ref="AU7:AU8"/>
    <mergeCell ref="AV7:AV8"/>
    <mergeCell ref="AW7:AW8"/>
    <mergeCell ref="AX7:AX8"/>
    <mergeCell ref="A1:B4"/>
    <mergeCell ref="AX1:AX4"/>
    <mergeCell ref="D1:T4"/>
    <mergeCell ref="W1:Z4"/>
    <mergeCell ref="AB1:AW4"/>
    <mergeCell ref="W7:W8"/>
    <mergeCell ref="X7:X8"/>
    <mergeCell ref="AD7:AH7"/>
    <mergeCell ref="Z7:Z8"/>
    <mergeCell ref="AB7:AB8"/>
    <mergeCell ref="AC7:AC8"/>
    <mergeCell ref="AA7:AA8"/>
    <mergeCell ref="AK6:AQ6"/>
    <mergeCell ref="AK7:AK8"/>
    <mergeCell ref="AQ7:AQ8"/>
    <mergeCell ref="A7:E7"/>
    <mergeCell ref="C16:C18"/>
    <mergeCell ref="AI27:AI32"/>
    <mergeCell ref="AJ27:AJ32"/>
    <mergeCell ref="C27:C32"/>
    <mergeCell ref="C21:C22"/>
    <mergeCell ref="C19:C20"/>
    <mergeCell ref="AD27:AD32"/>
    <mergeCell ref="AE27:AE32"/>
    <mergeCell ref="AF27:AF32"/>
    <mergeCell ref="AG27:AG32"/>
    <mergeCell ref="AH27:AH32"/>
    <mergeCell ref="F27:F32"/>
    <mergeCell ref="G27:G32"/>
    <mergeCell ref="H27:H32"/>
    <mergeCell ref="K27:K32"/>
    <mergeCell ref="L27:L32"/>
    <mergeCell ref="F21:F22"/>
    <mergeCell ref="G21:G22"/>
    <mergeCell ref="H21:H22"/>
    <mergeCell ref="AI16:AI18"/>
    <mergeCell ref="P16:P18"/>
    <mergeCell ref="O19:O20"/>
    <mergeCell ref="F19:F20"/>
    <mergeCell ref="G19:G20"/>
    <mergeCell ref="H19:H20"/>
    <mergeCell ref="I19:I20"/>
    <mergeCell ref="J19:J20"/>
    <mergeCell ref="K16:K18"/>
    <mergeCell ref="L16:L18"/>
    <mergeCell ref="M16:M18"/>
    <mergeCell ref="N16:N18"/>
    <mergeCell ref="F16:F18"/>
    <mergeCell ref="G16:G18"/>
    <mergeCell ref="H16:H18"/>
    <mergeCell ref="I16:I18"/>
    <mergeCell ref="J16:J18"/>
    <mergeCell ref="K19:K20"/>
    <mergeCell ref="L19:L20"/>
    <mergeCell ref="M19:M20"/>
    <mergeCell ref="N19:N20"/>
    <mergeCell ref="P19:P20"/>
    <mergeCell ref="AE16:AE18"/>
    <mergeCell ref="X21:X22"/>
    <mergeCell ref="Y21:Y22"/>
    <mergeCell ref="I27:I32"/>
    <mergeCell ref="J27:J32"/>
    <mergeCell ref="X27:X32"/>
    <mergeCell ref="Y27:Y32"/>
    <mergeCell ref="K21:K22"/>
    <mergeCell ref="L21:L22"/>
    <mergeCell ref="M21:M22"/>
    <mergeCell ref="N21:N22"/>
    <mergeCell ref="O21:O22"/>
    <mergeCell ref="P21:P22"/>
    <mergeCell ref="M27:M32"/>
    <mergeCell ref="N27:N32"/>
    <mergeCell ref="O27:O32"/>
    <mergeCell ref="P27:P32"/>
    <mergeCell ref="J21:J22"/>
    <mergeCell ref="I21:I22"/>
    <mergeCell ref="X16:X18"/>
    <mergeCell ref="Y16:Y18"/>
    <mergeCell ref="AD16:AD18"/>
    <mergeCell ref="O16:O18"/>
    <mergeCell ref="AJ19:AJ20"/>
    <mergeCell ref="AE19:AE20"/>
    <mergeCell ref="AF19:AF20"/>
    <mergeCell ref="AG19:AG20"/>
    <mergeCell ref="AH19:AH20"/>
    <mergeCell ref="AI19:AI20"/>
    <mergeCell ref="X19:X20"/>
    <mergeCell ref="Y19:Y20"/>
    <mergeCell ref="AD19:AD20"/>
    <mergeCell ref="AH16:AH18"/>
    <mergeCell ref="V1:V4"/>
    <mergeCell ref="K6:P6"/>
    <mergeCell ref="W6:AJ6"/>
    <mergeCell ref="Y7:Y8"/>
    <mergeCell ref="P7:P8"/>
    <mergeCell ref="L7:L8"/>
    <mergeCell ref="N7:N8"/>
    <mergeCell ref="K7:K8"/>
    <mergeCell ref="R7:R8"/>
    <mergeCell ref="Q7:Q8"/>
    <mergeCell ref="T7:T8"/>
    <mergeCell ref="Q6:V6"/>
    <mergeCell ref="V7:V8"/>
    <mergeCell ref="S7:S8"/>
    <mergeCell ref="U7:U8"/>
    <mergeCell ref="AI7:AI8"/>
    <mergeCell ref="AJ16:AJ18"/>
    <mergeCell ref="AF16:AF18"/>
    <mergeCell ref="AG16:AG18"/>
    <mergeCell ref="AO7:AP7"/>
    <mergeCell ref="AL7:AL8"/>
    <mergeCell ref="F7:F8"/>
    <mergeCell ref="G7:G8"/>
    <mergeCell ref="J7:J8"/>
    <mergeCell ref="H7:H8"/>
    <mergeCell ref="A6:J6"/>
    <mergeCell ref="I7:I8"/>
    <mergeCell ref="M7:M8"/>
    <mergeCell ref="O7:O8"/>
    <mergeCell ref="AN7:AN8"/>
    <mergeCell ref="AM7:AM8"/>
    <mergeCell ref="AJ7:AJ8"/>
  </mergeCells>
  <conditionalFormatting sqref="P19">
    <cfRule type="containsText" dxfId="63" priority="117" operator="containsText" text="ALTA">
      <formula>NOT(ISERROR(SEARCH("ALTA",P19)))</formula>
    </cfRule>
    <cfRule type="containsText" dxfId="62" priority="118" operator="containsText" text="EXTREMA">
      <formula>NOT(ISERROR(SEARCH("EXTREMA",P19)))</formula>
    </cfRule>
    <cfRule type="containsText" dxfId="61" priority="119" operator="containsText" text="ALTA">
      <formula>NOT(ISERROR(SEARCH("ALTA",P19)))</formula>
    </cfRule>
    <cfRule type="containsText" dxfId="60" priority="120" operator="containsText" text="MODERADA">
      <formula>NOT(ISERROR(SEARCH("MODERADA",P19)))</formula>
    </cfRule>
    <cfRule type="containsText" dxfId="59" priority="121" operator="containsText" text="BAJA">
      <formula>NOT(ISERROR(SEARCH("BAJA",P19)))</formula>
    </cfRule>
    <cfRule type="colorScale" priority="122">
      <colorScale>
        <cfvo type="num" val="1"/>
        <cfvo type="num" val="2"/>
        <cfvo type="num" val="5"/>
        <color rgb="FFF8696B"/>
        <color rgb="FFFFEB84"/>
        <color rgb="FF63BE7B"/>
      </colorScale>
    </cfRule>
    <cfRule type="colorScale" priority="123">
      <colorScale>
        <cfvo type="min"/>
        <cfvo type="percentile" val="50"/>
        <cfvo type="max"/>
        <color rgb="FFF8696B"/>
        <color rgb="FFFFEB84"/>
        <color rgb="FF63BE7B"/>
      </colorScale>
    </cfRule>
  </conditionalFormatting>
  <conditionalFormatting sqref="P19">
    <cfRule type="containsText" dxfId="58" priority="124" operator="containsText" text="ALTA">
      <formula>NOT(ISERROR(SEARCH("ALTA",P19)))</formula>
    </cfRule>
    <cfRule type="containsText" dxfId="57" priority="125" operator="containsText" text="EXTREMA">
      <formula>NOT(ISERROR(SEARCH("EXTREMA",P19)))</formula>
    </cfRule>
    <cfRule type="containsText" dxfId="56" priority="126" operator="containsText" text="ALTA">
      <formula>NOT(ISERROR(SEARCH("ALTA",P19)))</formula>
    </cfRule>
    <cfRule type="containsText" dxfId="55" priority="127" operator="containsText" text="MODERADA">
      <formula>NOT(ISERROR(SEARCH("MODERADA",P19)))</formula>
    </cfRule>
    <cfRule type="containsText" dxfId="54" priority="128" operator="containsText" text="BAJA">
      <formula>NOT(ISERROR(SEARCH("BAJA",P19)))</formula>
    </cfRule>
    <cfRule type="colorScale" priority="129">
      <colorScale>
        <cfvo type="num" val="1"/>
        <cfvo type="num" val="2"/>
        <cfvo type="num" val="5"/>
        <color rgb="FFF8696B"/>
        <color rgb="FFFFEB84"/>
        <color rgb="FF63BE7B"/>
      </colorScale>
    </cfRule>
    <cfRule type="colorScale" priority="130">
      <colorScale>
        <cfvo type="min"/>
        <cfvo type="percentile" val="50"/>
        <cfvo type="max"/>
        <color rgb="FFF8696B"/>
        <color rgb="FFFFEB84"/>
        <color rgb="FF63BE7B"/>
      </colorScale>
    </cfRule>
  </conditionalFormatting>
  <conditionalFormatting sqref="AI19">
    <cfRule type="containsText" dxfId="53" priority="131" operator="containsText" text="ALTA">
      <formula>NOT(ISERROR(SEARCH("ALTA",AI19)))</formula>
    </cfRule>
    <cfRule type="containsText" dxfId="52" priority="132" operator="containsText" text="EXTREMA">
      <formula>NOT(ISERROR(SEARCH("EXTREMA",AI19)))</formula>
    </cfRule>
    <cfRule type="containsText" dxfId="51" priority="133" operator="containsText" text="ALTA">
      <formula>NOT(ISERROR(SEARCH("ALTA",AI19)))</formula>
    </cfRule>
    <cfRule type="containsText" dxfId="50" priority="134" operator="containsText" text="MODERADA">
      <formula>NOT(ISERROR(SEARCH("MODERADA",AI19)))</formula>
    </cfRule>
    <cfRule type="containsText" dxfId="49" priority="135" operator="containsText" text="BAJA">
      <formula>NOT(ISERROR(SEARCH("BAJA",AI19)))</formula>
    </cfRule>
    <cfRule type="colorScale" priority="136">
      <colorScale>
        <cfvo type="num" val="1"/>
        <cfvo type="num" val="2"/>
        <cfvo type="num" val="5"/>
        <color rgb="FFF8696B"/>
        <color rgb="FFFFEB84"/>
        <color rgb="FF63BE7B"/>
      </colorScale>
    </cfRule>
    <cfRule type="colorScale" priority="137">
      <colorScale>
        <cfvo type="min"/>
        <cfvo type="percentile" val="50"/>
        <cfvo type="max"/>
        <color rgb="FFF8696B"/>
        <color rgb="FFFFEB84"/>
        <color rgb="FF63BE7B"/>
      </colorScale>
    </cfRule>
  </conditionalFormatting>
  <conditionalFormatting sqref="AI19">
    <cfRule type="containsText" dxfId="48" priority="138" operator="containsText" text="ALTA">
      <formula>NOT(ISERROR(SEARCH("ALTA",AI19)))</formula>
    </cfRule>
    <cfRule type="containsText" dxfId="47" priority="139" operator="containsText" text="EXTREMA">
      <formula>NOT(ISERROR(SEARCH("EXTREMA",AI19)))</formula>
    </cfRule>
    <cfRule type="containsText" dxfId="46" priority="140" operator="containsText" text="ALTA">
      <formula>NOT(ISERROR(SEARCH("ALTA",AI19)))</formula>
    </cfRule>
    <cfRule type="containsText" dxfId="45" priority="141" operator="containsText" text="MODERADA">
      <formula>NOT(ISERROR(SEARCH("MODERADA",AI19)))</formula>
    </cfRule>
    <cfRule type="containsText" dxfId="44" priority="142" operator="containsText" text="BAJA">
      <formula>NOT(ISERROR(SEARCH("BAJA",AI19)))</formula>
    </cfRule>
    <cfRule type="colorScale" priority="143">
      <colorScale>
        <cfvo type="num" val="1"/>
        <cfvo type="num" val="2"/>
        <cfvo type="num" val="5"/>
        <color rgb="FFF8696B"/>
        <color rgb="FFFFEB84"/>
        <color rgb="FF63BE7B"/>
      </colorScale>
    </cfRule>
    <cfRule type="colorScale" priority="144">
      <colorScale>
        <cfvo type="min"/>
        <cfvo type="percentile" val="50"/>
        <cfvo type="max"/>
        <color rgb="FFF8696B"/>
        <color rgb="FFFFEB84"/>
        <color rgb="FF63BE7B"/>
      </colorScale>
    </cfRule>
  </conditionalFormatting>
  <conditionalFormatting sqref="P12">
    <cfRule type="containsText" dxfId="43" priority="89" operator="containsText" text="ALTA">
      <formula>NOT(ISERROR(SEARCH("ALTA",P12)))</formula>
    </cfRule>
    <cfRule type="containsText" dxfId="42" priority="90" operator="containsText" text="EXTREMA">
      <formula>NOT(ISERROR(SEARCH("EXTREMA",P12)))</formula>
    </cfRule>
    <cfRule type="containsText" dxfId="41" priority="91" operator="containsText" text="ALTA">
      <formula>NOT(ISERROR(SEARCH("ALTA",P12)))</formula>
    </cfRule>
    <cfRule type="containsText" dxfId="40" priority="92" operator="containsText" text="MODERADA">
      <formula>NOT(ISERROR(SEARCH("MODERADA",P12)))</formula>
    </cfRule>
    <cfRule type="containsText" dxfId="39" priority="93" operator="containsText" text="BAJA">
      <formula>NOT(ISERROR(SEARCH("BAJA",P12)))</formula>
    </cfRule>
    <cfRule type="colorScale" priority="94">
      <colorScale>
        <cfvo type="num" val="1"/>
        <cfvo type="num" val="2"/>
        <cfvo type="num" val="5"/>
        <color rgb="FFF8696B"/>
        <color rgb="FFFFEB84"/>
        <color rgb="FF63BE7B"/>
      </colorScale>
    </cfRule>
    <cfRule type="colorScale" priority="95">
      <colorScale>
        <cfvo type="min"/>
        <cfvo type="percentile" val="50"/>
        <cfvo type="max"/>
        <color rgb="FFF8696B"/>
        <color rgb="FFFFEB84"/>
        <color rgb="FF63BE7B"/>
      </colorScale>
    </cfRule>
  </conditionalFormatting>
  <conditionalFormatting sqref="P12">
    <cfRule type="containsText" dxfId="38" priority="96" operator="containsText" text="ALTA">
      <formula>NOT(ISERROR(SEARCH("ALTA",P12)))</formula>
    </cfRule>
    <cfRule type="containsText" dxfId="37" priority="97" operator="containsText" text="EXTREMA">
      <formula>NOT(ISERROR(SEARCH("EXTREMA",P12)))</formula>
    </cfRule>
    <cfRule type="containsText" dxfId="36" priority="98" operator="containsText" text="ALTA">
      <formula>NOT(ISERROR(SEARCH("ALTA",P12)))</formula>
    </cfRule>
    <cfRule type="containsText" dxfId="35" priority="99" operator="containsText" text="MODERADA">
      <formula>NOT(ISERROR(SEARCH("MODERADA",P12)))</formula>
    </cfRule>
    <cfRule type="containsText" dxfId="34" priority="100" operator="containsText" text="BAJA">
      <formula>NOT(ISERROR(SEARCH("BAJA",P12)))</formula>
    </cfRule>
    <cfRule type="colorScale" priority="101">
      <colorScale>
        <cfvo type="num" val="1"/>
        <cfvo type="num" val="2"/>
        <cfvo type="num" val="5"/>
        <color rgb="FFF8696B"/>
        <color rgb="FFFFEB84"/>
        <color rgb="FF63BE7B"/>
      </colorScale>
    </cfRule>
    <cfRule type="colorScale" priority="102">
      <colorScale>
        <cfvo type="min"/>
        <cfvo type="percentile" val="50"/>
        <cfvo type="max"/>
        <color rgb="FFF8696B"/>
        <color rgb="FFFFEB84"/>
        <color rgb="FF63BE7B"/>
      </colorScale>
    </cfRule>
  </conditionalFormatting>
  <conditionalFormatting sqref="AI12">
    <cfRule type="containsText" dxfId="33" priority="103" operator="containsText" text="ALTA">
      <formula>NOT(ISERROR(SEARCH("ALTA",AI12)))</formula>
    </cfRule>
    <cfRule type="containsText" dxfId="32" priority="104" operator="containsText" text="EXTREMA">
      <formula>NOT(ISERROR(SEARCH("EXTREMA",AI12)))</formula>
    </cfRule>
    <cfRule type="containsText" dxfId="31" priority="105" operator="containsText" text="ALTA">
      <formula>NOT(ISERROR(SEARCH("ALTA",AI12)))</formula>
    </cfRule>
    <cfRule type="containsText" dxfId="30" priority="106" operator="containsText" text="MODERADA">
      <formula>NOT(ISERROR(SEARCH("MODERADA",AI12)))</formula>
    </cfRule>
    <cfRule type="containsText" dxfId="29" priority="107" operator="containsText" text="BAJA">
      <formula>NOT(ISERROR(SEARCH("BAJA",AI12)))</formula>
    </cfRule>
    <cfRule type="colorScale" priority="108">
      <colorScale>
        <cfvo type="num" val="1"/>
        <cfvo type="num" val="2"/>
        <cfvo type="num" val="5"/>
        <color rgb="FFF8696B"/>
        <color rgb="FFFFEB84"/>
        <color rgb="FF63BE7B"/>
      </colorScale>
    </cfRule>
    <cfRule type="colorScale" priority="109">
      <colorScale>
        <cfvo type="min"/>
        <cfvo type="percentile" val="50"/>
        <cfvo type="max"/>
        <color rgb="FFF8696B"/>
        <color rgb="FFFFEB84"/>
        <color rgb="FF63BE7B"/>
      </colorScale>
    </cfRule>
  </conditionalFormatting>
  <conditionalFormatting sqref="AI12">
    <cfRule type="containsText" dxfId="28" priority="110" operator="containsText" text="ALTA">
      <formula>NOT(ISERROR(SEARCH("ALTA",AI12)))</formula>
    </cfRule>
    <cfRule type="containsText" dxfId="27" priority="111" operator="containsText" text="EXTREMA">
      <formula>NOT(ISERROR(SEARCH("EXTREMA",AI12)))</formula>
    </cfRule>
    <cfRule type="containsText" dxfId="26" priority="112" operator="containsText" text="ALTA">
      <formula>NOT(ISERROR(SEARCH("ALTA",AI12)))</formula>
    </cfRule>
    <cfRule type="containsText" dxfId="25" priority="113" operator="containsText" text="MODERADA">
      <formula>NOT(ISERROR(SEARCH("MODERADA",AI12)))</formula>
    </cfRule>
    <cfRule type="containsText" dxfId="24" priority="114" operator="containsText" text="BAJA">
      <formula>NOT(ISERROR(SEARCH("BAJA",AI12)))</formula>
    </cfRule>
    <cfRule type="colorScale" priority="115">
      <colorScale>
        <cfvo type="num" val="1"/>
        <cfvo type="num" val="2"/>
        <cfvo type="num" val="5"/>
        <color rgb="FFF8696B"/>
        <color rgb="FFFFEB84"/>
        <color rgb="FF63BE7B"/>
      </colorScale>
    </cfRule>
    <cfRule type="colorScale" priority="116">
      <colorScale>
        <cfvo type="min"/>
        <cfvo type="percentile" val="50"/>
        <cfvo type="max"/>
        <color rgb="FFF8696B"/>
        <color rgb="FFFFEB84"/>
        <color rgb="FF63BE7B"/>
      </colorScale>
    </cfRule>
  </conditionalFormatting>
  <conditionalFormatting sqref="P9:P11 P21 P13:P16 P23:P27">
    <cfRule type="containsText" dxfId="23" priority="313" operator="containsText" text="ALTA">
      <formula>NOT(ISERROR(SEARCH("ALTA",P9)))</formula>
    </cfRule>
    <cfRule type="containsText" dxfId="22" priority="314" operator="containsText" text="EXTREMA">
      <formula>NOT(ISERROR(SEARCH("EXTREMA",P9)))</formula>
    </cfRule>
    <cfRule type="containsText" dxfId="21" priority="315" operator="containsText" text="ALTA">
      <formula>NOT(ISERROR(SEARCH("ALTA",P9)))</formula>
    </cfRule>
    <cfRule type="containsText" dxfId="20" priority="316" operator="containsText" text="MODERADA">
      <formula>NOT(ISERROR(SEARCH("MODERADA",P9)))</formula>
    </cfRule>
    <cfRule type="containsText" dxfId="19" priority="317" operator="containsText" text="BAJA">
      <formula>NOT(ISERROR(SEARCH("BAJA",P9)))</formula>
    </cfRule>
    <cfRule type="colorScale" priority="318">
      <colorScale>
        <cfvo type="num" val="1"/>
        <cfvo type="num" val="2"/>
        <cfvo type="num" val="5"/>
        <color rgb="FFF8696B"/>
        <color rgb="FFFFEB84"/>
        <color rgb="FF63BE7B"/>
      </colorScale>
    </cfRule>
    <cfRule type="colorScale" priority="319">
      <colorScale>
        <cfvo type="min"/>
        <cfvo type="percentile" val="50"/>
        <cfvo type="max"/>
        <color rgb="FFF8696B"/>
        <color rgb="FFFFEB84"/>
        <color rgb="FF63BE7B"/>
      </colorScale>
    </cfRule>
  </conditionalFormatting>
  <conditionalFormatting sqref="P9:P11 P21 P13:P16 P23:P27">
    <cfRule type="containsText" dxfId="18" priority="341" operator="containsText" text="ALTA">
      <formula>NOT(ISERROR(SEARCH("ALTA",P9)))</formula>
    </cfRule>
    <cfRule type="containsText" dxfId="17" priority="342" operator="containsText" text="EXTREMA">
      <formula>NOT(ISERROR(SEARCH("EXTREMA",P9)))</formula>
    </cfRule>
    <cfRule type="containsText" dxfId="16" priority="343" operator="containsText" text="ALTA">
      <formula>NOT(ISERROR(SEARCH("ALTA",P9)))</formula>
    </cfRule>
    <cfRule type="containsText" dxfId="15" priority="344" operator="containsText" text="MODERADA">
      <formula>NOT(ISERROR(SEARCH("MODERADA",P9)))</formula>
    </cfRule>
    <cfRule type="containsText" dxfId="14" priority="345" operator="containsText" text="BAJA">
      <formula>NOT(ISERROR(SEARCH("BAJA",P9)))</formula>
    </cfRule>
    <cfRule type="colorScale" priority="346">
      <colorScale>
        <cfvo type="num" val="1"/>
        <cfvo type="num" val="2"/>
        <cfvo type="num" val="5"/>
        <color rgb="FFF8696B"/>
        <color rgb="FFFFEB84"/>
        <color rgb="FF63BE7B"/>
      </colorScale>
    </cfRule>
    <cfRule type="colorScale" priority="347">
      <colorScale>
        <cfvo type="min"/>
        <cfvo type="percentile" val="50"/>
        <cfvo type="max"/>
        <color rgb="FFF8696B"/>
        <color rgb="FFFFEB84"/>
        <color rgb="FF63BE7B"/>
      </colorScale>
    </cfRule>
  </conditionalFormatting>
  <conditionalFormatting sqref="AI21:AI27 AI9:AI11 AI13:AI16">
    <cfRule type="containsText" dxfId="13" priority="369" operator="containsText" text="ALTA">
      <formula>NOT(ISERROR(SEARCH("ALTA",AI9)))</formula>
    </cfRule>
    <cfRule type="containsText" dxfId="12" priority="370" operator="containsText" text="EXTREMA">
      <formula>NOT(ISERROR(SEARCH("EXTREMA",AI9)))</formula>
    </cfRule>
    <cfRule type="containsText" dxfId="11" priority="371" operator="containsText" text="ALTA">
      <formula>NOT(ISERROR(SEARCH("ALTA",AI9)))</formula>
    </cfRule>
    <cfRule type="containsText" dxfId="10" priority="372" operator="containsText" text="MODERADA">
      <formula>NOT(ISERROR(SEARCH("MODERADA",AI9)))</formula>
    </cfRule>
    <cfRule type="containsText" dxfId="9" priority="373" operator="containsText" text="BAJA">
      <formula>NOT(ISERROR(SEARCH("BAJA",AI9)))</formula>
    </cfRule>
    <cfRule type="colorScale" priority="374">
      <colorScale>
        <cfvo type="num" val="1"/>
        <cfvo type="num" val="2"/>
        <cfvo type="num" val="5"/>
        <color rgb="FFF8696B"/>
        <color rgb="FFFFEB84"/>
        <color rgb="FF63BE7B"/>
      </colorScale>
    </cfRule>
    <cfRule type="colorScale" priority="375">
      <colorScale>
        <cfvo type="min"/>
        <cfvo type="percentile" val="50"/>
        <cfvo type="max"/>
        <color rgb="FFF8696B"/>
        <color rgb="FFFFEB84"/>
        <color rgb="FF63BE7B"/>
      </colorScale>
    </cfRule>
  </conditionalFormatting>
  <conditionalFormatting sqref="AI21:AI27 AI9:AI11 AI13:AI16">
    <cfRule type="containsText" dxfId="8" priority="390" operator="containsText" text="ALTA">
      <formula>NOT(ISERROR(SEARCH("ALTA",AI9)))</formula>
    </cfRule>
    <cfRule type="containsText" dxfId="7" priority="391" operator="containsText" text="EXTREMA">
      <formula>NOT(ISERROR(SEARCH("EXTREMA",AI9)))</formula>
    </cfRule>
    <cfRule type="containsText" dxfId="6" priority="392" operator="containsText" text="ALTA">
      <formula>NOT(ISERROR(SEARCH("ALTA",AI9)))</formula>
    </cfRule>
    <cfRule type="containsText" dxfId="5" priority="393" operator="containsText" text="MODERADA">
      <formula>NOT(ISERROR(SEARCH("MODERADA",AI9)))</formula>
    </cfRule>
    <cfRule type="containsText" dxfId="4" priority="394" operator="containsText" text="BAJA">
      <formula>NOT(ISERROR(SEARCH("BAJA",AI9)))</formula>
    </cfRule>
    <cfRule type="colorScale" priority="395">
      <colorScale>
        <cfvo type="num" val="1"/>
        <cfvo type="num" val="2"/>
        <cfvo type="num" val="5"/>
        <color rgb="FFF8696B"/>
        <color rgb="FFFFEB84"/>
        <color rgb="FF63BE7B"/>
      </colorScale>
    </cfRule>
    <cfRule type="colorScale" priority="396">
      <colorScale>
        <cfvo type="min"/>
        <cfvo type="percentile" val="50"/>
        <cfvo type="max"/>
        <color rgb="FFF8696B"/>
        <color rgb="FFFFEB84"/>
        <color rgb="FF63BE7B"/>
      </colorScale>
    </cfRule>
  </conditionalFormatting>
  <conditionalFormatting sqref="AV9:AV32">
    <cfRule type="containsText" dxfId="3" priority="4" operator="containsText" text="TERMINADA">
      <formula>NOT(ISERROR(SEARCH("TERMINADA",AV9)))</formula>
    </cfRule>
    <cfRule type="containsText" dxfId="2" priority="3" operator="containsText" text="SIN INICIAR">
      <formula>NOT(ISERROR(SEARCH("SIN INICIAR",AV9)))</formula>
    </cfRule>
    <cfRule type="containsText" dxfId="1" priority="2" operator="containsText" text="EN PROCESO">
      <formula>NOT(ISERROR(SEARCH("EN PROCESO",AV9)))</formula>
    </cfRule>
    <cfRule type="containsText" dxfId="0" priority="1" operator="containsText" text="INCUMPLIDA">
      <formula>NOT(ISERROR(SEARCH("INCUMPLIDA",AV9)))</formula>
    </cfRule>
  </conditionalFormatting>
  <dataValidations count="9">
    <dataValidation type="list" allowBlank="1" showInputMessage="1" showErrorMessage="1" sqref="A9:A32" xr:uid="{00000000-0002-0000-0200-000000000000}">
      <formula1>Macroprocesos</formula1>
    </dataValidation>
    <dataValidation type="list" allowBlank="1" showInputMessage="1" showErrorMessage="1" sqref="B9:B32" xr:uid="{00000000-0002-0000-0200-000001000000}">
      <formula1>Procesos</formula1>
    </dataValidation>
    <dataValidation type="list" allowBlank="1" showInputMessage="1" showErrorMessage="1" sqref="D9:D32" xr:uid="{00000000-0002-0000-0200-000002000000}">
      <formula1>Tipología</formula1>
    </dataValidation>
    <dataValidation type="list" allowBlank="1" showInputMessage="1" showErrorMessage="1" sqref="H9:H16 H19 H21 H23:H27" xr:uid="{00000000-0002-0000-0200-000003000000}">
      <formula1>Tipo_Impacto</formula1>
    </dataValidation>
    <dataValidation type="list" allowBlank="1" showInputMessage="1" showErrorMessage="1" sqref="K9:K16 K19 K21 K23:K27" xr:uid="{00000000-0002-0000-0200-000004000000}">
      <formula1>Frecuencia</formula1>
    </dataValidation>
    <dataValidation type="list" allowBlank="1" showInputMessage="1" showErrorMessage="1" sqref="M9:M16 M19 M21 M23:M27" xr:uid="{00000000-0002-0000-0200-000005000000}">
      <formula1>Impacto</formula1>
    </dataValidation>
    <dataValidation type="list" allowBlank="1" showInputMessage="1" showErrorMessage="1" sqref="S9:S32" xr:uid="{00000000-0002-0000-0200-000006000000}">
      <formula1>Ejecución</formula1>
    </dataValidation>
    <dataValidation type="list" allowBlank="1" showInputMessage="1" showErrorMessage="1" sqref="Z9:Z32" xr:uid="{00000000-0002-0000-0200-000007000000}">
      <formula1>P_8</formula1>
    </dataValidation>
    <dataValidation type="list" allowBlank="1" showInputMessage="1" showErrorMessage="1" sqref="AB9:AB32" xr:uid="{00000000-0002-0000-0200-000008000000}">
      <formula1>P_9</formula1>
    </dataValidation>
  </dataValidations>
  <printOptions horizontalCentered="1"/>
  <pageMargins left="0.15748031496062992" right="0.15748031496062992" top="0.27559055118110237" bottom="0.32" header="0.19685039370078741" footer="0.17"/>
  <pageSetup paperSize="281" scale="60" pageOrder="overThenDown" orientation="landscape" r:id="rId1"/>
  <colBreaks count="1" manualBreakCount="1">
    <brk id="22" max="1048575" man="1"/>
  </colBreaks>
  <ignoredErrors>
    <ignoredError sqref="AU9" unlockedFormula="1"/>
    <ignoredError sqref="AV26 AV10"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D8690F-F487-4448-8600-3A08DA46266E}">
          <x14:formula1>
            <xm:f>Datos!$B$3:$B$24</xm:f>
          </x14:formula1>
          <xm:sqref>AT9:AT32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C054C-61F4-437A-939C-9E8754E002D7}">
  <dimension ref="B2:B24"/>
  <sheetViews>
    <sheetView topLeftCell="A19" workbookViewId="0">
      <selection activeCell="C5" sqref="C5"/>
    </sheetView>
  </sheetViews>
  <sheetFormatPr baseColWidth="10" defaultRowHeight="15" x14ac:dyDescent="0.25"/>
  <cols>
    <col min="1" max="1" width="11.42578125" style="161"/>
    <col min="2" max="2" width="12.42578125" style="161" bestFit="1" customWidth="1"/>
    <col min="3" max="16384" width="11.42578125" style="161"/>
  </cols>
  <sheetData>
    <row r="2" spans="2:2" x14ac:dyDescent="0.25">
      <c r="B2" s="160" t="s">
        <v>505</v>
      </c>
    </row>
    <row r="3" spans="2:2" x14ac:dyDescent="0.25">
      <c r="B3" s="162">
        <v>0</v>
      </c>
    </row>
    <row r="4" spans="2:2" x14ac:dyDescent="0.25">
      <c r="B4" s="162">
        <v>0.5</v>
      </c>
    </row>
    <row r="5" spans="2:2" x14ac:dyDescent="0.25">
      <c r="B5" s="163">
        <v>1</v>
      </c>
    </row>
    <row r="6" spans="2:2" x14ac:dyDescent="0.25">
      <c r="B6" s="163">
        <v>2</v>
      </c>
    </row>
    <row r="7" spans="2:2" x14ac:dyDescent="0.25">
      <c r="B7" s="163">
        <v>3</v>
      </c>
    </row>
    <row r="8" spans="2:2" x14ac:dyDescent="0.25">
      <c r="B8" s="163">
        <v>4</v>
      </c>
    </row>
    <row r="9" spans="2:2" x14ac:dyDescent="0.25">
      <c r="B9" s="163">
        <v>5</v>
      </c>
    </row>
    <row r="10" spans="2:2" x14ac:dyDescent="0.25">
      <c r="B10" s="163">
        <v>6</v>
      </c>
    </row>
    <row r="11" spans="2:2" x14ac:dyDescent="0.25">
      <c r="B11" s="163">
        <v>7</v>
      </c>
    </row>
    <row r="12" spans="2:2" x14ac:dyDescent="0.25">
      <c r="B12" s="163">
        <v>8</v>
      </c>
    </row>
    <row r="13" spans="2:2" x14ac:dyDescent="0.25">
      <c r="B13" s="163">
        <v>9</v>
      </c>
    </row>
    <row r="14" spans="2:2" x14ac:dyDescent="0.25">
      <c r="B14" s="163">
        <v>10</v>
      </c>
    </row>
    <row r="15" spans="2:2" x14ac:dyDescent="0.25">
      <c r="B15" s="163">
        <v>11</v>
      </c>
    </row>
    <row r="16" spans="2:2" x14ac:dyDescent="0.25">
      <c r="B16" s="163">
        <v>12</v>
      </c>
    </row>
    <row r="17" spans="2:2" x14ac:dyDescent="0.25">
      <c r="B17" s="163">
        <v>13</v>
      </c>
    </row>
    <row r="18" spans="2:2" x14ac:dyDescent="0.25">
      <c r="B18" s="163">
        <v>14</v>
      </c>
    </row>
    <row r="19" spans="2:2" x14ac:dyDescent="0.25">
      <c r="B19" s="163">
        <v>15</v>
      </c>
    </row>
    <row r="20" spans="2:2" x14ac:dyDescent="0.25">
      <c r="B20" s="163">
        <v>16</v>
      </c>
    </row>
    <row r="21" spans="2:2" x14ac:dyDescent="0.25">
      <c r="B21" s="163">
        <v>17</v>
      </c>
    </row>
    <row r="22" spans="2:2" x14ac:dyDescent="0.25">
      <c r="B22" s="163">
        <v>18</v>
      </c>
    </row>
    <row r="23" spans="2:2" x14ac:dyDescent="0.25">
      <c r="B23" s="163">
        <v>19</v>
      </c>
    </row>
    <row r="24" spans="2:2" x14ac:dyDescent="0.25">
      <c r="B24" s="163">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
  <sheetViews>
    <sheetView zoomScale="85" zoomScaleNormal="85" workbookViewId="0">
      <pane xSplit="2" ySplit="7" topLeftCell="C8" activePane="bottomRight" state="frozen"/>
      <selection sqref="A1:A4"/>
      <selection pane="topRight" sqref="A1:A4"/>
      <selection pane="bottomLeft" sqref="A1:A4"/>
      <selection pane="bottomRight" sqref="A1:A4"/>
    </sheetView>
  </sheetViews>
  <sheetFormatPr baseColWidth="10" defaultRowHeight="15" x14ac:dyDescent="0.25"/>
  <cols>
    <col min="1" max="1" width="6.5703125" customWidth="1"/>
    <col min="2" max="2" width="63" customWidth="1"/>
    <col min="3" max="17" width="15.5703125" customWidth="1"/>
  </cols>
  <sheetData>
    <row r="1" spans="1:17" ht="15.75" thickBot="1" x14ac:dyDescent="0.3"/>
    <row r="2" spans="1:17" ht="55.5" customHeight="1" thickBot="1" x14ac:dyDescent="0.3">
      <c r="A2" s="317" t="s">
        <v>175</v>
      </c>
      <c r="B2" s="318"/>
      <c r="C2" s="318"/>
      <c r="D2" s="318"/>
      <c r="E2" s="318"/>
      <c r="F2" s="318"/>
      <c r="G2" s="318"/>
      <c r="H2" s="318"/>
      <c r="I2" s="318"/>
      <c r="J2" s="318"/>
      <c r="K2" s="318"/>
      <c r="L2" s="318"/>
      <c r="M2" s="318"/>
      <c r="N2" s="318"/>
      <c r="O2" s="318"/>
      <c r="P2" s="318"/>
      <c r="Q2" s="319"/>
    </row>
    <row r="3" spans="1:17" ht="15.75" thickBot="1" x14ac:dyDescent="0.3"/>
    <row r="4" spans="1:17" x14ac:dyDescent="0.25">
      <c r="B4" s="80" t="s">
        <v>145</v>
      </c>
      <c r="C4" s="82">
        <f>COUNTIF(C8:C26,"SI")</f>
        <v>11</v>
      </c>
      <c r="D4" s="83">
        <f t="shared" ref="D4:Q4" si="0">COUNTIF(D8:D26,"SI")</f>
        <v>7</v>
      </c>
      <c r="E4" s="83">
        <f t="shared" si="0"/>
        <v>7</v>
      </c>
      <c r="F4" s="83">
        <f t="shared" si="0"/>
        <v>11</v>
      </c>
      <c r="G4" s="83">
        <f t="shared" si="0"/>
        <v>13</v>
      </c>
      <c r="H4" s="83">
        <f t="shared" si="0"/>
        <v>10</v>
      </c>
      <c r="I4" s="83">
        <f t="shared" si="0"/>
        <v>12</v>
      </c>
      <c r="J4" s="83">
        <f t="shared" si="0"/>
        <v>11</v>
      </c>
      <c r="K4" s="83">
        <f t="shared" si="0"/>
        <v>10</v>
      </c>
      <c r="L4" s="83">
        <f t="shared" si="0"/>
        <v>11</v>
      </c>
      <c r="M4" s="83">
        <f t="shared" si="0"/>
        <v>16</v>
      </c>
      <c r="N4" s="83">
        <f t="shared" si="0"/>
        <v>11</v>
      </c>
      <c r="O4" s="83">
        <f t="shared" si="0"/>
        <v>12</v>
      </c>
      <c r="P4" s="83">
        <f t="shared" si="0"/>
        <v>12</v>
      </c>
      <c r="Q4" s="60">
        <f t="shared" si="0"/>
        <v>10</v>
      </c>
    </row>
    <row r="5" spans="1:17" ht="15.75" thickBot="1" x14ac:dyDescent="0.3">
      <c r="B5" s="81" t="s">
        <v>13</v>
      </c>
      <c r="C5" s="84" t="str">
        <f>IF(C4=0,"-",IF(C4&lt;=5,"Moderado",IF(C4&lt;=11,"Mayor",IF(C4&lt;=19,"Catastrófico"))))</f>
        <v>Mayor</v>
      </c>
      <c r="D5" s="85" t="str">
        <f t="shared" ref="D5:Q5" si="1">IF(D4=0,"-",IF(D4&lt;=5,"Moderado",IF(D4&lt;=11,"Mayor",IF(D4&lt;=19,"Catastrófico"))))</f>
        <v>Mayor</v>
      </c>
      <c r="E5" s="85" t="str">
        <f t="shared" si="1"/>
        <v>Mayor</v>
      </c>
      <c r="F5" s="85" t="str">
        <f t="shared" si="1"/>
        <v>Mayor</v>
      </c>
      <c r="G5" s="85" t="str">
        <f t="shared" si="1"/>
        <v>Catastrófico</v>
      </c>
      <c r="H5" s="85" t="str">
        <f t="shared" si="1"/>
        <v>Mayor</v>
      </c>
      <c r="I5" s="85" t="str">
        <f t="shared" si="1"/>
        <v>Catastrófico</v>
      </c>
      <c r="J5" s="85" t="str">
        <f t="shared" si="1"/>
        <v>Mayor</v>
      </c>
      <c r="K5" s="85" t="str">
        <f t="shared" si="1"/>
        <v>Mayor</v>
      </c>
      <c r="L5" s="85" t="str">
        <f t="shared" si="1"/>
        <v>Mayor</v>
      </c>
      <c r="M5" s="85" t="str">
        <f t="shared" si="1"/>
        <v>Catastrófico</v>
      </c>
      <c r="N5" s="85" t="str">
        <f t="shared" si="1"/>
        <v>Mayor</v>
      </c>
      <c r="O5" s="85" t="str">
        <f t="shared" si="1"/>
        <v>Catastrófico</v>
      </c>
      <c r="P5" s="85" t="str">
        <f t="shared" si="1"/>
        <v>Catastrófico</v>
      </c>
      <c r="Q5" s="61" t="str">
        <f t="shared" si="1"/>
        <v>Mayor</v>
      </c>
    </row>
    <row r="6" spans="1:17" ht="15.75" thickBot="1" x14ac:dyDescent="0.3">
      <c r="C6" s="59"/>
    </row>
    <row r="7" spans="1:17" ht="15.75" thickBot="1" x14ac:dyDescent="0.3">
      <c r="A7" s="115"/>
      <c r="B7" s="116"/>
      <c r="C7" s="86" t="s">
        <v>197</v>
      </c>
      <c r="D7" s="87" t="s">
        <v>198</v>
      </c>
      <c r="E7" s="87" t="s">
        <v>199</v>
      </c>
      <c r="F7" s="87" t="s">
        <v>200</v>
      </c>
      <c r="G7" s="87" t="s">
        <v>201</v>
      </c>
      <c r="H7" s="87" t="s">
        <v>202</v>
      </c>
      <c r="I7" s="87" t="s">
        <v>203</v>
      </c>
      <c r="J7" s="87" t="s">
        <v>431</v>
      </c>
      <c r="K7" s="87" t="s">
        <v>432</v>
      </c>
      <c r="L7" s="87" t="s">
        <v>433</v>
      </c>
      <c r="M7" s="87" t="s">
        <v>204</v>
      </c>
      <c r="N7" s="87" t="s">
        <v>205</v>
      </c>
      <c r="O7" s="87" t="s">
        <v>206</v>
      </c>
      <c r="P7" s="87" t="s">
        <v>207</v>
      </c>
      <c r="Q7" s="88" t="s">
        <v>208</v>
      </c>
    </row>
    <row r="8" spans="1:17" x14ac:dyDescent="0.25">
      <c r="A8" s="53">
        <v>1</v>
      </c>
      <c r="B8" s="56" t="s">
        <v>127</v>
      </c>
      <c r="C8" s="75" t="s">
        <v>23</v>
      </c>
      <c r="D8" s="68" t="s">
        <v>23</v>
      </c>
      <c r="E8" s="76" t="s">
        <v>23</v>
      </c>
      <c r="F8" s="68" t="s">
        <v>23</v>
      </c>
      <c r="G8" s="68" t="s">
        <v>23</v>
      </c>
      <c r="H8" s="77" t="s">
        <v>23</v>
      </c>
      <c r="I8" s="68" t="s">
        <v>23</v>
      </c>
      <c r="J8" s="68" t="s">
        <v>23</v>
      </c>
      <c r="K8" s="68" t="s">
        <v>23</v>
      </c>
      <c r="L8" s="68" t="s">
        <v>23</v>
      </c>
      <c r="M8" s="68" t="s">
        <v>23</v>
      </c>
      <c r="N8" s="68" t="s">
        <v>23</v>
      </c>
      <c r="O8" s="68" t="s">
        <v>23</v>
      </c>
      <c r="P8" s="68" t="s">
        <v>23</v>
      </c>
      <c r="Q8" s="117" t="s">
        <v>23</v>
      </c>
    </row>
    <row r="9" spans="1:17" x14ac:dyDescent="0.25">
      <c r="A9" s="54">
        <v>2</v>
      </c>
      <c r="B9" s="57" t="s">
        <v>128</v>
      </c>
      <c r="C9" s="74" t="s">
        <v>23</v>
      </c>
      <c r="D9" s="70" t="s">
        <v>23</v>
      </c>
      <c r="E9" s="69" t="s">
        <v>23</v>
      </c>
      <c r="F9" s="70" t="s">
        <v>23</v>
      </c>
      <c r="G9" s="70" t="s">
        <v>23</v>
      </c>
      <c r="H9" s="71" t="s">
        <v>23</v>
      </c>
      <c r="I9" s="70" t="s">
        <v>23</v>
      </c>
      <c r="J9" s="70" t="s">
        <v>23</v>
      </c>
      <c r="K9" s="70" t="s">
        <v>23</v>
      </c>
      <c r="L9" s="70" t="s">
        <v>23</v>
      </c>
      <c r="M9" s="70" t="s">
        <v>23</v>
      </c>
      <c r="N9" s="70" t="s">
        <v>23</v>
      </c>
      <c r="O9" s="70" t="s">
        <v>23</v>
      </c>
      <c r="P9" s="70" t="s">
        <v>23</v>
      </c>
      <c r="Q9" s="118" t="s">
        <v>23</v>
      </c>
    </row>
    <row r="10" spans="1:17" x14ac:dyDescent="0.25">
      <c r="A10" s="54">
        <v>3</v>
      </c>
      <c r="B10" s="57" t="s">
        <v>129</v>
      </c>
      <c r="C10" s="74" t="s">
        <v>30</v>
      </c>
      <c r="D10" s="70" t="s">
        <v>23</v>
      </c>
      <c r="E10" s="69" t="s">
        <v>23</v>
      </c>
      <c r="F10" s="70" t="s">
        <v>23</v>
      </c>
      <c r="G10" s="70" t="s">
        <v>23</v>
      </c>
      <c r="H10" s="71" t="s">
        <v>245</v>
      </c>
      <c r="I10" s="72" t="s">
        <v>23</v>
      </c>
      <c r="J10" s="70" t="s">
        <v>23</v>
      </c>
      <c r="K10" s="70" t="s">
        <v>23</v>
      </c>
      <c r="L10" s="70" t="s">
        <v>30</v>
      </c>
      <c r="M10" s="70" t="s">
        <v>23</v>
      </c>
      <c r="N10" s="70" t="s">
        <v>23</v>
      </c>
      <c r="O10" s="70" t="s">
        <v>23</v>
      </c>
      <c r="P10" s="70" t="s">
        <v>23</v>
      </c>
      <c r="Q10" s="118" t="s">
        <v>30</v>
      </c>
    </row>
    <row r="11" spans="1:17" ht="25.5" x14ac:dyDescent="0.25">
      <c r="A11" s="54">
        <v>4</v>
      </c>
      <c r="B11" s="57" t="s">
        <v>130</v>
      </c>
      <c r="C11" s="74" t="s">
        <v>30</v>
      </c>
      <c r="D11" s="70" t="s">
        <v>30</v>
      </c>
      <c r="E11" s="69" t="s">
        <v>30</v>
      </c>
      <c r="F11" s="70" t="s">
        <v>30</v>
      </c>
      <c r="G11" s="70" t="s">
        <v>23</v>
      </c>
      <c r="H11" s="71" t="s">
        <v>30</v>
      </c>
      <c r="I11" s="70" t="s">
        <v>30</v>
      </c>
      <c r="J11" s="70" t="s">
        <v>30</v>
      </c>
      <c r="K11" s="70" t="s">
        <v>30</v>
      </c>
      <c r="L11" s="70" t="s">
        <v>30</v>
      </c>
      <c r="M11" s="70" t="s">
        <v>30</v>
      </c>
      <c r="N11" s="70" t="s">
        <v>30</v>
      </c>
      <c r="O11" s="70" t="s">
        <v>30</v>
      </c>
      <c r="P11" s="70" t="s">
        <v>30</v>
      </c>
      <c r="Q11" s="118" t="s">
        <v>30</v>
      </c>
    </row>
    <row r="12" spans="1:17" x14ac:dyDescent="0.25">
      <c r="A12" s="54">
        <v>5</v>
      </c>
      <c r="B12" s="57" t="s">
        <v>131</v>
      </c>
      <c r="C12" s="74" t="s">
        <v>23</v>
      </c>
      <c r="D12" s="70" t="s">
        <v>30</v>
      </c>
      <c r="E12" s="70" t="s">
        <v>30</v>
      </c>
      <c r="F12" s="70" t="s">
        <v>23</v>
      </c>
      <c r="G12" s="70" t="s">
        <v>23</v>
      </c>
      <c r="H12" s="71" t="s">
        <v>23</v>
      </c>
      <c r="I12" s="70" t="s">
        <v>23</v>
      </c>
      <c r="J12" s="70" t="s">
        <v>30</v>
      </c>
      <c r="K12" s="70" t="s">
        <v>23</v>
      </c>
      <c r="L12" s="70" t="s">
        <v>23</v>
      </c>
      <c r="M12" s="70" t="s">
        <v>23</v>
      </c>
      <c r="N12" s="70" t="s">
        <v>23</v>
      </c>
      <c r="O12" s="70" t="s">
        <v>23</v>
      </c>
      <c r="P12" s="70" t="s">
        <v>23</v>
      </c>
      <c r="Q12" s="118" t="s">
        <v>23</v>
      </c>
    </row>
    <row r="13" spans="1:17" x14ac:dyDescent="0.25">
      <c r="A13" s="54">
        <v>6</v>
      </c>
      <c r="B13" s="57" t="s">
        <v>132</v>
      </c>
      <c r="C13" s="74" t="s">
        <v>23</v>
      </c>
      <c r="D13" s="70" t="s">
        <v>30</v>
      </c>
      <c r="E13" s="70" t="s">
        <v>30</v>
      </c>
      <c r="F13" s="70" t="s">
        <v>23</v>
      </c>
      <c r="G13" s="70" t="s">
        <v>23</v>
      </c>
      <c r="H13" s="71" t="s">
        <v>23</v>
      </c>
      <c r="I13" s="70" t="s">
        <v>23</v>
      </c>
      <c r="J13" s="70" t="s">
        <v>23</v>
      </c>
      <c r="K13" s="70" t="s">
        <v>23</v>
      </c>
      <c r="L13" s="70" t="s">
        <v>23</v>
      </c>
      <c r="M13" s="70" t="s">
        <v>23</v>
      </c>
      <c r="N13" s="70" t="s">
        <v>23</v>
      </c>
      <c r="O13" s="70" t="s">
        <v>23</v>
      </c>
      <c r="P13" s="70" t="s">
        <v>23</v>
      </c>
      <c r="Q13" s="118" t="s">
        <v>23</v>
      </c>
    </row>
    <row r="14" spans="1:17" x14ac:dyDescent="0.25">
      <c r="A14" s="54">
        <v>7</v>
      </c>
      <c r="B14" s="57" t="s">
        <v>133</v>
      </c>
      <c r="C14" s="74" t="s">
        <v>30</v>
      </c>
      <c r="D14" s="70" t="s">
        <v>23</v>
      </c>
      <c r="E14" s="69" t="s">
        <v>23</v>
      </c>
      <c r="F14" s="70" t="s">
        <v>30</v>
      </c>
      <c r="G14" s="70" t="s">
        <v>23</v>
      </c>
      <c r="H14" s="71" t="s">
        <v>23</v>
      </c>
      <c r="I14" s="70" t="s">
        <v>23</v>
      </c>
      <c r="J14" s="70" t="s">
        <v>23</v>
      </c>
      <c r="K14" s="70" t="s">
        <v>30</v>
      </c>
      <c r="L14" s="70" t="s">
        <v>23</v>
      </c>
      <c r="M14" s="70" t="s">
        <v>23</v>
      </c>
      <c r="N14" s="70" t="s">
        <v>23</v>
      </c>
      <c r="O14" s="70" t="s">
        <v>23</v>
      </c>
      <c r="P14" s="70" t="s">
        <v>23</v>
      </c>
      <c r="Q14" s="118" t="s">
        <v>23</v>
      </c>
    </row>
    <row r="15" spans="1:17" ht="26.25" customHeight="1" x14ac:dyDescent="0.25">
      <c r="A15" s="54">
        <v>8</v>
      </c>
      <c r="B15" s="57" t="s">
        <v>146</v>
      </c>
      <c r="C15" s="74" t="s">
        <v>30</v>
      </c>
      <c r="D15" s="70" t="s">
        <v>30</v>
      </c>
      <c r="E15" s="70" t="s">
        <v>30</v>
      </c>
      <c r="F15" s="70" t="s">
        <v>30</v>
      </c>
      <c r="G15" s="70" t="s">
        <v>30</v>
      </c>
      <c r="H15" s="71" t="s">
        <v>30</v>
      </c>
      <c r="I15" s="70" t="s">
        <v>30</v>
      </c>
      <c r="J15" s="70" t="s">
        <v>30</v>
      </c>
      <c r="K15" s="70" t="s">
        <v>30</v>
      </c>
      <c r="L15" s="70" t="s">
        <v>30</v>
      </c>
      <c r="M15" s="70" t="s">
        <v>23</v>
      </c>
      <c r="N15" s="70" t="s">
        <v>30</v>
      </c>
      <c r="O15" s="70" t="s">
        <v>30</v>
      </c>
      <c r="P15" s="70" t="s">
        <v>30</v>
      </c>
      <c r="Q15" s="118" t="s">
        <v>30</v>
      </c>
    </row>
    <row r="16" spans="1:17" x14ac:dyDescent="0.25">
      <c r="A16" s="54">
        <v>9</v>
      </c>
      <c r="B16" s="57" t="s">
        <v>134</v>
      </c>
      <c r="C16" s="74" t="s">
        <v>23</v>
      </c>
      <c r="D16" s="70" t="s">
        <v>30</v>
      </c>
      <c r="E16" s="70" t="s">
        <v>30</v>
      </c>
      <c r="F16" s="70" t="s">
        <v>30</v>
      </c>
      <c r="G16" s="70" t="s">
        <v>30</v>
      </c>
      <c r="H16" s="71" t="s">
        <v>30</v>
      </c>
      <c r="I16" s="70" t="s">
        <v>23</v>
      </c>
      <c r="J16" s="70" t="s">
        <v>23</v>
      </c>
      <c r="K16" s="70" t="s">
        <v>30</v>
      </c>
      <c r="L16" s="70" t="s">
        <v>23</v>
      </c>
      <c r="M16" s="70" t="s">
        <v>23</v>
      </c>
      <c r="N16" s="70" t="s">
        <v>30</v>
      </c>
      <c r="O16" s="70" t="s">
        <v>23</v>
      </c>
      <c r="P16" s="70" t="s">
        <v>23</v>
      </c>
      <c r="Q16" s="118" t="s">
        <v>30</v>
      </c>
    </row>
    <row r="17" spans="1:17" ht="25.5" x14ac:dyDescent="0.25">
      <c r="A17" s="54">
        <v>10</v>
      </c>
      <c r="B17" s="57" t="s">
        <v>135</v>
      </c>
      <c r="C17" s="74" t="s">
        <v>23</v>
      </c>
      <c r="D17" s="70" t="s">
        <v>23</v>
      </c>
      <c r="E17" s="69" t="s">
        <v>23</v>
      </c>
      <c r="F17" s="70" t="s">
        <v>23</v>
      </c>
      <c r="G17" s="70" t="s">
        <v>23</v>
      </c>
      <c r="H17" s="71" t="s">
        <v>23</v>
      </c>
      <c r="I17" s="70" t="s">
        <v>23</v>
      </c>
      <c r="J17" s="70" t="s">
        <v>23</v>
      </c>
      <c r="K17" s="70" t="s">
        <v>23</v>
      </c>
      <c r="L17" s="70" t="s">
        <v>23</v>
      </c>
      <c r="M17" s="70" t="s">
        <v>23</v>
      </c>
      <c r="N17" s="70" t="s">
        <v>23</v>
      </c>
      <c r="O17" s="70" t="s">
        <v>23</v>
      </c>
      <c r="P17" s="70" t="s">
        <v>23</v>
      </c>
      <c r="Q17" s="118" t="s">
        <v>23</v>
      </c>
    </row>
    <row r="18" spans="1:17" x14ac:dyDescent="0.25">
      <c r="A18" s="54">
        <v>11</v>
      </c>
      <c r="B18" s="57" t="s">
        <v>136</v>
      </c>
      <c r="C18" s="74" t="s">
        <v>23</v>
      </c>
      <c r="D18" s="70" t="s">
        <v>23</v>
      </c>
      <c r="E18" s="70" t="s">
        <v>23</v>
      </c>
      <c r="F18" s="70" t="s">
        <v>23</v>
      </c>
      <c r="G18" s="70" t="s">
        <v>23</v>
      </c>
      <c r="H18" s="71" t="s">
        <v>23</v>
      </c>
      <c r="I18" s="70" t="s">
        <v>23</v>
      </c>
      <c r="J18" s="70" t="s">
        <v>23</v>
      </c>
      <c r="K18" s="70" t="s">
        <v>23</v>
      </c>
      <c r="L18" s="70" t="s">
        <v>23</v>
      </c>
      <c r="M18" s="70" t="s">
        <v>23</v>
      </c>
      <c r="N18" s="70" t="s">
        <v>23</v>
      </c>
      <c r="O18" s="70" t="s">
        <v>23</v>
      </c>
      <c r="P18" s="70" t="s">
        <v>23</v>
      </c>
      <c r="Q18" s="118" t="s">
        <v>23</v>
      </c>
    </row>
    <row r="19" spans="1:17" x14ac:dyDescent="0.25">
      <c r="A19" s="54">
        <v>12</v>
      </c>
      <c r="B19" s="57" t="s">
        <v>137</v>
      </c>
      <c r="C19" s="74" t="s">
        <v>23</v>
      </c>
      <c r="D19" s="70" t="s">
        <v>23</v>
      </c>
      <c r="E19" s="70" t="s">
        <v>23</v>
      </c>
      <c r="F19" s="70" t="s">
        <v>23</v>
      </c>
      <c r="G19" s="70" t="s">
        <v>23</v>
      </c>
      <c r="H19" s="71" t="s">
        <v>23</v>
      </c>
      <c r="I19" s="70" t="s">
        <v>23</v>
      </c>
      <c r="J19" s="70" t="s">
        <v>23</v>
      </c>
      <c r="K19" s="70" t="s">
        <v>23</v>
      </c>
      <c r="L19" s="70" t="s">
        <v>23</v>
      </c>
      <c r="M19" s="70" t="s">
        <v>23</v>
      </c>
      <c r="N19" s="70" t="s">
        <v>23</v>
      </c>
      <c r="O19" s="70" t="s">
        <v>23</v>
      </c>
      <c r="P19" s="70" t="s">
        <v>23</v>
      </c>
      <c r="Q19" s="118" t="s">
        <v>23</v>
      </c>
    </row>
    <row r="20" spans="1:17" x14ac:dyDescent="0.25">
      <c r="A20" s="54">
        <v>13</v>
      </c>
      <c r="B20" s="57" t="s">
        <v>138</v>
      </c>
      <c r="C20" s="74" t="s">
        <v>23</v>
      </c>
      <c r="D20" s="70" t="s">
        <v>30</v>
      </c>
      <c r="E20" s="69" t="s">
        <v>30</v>
      </c>
      <c r="F20" s="70" t="s">
        <v>30</v>
      </c>
      <c r="G20" s="70" t="s">
        <v>23</v>
      </c>
      <c r="H20" s="71" t="s">
        <v>23</v>
      </c>
      <c r="I20" s="70" t="s">
        <v>23</v>
      </c>
      <c r="J20" s="70" t="s">
        <v>23</v>
      </c>
      <c r="K20" s="70" t="s">
        <v>23</v>
      </c>
      <c r="L20" s="70" t="s">
        <v>23</v>
      </c>
      <c r="M20" s="70" t="s">
        <v>23</v>
      </c>
      <c r="N20" s="70" t="s">
        <v>23</v>
      </c>
      <c r="O20" s="70" t="s">
        <v>23</v>
      </c>
      <c r="P20" s="70" t="s">
        <v>23</v>
      </c>
      <c r="Q20" s="118" t="s">
        <v>23</v>
      </c>
    </row>
    <row r="21" spans="1:17" x14ac:dyDescent="0.25">
      <c r="A21" s="54">
        <v>14</v>
      </c>
      <c r="B21" s="57" t="s">
        <v>139</v>
      </c>
      <c r="C21" s="74" t="s">
        <v>23</v>
      </c>
      <c r="D21" s="70" t="s">
        <v>30</v>
      </c>
      <c r="E21" s="70" t="s">
        <v>30</v>
      </c>
      <c r="F21" s="70" t="s">
        <v>30</v>
      </c>
      <c r="G21" s="70" t="s">
        <v>23</v>
      </c>
      <c r="H21" s="73" t="s">
        <v>23</v>
      </c>
      <c r="I21" s="70" t="s">
        <v>23</v>
      </c>
      <c r="J21" s="70" t="s">
        <v>23</v>
      </c>
      <c r="K21" s="70" t="s">
        <v>23</v>
      </c>
      <c r="L21" s="70" t="s">
        <v>23</v>
      </c>
      <c r="M21" s="70" t="s">
        <v>23</v>
      </c>
      <c r="N21" s="70" t="s">
        <v>23</v>
      </c>
      <c r="O21" s="70" t="s">
        <v>23</v>
      </c>
      <c r="P21" s="70" t="s">
        <v>23</v>
      </c>
      <c r="Q21" s="118" t="s">
        <v>23</v>
      </c>
    </row>
    <row r="22" spans="1:17" x14ac:dyDescent="0.25">
      <c r="A22" s="54">
        <v>15</v>
      </c>
      <c r="B22" s="57" t="s">
        <v>140</v>
      </c>
      <c r="C22" s="74" t="s">
        <v>23</v>
      </c>
      <c r="D22" s="70" t="s">
        <v>30</v>
      </c>
      <c r="E22" s="69" t="s">
        <v>30</v>
      </c>
      <c r="F22" s="70" t="s">
        <v>23</v>
      </c>
      <c r="G22" s="70" t="s">
        <v>30</v>
      </c>
      <c r="H22" s="71" t="s">
        <v>30</v>
      </c>
      <c r="I22" s="70" t="s">
        <v>30</v>
      </c>
      <c r="J22" s="70" t="s">
        <v>30</v>
      </c>
      <c r="K22" s="70" t="s">
        <v>30</v>
      </c>
      <c r="L22" s="70" t="s">
        <v>30</v>
      </c>
      <c r="M22" s="70" t="s">
        <v>23</v>
      </c>
      <c r="N22" s="70" t="s">
        <v>30</v>
      </c>
      <c r="O22" s="70" t="s">
        <v>30</v>
      </c>
      <c r="P22" s="70" t="s">
        <v>30</v>
      </c>
      <c r="Q22" s="118" t="s">
        <v>30</v>
      </c>
    </row>
    <row r="23" spans="1:17" x14ac:dyDescent="0.25">
      <c r="A23" s="54">
        <v>16</v>
      </c>
      <c r="B23" s="57" t="s">
        <v>141</v>
      </c>
      <c r="C23" s="74" t="s">
        <v>30</v>
      </c>
      <c r="D23" s="70" t="s">
        <v>30</v>
      </c>
      <c r="E23" s="69" t="s">
        <v>30</v>
      </c>
      <c r="F23" s="70" t="s">
        <v>30</v>
      </c>
      <c r="G23" s="70" t="s">
        <v>23</v>
      </c>
      <c r="H23" s="71" t="s">
        <v>30</v>
      </c>
      <c r="I23" s="70" t="s">
        <v>30</v>
      </c>
      <c r="J23" s="70" t="s">
        <v>30</v>
      </c>
      <c r="K23" s="70" t="s">
        <v>30</v>
      </c>
      <c r="L23" s="70" t="s">
        <v>30</v>
      </c>
      <c r="M23" s="70" t="s">
        <v>30</v>
      </c>
      <c r="N23" s="70" t="s">
        <v>30</v>
      </c>
      <c r="O23" s="70" t="s">
        <v>30</v>
      </c>
      <c r="P23" s="70" t="s">
        <v>30</v>
      </c>
      <c r="Q23" s="118" t="s">
        <v>30</v>
      </c>
    </row>
    <row r="24" spans="1:17" x14ac:dyDescent="0.25">
      <c r="A24" s="54">
        <v>17</v>
      </c>
      <c r="B24" s="57" t="s">
        <v>142</v>
      </c>
      <c r="C24" s="74" t="s">
        <v>30</v>
      </c>
      <c r="D24" s="70" t="s">
        <v>30</v>
      </c>
      <c r="E24" s="69" t="s">
        <v>30</v>
      </c>
      <c r="F24" s="70" t="s">
        <v>23</v>
      </c>
      <c r="G24" s="70" t="s">
        <v>30</v>
      </c>
      <c r="H24" s="71" t="s">
        <v>30</v>
      </c>
      <c r="I24" s="70" t="s">
        <v>30</v>
      </c>
      <c r="J24" s="70" t="s">
        <v>30</v>
      </c>
      <c r="K24" s="70" t="s">
        <v>30</v>
      </c>
      <c r="L24" s="70" t="s">
        <v>30</v>
      </c>
      <c r="M24" s="70" t="s">
        <v>23</v>
      </c>
      <c r="N24" s="70" t="s">
        <v>30</v>
      </c>
      <c r="O24" s="70" t="s">
        <v>30</v>
      </c>
      <c r="P24" s="70" t="s">
        <v>30</v>
      </c>
      <c r="Q24" s="118" t="s">
        <v>30</v>
      </c>
    </row>
    <row r="25" spans="1:17" x14ac:dyDescent="0.25">
      <c r="A25" s="54">
        <v>18</v>
      </c>
      <c r="B25" s="57" t="s">
        <v>143</v>
      </c>
      <c r="C25" s="74" t="s">
        <v>30</v>
      </c>
      <c r="D25" s="70" t="s">
        <v>30</v>
      </c>
      <c r="E25" s="69" t="s">
        <v>30</v>
      </c>
      <c r="F25" s="70" t="s">
        <v>23</v>
      </c>
      <c r="G25" s="70" t="s">
        <v>30</v>
      </c>
      <c r="H25" s="71" t="s">
        <v>30</v>
      </c>
      <c r="I25" s="70" t="s">
        <v>30</v>
      </c>
      <c r="J25" s="70" t="s">
        <v>30</v>
      </c>
      <c r="K25" s="70" t="s">
        <v>30</v>
      </c>
      <c r="L25" s="70" t="s">
        <v>30</v>
      </c>
      <c r="M25" s="70" t="s">
        <v>23</v>
      </c>
      <c r="N25" s="70" t="s">
        <v>30</v>
      </c>
      <c r="O25" s="70" t="s">
        <v>30</v>
      </c>
      <c r="P25" s="70" t="s">
        <v>30</v>
      </c>
      <c r="Q25" s="118" t="s">
        <v>30</v>
      </c>
    </row>
    <row r="26" spans="1:17" ht="15.75" thickBot="1" x14ac:dyDescent="0.3">
      <c r="A26" s="55">
        <v>19</v>
      </c>
      <c r="B26" s="58" t="s">
        <v>144</v>
      </c>
      <c r="C26" s="78" t="s">
        <v>30</v>
      </c>
      <c r="D26" s="79" t="s">
        <v>30</v>
      </c>
      <c r="E26" s="79" t="s">
        <v>30</v>
      </c>
      <c r="F26" s="79" t="s">
        <v>30</v>
      </c>
      <c r="G26" s="79" t="s">
        <v>30</v>
      </c>
      <c r="H26" s="79" t="s">
        <v>30</v>
      </c>
      <c r="I26" s="79" t="s">
        <v>30</v>
      </c>
      <c r="J26" s="79" t="s">
        <v>30</v>
      </c>
      <c r="K26" s="79" t="s">
        <v>30</v>
      </c>
      <c r="L26" s="79" t="s">
        <v>30</v>
      </c>
      <c r="M26" s="79" t="s">
        <v>30</v>
      </c>
      <c r="N26" s="79" t="s">
        <v>30</v>
      </c>
      <c r="O26" s="79" t="s">
        <v>30</v>
      </c>
      <c r="P26" s="79" t="s">
        <v>30</v>
      </c>
      <c r="Q26" s="119" t="s">
        <v>30</v>
      </c>
    </row>
  </sheetData>
  <mergeCells count="1">
    <mergeCell ref="A2:Q2"/>
  </mergeCells>
  <printOptions horizontalCentered="1"/>
  <pageMargins left="0.27559055118110237" right="0.27559055118110237" top="0.33" bottom="0.74803149606299213" header="0.2" footer="0.31496062992125984"/>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58"/>
  <sheetViews>
    <sheetView zoomScale="85" zoomScaleNormal="85" workbookViewId="0">
      <pane ySplit="2" topLeftCell="A3" activePane="bottomLeft" state="frozen"/>
      <selection sqref="A1:A4"/>
      <selection pane="bottomLeft" sqref="A1:A4"/>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6" width="19.5703125" style="28" customWidth="1"/>
    <col min="7" max="10" width="17.7109375" style="28" customWidth="1"/>
    <col min="11" max="12" width="17.5703125" style="28" customWidth="1"/>
    <col min="13" max="18" width="13.7109375" style="28" customWidth="1"/>
    <col min="19" max="20" width="17.7109375" style="28" customWidth="1"/>
    <col min="21" max="26" width="13.5703125" style="28" customWidth="1"/>
    <col min="27" max="28" width="17.7109375" style="28" customWidth="1"/>
    <col min="29" max="32" width="13.5703125" style="28" customWidth="1"/>
    <col min="33" max="34" width="17.7109375" style="28" customWidth="1"/>
    <col min="35" max="40" width="13.5703125" style="28" customWidth="1"/>
    <col min="41" max="42" width="17.7109375" style="28" customWidth="1"/>
    <col min="43" max="48" width="13.5703125" style="28" customWidth="1"/>
    <col min="49" max="16384" width="11.42578125" style="28"/>
  </cols>
  <sheetData>
    <row r="1" spans="1:12" ht="10.5" customHeight="1" thickBot="1" x14ac:dyDescent="0.25"/>
    <row r="2" spans="1:12" ht="54" customHeight="1" thickBot="1" x14ac:dyDescent="0.25">
      <c r="A2" s="320" t="s">
        <v>178</v>
      </c>
      <c r="B2" s="321"/>
      <c r="C2" s="321"/>
      <c r="D2" s="321"/>
      <c r="E2" s="321"/>
      <c r="F2" s="321"/>
      <c r="G2" s="321"/>
      <c r="H2" s="321"/>
      <c r="I2" s="321"/>
      <c r="J2" s="321"/>
      <c r="K2" s="321"/>
      <c r="L2" s="322"/>
    </row>
    <row r="3" spans="1:12" ht="10.5" customHeight="1" thickBot="1" x14ac:dyDescent="0.25"/>
    <row r="4" spans="1:12" ht="30" customHeight="1" thickBot="1" x14ac:dyDescent="0.25">
      <c r="A4" s="64" t="str">
        <f>+Matriz!E9</f>
        <v>EPLE-RC-001</v>
      </c>
      <c r="B4" s="323" t="str">
        <f>+Matriz!F9</f>
        <v>Reportes de avances manipulados e inconsistentes respecto a la ejecución real de presupuesto y de metas de la Entidad a favor de un tercero.</v>
      </c>
      <c r="C4" s="324"/>
      <c r="D4" s="324"/>
      <c r="E4" s="324"/>
      <c r="F4" s="324"/>
      <c r="G4" s="324"/>
      <c r="H4" s="324"/>
      <c r="I4" s="324"/>
      <c r="J4" s="324"/>
      <c r="K4" s="324"/>
      <c r="L4" s="325"/>
    </row>
    <row r="5" spans="1:12" ht="10.5" customHeight="1" thickBot="1" x14ac:dyDescent="0.25"/>
    <row r="6" spans="1:12" ht="16.5" customHeight="1" thickBot="1" x14ac:dyDescent="0.25">
      <c r="B6" s="373" t="s">
        <v>152</v>
      </c>
      <c r="C6" s="374"/>
      <c r="D6" s="375"/>
      <c r="E6" s="326" t="s">
        <v>118</v>
      </c>
      <c r="F6" s="327"/>
      <c r="G6" s="327"/>
      <c r="H6" s="327"/>
      <c r="I6" s="327"/>
      <c r="J6" s="327"/>
      <c r="K6" s="327"/>
      <c r="L6" s="328"/>
    </row>
    <row r="7" spans="1:12" ht="91.5" customHeight="1" thickBot="1" x14ac:dyDescent="0.25">
      <c r="B7" s="376"/>
      <c r="C7" s="377"/>
      <c r="D7" s="378"/>
      <c r="E7" s="329" t="str">
        <f>+Matriz!Q9</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
Lo anterior, conforme a lo definido en el procedimiento EPLE-PD-006 FORMULACIÓN, REGISTRO Y ACTUALIZACIÓN DE PROYECTOS DE INVERSIÓN.</v>
      </c>
      <c r="F7" s="330"/>
      <c r="G7" s="330"/>
      <c r="H7" s="330"/>
      <c r="I7" s="330"/>
      <c r="J7" s="330"/>
      <c r="K7" s="330"/>
      <c r="L7" s="331"/>
    </row>
    <row r="8" spans="1:12" ht="15" x14ac:dyDescent="0.25">
      <c r="B8" s="346" t="s">
        <v>119</v>
      </c>
      <c r="C8" s="348" t="s">
        <v>120</v>
      </c>
      <c r="D8" s="349"/>
      <c r="E8" s="367" t="s">
        <v>114</v>
      </c>
      <c r="F8" s="368"/>
      <c r="G8" s="332" t="s">
        <v>71</v>
      </c>
      <c r="H8" s="333"/>
      <c r="I8" s="333"/>
      <c r="J8" s="333"/>
      <c r="K8" s="333"/>
      <c r="L8" s="334"/>
    </row>
    <row r="9" spans="1:12" ht="15" thickBot="1" x14ac:dyDescent="0.25">
      <c r="B9" s="347"/>
      <c r="C9" s="350"/>
      <c r="D9" s="351"/>
      <c r="E9" s="62" t="s">
        <v>115</v>
      </c>
      <c r="F9" s="63" t="s">
        <v>116</v>
      </c>
      <c r="G9" s="335"/>
      <c r="H9" s="336"/>
      <c r="I9" s="336"/>
      <c r="J9" s="336"/>
      <c r="K9" s="336"/>
      <c r="L9" s="337"/>
    </row>
    <row r="10" spans="1:12" ht="30" customHeight="1" x14ac:dyDescent="0.2">
      <c r="B10" s="344" t="s">
        <v>121</v>
      </c>
      <c r="C10" s="46" t="s">
        <v>92</v>
      </c>
      <c r="D10" s="50" t="s">
        <v>84</v>
      </c>
      <c r="E10" s="44" t="s">
        <v>99</v>
      </c>
      <c r="F10" s="45">
        <f>IF(E10="Asignado",15,IF(E10="No asignado",0,""))</f>
        <v>15</v>
      </c>
      <c r="G10" s="355" t="s">
        <v>454</v>
      </c>
      <c r="H10" s="356"/>
      <c r="I10" s="356"/>
      <c r="J10" s="356"/>
      <c r="K10" s="356"/>
      <c r="L10" s="357"/>
    </row>
    <row r="11" spans="1:12" ht="30" customHeight="1" x14ac:dyDescent="0.2">
      <c r="B11" s="345"/>
      <c r="C11" s="37" t="s">
        <v>93</v>
      </c>
      <c r="D11" s="51" t="s">
        <v>85</v>
      </c>
      <c r="E11" s="39" t="s">
        <v>101</v>
      </c>
      <c r="F11" s="40">
        <f>IF(E11="Adecuado",15,IF(E11="Inadecuado",0,""))</f>
        <v>15</v>
      </c>
      <c r="G11" s="358"/>
      <c r="H11" s="359"/>
      <c r="I11" s="359"/>
      <c r="J11" s="359"/>
      <c r="K11" s="359"/>
      <c r="L11" s="360"/>
    </row>
    <row r="12" spans="1:12" ht="30" customHeight="1" x14ac:dyDescent="0.2">
      <c r="B12" s="65" t="s">
        <v>122</v>
      </c>
      <c r="C12" s="37" t="s">
        <v>94</v>
      </c>
      <c r="D12" s="51" t="s">
        <v>86</v>
      </c>
      <c r="E12" s="39" t="s">
        <v>103</v>
      </c>
      <c r="F12" s="40">
        <f>IF(E12="Oportuna",15,IF(E12="Inoportuna",0,""))</f>
        <v>15</v>
      </c>
      <c r="G12" s="338" t="s">
        <v>300</v>
      </c>
      <c r="H12" s="339"/>
      <c r="I12" s="339"/>
      <c r="J12" s="339"/>
      <c r="K12" s="339"/>
      <c r="L12" s="340"/>
    </row>
    <row r="13" spans="1:12" ht="45" customHeight="1" x14ac:dyDescent="0.2">
      <c r="B13" s="65" t="s">
        <v>123</v>
      </c>
      <c r="C13" s="37" t="s">
        <v>95</v>
      </c>
      <c r="D13" s="51" t="s">
        <v>87</v>
      </c>
      <c r="E13" s="41" t="s">
        <v>105</v>
      </c>
      <c r="F13" s="40">
        <f>IF(E13="Prevenir o detectar",15,IF(E13="No es control",0,""))</f>
        <v>15</v>
      </c>
      <c r="G13" s="338" t="s">
        <v>301</v>
      </c>
      <c r="H13" s="339"/>
      <c r="I13" s="339"/>
      <c r="J13" s="339"/>
      <c r="K13" s="339"/>
      <c r="L13" s="340"/>
    </row>
    <row r="14" spans="1:12" ht="30" customHeight="1" x14ac:dyDescent="0.2">
      <c r="B14" s="66" t="s">
        <v>125</v>
      </c>
      <c r="C14" s="37" t="s">
        <v>96</v>
      </c>
      <c r="D14" s="51" t="s">
        <v>88</v>
      </c>
      <c r="E14" s="39" t="s">
        <v>107</v>
      </c>
      <c r="F14" s="40">
        <f>IF(E14="Confiable",15,IF(E14="No confiable",0,""))</f>
        <v>15</v>
      </c>
      <c r="G14" s="341" t="s">
        <v>302</v>
      </c>
      <c r="H14" s="342"/>
      <c r="I14" s="342"/>
      <c r="J14" s="342"/>
      <c r="K14" s="342"/>
      <c r="L14" s="343"/>
    </row>
    <row r="15" spans="1:12" ht="45" customHeight="1" x14ac:dyDescent="0.2">
      <c r="B15" s="66" t="s">
        <v>126</v>
      </c>
      <c r="C15" s="37" t="s">
        <v>97</v>
      </c>
      <c r="D15" s="51" t="s">
        <v>89</v>
      </c>
      <c r="E15" s="41" t="s">
        <v>109</v>
      </c>
      <c r="F15" s="40">
        <f>IF(E15="Se investigan y resuelven oportunamente",15,IF(E15="No se investigan y resuelven oportunamente",0,""))</f>
        <v>15</v>
      </c>
      <c r="G15" s="341" t="s">
        <v>303</v>
      </c>
      <c r="H15" s="342"/>
      <c r="I15" s="342"/>
      <c r="J15" s="342"/>
      <c r="K15" s="342"/>
      <c r="L15" s="343"/>
    </row>
    <row r="16" spans="1:12" ht="30" customHeight="1" thickBot="1" x14ac:dyDescent="0.25">
      <c r="B16" s="67" t="s">
        <v>124</v>
      </c>
      <c r="C16" s="47" t="s">
        <v>98</v>
      </c>
      <c r="D16" s="52" t="s">
        <v>90</v>
      </c>
      <c r="E16" s="42" t="s">
        <v>111</v>
      </c>
      <c r="F16" s="43">
        <f>IF(E16="Completa",10,IF(E16="Incompleta",5,IF(E16="No existe",0,"")))</f>
        <v>10</v>
      </c>
      <c r="G16" s="352" t="s">
        <v>304</v>
      </c>
      <c r="H16" s="353"/>
      <c r="I16" s="353"/>
      <c r="J16" s="353"/>
      <c r="K16" s="353"/>
      <c r="L16" s="354"/>
    </row>
    <row r="17" spans="1:12" ht="7.5" customHeight="1" thickBot="1" x14ac:dyDescent="0.25">
      <c r="D17" s="38"/>
      <c r="G17" s="95"/>
      <c r="H17" s="95"/>
      <c r="I17" s="95"/>
      <c r="J17" s="95"/>
      <c r="K17" s="95"/>
      <c r="L17" s="95"/>
    </row>
    <row r="18" spans="1:12" x14ac:dyDescent="0.2">
      <c r="D18" s="48" t="s">
        <v>91</v>
      </c>
      <c r="E18" s="369">
        <f>IF(SUM(F10:F16)=0,"-",SUM(F10:F16))</f>
        <v>100</v>
      </c>
      <c r="F18" s="370"/>
      <c r="G18" s="96"/>
      <c r="H18" s="96"/>
      <c r="I18" s="96"/>
      <c r="J18" s="96"/>
      <c r="K18" s="96"/>
      <c r="L18" s="96"/>
    </row>
    <row r="19" spans="1:12" ht="15" thickBot="1" x14ac:dyDescent="0.25">
      <c r="D19" s="49" t="s">
        <v>117</v>
      </c>
      <c r="E19" s="371" t="str">
        <f>IF(E18&lt;=74,"Débil",IF(E18&lt;=89,"Moderado",IF(E18&lt;=100,"Fuerte","")))</f>
        <v>Fuerte</v>
      </c>
      <c r="F19" s="372"/>
      <c r="G19" s="96"/>
      <c r="H19" s="96"/>
      <c r="I19" s="96"/>
      <c r="J19" s="96"/>
      <c r="K19" s="96"/>
      <c r="L19" s="96"/>
    </row>
    <row r="20" spans="1:12" ht="15" thickBot="1" x14ac:dyDescent="0.25"/>
    <row r="21" spans="1:12" ht="30" customHeight="1" thickBot="1" x14ac:dyDescent="0.25">
      <c r="A21" s="64" t="str">
        <f>+Matriz!E26</f>
        <v>AAUT-RC-001</v>
      </c>
      <c r="B21" s="323" t="str">
        <f>+Matriz!F26</f>
        <v>Facilitar copias de material audiovisual sin el debido procedimiento a cambio de beneficios económicos personales dados por parte de terceros</v>
      </c>
      <c r="C21" s="324"/>
      <c r="D21" s="324"/>
      <c r="E21" s="324"/>
      <c r="F21" s="324"/>
      <c r="G21" s="324"/>
      <c r="H21" s="324"/>
      <c r="I21" s="324"/>
      <c r="J21" s="324"/>
      <c r="K21" s="324"/>
      <c r="L21" s="325"/>
    </row>
    <row r="22" spans="1:12" ht="10.5" customHeight="1" thickBot="1" x14ac:dyDescent="0.25"/>
    <row r="23" spans="1:12" ht="16.5" customHeight="1" x14ac:dyDescent="0.2">
      <c r="B23" s="373" t="s">
        <v>152</v>
      </c>
      <c r="C23" s="374"/>
      <c r="D23" s="374"/>
      <c r="E23" s="364" t="s">
        <v>118</v>
      </c>
      <c r="F23" s="365"/>
      <c r="G23" s="365"/>
      <c r="H23" s="365"/>
      <c r="I23" s="365"/>
      <c r="J23" s="365"/>
      <c r="K23" s="365"/>
      <c r="L23" s="366"/>
    </row>
    <row r="24" spans="1:12" ht="54.75" customHeight="1" thickBot="1" x14ac:dyDescent="0.25">
      <c r="B24" s="376"/>
      <c r="C24" s="377"/>
      <c r="D24" s="377"/>
      <c r="E24" s="361" t="str">
        <f>+Matriz!Q26</f>
        <v>Ejecutar procedimiento: AAUT-PD-001 ATENCIÓN Y RESPUESTA A REQUERIMIENTOS DE LA CIUDADANIA - Punto de Control actividad 9</v>
      </c>
      <c r="F24" s="362"/>
      <c r="G24" s="362"/>
      <c r="H24" s="362"/>
      <c r="I24" s="362"/>
      <c r="J24" s="362"/>
      <c r="K24" s="362"/>
      <c r="L24" s="363"/>
    </row>
    <row r="25" spans="1:12" ht="15" x14ac:dyDescent="0.25">
      <c r="B25" s="346" t="s">
        <v>119</v>
      </c>
      <c r="C25" s="348" t="s">
        <v>120</v>
      </c>
      <c r="D25" s="349"/>
      <c r="E25" s="367" t="s">
        <v>114</v>
      </c>
      <c r="F25" s="368"/>
      <c r="G25" s="332" t="s">
        <v>71</v>
      </c>
      <c r="H25" s="333"/>
      <c r="I25" s="333"/>
      <c r="J25" s="333"/>
      <c r="K25" s="333"/>
      <c r="L25" s="334"/>
    </row>
    <row r="26" spans="1:12" ht="15" thickBot="1" x14ac:dyDescent="0.25">
      <c r="B26" s="347"/>
      <c r="C26" s="350"/>
      <c r="D26" s="351"/>
      <c r="E26" s="62" t="s">
        <v>115</v>
      </c>
      <c r="F26" s="63" t="s">
        <v>116</v>
      </c>
      <c r="G26" s="335"/>
      <c r="H26" s="336"/>
      <c r="I26" s="336"/>
      <c r="J26" s="336"/>
      <c r="K26" s="336"/>
      <c r="L26" s="337"/>
    </row>
    <row r="27" spans="1:12" ht="30" customHeight="1" x14ac:dyDescent="0.2">
      <c r="B27" s="344" t="s">
        <v>121</v>
      </c>
      <c r="C27" s="90" t="s">
        <v>92</v>
      </c>
      <c r="D27" s="50" t="s">
        <v>84</v>
      </c>
      <c r="E27" s="44" t="s">
        <v>99</v>
      </c>
      <c r="F27" s="45">
        <f>IF(E27="Asignado",15,IF(E27="No asignado",0,""))</f>
        <v>15</v>
      </c>
      <c r="G27" s="394" t="s">
        <v>287</v>
      </c>
      <c r="H27" s="395"/>
      <c r="I27" s="395"/>
      <c r="J27" s="395"/>
      <c r="K27" s="395"/>
      <c r="L27" s="396"/>
    </row>
    <row r="28" spans="1:12" ht="30" customHeight="1" x14ac:dyDescent="0.2">
      <c r="B28" s="345"/>
      <c r="C28" s="37" t="s">
        <v>93</v>
      </c>
      <c r="D28" s="51" t="s">
        <v>85</v>
      </c>
      <c r="E28" s="39" t="s">
        <v>101</v>
      </c>
      <c r="F28" s="40">
        <f>IF(E28="Adecuado",15,IF(E28="Inadecuado",0,""))</f>
        <v>15</v>
      </c>
      <c r="G28" s="341"/>
      <c r="H28" s="342"/>
      <c r="I28" s="342"/>
      <c r="J28" s="342"/>
      <c r="K28" s="342"/>
      <c r="L28" s="343"/>
    </row>
    <row r="29" spans="1:12" ht="30" customHeight="1" x14ac:dyDescent="0.2">
      <c r="B29" s="89" t="s">
        <v>122</v>
      </c>
      <c r="C29" s="37" t="s">
        <v>94</v>
      </c>
      <c r="D29" s="51" t="s">
        <v>86</v>
      </c>
      <c r="E29" s="39" t="s">
        <v>103</v>
      </c>
      <c r="F29" s="40">
        <f>IF(E29="Oportuna",15,IF(E29="Inoportuna",0,""))</f>
        <v>15</v>
      </c>
      <c r="G29" s="341" t="s">
        <v>288</v>
      </c>
      <c r="H29" s="342"/>
      <c r="I29" s="342"/>
      <c r="J29" s="342"/>
      <c r="K29" s="342"/>
      <c r="L29" s="343"/>
    </row>
    <row r="30" spans="1:12" ht="45" customHeight="1" x14ac:dyDescent="0.2">
      <c r="B30" s="89" t="s">
        <v>123</v>
      </c>
      <c r="C30" s="37" t="s">
        <v>95</v>
      </c>
      <c r="D30" s="51" t="s">
        <v>87</v>
      </c>
      <c r="E30" s="41" t="s">
        <v>105</v>
      </c>
      <c r="F30" s="40">
        <f>IF(E30="Prevenir o detectar",15,IF(E30="No es control",0,""))</f>
        <v>15</v>
      </c>
      <c r="G30" s="341" t="s">
        <v>289</v>
      </c>
      <c r="H30" s="342"/>
      <c r="I30" s="342"/>
      <c r="J30" s="342"/>
      <c r="K30" s="342"/>
      <c r="L30" s="343"/>
    </row>
    <row r="31" spans="1:12" ht="30" customHeight="1" x14ac:dyDescent="0.2">
      <c r="B31" s="66" t="s">
        <v>125</v>
      </c>
      <c r="C31" s="37" t="s">
        <v>96</v>
      </c>
      <c r="D31" s="51" t="s">
        <v>88</v>
      </c>
      <c r="E31" s="39" t="s">
        <v>107</v>
      </c>
      <c r="F31" s="40">
        <f>IF(E31="Confiable",15,IF(E31="No confiable",0,""))</f>
        <v>15</v>
      </c>
      <c r="G31" s="397" t="s">
        <v>290</v>
      </c>
      <c r="H31" s="398"/>
      <c r="I31" s="398"/>
      <c r="J31" s="398"/>
      <c r="K31" s="398"/>
      <c r="L31" s="399"/>
    </row>
    <row r="32" spans="1:12" ht="45" customHeight="1" x14ac:dyDescent="0.2">
      <c r="B32" s="66" t="s">
        <v>126</v>
      </c>
      <c r="C32" s="37" t="s">
        <v>97</v>
      </c>
      <c r="D32" s="51" t="s">
        <v>89</v>
      </c>
      <c r="E32" s="41" t="s">
        <v>110</v>
      </c>
      <c r="F32" s="40">
        <f>IF(E32="Se investigan y resuelven oportunamente",15,IF(E32="No se investigan y resuelven oportunamente",0,""))</f>
        <v>0</v>
      </c>
      <c r="G32" s="341" t="s">
        <v>291</v>
      </c>
      <c r="H32" s="342"/>
      <c r="I32" s="342"/>
      <c r="J32" s="342"/>
      <c r="K32" s="342"/>
      <c r="L32" s="343"/>
    </row>
    <row r="33" spans="1:12" ht="30" customHeight="1" thickBot="1" x14ac:dyDescent="0.25">
      <c r="B33" s="67" t="s">
        <v>124</v>
      </c>
      <c r="C33" s="91" t="s">
        <v>98</v>
      </c>
      <c r="D33" s="52" t="s">
        <v>90</v>
      </c>
      <c r="E33" s="42" t="s">
        <v>112</v>
      </c>
      <c r="F33" s="43">
        <f>IF(E33="Completa",10,IF(E33="Incompleta",5,IF(E33="No existe",0,"")))</f>
        <v>5</v>
      </c>
      <c r="G33" s="391" t="s">
        <v>292</v>
      </c>
      <c r="H33" s="392"/>
      <c r="I33" s="392"/>
      <c r="J33" s="392"/>
      <c r="K33" s="392"/>
      <c r="L33" s="393"/>
    </row>
    <row r="34" spans="1:12" ht="7.5" customHeight="1" thickBot="1" x14ac:dyDescent="0.25">
      <c r="D34" s="38"/>
      <c r="G34" s="95"/>
      <c r="H34" s="95"/>
      <c r="I34" s="95"/>
      <c r="J34" s="95"/>
      <c r="K34" s="95"/>
      <c r="L34" s="95"/>
    </row>
    <row r="35" spans="1:12" x14ac:dyDescent="0.2">
      <c r="D35" s="48" t="s">
        <v>91</v>
      </c>
      <c r="E35" s="369">
        <f>IF(SUM(F27:F33)=0,"-",SUM(F27:F33))</f>
        <v>80</v>
      </c>
      <c r="F35" s="370"/>
      <c r="G35" s="96"/>
      <c r="H35" s="96"/>
      <c r="I35" s="96"/>
      <c r="J35" s="96"/>
      <c r="K35" s="96"/>
      <c r="L35" s="96"/>
    </row>
    <row r="36" spans="1:12" ht="15" thickBot="1" x14ac:dyDescent="0.25">
      <c r="D36" s="49" t="s">
        <v>117</v>
      </c>
      <c r="E36" s="371" t="str">
        <f>IF(E35&lt;=74,"Débil",IF(E35&lt;=89,"Moderado",IF(E35&lt;=100,"Fuerte","")))</f>
        <v>Moderado</v>
      </c>
      <c r="F36" s="372"/>
      <c r="G36" s="96"/>
      <c r="H36" s="96"/>
      <c r="I36" s="96"/>
      <c r="J36" s="96"/>
      <c r="K36" s="96"/>
      <c r="L36" s="96"/>
    </row>
    <row r="38" spans="1:12" ht="15" thickBot="1" x14ac:dyDescent="0.25"/>
    <row r="39" spans="1:12" ht="30" customHeight="1" thickBot="1" x14ac:dyDescent="0.25">
      <c r="A39" s="64" t="str">
        <f>+Matriz!E15</f>
        <v>AGTH-RC-001</v>
      </c>
      <c r="B39" s="323" t="str">
        <f>+Matriz!F15</f>
        <v>Interés de vincular a una persona sin el cumplimiento de la totalidad de requisitos, por influencia externa o por presión de un tercero.</v>
      </c>
      <c r="C39" s="324"/>
      <c r="D39" s="324"/>
      <c r="E39" s="324"/>
      <c r="F39" s="324"/>
      <c r="G39" s="324"/>
      <c r="H39" s="324"/>
      <c r="I39" s="324"/>
      <c r="J39" s="324"/>
      <c r="K39" s="324"/>
      <c r="L39" s="325"/>
    </row>
    <row r="40" spans="1:12" ht="15" thickBot="1" x14ac:dyDescent="0.25"/>
    <row r="41" spans="1:12" ht="15.75" customHeight="1" x14ac:dyDescent="0.2">
      <c r="B41" s="373" t="s">
        <v>152</v>
      </c>
      <c r="C41" s="374"/>
      <c r="D41" s="374"/>
      <c r="E41" s="364" t="s">
        <v>118</v>
      </c>
      <c r="F41" s="365"/>
      <c r="G41" s="365"/>
      <c r="H41" s="365"/>
      <c r="I41" s="365"/>
      <c r="J41" s="365"/>
      <c r="K41" s="365"/>
      <c r="L41" s="366"/>
    </row>
    <row r="42" spans="1:12" ht="143.25" customHeight="1" thickBot="1" x14ac:dyDescent="0.25">
      <c r="B42" s="376"/>
      <c r="C42" s="377"/>
      <c r="D42" s="377"/>
      <c r="E42" s="361" t="str">
        <f>+Matriz!Q15</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42" s="362"/>
      <c r="G42" s="362"/>
      <c r="H42" s="362"/>
      <c r="I42" s="362"/>
      <c r="J42" s="362"/>
      <c r="K42" s="362"/>
      <c r="L42" s="363"/>
    </row>
    <row r="43" spans="1:12" ht="15" x14ac:dyDescent="0.25">
      <c r="B43" s="346" t="s">
        <v>119</v>
      </c>
      <c r="C43" s="348" t="s">
        <v>120</v>
      </c>
      <c r="D43" s="349"/>
      <c r="E43" s="367" t="s">
        <v>114</v>
      </c>
      <c r="F43" s="368"/>
      <c r="G43" s="332" t="s">
        <v>71</v>
      </c>
      <c r="H43" s="333"/>
      <c r="I43" s="333"/>
      <c r="J43" s="333"/>
      <c r="K43" s="333"/>
      <c r="L43" s="334"/>
    </row>
    <row r="44" spans="1:12" ht="15" thickBot="1" x14ac:dyDescent="0.25">
      <c r="B44" s="347"/>
      <c r="C44" s="350"/>
      <c r="D44" s="351"/>
      <c r="E44" s="62" t="s">
        <v>115</v>
      </c>
      <c r="F44" s="63" t="s">
        <v>116</v>
      </c>
      <c r="G44" s="335"/>
      <c r="H44" s="336"/>
      <c r="I44" s="336"/>
      <c r="J44" s="336"/>
      <c r="K44" s="336"/>
      <c r="L44" s="337"/>
    </row>
    <row r="45" spans="1:12" ht="14.25" customHeight="1" x14ac:dyDescent="0.2">
      <c r="B45" s="344" t="s">
        <v>121</v>
      </c>
      <c r="C45" s="93" t="s">
        <v>92</v>
      </c>
      <c r="D45" s="50" t="s">
        <v>84</v>
      </c>
      <c r="E45" s="44" t="s">
        <v>99</v>
      </c>
      <c r="F45" s="45">
        <f>IF(E45="Asignado",15,IF(E45="No asignado",0,""))</f>
        <v>15</v>
      </c>
      <c r="G45" s="388" t="s">
        <v>294</v>
      </c>
      <c r="H45" s="389"/>
      <c r="I45" s="389"/>
      <c r="J45" s="389"/>
      <c r="K45" s="389"/>
      <c r="L45" s="390"/>
    </row>
    <row r="46" spans="1:12" ht="41.25" customHeight="1" x14ac:dyDescent="0.2">
      <c r="B46" s="345"/>
      <c r="C46" s="37" t="s">
        <v>93</v>
      </c>
      <c r="D46" s="51" t="s">
        <v>85</v>
      </c>
      <c r="E46" s="39" t="s">
        <v>101</v>
      </c>
      <c r="F46" s="40">
        <f>IF(E46="Adecuado",15,IF(E46="Inadecuado",0,""))</f>
        <v>15</v>
      </c>
      <c r="G46" s="379" t="s">
        <v>295</v>
      </c>
      <c r="H46" s="380"/>
      <c r="I46" s="380"/>
      <c r="J46" s="380"/>
      <c r="K46" s="380"/>
      <c r="L46" s="381"/>
    </row>
    <row r="47" spans="1:12" ht="41.25" customHeight="1" x14ac:dyDescent="0.2">
      <c r="B47" s="92" t="s">
        <v>122</v>
      </c>
      <c r="C47" s="37" t="s">
        <v>94</v>
      </c>
      <c r="D47" s="51" t="s">
        <v>86</v>
      </c>
      <c r="E47" s="39" t="s">
        <v>103</v>
      </c>
      <c r="F47" s="40">
        <f>IF(E47="Oportuna",15,IF(E47="Inoportuna",0,""))</f>
        <v>15</v>
      </c>
      <c r="G47" s="379" t="s">
        <v>296</v>
      </c>
      <c r="H47" s="380"/>
      <c r="I47" s="380"/>
      <c r="J47" s="380"/>
      <c r="K47" s="380"/>
      <c r="L47" s="381"/>
    </row>
    <row r="48" spans="1:12" ht="41.25" customHeight="1" x14ac:dyDescent="0.2">
      <c r="B48" s="92" t="s">
        <v>123</v>
      </c>
      <c r="C48" s="37" t="s">
        <v>95</v>
      </c>
      <c r="D48" s="51" t="s">
        <v>87</v>
      </c>
      <c r="E48" s="41" t="s">
        <v>105</v>
      </c>
      <c r="F48" s="40">
        <f>IF(E48="Prevenir o detectar",15,IF(E48="No es control",0,""))</f>
        <v>15</v>
      </c>
      <c r="G48" s="379" t="s">
        <v>297</v>
      </c>
      <c r="H48" s="380"/>
      <c r="I48" s="380"/>
      <c r="J48" s="380"/>
      <c r="K48" s="380"/>
      <c r="L48" s="381"/>
    </row>
    <row r="49" spans="1:18" ht="41.25" customHeight="1" x14ac:dyDescent="0.2">
      <c r="B49" s="66" t="s">
        <v>125</v>
      </c>
      <c r="C49" s="37" t="s">
        <v>96</v>
      </c>
      <c r="D49" s="51" t="s">
        <v>88</v>
      </c>
      <c r="E49" s="39" t="s">
        <v>107</v>
      </c>
      <c r="F49" s="40">
        <f>IF(E49="Confiable",15,IF(E49="No confiable",0,""))</f>
        <v>15</v>
      </c>
      <c r="G49" s="382" t="s">
        <v>299</v>
      </c>
      <c r="H49" s="383"/>
      <c r="I49" s="383"/>
      <c r="J49" s="383"/>
      <c r="K49" s="383"/>
      <c r="L49" s="384"/>
    </row>
    <row r="50" spans="1:18" ht="41.25" customHeight="1" x14ac:dyDescent="0.2">
      <c r="B50" s="66" t="s">
        <v>126</v>
      </c>
      <c r="C50" s="37" t="s">
        <v>97</v>
      </c>
      <c r="D50" s="51" t="s">
        <v>89</v>
      </c>
      <c r="E50" s="41" t="s">
        <v>109</v>
      </c>
      <c r="F50" s="40">
        <f>IF(E50="Se investigan y resuelven oportunamente",15,IF(E50="No se investigan y resuelven oportunamente",0,""))</f>
        <v>15</v>
      </c>
      <c r="G50" s="382" t="s">
        <v>455</v>
      </c>
      <c r="H50" s="383"/>
      <c r="I50" s="383"/>
      <c r="J50" s="383"/>
      <c r="K50" s="383"/>
      <c r="L50" s="384"/>
    </row>
    <row r="51" spans="1:18" ht="41.25" customHeight="1" thickBot="1" x14ac:dyDescent="0.25">
      <c r="B51" s="67" t="s">
        <v>124</v>
      </c>
      <c r="C51" s="94" t="s">
        <v>98</v>
      </c>
      <c r="D51" s="52" t="s">
        <v>90</v>
      </c>
      <c r="E51" s="42" t="s">
        <v>111</v>
      </c>
      <c r="F51" s="43">
        <f>IF(E51="Completa",10,IF(E51="Incompleta",5,IF(E51="No existe",0,"")))</f>
        <v>10</v>
      </c>
      <c r="G51" s="385" t="s">
        <v>298</v>
      </c>
      <c r="H51" s="386"/>
      <c r="I51" s="386"/>
      <c r="J51" s="386"/>
      <c r="K51" s="386"/>
      <c r="L51" s="387"/>
    </row>
    <row r="52" spans="1:18" ht="15" thickBot="1" x14ac:dyDescent="0.25">
      <c r="D52" s="38"/>
      <c r="G52" s="95"/>
      <c r="H52" s="95"/>
      <c r="I52" s="95"/>
      <c r="J52" s="95"/>
      <c r="K52" s="95"/>
      <c r="L52" s="95"/>
    </row>
    <row r="53" spans="1:18" x14ac:dyDescent="0.2">
      <c r="D53" s="48" t="s">
        <v>91</v>
      </c>
      <c r="E53" s="369">
        <f>IF(SUM(F45:F51)=0,"-",SUM(F45:F51))</f>
        <v>100</v>
      </c>
      <c r="F53" s="370"/>
      <c r="G53" s="96"/>
      <c r="H53" s="96"/>
      <c r="I53" s="96"/>
      <c r="J53" s="96"/>
      <c r="K53" s="96"/>
      <c r="L53" s="96"/>
    </row>
    <row r="54" spans="1:18" ht="15" thickBot="1" x14ac:dyDescent="0.25">
      <c r="D54" s="49" t="s">
        <v>117</v>
      </c>
      <c r="E54" s="371" t="str">
        <f>IF(E53&lt;=74,"Débil",IF(E53&lt;=89,"Moderado",IF(E53&lt;=100,"Fuerte","")))</f>
        <v>Fuerte</v>
      </c>
      <c r="F54" s="372"/>
      <c r="G54" s="96"/>
      <c r="H54" s="96"/>
      <c r="I54" s="96"/>
      <c r="J54" s="96"/>
      <c r="K54" s="96"/>
      <c r="L54" s="96"/>
    </row>
    <row r="55" spans="1:18" ht="15" thickBot="1" x14ac:dyDescent="0.25"/>
    <row r="56" spans="1:18" ht="33" customHeight="1" thickBot="1" x14ac:dyDescent="0.25">
      <c r="A56" s="64" t="str">
        <f>+Matriz!E19</f>
        <v>AGRI-SI-RC-001</v>
      </c>
      <c r="B56" s="323" t="str">
        <f>+Matriz!F19</f>
        <v>Favorecimiento de un tercero en el proceso de contratación de equipos y servicios relacionados del área</v>
      </c>
      <c r="C56" s="324"/>
      <c r="D56" s="324"/>
      <c r="E56" s="324"/>
      <c r="F56" s="324"/>
      <c r="G56" s="324"/>
      <c r="H56" s="324"/>
      <c r="I56" s="324"/>
      <c r="J56" s="324"/>
      <c r="K56" s="324"/>
      <c r="L56" s="325"/>
      <c r="M56" s="109"/>
    </row>
    <row r="57" spans="1:18" ht="10.5" customHeight="1" thickBot="1" x14ac:dyDescent="0.25"/>
    <row r="58" spans="1:18" ht="16.5" customHeight="1" thickBot="1" x14ac:dyDescent="0.25">
      <c r="B58" s="373" t="s">
        <v>152</v>
      </c>
      <c r="C58" s="374"/>
      <c r="D58" s="375"/>
      <c r="E58" s="326" t="s">
        <v>118</v>
      </c>
      <c r="F58" s="327"/>
      <c r="G58" s="327"/>
      <c r="H58" s="327"/>
      <c r="I58" s="327"/>
      <c r="J58" s="327"/>
      <c r="K58" s="417" t="s">
        <v>311</v>
      </c>
      <c r="L58" s="418"/>
      <c r="M58" s="418"/>
      <c r="N58" s="418"/>
      <c r="O58" s="418"/>
      <c r="P58" s="418"/>
      <c r="Q58" s="418"/>
      <c r="R58" s="419"/>
    </row>
    <row r="59" spans="1:18" ht="102" customHeight="1" thickBot="1" x14ac:dyDescent="0.25">
      <c r="B59" s="376"/>
      <c r="C59" s="377"/>
      <c r="D59" s="378"/>
      <c r="E59" s="409" t="str">
        <f>+Matriz!Q19</f>
        <v>Revisar que los anexos técnicos contengan información detallada de acuerdo a los bienes y/o servicios que se vayan a contratar y evidencien la pluralidad del mercado.</v>
      </c>
      <c r="F59" s="410"/>
      <c r="G59" s="410"/>
      <c r="H59" s="410"/>
      <c r="I59" s="410"/>
      <c r="J59" s="410"/>
      <c r="K59" s="422" t="str">
        <f>+Matriz!Q20</f>
        <v>Comparar lo valores históricos de la contratación de bienes y servicios con las condiciones actuales del mercado y las referencias de entidades estatales.</v>
      </c>
      <c r="L59" s="423"/>
      <c r="M59" s="423"/>
      <c r="N59" s="423"/>
      <c r="O59" s="423"/>
      <c r="P59" s="423"/>
      <c r="Q59" s="423"/>
      <c r="R59" s="424"/>
    </row>
    <row r="60" spans="1:18" ht="15" x14ac:dyDescent="0.25">
      <c r="B60" s="346" t="s">
        <v>119</v>
      </c>
      <c r="C60" s="348" t="s">
        <v>120</v>
      </c>
      <c r="D60" s="349"/>
      <c r="E60" s="420" t="s">
        <v>114</v>
      </c>
      <c r="F60" s="421"/>
      <c r="G60" s="411" t="s">
        <v>71</v>
      </c>
      <c r="H60" s="412"/>
      <c r="I60" s="412"/>
      <c r="J60" s="413"/>
      <c r="K60" s="367" t="s">
        <v>114</v>
      </c>
      <c r="L60" s="368"/>
      <c r="M60" s="364" t="s">
        <v>71</v>
      </c>
      <c r="N60" s="365"/>
      <c r="O60" s="365"/>
      <c r="P60" s="365"/>
      <c r="Q60" s="365"/>
      <c r="R60" s="366"/>
    </row>
    <row r="61" spans="1:18" ht="15.75" customHeight="1" thickBot="1" x14ac:dyDescent="0.25">
      <c r="B61" s="347"/>
      <c r="C61" s="350"/>
      <c r="D61" s="351"/>
      <c r="E61" s="62" t="s">
        <v>115</v>
      </c>
      <c r="F61" s="63" t="s">
        <v>116</v>
      </c>
      <c r="G61" s="414"/>
      <c r="H61" s="415"/>
      <c r="I61" s="415"/>
      <c r="J61" s="416"/>
      <c r="K61" s="62" t="s">
        <v>115</v>
      </c>
      <c r="L61" s="63" t="s">
        <v>116</v>
      </c>
      <c r="M61" s="425"/>
      <c r="N61" s="426"/>
      <c r="O61" s="426"/>
      <c r="P61" s="426"/>
      <c r="Q61" s="426"/>
      <c r="R61" s="427"/>
    </row>
    <row r="62" spans="1:18" ht="30" customHeight="1" x14ac:dyDescent="0.2">
      <c r="B62" s="344" t="s">
        <v>121</v>
      </c>
      <c r="C62" s="97" t="s">
        <v>92</v>
      </c>
      <c r="D62" s="50" t="s">
        <v>84</v>
      </c>
      <c r="E62" s="44" t="s">
        <v>99</v>
      </c>
      <c r="F62" s="100">
        <f>IF(E62="Asignado",15,IF(E62="No asignado",0,""))</f>
        <v>15</v>
      </c>
      <c r="G62" s="400" t="s">
        <v>312</v>
      </c>
      <c r="H62" s="401"/>
      <c r="I62" s="401"/>
      <c r="J62" s="402"/>
      <c r="K62" s="101" t="s">
        <v>99</v>
      </c>
      <c r="L62" s="100">
        <f t="shared" ref="L62" si="0">IF(K62="Asignado",15,IF(K62="No asignado",0,""))</f>
        <v>15</v>
      </c>
      <c r="M62" s="400" t="s">
        <v>312</v>
      </c>
      <c r="N62" s="401"/>
      <c r="O62" s="401"/>
      <c r="P62" s="401"/>
      <c r="Q62" s="401"/>
      <c r="R62" s="402"/>
    </row>
    <row r="63" spans="1:18" ht="30" customHeight="1" x14ac:dyDescent="0.2">
      <c r="B63" s="345"/>
      <c r="C63" s="37" t="s">
        <v>93</v>
      </c>
      <c r="D63" s="51" t="s">
        <v>85</v>
      </c>
      <c r="E63" s="39" t="s">
        <v>101</v>
      </c>
      <c r="F63" s="102">
        <f>IF(E63="Adecuado",15,IF(E63="Inadecuado",0,""))</f>
        <v>15</v>
      </c>
      <c r="G63" s="403" t="s">
        <v>456</v>
      </c>
      <c r="H63" s="404"/>
      <c r="I63" s="404"/>
      <c r="J63" s="405"/>
      <c r="K63" s="103" t="s">
        <v>101</v>
      </c>
      <c r="L63" s="102">
        <f t="shared" ref="L63" si="1">IF(K63="Adecuado",15,IF(K63="Inadecuado",0,""))</f>
        <v>15</v>
      </c>
      <c r="M63" s="403" t="s">
        <v>313</v>
      </c>
      <c r="N63" s="404"/>
      <c r="O63" s="404"/>
      <c r="P63" s="404"/>
      <c r="Q63" s="404"/>
      <c r="R63" s="405"/>
    </row>
    <row r="64" spans="1:18" ht="30" customHeight="1" x14ac:dyDescent="0.2">
      <c r="B64" s="99" t="s">
        <v>122</v>
      </c>
      <c r="C64" s="37" t="s">
        <v>94</v>
      </c>
      <c r="D64" s="51" t="s">
        <v>86</v>
      </c>
      <c r="E64" s="39" t="s">
        <v>103</v>
      </c>
      <c r="F64" s="102">
        <f>IF(E64="Oportuna",15,IF(E64="Inoportuna",0,""))</f>
        <v>15</v>
      </c>
      <c r="G64" s="403" t="s">
        <v>314</v>
      </c>
      <c r="H64" s="404"/>
      <c r="I64" s="404"/>
      <c r="J64" s="405"/>
      <c r="K64" s="103" t="s">
        <v>103</v>
      </c>
      <c r="L64" s="102">
        <f t="shared" ref="L64" si="2">IF(K64="Oportuna",15,IF(K64="Inoportuna",0,""))</f>
        <v>15</v>
      </c>
      <c r="M64" s="403" t="s">
        <v>314</v>
      </c>
      <c r="N64" s="404"/>
      <c r="O64" s="404"/>
      <c r="P64" s="404"/>
      <c r="Q64" s="404"/>
      <c r="R64" s="405"/>
    </row>
    <row r="65" spans="1:18" ht="45" customHeight="1" x14ac:dyDescent="0.2">
      <c r="B65" s="99" t="s">
        <v>123</v>
      </c>
      <c r="C65" s="37" t="s">
        <v>95</v>
      </c>
      <c r="D65" s="51" t="s">
        <v>87</v>
      </c>
      <c r="E65" s="41" t="s">
        <v>105</v>
      </c>
      <c r="F65" s="102">
        <f>IF(E65="Prevenir o detectar",15,IF(E65="No es control",0,""))</f>
        <v>15</v>
      </c>
      <c r="G65" s="403" t="s">
        <v>457</v>
      </c>
      <c r="H65" s="404"/>
      <c r="I65" s="404"/>
      <c r="J65" s="405"/>
      <c r="K65" s="104" t="s">
        <v>105</v>
      </c>
      <c r="L65" s="102">
        <f t="shared" ref="L65" si="3">IF(K65="Prevenir o detectar",15,IF(K65="No es control",0,""))</f>
        <v>15</v>
      </c>
      <c r="M65" s="403" t="s">
        <v>315</v>
      </c>
      <c r="N65" s="404"/>
      <c r="O65" s="404"/>
      <c r="P65" s="404"/>
      <c r="Q65" s="404"/>
      <c r="R65" s="405"/>
    </row>
    <row r="66" spans="1:18" ht="30" customHeight="1" x14ac:dyDescent="0.2">
      <c r="B66" s="66" t="s">
        <v>125</v>
      </c>
      <c r="C66" s="37" t="s">
        <v>96</v>
      </c>
      <c r="D66" s="51" t="s">
        <v>88</v>
      </c>
      <c r="E66" s="39" t="s">
        <v>107</v>
      </c>
      <c r="F66" s="102">
        <f>IF(E66="Confiable",15,IF(E66="No confiable",0,""))</f>
        <v>15</v>
      </c>
      <c r="G66" s="403" t="s">
        <v>458</v>
      </c>
      <c r="H66" s="404"/>
      <c r="I66" s="404"/>
      <c r="J66" s="405"/>
      <c r="K66" s="103" t="s">
        <v>107</v>
      </c>
      <c r="L66" s="102">
        <f t="shared" ref="L66" si="4">IF(K66="Confiable",15,IF(K66="No confiable",0,""))</f>
        <v>15</v>
      </c>
      <c r="M66" s="403" t="s">
        <v>316</v>
      </c>
      <c r="N66" s="404"/>
      <c r="O66" s="404"/>
      <c r="P66" s="404"/>
      <c r="Q66" s="404"/>
      <c r="R66" s="405"/>
    </row>
    <row r="67" spans="1:18" ht="45" customHeight="1" x14ac:dyDescent="0.2">
      <c r="B67" s="66" t="s">
        <v>126</v>
      </c>
      <c r="C67" s="37" t="s">
        <v>97</v>
      </c>
      <c r="D67" s="51" t="s">
        <v>89</v>
      </c>
      <c r="E67" s="41" t="s">
        <v>109</v>
      </c>
      <c r="F67" s="102">
        <f>IF(E67="Se investigan y resuelven oportunamente",15,IF(E67="No se investigan y resuelven oportunamente",0,""))</f>
        <v>15</v>
      </c>
      <c r="G67" s="403" t="s">
        <v>459</v>
      </c>
      <c r="H67" s="404"/>
      <c r="I67" s="404"/>
      <c r="J67" s="405"/>
      <c r="K67" s="104" t="s">
        <v>109</v>
      </c>
      <c r="L67" s="102">
        <f t="shared" ref="L67" si="5">IF(K67="Se investigan y resuelven oportunamente",15,IF(K67="No se investigan y resuelven oportunamente",0,""))</f>
        <v>15</v>
      </c>
      <c r="M67" s="403" t="s">
        <v>317</v>
      </c>
      <c r="N67" s="404"/>
      <c r="O67" s="404"/>
      <c r="P67" s="404"/>
      <c r="Q67" s="404"/>
      <c r="R67" s="405"/>
    </row>
    <row r="68" spans="1:18" ht="30" customHeight="1" thickBot="1" x14ac:dyDescent="0.25">
      <c r="B68" s="67" t="s">
        <v>124</v>
      </c>
      <c r="C68" s="98" t="s">
        <v>98</v>
      </c>
      <c r="D68" s="52" t="s">
        <v>90</v>
      </c>
      <c r="E68" s="42" t="s">
        <v>111</v>
      </c>
      <c r="F68" s="105">
        <f>IF(E68="Completa",10,IF(E68="Incompleta",5,IF(E68="No existe",0,"")))</f>
        <v>10</v>
      </c>
      <c r="G68" s="406" t="s">
        <v>318</v>
      </c>
      <c r="H68" s="407"/>
      <c r="I68" s="407"/>
      <c r="J68" s="408"/>
      <c r="K68" s="106" t="s">
        <v>111</v>
      </c>
      <c r="L68" s="105">
        <f t="shared" ref="L68" si="6">IF(K68="Completa",10,IF(K68="Incompleta",5,IF(K68="No existe",0,"")))</f>
        <v>10</v>
      </c>
      <c r="M68" s="406" t="s">
        <v>318</v>
      </c>
      <c r="N68" s="407"/>
      <c r="O68" s="407"/>
      <c r="P68" s="407"/>
      <c r="Q68" s="407"/>
      <c r="R68" s="408"/>
    </row>
    <row r="69" spans="1:18" ht="7.5" customHeight="1" thickBot="1" x14ac:dyDescent="0.25">
      <c r="D69" s="38"/>
      <c r="J69" s="95"/>
      <c r="K69" s="107"/>
      <c r="L69" s="108"/>
      <c r="M69" s="95"/>
    </row>
    <row r="70" spans="1:18" x14ac:dyDescent="0.2">
      <c r="D70" s="48" t="s">
        <v>91</v>
      </c>
      <c r="E70" s="369">
        <f>IF(SUM(F62:F68)=0,"-",SUM(F62:F68))</f>
        <v>100</v>
      </c>
      <c r="F70" s="370"/>
      <c r="G70" s="428"/>
      <c r="J70" s="96"/>
      <c r="K70" s="369">
        <f t="shared" ref="K70" si="7">IF(SUM(L62:L68)=0,"-",SUM(L62:L68))</f>
        <v>100</v>
      </c>
      <c r="L70" s="370"/>
      <c r="M70" s="96"/>
    </row>
    <row r="71" spans="1:18" ht="15.75" customHeight="1" thickBot="1" x14ac:dyDescent="0.25">
      <c r="D71" s="49" t="s">
        <v>117</v>
      </c>
      <c r="E71" s="371" t="str">
        <f>IF(E70&lt;=74,"Débil",IF(E70&lt;=89,"Moderado",IF(E70&lt;=100,"Fuerte","")))</f>
        <v>Fuerte</v>
      </c>
      <c r="F71" s="372"/>
      <c r="G71" s="428"/>
      <c r="J71" s="96"/>
      <c r="K71" s="371" t="str">
        <f t="shared" ref="K71" si="8">IF(K70&lt;=74,"Débil",IF(K70&lt;=89,"Moderado",IF(K70&lt;=100,"Fuerte","")))</f>
        <v>Fuerte</v>
      </c>
      <c r="L71" s="372"/>
      <c r="M71" s="96"/>
    </row>
    <row r="72" spans="1:18" ht="15" thickBot="1" x14ac:dyDescent="0.25"/>
    <row r="73" spans="1:18" ht="30" customHeight="1" thickBot="1" x14ac:dyDescent="0.25">
      <c r="A73" s="64" t="str">
        <f>+Matriz!E12</f>
        <v>MDCC-RC-001</v>
      </c>
      <c r="B73" s="323" t="str">
        <f>+Matriz!F12</f>
        <v>Favorecer a un cliente respecto a la acomodación de contenidos en la parrilla.</v>
      </c>
      <c r="C73" s="324"/>
      <c r="D73" s="324"/>
      <c r="E73" s="324"/>
      <c r="F73" s="324"/>
      <c r="G73" s="324"/>
      <c r="H73" s="324"/>
      <c r="I73" s="324"/>
      <c r="J73" s="324"/>
      <c r="K73" s="324"/>
      <c r="L73" s="325"/>
    </row>
    <row r="74" spans="1:18" ht="15" thickBot="1" x14ac:dyDescent="0.25"/>
    <row r="75" spans="1:18" ht="15.75" customHeight="1" x14ac:dyDescent="0.2">
      <c r="B75" s="373" t="s">
        <v>152</v>
      </c>
      <c r="C75" s="374"/>
      <c r="D75" s="374"/>
      <c r="E75" s="364" t="s">
        <v>118</v>
      </c>
      <c r="F75" s="365"/>
      <c r="G75" s="365"/>
      <c r="H75" s="365"/>
      <c r="I75" s="365"/>
      <c r="J75" s="365"/>
      <c r="K75" s="365"/>
      <c r="L75" s="366"/>
    </row>
    <row r="76" spans="1:18" ht="45.75" customHeight="1" thickBot="1" x14ac:dyDescent="0.25">
      <c r="B76" s="376"/>
      <c r="C76" s="377"/>
      <c r="D76" s="377"/>
      <c r="E76" s="361" t="str">
        <f>+Matriz!Q12</f>
        <v>Continuidad  de emisión diaria
Parrilla de programación</v>
      </c>
      <c r="F76" s="362"/>
      <c r="G76" s="362"/>
      <c r="H76" s="362"/>
      <c r="I76" s="362"/>
      <c r="J76" s="362"/>
      <c r="K76" s="362"/>
      <c r="L76" s="363"/>
    </row>
    <row r="77" spans="1:18" ht="15" x14ac:dyDescent="0.25">
      <c r="B77" s="346" t="s">
        <v>119</v>
      </c>
      <c r="C77" s="348" t="s">
        <v>120</v>
      </c>
      <c r="D77" s="349"/>
      <c r="E77" s="367" t="s">
        <v>114</v>
      </c>
      <c r="F77" s="368"/>
      <c r="G77" s="332" t="s">
        <v>71</v>
      </c>
      <c r="H77" s="333"/>
      <c r="I77" s="333"/>
      <c r="J77" s="333"/>
      <c r="K77" s="333"/>
      <c r="L77" s="334"/>
    </row>
    <row r="78" spans="1:18" ht="15" thickBot="1" x14ac:dyDescent="0.25">
      <c r="B78" s="347"/>
      <c r="C78" s="350"/>
      <c r="D78" s="351"/>
      <c r="E78" s="62" t="s">
        <v>115</v>
      </c>
      <c r="F78" s="63" t="s">
        <v>116</v>
      </c>
      <c r="G78" s="335"/>
      <c r="H78" s="336"/>
      <c r="I78" s="336"/>
      <c r="J78" s="336"/>
      <c r="K78" s="336"/>
      <c r="L78" s="337"/>
    </row>
    <row r="79" spans="1:18" ht="36" customHeight="1" x14ac:dyDescent="0.2">
      <c r="B79" s="344" t="s">
        <v>121</v>
      </c>
      <c r="C79" s="97" t="s">
        <v>92</v>
      </c>
      <c r="D79" s="50" t="s">
        <v>84</v>
      </c>
      <c r="E79" s="44" t="s">
        <v>99</v>
      </c>
      <c r="F79" s="45">
        <f>IF(E79="Asignado",15,IF(E79="No asignado",0,""))</f>
        <v>15</v>
      </c>
      <c r="G79" s="388" t="s">
        <v>325</v>
      </c>
      <c r="H79" s="389"/>
      <c r="I79" s="389"/>
      <c r="J79" s="389"/>
      <c r="K79" s="389"/>
      <c r="L79" s="390"/>
    </row>
    <row r="80" spans="1:18" ht="36" customHeight="1" x14ac:dyDescent="0.2">
      <c r="B80" s="345"/>
      <c r="C80" s="37" t="s">
        <v>93</v>
      </c>
      <c r="D80" s="51" t="s">
        <v>85</v>
      </c>
      <c r="E80" s="39" t="s">
        <v>101</v>
      </c>
      <c r="F80" s="40">
        <f>IF(E80="Adecuado",15,IF(E80="Inadecuado",0,""))</f>
        <v>15</v>
      </c>
      <c r="G80" s="379" t="s">
        <v>326</v>
      </c>
      <c r="H80" s="380"/>
      <c r="I80" s="380"/>
      <c r="J80" s="380"/>
      <c r="K80" s="380"/>
      <c r="L80" s="381"/>
    </row>
    <row r="81" spans="1:12" ht="36" customHeight="1" x14ac:dyDescent="0.2">
      <c r="B81" s="99" t="s">
        <v>122</v>
      </c>
      <c r="C81" s="37" t="s">
        <v>94</v>
      </c>
      <c r="D81" s="51" t="s">
        <v>86</v>
      </c>
      <c r="E81" s="39" t="s">
        <v>103</v>
      </c>
      <c r="F81" s="40">
        <f>IF(E81="Oportuna",15,IF(E81="Inoportuna",0,""))</f>
        <v>15</v>
      </c>
      <c r="G81" s="379" t="s">
        <v>327</v>
      </c>
      <c r="H81" s="380"/>
      <c r="I81" s="380"/>
      <c r="J81" s="380"/>
      <c r="K81" s="380"/>
      <c r="L81" s="381"/>
    </row>
    <row r="82" spans="1:12" ht="45.75" customHeight="1" x14ac:dyDescent="0.2">
      <c r="B82" s="99" t="s">
        <v>123</v>
      </c>
      <c r="C82" s="37" t="s">
        <v>95</v>
      </c>
      <c r="D82" s="51" t="s">
        <v>87</v>
      </c>
      <c r="E82" s="41" t="s">
        <v>105</v>
      </c>
      <c r="F82" s="40">
        <f>IF(E82="Prevenir o detectar",15,IF(E82="No es control",0,""))</f>
        <v>15</v>
      </c>
      <c r="G82" s="379" t="s">
        <v>321</v>
      </c>
      <c r="H82" s="380"/>
      <c r="I82" s="380"/>
      <c r="J82" s="380"/>
      <c r="K82" s="380"/>
      <c r="L82" s="381"/>
    </row>
    <row r="83" spans="1:12" ht="36" customHeight="1" x14ac:dyDescent="0.2">
      <c r="B83" s="66" t="s">
        <v>125</v>
      </c>
      <c r="C83" s="37" t="s">
        <v>96</v>
      </c>
      <c r="D83" s="51" t="s">
        <v>88</v>
      </c>
      <c r="E83" s="39" t="s">
        <v>107</v>
      </c>
      <c r="F83" s="40">
        <f>IF(E83="Confiable",15,IF(E83="No confiable",0,""))</f>
        <v>15</v>
      </c>
      <c r="G83" s="382" t="s">
        <v>322</v>
      </c>
      <c r="H83" s="383"/>
      <c r="I83" s="383"/>
      <c r="J83" s="383"/>
      <c r="K83" s="383"/>
      <c r="L83" s="384"/>
    </row>
    <row r="84" spans="1:12" ht="36" customHeight="1" x14ac:dyDescent="0.2">
      <c r="B84" s="66" t="s">
        <v>126</v>
      </c>
      <c r="C84" s="37" t="s">
        <v>97</v>
      </c>
      <c r="D84" s="51" t="s">
        <v>89</v>
      </c>
      <c r="E84" s="41" t="s">
        <v>109</v>
      </c>
      <c r="F84" s="40">
        <f>IF(E84="Se investigan y resuelven oportunamente",15,IF(E84="No se investigan y resuelven oportunamente",0,""))</f>
        <v>15</v>
      </c>
      <c r="G84" s="382" t="s">
        <v>323</v>
      </c>
      <c r="H84" s="383"/>
      <c r="I84" s="383"/>
      <c r="J84" s="383"/>
      <c r="K84" s="383"/>
      <c r="L84" s="384"/>
    </row>
    <row r="85" spans="1:12" ht="36" customHeight="1" thickBot="1" x14ac:dyDescent="0.25">
      <c r="B85" s="67" t="s">
        <v>124</v>
      </c>
      <c r="C85" s="98" t="s">
        <v>98</v>
      </c>
      <c r="D85" s="52" t="s">
        <v>90</v>
      </c>
      <c r="E85" s="42" t="s">
        <v>111</v>
      </c>
      <c r="F85" s="43">
        <f>IF(E85="Completa",10,IF(E85="Incompleta",5,IF(E85="No existe",0,"")))</f>
        <v>10</v>
      </c>
      <c r="G85" s="385" t="s">
        <v>324</v>
      </c>
      <c r="H85" s="386"/>
      <c r="I85" s="386"/>
      <c r="J85" s="386"/>
      <c r="K85" s="386"/>
      <c r="L85" s="387"/>
    </row>
    <row r="86" spans="1:12" ht="15" thickBot="1" x14ac:dyDescent="0.25">
      <c r="D86" s="38"/>
      <c r="G86" s="95"/>
      <c r="H86" s="95"/>
      <c r="I86" s="95"/>
      <c r="J86" s="95"/>
      <c r="K86" s="95"/>
      <c r="L86" s="95"/>
    </row>
    <row r="87" spans="1:12" x14ac:dyDescent="0.2">
      <c r="D87" s="48" t="s">
        <v>91</v>
      </c>
      <c r="E87" s="369">
        <f>IF(SUM(F79:F85)=0,"-",SUM(F79:F85))</f>
        <v>100</v>
      </c>
      <c r="F87" s="370"/>
      <c r="G87" s="96"/>
      <c r="H87" s="96"/>
      <c r="I87" s="96"/>
      <c r="J87" s="96"/>
      <c r="K87" s="96"/>
      <c r="L87" s="96"/>
    </row>
    <row r="88" spans="1:12" ht="15" thickBot="1" x14ac:dyDescent="0.25">
      <c r="D88" s="49" t="s">
        <v>117</v>
      </c>
      <c r="E88" s="371" t="str">
        <f>IF(E87&lt;=74,"Débil",IF(E87&lt;=89,"Moderado",IF(E87&lt;=100,"Fuerte","")))</f>
        <v>Fuerte</v>
      </c>
      <c r="F88" s="372"/>
      <c r="G88" s="96"/>
      <c r="H88" s="96"/>
      <c r="I88" s="96"/>
      <c r="J88" s="96"/>
      <c r="K88" s="96"/>
      <c r="L88" s="96"/>
    </row>
    <row r="89" spans="1:12" ht="15" thickBot="1" x14ac:dyDescent="0.25"/>
    <row r="90" spans="1:12" ht="30" customHeight="1" thickBot="1" x14ac:dyDescent="0.25">
      <c r="A90" s="64" t="str">
        <f>+Matriz!E10</f>
        <v>MPTV-RC-001</v>
      </c>
      <c r="B90" s="323" t="str">
        <f>+Matriz!F10</f>
        <v>Aprovechamiento personal o para un tercero de los equipos de grabación del canal (Live U, microondas, etc.).</v>
      </c>
      <c r="C90" s="324"/>
      <c r="D90" s="324"/>
      <c r="E90" s="324"/>
      <c r="F90" s="324"/>
      <c r="G90" s="324"/>
      <c r="H90" s="324"/>
      <c r="I90" s="324"/>
      <c r="J90" s="324"/>
      <c r="K90" s="324"/>
      <c r="L90" s="325"/>
    </row>
    <row r="91" spans="1:12" ht="15" thickBot="1" x14ac:dyDescent="0.25"/>
    <row r="92" spans="1:12" ht="15.75" customHeight="1" x14ac:dyDescent="0.2">
      <c r="B92" s="373" t="s">
        <v>152</v>
      </c>
      <c r="C92" s="374"/>
      <c r="D92" s="374"/>
      <c r="E92" s="364" t="s">
        <v>118</v>
      </c>
      <c r="F92" s="365"/>
      <c r="G92" s="365"/>
      <c r="H92" s="365"/>
      <c r="I92" s="365"/>
      <c r="J92" s="365"/>
      <c r="K92" s="365"/>
      <c r="L92" s="366"/>
    </row>
    <row r="93" spans="1:12" ht="143.25" customHeight="1" thickBot="1" x14ac:dyDescent="0.25">
      <c r="B93" s="376"/>
      <c r="C93" s="377"/>
      <c r="D93" s="377"/>
      <c r="E93" s="361" t="str">
        <f>+Matriz!Q10</f>
        <v>Autorización de salida de equipos, de la Coordinación de Producción y Coordinación Técnica (Laboratorio).</v>
      </c>
      <c r="F93" s="362"/>
      <c r="G93" s="362"/>
      <c r="H93" s="362"/>
      <c r="I93" s="362"/>
      <c r="J93" s="362"/>
      <c r="K93" s="362"/>
      <c r="L93" s="363"/>
    </row>
    <row r="94" spans="1:12" ht="15" x14ac:dyDescent="0.25">
      <c r="B94" s="346" t="s">
        <v>119</v>
      </c>
      <c r="C94" s="348" t="s">
        <v>120</v>
      </c>
      <c r="D94" s="349"/>
      <c r="E94" s="367" t="s">
        <v>114</v>
      </c>
      <c r="F94" s="368"/>
      <c r="G94" s="332" t="s">
        <v>71</v>
      </c>
      <c r="H94" s="333"/>
      <c r="I94" s="333"/>
      <c r="J94" s="333"/>
      <c r="K94" s="333"/>
      <c r="L94" s="334"/>
    </row>
    <row r="95" spans="1:12" ht="15" thickBot="1" x14ac:dyDescent="0.25">
      <c r="B95" s="347"/>
      <c r="C95" s="350"/>
      <c r="D95" s="351"/>
      <c r="E95" s="62" t="s">
        <v>115</v>
      </c>
      <c r="F95" s="63" t="s">
        <v>116</v>
      </c>
      <c r="G95" s="335"/>
      <c r="H95" s="336"/>
      <c r="I95" s="336"/>
      <c r="J95" s="336"/>
      <c r="K95" s="336"/>
      <c r="L95" s="337"/>
    </row>
    <row r="96" spans="1:12" ht="36.75" customHeight="1" x14ac:dyDescent="0.2">
      <c r="B96" s="344" t="s">
        <v>121</v>
      </c>
      <c r="C96" s="110" t="s">
        <v>92</v>
      </c>
      <c r="D96" s="114" t="s">
        <v>84</v>
      </c>
      <c r="E96" s="44" t="s">
        <v>99</v>
      </c>
      <c r="F96" s="45">
        <f>IF(E96="Asignado",15,IF(E96="No asignado",0,""))</f>
        <v>15</v>
      </c>
      <c r="G96" s="388" t="s">
        <v>336</v>
      </c>
      <c r="H96" s="389"/>
      <c r="I96" s="389"/>
      <c r="J96" s="389"/>
      <c r="K96" s="389"/>
      <c r="L96" s="390"/>
    </row>
    <row r="97" spans="1:12" ht="41.25" customHeight="1" x14ac:dyDescent="0.2">
      <c r="B97" s="345"/>
      <c r="C97" s="37" t="s">
        <v>93</v>
      </c>
      <c r="D97" s="51" t="s">
        <v>85</v>
      </c>
      <c r="E97" s="39" t="s">
        <v>101</v>
      </c>
      <c r="F97" s="40">
        <f>IF(E97="Adecuado",15,IF(E97="Inadecuado",0,""))</f>
        <v>15</v>
      </c>
      <c r="G97" s="379" t="s">
        <v>460</v>
      </c>
      <c r="H97" s="380"/>
      <c r="I97" s="380"/>
      <c r="J97" s="380"/>
      <c r="K97" s="380"/>
      <c r="L97" s="381"/>
    </row>
    <row r="98" spans="1:12" ht="41.25" customHeight="1" x14ac:dyDescent="0.2">
      <c r="B98" s="112" t="s">
        <v>122</v>
      </c>
      <c r="C98" s="37" t="s">
        <v>94</v>
      </c>
      <c r="D98" s="51" t="s">
        <v>86</v>
      </c>
      <c r="E98" s="39" t="s">
        <v>103</v>
      </c>
      <c r="F98" s="40">
        <f>IF(E98="Oportuna",15,IF(E98="Inoportuna",0,""))</f>
        <v>15</v>
      </c>
      <c r="G98" s="379" t="s">
        <v>337</v>
      </c>
      <c r="H98" s="380"/>
      <c r="I98" s="380"/>
      <c r="J98" s="380"/>
      <c r="K98" s="380"/>
      <c r="L98" s="381"/>
    </row>
    <row r="99" spans="1:12" ht="41.25" customHeight="1" x14ac:dyDescent="0.2">
      <c r="B99" s="112" t="s">
        <v>123</v>
      </c>
      <c r="C99" s="37" t="s">
        <v>95</v>
      </c>
      <c r="D99" s="51" t="s">
        <v>87</v>
      </c>
      <c r="E99" s="41" t="s">
        <v>105</v>
      </c>
      <c r="F99" s="40">
        <f>IF(E99="Prevenir o detectar",15,IF(E99="No es control",0,""))</f>
        <v>15</v>
      </c>
      <c r="G99" s="379" t="s">
        <v>461</v>
      </c>
      <c r="H99" s="380"/>
      <c r="I99" s="380"/>
      <c r="J99" s="380"/>
      <c r="K99" s="380"/>
      <c r="L99" s="381"/>
    </row>
    <row r="100" spans="1:12" ht="41.25" customHeight="1" x14ac:dyDescent="0.2">
      <c r="B100" s="113" t="s">
        <v>125</v>
      </c>
      <c r="C100" s="37" t="s">
        <v>96</v>
      </c>
      <c r="D100" s="51" t="s">
        <v>88</v>
      </c>
      <c r="E100" s="39" t="s">
        <v>107</v>
      </c>
      <c r="F100" s="40">
        <f>IF(E100="Confiable",15,IF(E100="No confiable",0,""))</f>
        <v>15</v>
      </c>
      <c r="G100" s="382" t="s">
        <v>461</v>
      </c>
      <c r="H100" s="383"/>
      <c r="I100" s="383"/>
      <c r="J100" s="383"/>
      <c r="K100" s="383"/>
      <c r="L100" s="384"/>
    </row>
    <row r="101" spans="1:12" ht="41.25" customHeight="1" x14ac:dyDescent="0.2">
      <c r="B101" s="113" t="s">
        <v>126</v>
      </c>
      <c r="C101" s="37" t="s">
        <v>97</v>
      </c>
      <c r="D101" s="51" t="s">
        <v>89</v>
      </c>
      <c r="E101" s="41" t="s">
        <v>109</v>
      </c>
      <c r="F101" s="40">
        <f>IF(E101="Se investigan y resuelven oportunamente",15,IF(E101="No se investigan y resuelven oportunamente",0,""))</f>
        <v>15</v>
      </c>
      <c r="G101" s="382" t="s">
        <v>462</v>
      </c>
      <c r="H101" s="383"/>
      <c r="I101" s="383"/>
      <c r="J101" s="383"/>
      <c r="K101" s="383"/>
      <c r="L101" s="384"/>
    </row>
    <row r="102" spans="1:12" ht="41.25" customHeight="1" thickBot="1" x14ac:dyDescent="0.25">
      <c r="B102" s="67" t="s">
        <v>124</v>
      </c>
      <c r="C102" s="111" t="s">
        <v>98</v>
      </c>
      <c r="D102" s="52" t="s">
        <v>90</v>
      </c>
      <c r="E102" s="42" t="s">
        <v>111</v>
      </c>
      <c r="F102" s="43">
        <f>IF(E102="Completa",10,IF(E102="Incompleta",5,IF(E102="No existe",0,"")))</f>
        <v>10</v>
      </c>
      <c r="G102" s="385" t="s">
        <v>463</v>
      </c>
      <c r="H102" s="386"/>
      <c r="I102" s="386"/>
      <c r="J102" s="386"/>
      <c r="K102" s="386"/>
      <c r="L102" s="387"/>
    </row>
    <row r="103" spans="1:12" ht="15" thickBot="1" x14ac:dyDescent="0.25">
      <c r="D103" s="38"/>
      <c r="G103" s="95"/>
      <c r="H103" s="95"/>
      <c r="I103" s="95"/>
      <c r="J103" s="95"/>
      <c r="K103" s="95"/>
      <c r="L103" s="95"/>
    </row>
    <row r="104" spans="1:12" x14ac:dyDescent="0.2">
      <c r="D104" s="48" t="s">
        <v>91</v>
      </c>
      <c r="E104" s="369">
        <f>IF(SUM(F96:F102)=0,"-",SUM(F96:F102))</f>
        <v>100</v>
      </c>
      <c r="F104" s="370"/>
      <c r="G104" s="96"/>
      <c r="H104" s="96"/>
      <c r="I104" s="96"/>
      <c r="J104" s="96"/>
      <c r="K104" s="96"/>
      <c r="L104" s="96"/>
    </row>
    <row r="105" spans="1:12" ht="15" thickBot="1" x14ac:dyDescent="0.25">
      <c r="D105" s="49" t="s">
        <v>117</v>
      </c>
      <c r="E105" s="371" t="str">
        <f>IF(E104&lt;=74,"Débil",IF(E104&lt;=89,"Moderado",IF(E104&lt;=100,"Fuerte","")))</f>
        <v>Fuerte</v>
      </c>
      <c r="F105" s="372"/>
      <c r="G105" s="96"/>
      <c r="H105" s="96"/>
      <c r="I105" s="96"/>
      <c r="J105" s="96"/>
      <c r="K105" s="96"/>
      <c r="L105" s="96"/>
    </row>
    <row r="106" spans="1:12" ht="15" thickBot="1" x14ac:dyDescent="0.25"/>
    <row r="107" spans="1:12" ht="30" customHeight="1" thickBot="1" x14ac:dyDescent="0.25">
      <c r="A107" s="64" t="str">
        <f>+Matriz!E11</f>
        <v>MPTV-RC-002</v>
      </c>
      <c r="B107" s="323" t="str">
        <f>+Matriz!F11</f>
        <v>Mal uso del recurso de transporte contratado, para obtener beneficios personales.</v>
      </c>
      <c r="C107" s="324"/>
      <c r="D107" s="324"/>
      <c r="E107" s="324"/>
      <c r="F107" s="324"/>
      <c r="G107" s="324"/>
      <c r="H107" s="324"/>
      <c r="I107" s="324"/>
      <c r="J107" s="324"/>
      <c r="K107" s="324"/>
      <c r="L107" s="325"/>
    </row>
    <row r="108" spans="1:12" ht="15" thickBot="1" x14ac:dyDescent="0.25"/>
    <row r="109" spans="1:12" ht="15.75" customHeight="1" x14ac:dyDescent="0.2">
      <c r="B109" s="373" t="s">
        <v>152</v>
      </c>
      <c r="C109" s="374"/>
      <c r="D109" s="374"/>
      <c r="E109" s="364" t="s">
        <v>118</v>
      </c>
      <c r="F109" s="365"/>
      <c r="G109" s="365"/>
      <c r="H109" s="365"/>
      <c r="I109" s="365"/>
      <c r="J109" s="365"/>
      <c r="K109" s="365"/>
      <c r="L109" s="366"/>
    </row>
    <row r="110" spans="1:12" ht="143.25" customHeight="1" thickBot="1" x14ac:dyDescent="0.25">
      <c r="B110" s="376"/>
      <c r="C110" s="377"/>
      <c r="D110" s="377"/>
      <c r="E110" s="361" t="str">
        <f>+Matriz!Q11</f>
        <v>Planillas de la empresa de transporte diligenciadas con la relación del uso de los vehículos, como soporte de la facturación de los servicios prestados.</v>
      </c>
      <c r="F110" s="362"/>
      <c r="G110" s="362"/>
      <c r="H110" s="362"/>
      <c r="I110" s="362"/>
      <c r="J110" s="362"/>
      <c r="K110" s="362"/>
      <c r="L110" s="363"/>
    </row>
    <row r="111" spans="1:12" ht="15" x14ac:dyDescent="0.25">
      <c r="B111" s="346" t="s">
        <v>119</v>
      </c>
      <c r="C111" s="348" t="s">
        <v>120</v>
      </c>
      <c r="D111" s="349"/>
      <c r="E111" s="367" t="s">
        <v>114</v>
      </c>
      <c r="F111" s="368"/>
      <c r="G111" s="332" t="s">
        <v>71</v>
      </c>
      <c r="H111" s="333"/>
      <c r="I111" s="333"/>
      <c r="J111" s="333"/>
      <c r="K111" s="333"/>
      <c r="L111" s="334"/>
    </row>
    <row r="112" spans="1:12" ht="15" thickBot="1" x14ac:dyDescent="0.25">
      <c r="B112" s="347"/>
      <c r="C112" s="350"/>
      <c r="D112" s="351"/>
      <c r="E112" s="62" t="s">
        <v>115</v>
      </c>
      <c r="F112" s="63" t="s">
        <v>116</v>
      </c>
      <c r="G112" s="335"/>
      <c r="H112" s="336"/>
      <c r="I112" s="336"/>
      <c r="J112" s="336"/>
      <c r="K112" s="336"/>
      <c r="L112" s="337"/>
    </row>
    <row r="113" spans="1:12" ht="14.25" customHeight="1" x14ac:dyDescent="0.2">
      <c r="B113" s="344" t="s">
        <v>121</v>
      </c>
      <c r="C113" s="110" t="s">
        <v>92</v>
      </c>
      <c r="D113" s="114" t="s">
        <v>84</v>
      </c>
      <c r="E113" s="44" t="s">
        <v>99</v>
      </c>
      <c r="F113" s="45">
        <f>IF(E113="Asignado",15,IF(E113="No asignado",0,""))</f>
        <v>15</v>
      </c>
      <c r="G113" s="388" t="s">
        <v>338</v>
      </c>
      <c r="H113" s="389"/>
      <c r="I113" s="389"/>
      <c r="J113" s="389"/>
      <c r="K113" s="389"/>
      <c r="L113" s="390"/>
    </row>
    <row r="114" spans="1:12" ht="41.25" customHeight="1" x14ac:dyDescent="0.2">
      <c r="B114" s="345"/>
      <c r="C114" s="37" t="s">
        <v>93</v>
      </c>
      <c r="D114" s="51" t="s">
        <v>85</v>
      </c>
      <c r="E114" s="39" t="s">
        <v>101</v>
      </c>
      <c r="F114" s="40">
        <f>IF(E114="Adecuado",15,IF(E114="Inadecuado",0,""))</f>
        <v>15</v>
      </c>
      <c r="G114" s="379" t="s">
        <v>339</v>
      </c>
      <c r="H114" s="380"/>
      <c r="I114" s="380"/>
      <c r="J114" s="380"/>
      <c r="K114" s="380"/>
      <c r="L114" s="381"/>
    </row>
    <row r="115" spans="1:12" ht="41.25" customHeight="1" x14ac:dyDescent="0.2">
      <c r="B115" s="112" t="s">
        <v>122</v>
      </c>
      <c r="C115" s="37" t="s">
        <v>94</v>
      </c>
      <c r="D115" s="51" t="s">
        <v>86</v>
      </c>
      <c r="E115" s="39" t="s">
        <v>103</v>
      </c>
      <c r="F115" s="40">
        <f>IF(E115="Oportuna",15,IF(E115="Inoportuna",0,""))</f>
        <v>15</v>
      </c>
      <c r="G115" s="379" t="s">
        <v>340</v>
      </c>
      <c r="H115" s="380"/>
      <c r="I115" s="380"/>
      <c r="J115" s="380"/>
      <c r="K115" s="380"/>
      <c r="L115" s="381"/>
    </row>
    <row r="116" spans="1:12" ht="41.25" customHeight="1" x14ac:dyDescent="0.2">
      <c r="B116" s="112" t="s">
        <v>123</v>
      </c>
      <c r="C116" s="37" t="s">
        <v>95</v>
      </c>
      <c r="D116" s="51" t="s">
        <v>87</v>
      </c>
      <c r="E116" s="41" t="s">
        <v>105</v>
      </c>
      <c r="F116" s="40">
        <f>IF(E116="Prevenir o detectar",15,IF(E116="No es control",0,""))</f>
        <v>15</v>
      </c>
      <c r="G116" s="379" t="s">
        <v>340</v>
      </c>
      <c r="H116" s="380"/>
      <c r="I116" s="380"/>
      <c r="J116" s="380"/>
      <c r="K116" s="380"/>
      <c r="L116" s="381"/>
    </row>
    <row r="117" spans="1:12" ht="41.25" customHeight="1" x14ac:dyDescent="0.2">
      <c r="B117" s="113" t="s">
        <v>125</v>
      </c>
      <c r="C117" s="37" t="s">
        <v>96</v>
      </c>
      <c r="D117" s="51" t="s">
        <v>88</v>
      </c>
      <c r="E117" s="39" t="s">
        <v>107</v>
      </c>
      <c r="F117" s="40">
        <f>IF(E117="Confiable",15,IF(E117="No confiable",0,""))</f>
        <v>15</v>
      </c>
      <c r="G117" s="382" t="s">
        <v>464</v>
      </c>
      <c r="H117" s="383"/>
      <c r="I117" s="383"/>
      <c r="J117" s="383"/>
      <c r="K117" s="383"/>
      <c r="L117" s="384"/>
    </row>
    <row r="118" spans="1:12" ht="41.25" customHeight="1" x14ac:dyDescent="0.2">
      <c r="B118" s="113" t="s">
        <v>126</v>
      </c>
      <c r="C118" s="37" t="s">
        <v>97</v>
      </c>
      <c r="D118" s="51" t="s">
        <v>89</v>
      </c>
      <c r="E118" s="41" t="s">
        <v>109</v>
      </c>
      <c r="F118" s="40">
        <f>IF(E118="Se investigan y resuelven oportunamente",15,IF(E118="No se investigan y resuelven oportunamente",0,""))</f>
        <v>15</v>
      </c>
      <c r="G118" s="382" t="s">
        <v>341</v>
      </c>
      <c r="H118" s="383"/>
      <c r="I118" s="383"/>
      <c r="J118" s="383"/>
      <c r="K118" s="383"/>
      <c r="L118" s="384"/>
    </row>
    <row r="119" spans="1:12" ht="41.25" customHeight="1" thickBot="1" x14ac:dyDescent="0.25">
      <c r="B119" s="67" t="s">
        <v>124</v>
      </c>
      <c r="C119" s="111" t="s">
        <v>98</v>
      </c>
      <c r="D119" s="52" t="s">
        <v>90</v>
      </c>
      <c r="E119" s="42" t="s">
        <v>111</v>
      </c>
      <c r="F119" s="43">
        <f>IF(E119="Completa",10,IF(E119="Incompleta",5,IF(E119="No existe",0,"")))</f>
        <v>10</v>
      </c>
      <c r="G119" s="385" t="s">
        <v>465</v>
      </c>
      <c r="H119" s="386"/>
      <c r="I119" s="386"/>
      <c r="J119" s="386"/>
      <c r="K119" s="386"/>
      <c r="L119" s="387"/>
    </row>
    <row r="120" spans="1:12" ht="15" thickBot="1" x14ac:dyDescent="0.25">
      <c r="D120" s="38"/>
      <c r="G120" s="95"/>
      <c r="H120" s="95"/>
      <c r="I120" s="95"/>
      <c r="J120" s="95"/>
      <c r="K120" s="95"/>
      <c r="L120" s="95"/>
    </row>
    <row r="121" spans="1:12" x14ac:dyDescent="0.2">
      <c r="D121" s="48" t="s">
        <v>91</v>
      </c>
      <c r="E121" s="369">
        <f>IF(SUM(F113:F119)=0,"-",SUM(F113:F119))</f>
        <v>100</v>
      </c>
      <c r="F121" s="370"/>
      <c r="G121" s="96"/>
      <c r="H121" s="96"/>
      <c r="I121" s="96"/>
      <c r="J121" s="96"/>
      <c r="K121" s="96"/>
      <c r="L121" s="96"/>
    </row>
    <row r="122" spans="1:12" ht="15" thickBot="1" x14ac:dyDescent="0.25">
      <c r="D122" s="49" t="s">
        <v>117</v>
      </c>
      <c r="E122" s="371" t="str">
        <f>IF(E121&lt;=74,"Débil",IF(E121&lt;=89,"Moderado",IF(E121&lt;=100,"Fuerte","")))</f>
        <v>Fuerte</v>
      </c>
      <c r="F122" s="372"/>
      <c r="G122" s="96"/>
      <c r="H122" s="96"/>
      <c r="I122" s="96"/>
      <c r="J122" s="96"/>
      <c r="K122" s="96"/>
      <c r="L122" s="96"/>
    </row>
    <row r="123" spans="1:12" ht="15" thickBot="1" x14ac:dyDescent="0.25"/>
    <row r="124" spans="1:12" ht="30" customHeight="1" thickBot="1" x14ac:dyDescent="0.25">
      <c r="A124" s="64" t="str">
        <f>+Matriz!E13</f>
        <v>MECN-RC-001</v>
      </c>
      <c r="B124" s="323" t="str">
        <f>+Matriz!F13</f>
        <v>Favorecimiento de un tercero en el proceso de contratación de equipos y servicios relacionados del área.</v>
      </c>
      <c r="C124" s="324"/>
      <c r="D124" s="324"/>
      <c r="E124" s="324"/>
      <c r="F124" s="324"/>
      <c r="G124" s="324"/>
      <c r="H124" s="324"/>
      <c r="I124" s="324"/>
      <c r="J124" s="324"/>
      <c r="K124" s="324"/>
      <c r="L124" s="325"/>
    </row>
    <row r="125" spans="1:12" ht="15" thickBot="1" x14ac:dyDescent="0.25"/>
    <row r="126" spans="1:12" ht="15.75" customHeight="1" x14ac:dyDescent="0.2">
      <c r="B126" s="373" t="s">
        <v>152</v>
      </c>
      <c r="C126" s="374"/>
      <c r="D126" s="374"/>
      <c r="E126" s="364" t="s">
        <v>118</v>
      </c>
      <c r="F126" s="365"/>
      <c r="G126" s="365"/>
      <c r="H126" s="365"/>
      <c r="I126" s="365"/>
      <c r="J126" s="365"/>
      <c r="K126" s="365"/>
      <c r="L126" s="366"/>
    </row>
    <row r="127" spans="1:12" ht="143.25" customHeight="1" thickBot="1" x14ac:dyDescent="0.25">
      <c r="B127" s="376"/>
      <c r="C127" s="377"/>
      <c r="D127" s="377"/>
      <c r="E127" s="361" t="str">
        <f>+Matriz!Q13</f>
        <v>Anexos técnicos detallados de acuerdo a los bienes y/o servicios que se vayan a contratar</v>
      </c>
      <c r="F127" s="362"/>
      <c r="G127" s="362"/>
      <c r="H127" s="362"/>
      <c r="I127" s="362"/>
      <c r="J127" s="362"/>
      <c r="K127" s="362"/>
      <c r="L127" s="363"/>
    </row>
    <row r="128" spans="1:12" ht="15" x14ac:dyDescent="0.25">
      <c r="B128" s="346" t="s">
        <v>119</v>
      </c>
      <c r="C128" s="348" t="s">
        <v>120</v>
      </c>
      <c r="D128" s="349"/>
      <c r="E128" s="367" t="s">
        <v>114</v>
      </c>
      <c r="F128" s="368"/>
      <c r="G128" s="332" t="s">
        <v>71</v>
      </c>
      <c r="H128" s="333"/>
      <c r="I128" s="333"/>
      <c r="J128" s="333"/>
      <c r="K128" s="333"/>
      <c r="L128" s="334"/>
    </row>
    <row r="129" spans="1:12" ht="15" thickBot="1" x14ac:dyDescent="0.25">
      <c r="B129" s="347"/>
      <c r="C129" s="350"/>
      <c r="D129" s="351"/>
      <c r="E129" s="62" t="s">
        <v>115</v>
      </c>
      <c r="F129" s="63" t="s">
        <v>116</v>
      </c>
      <c r="G129" s="335"/>
      <c r="H129" s="336"/>
      <c r="I129" s="336"/>
      <c r="J129" s="336"/>
      <c r="K129" s="336"/>
      <c r="L129" s="337"/>
    </row>
    <row r="130" spans="1:12" ht="49.5" customHeight="1" x14ac:dyDescent="0.2">
      <c r="B130" s="344" t="s">
        <v>121</v>
      </c>
      <c r="C130" s="110" t="s">
        <v>92</v>
      </c>
      <c r="D130" s="114" t="s">
        <v>84</v>
      </c>
      <c r="E130" s="44" t="s">
        <v>99</v>
      </c>
      <c r="F130" s="45">
        <f>IF(E130="Asignado",15,IF(E130="No asignado",0,""))</f>
        <v>15</v>
      </c>
      <c r="G130" s="388" t="s">
        <v>344</v>
      </c>
      <c r="H130" s="389"/>
      <c r="I130" s="389"/>
      <c r="J130" s="389"/>
      <c r="K130" s="389"/>
      <c r="L130" s="390"/>
    </row>
    <row r="131" spans="1:12" ht="30.75" customHeight="1" x14ac:dyDescent="0.2">
      <c r="B131" s="345"/>
      <c r="C131" s="37" t="s">
        <v>93</v>
      </c>
      <c r="D131" s="51" t="s">
        <v>85</v>
      </c>
      <c r="E131" s="39" t="s">
        <v>101</v>
      </c>
      <c r="F131" s="40">
        <f>IF(E131="Adecuado",15,IF(E131="Inadecuado",0,""))</f>
        <v>15</v>
      </c>
      <c r="G131" s="379" t="s">
        <v>466</v>
      </c>
      <c r="H131" s="380"/>
      <c r="I131" s="380"/>
      <c r="J131" s="380"/>
      <c r="K131" s="380"/>
      <c r="L131" s="381"/>
    </row>
    <row r="132" spans="1:12" ht="31.5" customHeight="1" x14ac:dyDescent="0.2">
      <c r="B132" s="112" t="s">
        <v>122</v>
      </c>
      <c r="C132" s="37" t="s">
        <v>94</v>
      </c>
      <c r="D132" s="51" t="s">
        <v>86</v>
      </c>
      <c r="E132" s="39" t="s">
        <v>103</v>
      </c>
      <c r="F132" s="40">
        <f>IF(E132="Oportuna",15,IF(E132="Inoportuna",0,""))</f>
        <v>15</v>
      </c>
      <c r="G132" s="379" t="s">
        <v>345</v>
      </c>
      <c r="H132" s="380"/>
      <c r="I132" s="380"/>
      <c r="J132" s="380"/>
      <c r="K132" s="380"/>
      <c r="L132" s="381"/>
    </row>
    <row r="133" spans="1:12" ht="38.25" x14ac:dyDescent="0.2">
      <c r="B133" s="112" t="s">
        <v>123</v>
      </c>
      <c r="C133" s="37" t="s">
        <v>95</v>
      </c>
      <c r="D133" s="51" t="s">
        <v>87</v>
      </c>
      <c r="E133" s="41" t="s">
        <v>105</v>
      </c>
      <c r="F133" s="40">
        <f>IF(E133="Prevenir o detectar",15,IF(E133="No es control",0,""))</f>
        <v>15</v>
      </c>
      <c r="G133" s="379" t="s">
        <v>346</v>
      </c>
      <c r="H133" s="380"/>
      <c r="I133" s="380"/>
      <c r="J133" s="380"/>
      <c r="K133" s="380"/>
      <c r="L133" s="381"/>
    </row>
    <row r="134" spans="1:12" ht="30" customHeight="1" x14ac:dyDescent="0.2">
      <c r="B134" s="113" t="s">
        <v>125</v>
      </c>
      <c r="C134" s="37" t="s">
        <v>96</v>
      </c>
      <c r="D134" s="51" t="s">
        <v>88</v>
      </c>
      <c r="E134" s="39" t="s">
        <v>107</v>
      </c>
      <c r="F134" s="40">
        <f>IF(E134="Confiable",15,IF(E134="No confiable",0,""))</f>
        <v>15</v>
      </c>
      <c r="G134" s="382" t="s">
        <v>347</v>
      </c>
      <c r="H134" s="383"/>
      <c r="I134" s="383"/>
      <c r="J134" s="383"/>
      <c r="K134" s="383"/>
      <c r="L134" s="384"/>
    </row>
    <row r="135" spans="1:12" ht="38.25" x14ac:dyDescent="0.2">
      <c r="B135" s="113" t="s">
        <v>126</v>
      </c>
      <c r="C135" s="37" t="s">
        <v>97</v>
      </c>
      <c r="D135" s="51" t="s">
        <v>89</v>
      </c>
      <c r="E135" s="41" t="s">
        <v>109</v>
      </c>
      <c r="F135" s="40">
        <f>IF(E135="Se investigan y resuelven oportunamente",15,IF(E135="No se investigan y resuelven oportunamente",0,""))</f>
        <v>15</v>
      </c>
      <c r="G135" s="382" t="s">
        <v>467</v>
      </c>
      <c r="H135" s="383"/>
      <c r="I135" s="383"/>
      <c r="J135" s="383"/>
      <c r="K135" s="383"/>
      <c r="L135" s="384"/>
    </row>
    <row r="136" spans="1:12" ht="26.25" thickBot="1" x14ac:dyDescent="0.25">
      <c r="B136" s="67" t="s">
        <v>124</v>
      </c>
      <c r="C136" s="111" t="s">
        <v>98</v>
      </c>
      <c r="D136" s="52" t="s">
        <v>90</v>
      </c>
      <c r="E136" s="42" t="s">
        <v>111</v>
      </c>
      <c r="F136" s="43">
        <f>IF(E136="Completa",10,IF(E136="Incompleta",5,IF(E136="No existe",0,"")))</f>
        <v>10</v>
      </c>
      <c r="G136" s="385" t="s">
        <v>348</v>
      </c>
      <c r="H136" s="386"/>
      <c r="I136" s="386"/>
      <c r="J136" s="386"/>
      <c r="K136" s="386"/>
      <c r="L136" s="387"/>
    </row>
    <row r="137" spans="1:12" ht="15" thickBot="1" x14ac:dyDescent="0.25">
      <c r="D137" s="38"/>
      <c r="G137" s="95"/>
      <c r="H137" s="95"/>
      <c r="I137" s="95"/>
      <c r="J137" s="95"/>
      <c r="K137" s="95"/>
      <c r="L137" s="95"/>
    </row>
    <row r="138" spans="1:12" x14ac:dyDescent="0.2">
      <c r="D138" s="48" t="s">
        <v>91</v>
      </c>
      <c r="E138" s="369">
        <f>IF(SUM(F130:F136)=0,"-",SUM(F130:F136))</f>
        <v>100</v>
      </c>
      <c r="F138" s="370"/>
      <c r="G138" s="96"/>
      <c r="H138" s="96"/>
      <c r="I138" s="96"/>
      <c r="J138" s="96"/>
      <c r="K138" s="96"/>
      <c r="L138" s="96"/>
    </row>
    <row r="139" spans="1:12" ht="15" thickBot="1" x14ac:dyDescent="0.25">
      <c r="D139" s="49" t="s">
        <v>117</v>
      </c>
      <c r="E139" s="371" t="str">
        <f>IF(E138&lt;=74,"Débil",IF(E138&lt;=89,"Moderado",IF(E138&lt;=100,"Fuerte","")))</f>
        <v>Fuerte</v>
      </c>
      <c r="F139" s="372"/>
      <c r="G139" s="96"/>
      <c r="H139" s="96"/>
      <c r="I139" s="96"/>
      <c r="J139" s="96"/>
      <c r="K139" s="96"/>
      <c r="L139" s="96"/>
    </row>
    <row r="140" spans="1:12" ht="15" thickBot="1" x14ac:dyDescent="0.25"/>
    <row r="141" spans="1:12" ht="30" customHeight="1" thickBot="1" x14ac:dyDescent="0.25">
      <c r="A141" s="64" t="str">
        <f>+Matriz!E14</f>
        <v>MCOM-RC-001</v>
      </c>
      <c r="B141" s="323" t="str">
        <f>+Matriz!F14</f>
        <v>Obtención de comisiones u otro tipo de ventajas con los anunciantes favoreciendo intereses personales.</v>
      </c>
      <c r="C141" s="324"/>
      <c r="D141" s="324"/>
      <c r="E141" s="324"/>
      <c r="F141" s="324"/>
      <c r="G141" s="324"/>
      <c r="H141" s="324"/>
      <c r="I141" s="324"/>
      <c r="J141" s="324"/>
      <c r="K141" s="324"/>
      <c r="L141" s="325"/>
    </row>
    <row r="142" spans="1:12" ht="15" thickBot="1" x14ac:dyDescent="0.25"/>
    <row r="143" spans="1:12" ht="15.75" customHeight="1" x14ac:dyDescent="0.2">
      <c r="B143" s="373" t="s">
        <v>152</v>
      </c>
      <c r="C143" s="374"/>
      <c r="D143" s="374"/>
      <c r="E143" s="364" t="s">
        <v>118</v>
      </c>
      <c r="F143" s="365"/>
      <c r="G143" s="365"/>
      <c r="H143" s="365"/>
      <c r="I143" s="365"/>
      <c r="J143" s="365"/>
      <c r="K143" s="365"/>
      <c r="L143" s="366"/>
    </row>
    <row r="144" spans="1:12" ht="143.25" customHeight="1" thickBot="1" x14ac:dyDescent="0.25">
      <c r="B144" s="376"/>
      <c r="C144" s="377"/>
      <c r="D144" s="377"/>
      <c r="E144" s="361" t="str">
        <f>+Matriz!Q14</f>
        <v>MCOM-PD-002 GESTIÓN COMERCIAL Y VENTAS punto de control actividad 10</v>
      </c>
      <c r="F144" s="362"/>
      <c r="G144" s="362"/>
      <c r="H144" s="362"/>
      <c r="I144" s="362"/>
      <c r="J144" s="362"/>
      <c r="K144" s="362"/>
      <c r="L144" s="363"/>
    </row>
    <row r="145" spans="1:12" ht="15" x14ac:dyDescent="0.25">
      <c r="B145" s="346" t="s">
        <v>119</v>
      </c>
      <c r="C145" s="348" t="s">
        <v>120</v>
      </c>
      <c r="D145" s="349"/>
      <c r="E145" s="367" t="s">
        <v>114</v>
      </c>
      <c r="F145" s="368"/>
      <c r="G145" s="332" t="s">
        <v>71</v>
      </c>
      <c r="H145" s="333"/>
      <c r="I145" s="333"/>
      <c r="J145" s="333"/>
      <c r="K145" s="333"/>
      <c r="L145" s="334"/>
    </row>
    <row r="146" spans="1:12" ht="15" thickBot="1" x14ac:dyDescent="0.25">
      <c r="B146" s="347"/>
      <c r="C146" s="350"/>
      <c r="D146" s="351"/>
      <c r="E146" s="62" t="s">
        <v>115</v>
      </c>
      <c r="F146" s="63" t="s">
        <v>116</v>
      </c>
      <c r="G146" s="335"/>
      <c r="H146" s="336"/>
      <c r="I146" s="336"/>
      <c r="J146" s="336"/>
      <c r="K146" s="336"/>
      <c r="L146" s="337"/>
    </row>
    <row r="147" spans="1:12" ht="49.5" customHeight="1" x14ac:dyDescent="0.2">
      <c r="B147" s="344" t="s">
        <v>121</v>
      </c>
      <c r="C147" s="110" t="s">
        <v>92</v>
      </c>
      <c r="D147" s="114" t="s">
        <v>84</v>
      </c>
      <c r="E147" s="44" t="s">
        <v>99</v>
      </c>
      <c r="F147" s="45">
        <f>IF(E147="Asignado",15,IF(E147="No asignado",0,""))</f>
        <v>15</v>
      </c>
      <c r="G147" s="388" t="s">
        <v>352</v>
      </c>
      <c r="H147" s="389"/>
      <c r="I147" s="389"/>
      <c r="J147" s="389"/>
      <c r="K147" s="389"/>
      <c r="L147" s="390"/>
    </row>
    <row r="148" spans="1:12" ht="30.75" customHeight="1" x14ac:dyDescent="0.2">
      <c r="B148" s="345"/>
      <c r="C148" s="37" t="s">
        <v>93</v>
      </c>
      <c r="D148" s="51" t="s">
        <v>85</v>
      </c>
      <c r="E148" s="39" t="s">
        <v>101</v>
      </c>
      <c r="F148" s="40">
        <f>IF(E148="Adecuado",15,IF(E148="Inadecuado",0,""))</f>
        <v>15</v>
      </c>
      <c r="G148" s="379" t="s">
        <v>353</v>
      </c>
      <c r="H148" s="380"/>
      <c r="I148" s="380"/>
      <c r="J148" s="380"/>
      <c r="K148" s="380"/>
      <c r="L148" s="381"/>
    </row>
    <row r="149" spans="1:12" ht="31.5" customHeight="1" x14ac:dyDescent="0.2">
      <c r="B149" s="112" t="s">
        <v>122</v>
      </c>
      <c r="C149" s="37" t="s">
        <v>94</v>
      </c>
      <c r="D149" s="51" t="s">
        <v>86</v>
      </c>
      <c r="E149" s="39" t="s">
        <v>103</v>
      </c>
      <c r="F149" s="40">
        <f>IF(E149="Oportuna",15,IF(E149="Inoportuna",0,""))</f>
        <v>15</v>
      </c>
      <c r="G149" s="379" t="s">
        <v>354</v>
      </c>
      <c r="H149" s="380"/>
      <c r="I149" s="380"/>
      <c r="J149" s="380"/>
      <c r="K149" s="380"/>
      <c r="L149" s="381"/>
    </row>
    <row r="150" spans="1:12" ht="38.25" x14ac:dyDescent="0.2">
      <c r="B150" s="112" t="s">
        <v>123</v>
      </c>
      <c r="C150" s="37" t="s">
        <v>95</v>
      </c>
      <c r="D150" s="51" t="s">
        <v>87</v>
      </c>
      <c r="E150" s="41" t="s">
        <v>105</v>
      </c>
      <c r="F150" s="40">
        <f>IF(E150="Prevenir o detectar",15,IF(E150="No es control",0,""))</f>
        <v>15</v>
      </c>
      <c r="G150" s="379" t="s">
        <v>468</v>
      </c>
      <c r="H150" s="380"/>
      <c r="I150" s="380"/>
      <c r="J150" s="380"/>
      <c r="K150" s="380"/>
      <c r="L150" s="381"/>
    </row>
    <row r="151" spans="1:12" ht="30" customHeight="1" x14ac:dyDescent="0.2">
      <c r="B151" s="113" t="s">
        <v>125</v>
      </c>
      <c r="C151" s="37" t="s">
        <v>96</v>
      </c>
      <c r="D151" s="51" t="s">
        <v>88</v>
      </c>
      <c r="E151" s="39" t="s">
        <v>107</v>
      </c>
      <c r="F151" s="40">
        <f>IF(E151="Confiable",15,IF(E151="No confiable",0,""))</f>
        <v>15</v>
      </c>
      <c r="G151" s="382" t="s">
        <v>355</v>
      </c>
      <c r="H151" s="383"/>
      <c r="I151" s="383"/>
      <c r="J151" s="383"/>
      <c r="K151" s="383"/>
      <c r="L151" s="384"/>
    </row>
    <row r="152" spans="1:12" ht="38.25" x14ac:dyDescent="0.2">
      <c r="B152" s="113" t="s">
        <v>126</v>
      </c>
      <c r="C152" s="37" t="s">
        <v>97</v>
      </c>
      <c r="D152" s="51" t="s">
        <v>89</v>
      </c>
      <c r="E152" s="41" t="s">
        <v>109</v>
      </c>
      <c r="F152" s="40">
        <f>IF(E152="Se investigan y resuelven oportunamente",15,IF(E152="No se investigan y resuelven oportunamente",0,""))</f>
        <v>15</v>
      </c>
      <c r="G152" s="382" t="s">
        <v>356</v>
      </c>
      <c r="H152" s="383"/>
      <c r="I152" s="383"/>
      <c r="J152" s="383"/>
      <c r="K152" s="383"/>
      <c r="L152" s="384"/>
    </row>
    <row r="153" spans="1:12" ht="36.75" customHeight="1" thickBot="1" x14ac:dyDescent="0.25">
      <c r="B153" s="67" t="s">
        <v>124</v>
      </c>
      <c r="C153" s="111" t="s">
        <v>98</v>
      </c>
      <c r="D153" s="52" t="s">
        <v>90</v>
      </c>
      <c r="E153" s="42" t="s">
        <v>111</v>
      </c>
      <c r="F153" s="43">
        <f>IF(E153="Completa",10,IF(E153="Incompleta",5,IF(E153="No existe",0,"")))</f>
        <v>10</v>
      </c>
      <c r="G153" s="429" t="s">
        <v>357</v>
      </c>
      <c r="H153" s="430"/>
      <c r="I153" s="430"/>
      <c r="J153" s="430"/>
      <c r="K153" s="430"/>
      <c r="L153" s="431"/>
    </row>
    <row r="154" spans="1:12" ht="15" thickBot="1" x14ac:dyDescent="0.25">
      <c r="D154" s="38"/>
      <c r="G154" s="95"/>
      <c r="H154" s="95"/>
      <c r="I154" s="95"/>
      <c r="J154" s="95"/>
      <c r="K154" s="95"/>
      <c r="L154" s="95"/>
    </row>
    <row r="155" spans="1:12" x14ac:dyDescent="0.2">
      <c r="D155" s="48" t="s">
        <v>91</v>
      </c>
      <c r="E155" s="369">
        <f>IF(SUM(F147:F153)=0,"-",SUM(F147:F153))</f>
        <v>100</v>
      </c>
      <c r="F155" s="370"/>
      <c r="G155" s="96"/>
      <c r="H155" s="96"/>
      <c r="I155" s="96"/>
      <c r="J155" s="96"/>
      <c r="K155" s="96"/>
      <c r="L155" s="96"/>
    </row>
    <row r="156" spans="1:12" ht="15" thickBot="1" x14ac:dyDescent="0.25">
      <c r="D156" s="49" t="s">
        <v>117</v>
      </c>
      <c r="E156" s="371" t="str">
        <f>IF(E155&lt;=74,"Débil",IF(E155&lt;=89,"Moderado",IF(E155&lt;=100,"Fuerte","")))</f>
        <v>Fuerte</v>
      </c>
      <c r="F156" s="372"/>
      <c r="G156" s="96"/>
      <c r="H156" s="96"/>
      <c r="I156" s="96"/>
      <c r="J156" s="96"/>
      <c r="K156" s="96"/>
      <c r="L156" s="96"/>
    </row>
    <row r="157" spans="1:12" ht="15" thickBot="1" x14ac:dyDescent="0.25"/>
    <row r="158" spans="1:12" ht="30" customHeight="1" thickBot="1" x14ac:dyDescent="0.25">
      <c r="A158" s="64" t="str">
        <f>+Matriz!E23</f>
        <v>AGJU-RC-001</v>
      </c>
      <c r="B158" s="432" t="str">
        <f>+Matriz!F23</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58" s="433"/>
      <c r="D158" s="433"/>
      <c r="E158" s="433"/>
      <c r="F158" s="433"/>
      <c r="G158" s="433"/>
      <c r="H158" s="433"/>
      <c r="I158" s="433"/>
      <c r="J158" s="433"/>
      <c r="K158" s="433"/>
      <c r="L158" s="434"/>
    </row>
    <row r="159" spans="1:12" ht="15" thickBot="1" x14ac:dyDescent="0.25"/>
    <row r="160" spans="1:12" ht="15.75" customHeight="1" x14ac:dyDescent="0.2">
      <c r="B160" s="373" t="s">
        <v>152</v>
      </c>
      <c r="C160" s="374"/>
      <c r="D160" s="374"/>
      <c r="E160" s="364" t="s">
        <v>118</v>
      </c>
      <c r="F160" s="365"/>
      <c r="G160" s="365"/>
      <c r="H160" s="365"/>
      <c r="I160" s="365"/>
      <c r="J160" s="365"/>
      <c r="K160" s="365"/>
      <c r="L160" s="366"/>
    </row>
    <row r="161" spans="1:13" ht="143.25" customHeight="1" thickBot="1" x14ac:dyDescent="0.25">
      <c r="B161" s="376"/>
      <c r="C161" s="377"/>
      <c r="D161" s="377"/>
      <c r="E161" s="361" t="str">
        <f>+Matriz!Q23</f>
        <v>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v>
      </c>
      <c r="F161" s="362"/>
      <c r="G161" s="362"/>
      <c r="H161" s="362"/>
      <c r="I161" s="362"/>
      <c r="J161" s="362"/>
      <c r="K161" s="362"/>
      <c r="L161" s="363"/>
    </row>
    <row r="162" spans="1:13" ht="15" x14ac:dyDescent="0.25">
      <c r="B162" s="346" t="s">
        <v>119</v>
      </c>
      <c r="C162" s="348" t="s">
        <v>120</v>
      </c>
      <c r="D162" s="349"/>
      <c r="E162" s="367" t="s">
        <v>114</v>
      </c>
      <c r="F162" s="368"/>
      <c r="G162" s="332" t="s">
        <v>71</v>
      </c>
      <c r="H162" s="333"/>
      <c r="I162" s="333"/>
      <c r="J162" s="333"/>
      <c r="K162" s="333"/>
      <c r="L162" s="334"/>
    </row>
    <row r="163" spans="1:13" ht="15" thickBot="1" x14ac:dyDescent="0.25">
      <c r="B163" s="347"/>
      <c r="C163" s="350"/>
      <c r="D163" s="351"/>
      <c r="E163" s="62" t="s">
        <v>115</v>
      </c>
      <c r="F163" s="63" t="s">
        <v>116</v>
      </c>
      <c r="G163" s="335"/>
      <c r="H163" s="336"/>
      <c r="I163" s="336"/>
      <c r="J163" s="336"/>
      <c r="K163" s="336"/>
      <c r="L163" s="337"/>
    </row>
    <row r="164" spans="1:13" ht="49.5" customHeight="1" x14ac:dyDescent="0.2">
      <c r="B164" s="344" t="s">
        <v>121</v>
      </c>
      <c r="C164" s="110" t="s">
        <v>92</v>
      </c>
      <c r="D164" s="114" t="s">
        <v>84</v>
      </c>
      <c r="E164" s="44" t="s">
        <v>99</v>
      </c>
      <c r="F164" s="45">
        <f>IF(E164="Asignado",15,IF(E164="No asignado",0,""))</f>
        <v>15</v>
      </c>
      <c r="G164" s="388" t="s">
        <v>364</v>
      </c>
      <c r="H164" s="389"/>
      <c r="I164" s="389"/>
      <c r="J164" s="389"/>
      <c r="K164" s="389"/>
      <c r="L164" s="390"/>
    </row>
    <row r="165" spans="1:13" ht="30.75" customHeight="1" x14ac:dyDescent="0.2">
      <c r="B165" s="345"/>
      <c r="C165" s="37" t="s">
        <v>93</v>
      </c>
      <c r="D165" s="51" t="s">
        <v>85</v>
      </c>
      <c r="E165" s="39" t="s">
        <v>101</v>
      </c>
      <c r="F165" s="40">
        <f>IF(E165="Adecuado",15,IF(E165="Inadecuado",0,""))</f>
        <v>15</v>
      </c>
      <c r="G165" s="379" t="s">
        <v>365</v>
      </c>
      <c r="H165" s="380"/>
      <c r="I165" s="380"/>
      <c r="J165" s="380"/>
      <c r="K165" s="380"/>
      <c r="L165" s="381"/>
    </row>
    <row r="166" spans="1:13" ht="31.5" customHeight="1" x14ac:dyDescent="0.2">
      <c r="B166" s="112" t="s">
        <v>122</v>
      </c>
      <c r="C166" s="37" t="s">
        <v>94</v>
      </c>
      <c r="D166" s="51" t="s">
        <v>86</v>
      </c>
      <c r="E166" s="39" t="s">
        <v>103</v>
      </c>
      <c r="F166" s="40">
        <f>IF(E166="Oportuna",15,IF(E166="Inoportuna",0,""))</f>
        <v>15</v>
      </c>
      <c r="G166" s="379" t="s">
        <v>469</v>
      </c>
      <c r="H166" s="380"/>
      <c r="I166" s="380"/>
      <c r="J166" s="380"/>
      <c r="K166" s="380"/>
      <c r="L166" s="381"/>
    </row>
    <row r="167" spans="1:13" ht="68.25" customHeight="1" x14ac:dyDescent="0.2">
      <c r="B167" s="112" t="s">
        <v>123</v>
      </c>
      <c r="C167" s="37" t="s">
        <v>95</v>
      </c>
      <c r="D167" s="51" t="s">
        <v>87</v>
      </c>
      <c r="E167" s="41" t="s">
        <v>106</v>
      </c>
      <c r="F167" s="40">
        <f>IF(E167="Prevenir o detectar",15,IF(E167="No es control",0,""))</f>
        <v>0</v>
      </c>
      <c r="G167" s="379" t="s">
        <v>366</v>
      </c>
      <c r="H167" s="380"/>
      <c r="I167" s="380"/>
      <c r="J167" s="380"/>
      <c r="K167" s="380"/>
      <c r="L167" s="381"/>
    </row>
    <row r="168" spans="1:13" ht="30" customHeight="1" x14ac:dyDescent="0.2">
      <c r="B168" s="113" t="s">
        <v>125</v>
      </c>
      <c r="C168" s="37" t="s">
        <v>96</v>
      </c>
      <c r="D168" s="51" t="s">
        <v>88</v>
      </c>
      <c r="E168" s="39" t="s">
        <v>107</v>
      </c>
      <c r="F168" s="40">
        <f>IF(E168="Confiable",15,IF(E168="No confiable",0,""))</f>
        <v>15</v>
      </c>
      <c r="G168" s="382" t="s">
        <v>470</v>
      </c>
      <c r="H168" s="383"/>
      <c r="I168" s="383"/>
      <c r="J168" s="383"/>
      <c r="K168" s="383"/>
      <c r="L168" s="384"/>
    </row>
    <row r="169" spans="1:13" ht="38.25" x14ac:dyDescent="0.2">
      <c r="B169" s="113" t="s">
        <v>126</v>
      </c>
      <c r="C169" s="37" t="s">
        <v>97</v>
      </c>
      <c r="D169" s="51" t="s">
        <v>89</v>
      </c>
      <c r="E169" s="41" t="s">
        <v>109</v>
      </c>
      <c r="F169" s="40">
        <f>IF(E169="Se investigan y resuelven oportunamente",15,IF(E169="No se investigan y resuelven oportunamente",0,""))</f>
        <v>15</v>
      </c>
      <c r="G169" s="382" t="s">
        <v>367</v>
      </c>
      <c r="H169" s="383"/>
      <c r="I169" s="383"/>
      <c r="J169" s="383"/>
      <c r="K169" s="383"/>
      <c r="L169" s="384"/>
    </row>
    <row r="170" spans="1:13" ht="36.75" customHeight="1" thickBot="1" x14ac:dyDescent="0.25">
      <c r="B170" s="67" t="s">
        <v>124</v>
      </c>
      <c r="C170" s="111" t="s">
        <v>98</v>
      </c>
      <c r="D170" s="52" t="s">
        <v>90</v>
      </c>
      <c r="E170" s="42" t="s">
        <v>111</v>
      </c>
      <c r="F170" s="43">
        <f>IF(E170="Completa",10,IF(E170="Incompleta",5,IF(E170="No existe",0,"")))</f>
        <v>10</v>
      </c>
      <c r="G170" s="429" t="s">
        <v>368</v>
      </c>
      <c r="H170" s="430"/>
      <c r="I170" s="430"/>
      <c r="J170" s="430"/>
      <c r="K170" s="430"/>
      <c r="L170" s="431"/>
    </row>
    <row r="171" spans="1:13" ht="15" thickBot="1" x14ac:dyDescent="0.25">
      <c r="D171" s="38"/>
      <c r="G171" s="95"/>
      <c r="H171" s="95"/>
      <c r="I171" s="95"/>
      <c r="J171" s="95"/>
      <c r="K171" s="95"/>
      <c r="L171" s="95"/>
    </row>
    <row r="172" spans="1:13" x14ac:dyDescent="0.2">
      <c r="D172" s="48" t="s">
        <v>91</v>
      </c>
      <c r="E172" s="369">
        <f>IF(SUM(F164:F170)=0,"-",SUM(F164:F170))</f>
        <v>85</v>
      </c>
      <c r="F172" s="370"/>
      <c r="G172" s="96"/>
      <c r="H172" s="96"/>
      <c r="I172" s="96"/>
      <c r="J172" s="96"/>
      <c r="K172" s="96"/>
      <c r="L172" s="96"/>
    </row>
    <row r="173" spans="1:13" ht="15" thickBot="1" x14ac:dyDescent="0.25">
      <c r="D173" s="49" t="s">
        <v>117</v>
      </c>
      <c r="E173" s="371" t="str">
        <f>IF(E172&lt;=74,"Débil",IF(E172&lt;=89,"Moderado",IF(E172&lt;=100,"Fuerte","")))</f>
        <v>Moderado</v>
      </c>
      <c r="F173" s="372"/>
      <c r="G173" s="96"/>
      <c r="H173" s="96"/>
      <c r="I173" s="96"/>
      <c r="J173" s="96"/>
      <c r="K173" s="96"/>
      <c r="L173" s="96"/>
    </row>
    <row r="174" spans="1:13" ht="15" thickBot="1" x14ac:dyDescent="0.25"/>
    <row r="175" spans="1:13" ht="33" customHeight="1" thickBot="1" x14ac:dyDescent="0.25">
      <c r="A175" s="64" t="str">
        <f>+Matriz!E16</f>
        <v>AGRI-SA-RC-001</v>
      </c>
      <c r="B175" s="323" t="str">
        <f>+Matriz!F16</f>
        <v>Apropiarse de manera particular de los elementos y/o activos para las actividades institucionales.</v>
      </c>
      <c r="C175" s="324"/>
      <c r="D175" s="324"/>
      <c r="E175" s="324"/>
      <c r="F175" s="324"/>
      <c r="G175" s="324"/>
      <c r="H175" s="324"/>
      <c r="I175" s="324"/>
      <c r="J175" s="324"/>
      <c r="K175" s="324"/>
      <c r="L175" s="325"/>
      <c r="M175" s="109"/>
    </row>
    <row r="176" spans="1:13" ht="10.5" customHeight="1" thickBot="1" x14ac:dyDescent="0.25"/>
    <row r="177" spans="1:26" ht="16.5" customHeight="1" thickBot="1" x14ac:dyDescent="0.25">
      <c r="B177" s="373" t="s">
        <v>152</v>
      </c>
      <c r="C177" s="374"/>
      <c r="D177" s="375"/>
      <c r="E177" s="326" t="s">
        <v>118</v>
      </c>
      <c r="F177" s="327"/>
      <c r="G177" s="327"/>
      <c r="H177" s="327"/>
      <c r="I177" s="327"/>
      <c r="J177" s="327"/>
      <c r="K177" s="417" t="s">
        <v>311</v>
      </c>
      <c r="L177" s="418"/>
      <c r="M177" s="418"/>
      <c r="N177" s="418"/>
      <c r="O177" s="418"/>
      <c r="P177" s="418"/>
      <c r="Q177" s="418"/>
      <c r="R177" s="419"/>
      <c r="S177" s="417" t="s">
        <v>371</v>
      </c>
      <c r="T177" s="418"/>
      <c r="U177" s="418"/>
      <c r="V177" s="418"/>
      <c r="W177" s="418"/>
      <c r="X177" s="418"/>
      <c r="Y177" s="418"/>
      <c r="Z177" s="419"/>
    </row>
    <row r="178" spans="1:26" ht="102" customHeight="1" thickBot="1" x14ac:dyDescent="0.25">
      <c r="B178" s="376"/>
      <c r="C178" s="377"/>
      <c r="D178" s="378"/>
      <c r="E178" s="409" t="str">
        <f>+Matriz!Q16</f>
        <v>Ejecutar procedimiento: AGRI-SA-PD-008 SALIDA DE ELEMENTOS. 
Puntos de Control: 2,3,6,7 y 8</v>
      </c>
      <c r="F178" s="410"/>
      <c r="G178" s="410"/>
      <c r="H178" s="410"/>
      <c r="I178" s="410"/>
      <c r="J178" s="410"/>
      <c r="K178" s="422" t="str">
        <f>+Matriz!Q17</f>
        <v>Ejecutar el procedimiento AGRI-SA-PD-010 TOMA FÍSICA DE INVENTARIOS 
Puntos de control: 3,6, 7 y 9</v>
      </c>
      <c r="L178" s="423"/>
      <c r="M178" s="423"/>
      <c r="N178" s="423"/>
      <c r="O178" s="423"/>
      <c r="P178" s="423"/>
      <c r="Q178" s="423"/>
      <c r="R178" s="424"/>
      <c r="S178" s="422" t="str">
        <f>+Matriz!Q18</f>
        <v>Sistema de seguridad física y tecnológica para la custodia de los bienes de la entidad. (Contrato de vigilancia).
1. Personal capacitado
2. Cámaras de monitoreo en HD
3. Sistema de comunicación</v>
      </c>
      <c r="T178" s="423"/>
      <c r="U178" s="423"/>
      <c r="V178" s="423"/>
      <c r="W178" s="423"/>
      <c r="X178" s="423"/>
      <c r="Y178" s="423"/>
      <c r="Z178" s="424"/>
    </row>
    <row r="179" spans="1:26" ht="15" x14ac:dyDescent="0.25">
      <c r="B179" s="346" t="s">
        <v>119</v>
      </c>
      <c r="C179" s="348" t="s">
        <v>120</v>
      </c>
      <c r="D179" s="349"/>
      <c r="E179" s="420" t="s">
        <v>114</v>
      </c>
      <c r="F179" s="421"/>
      <c r="G179" s="411" t="s">
        <v>71</v>
      </c>
      <c r="H179" s="412"/>
      <c r="I179" s="412"/>
      <c r="J179" s="413"/>
      <c r="K179" s="367" t="s">
        <v>114</v>
      </c>
      <c r="L179" s="368"/>
      <c r="M179" s="364" t="s">
        <v>71</v>
      </c>
      <c r="N179" s="365"/>
      <c r="O179" s="365"/>
      <c r="P179" s="365"/>
      <c r="Q179" s="365"/>
      <c r="R179" s="366"/>
      <c r="S179" s="367" t="s">
        <v>114</v>
      </c>
      <c r="T179" s="368"/>
      <c r="U179" s="364" t="s">
        <v>71</v>
      </c>
      <c r="V179" s="365"/>
      <c r="W179" s="365"/>
      <c r="X179" s="365"/>
      <c r="Y179" s="365"/>
      <c r="Z179" s="366"/>
    </row>
    <row r="180" spans="1:26" ht="15.75" customHeight="1" thickBot="1" x14ac:dyDescent="0.25">
      <c r="B180" s="347"/>
      <c r="C180" s="350"/>
      <c r="D180" s="351"/>
      <c r="E180" s="62" t="s">
        <v>115</v>
      </c>
      <c r="F180" s="63" t="s">
        <v>116</v>
      </c>
      <c r="G180" s="414"/>
      <c r="H180" s="415"/>
      <c r="I180" s="415"/>
      <c r="J180" s="416"/>
      <c r="K180" s="62" t="s">
        <v>115</v>
      </c>
      <c r="L180" s="63" t="s">
        <v>116</v>
      </c>
      <c r="M180" s="425"/>
      <c r="N180" s="426"/>
      <c r="O180" s="426"/>
      <c r="P180" s="426"/>
      <c r="Q180" s="426"/>
      <c r="R180" s="427"/>
      <c r="S180" s="62" t="s">
        <v>115</v>
      </c>
      <c r="T180" s="63" t="s">
        <v>116</v>
      </c>
      <c r="U180" s="425"/>
      <c r="V180" s="426"/>
      <c r="W180" s="426"/>
      <c r="X180" s="426"/>
      <c r="Y180" s="426"/>
      <c r="Z180" s="427"/>
    </row>
    <row r="181" spans="1:26" ht="30" customHeight="1" x14ac:dyDescent="0.2">
      <c r="B181" s="344" t="s">
        <v>121</v>
      </c>
      <c r="C181" s="110" t="s">
        <v>92</v>
      </c>
      <c r="D181" s="114" t="s">
        <v>84</v>
      </c>
      <c r="E181" s="44" t="s">
        <v>99</v>
      </c>
      <c r="F181" s="100">
        <f>IF(E181="Asignado",15,IF(E181="No asignado",0,""))</f>
        <v>15</v>
      </c>
      <c r="G181" s="400" t="s">
        <v>471</v>
      </c>
      <c r="H181" s="401"/>
      <c r="I181" s="401"/>
      <c r="J181" s="402"/>
      <c r="K181" s="101" t="s">
        <v>99</v>
      </c>
      <c r="L181" s="100">
        <f t="shared" ref="L181" si="9">IF(K181="Asignado",15,IF(K181="No asignado",0,""))</f>
        <v>15</v>
      </c>
      <c r="M181" s="400" t="s">
        <v>471</v>
      </c>
      <c r="N181" s="401"/>
      <c r="O181" s="401"/>
      <c r="P181" s="401"/>
      <c r="Q181" s="401"/>
      <c r="R181" s="402"/>
      <c r="S181" s="101" t="s">
        <v>99</v>
      </c>
      <c r="T181" s="100">
        <f t="shared" ref="T181" si="10">IF(S181="Asignado",15,IF(S181="No asignado",0,""))</f>
        <v>15</v>
      </c>
      <c r="U181" s="400" t="s">
        <v>378</v>
      </c>
      <c r="V181" s="401"/>
      <c r="W181" s="401"/>
      <c r="X181" s="401"/>
      <c r="Y181" s="401"/>
      <c r="Z181" s="402"/>
    </row>
    <row r="182" spans="1:26" ht="30" customHeight="1" x14ac:dyDescent="0.2">
      <c r="B182" s="345"/>
      <c r="C182" s="37" t="s">
        <v>93</v>
      </c>
      <c r="D182" s="51" t="s">
        <v>85</v>
      </c>
      <c r="E182" s="39" t="s">
        <v>101</v>
      </c>
      <c r="F182" s="102">
        <f>IF(E182="Adecuado",15,IF(E182="Inadecuado",0,""))</f>
        <v>15</v>
      </c>
      <c r="G182" s="403" t="s">
        <v>472</v>
      </c>
      <c r="H182" s="404"/>
      <c r="I182" s="404"/>
      <c r="J182" s="405"/>
      <c r="K182" s="103" t="s">
        <v>101</v>
      </c>
      <c r="L182" s="102">
        <f t="shared" ref="L182" si="11">IF(K182="Adecuado",15,IF(K182="Inadecuado",0,""))</f>
        <v>15</v>
      </c>
      <c r="M182" s="403" t="s">
        <v>472</v>
      </c>
      <c r="N182" s="404"/>
      <c r="O182" s="404"/>
      <c r="P182" s="404"/>
      <c r="Q182" s="404"/>
      <c r="R182" s="405"/>
      <c r="S182" s="103" t="s">
        <v>101</v>
      </c>
      <c r="T182" s="102">
        <f t="shared" ref="T182" si="12">IF(S182="Adecuado",15,IF(S182="Inadecuado",0,""))</f>
        <v>15</v>
      </c>
      <c r="U182" s="403" t="s">
        <v>378</v>
      </c>
      <c r="V182" s="404"/>
      <c r="W182" s="404"/>
      <c r="X182" s="404"/>
      <c r="Y182" s="404"/>
      <c r="Z182" s="405"/>
    </row>
    <row r="183" spans="1:26" ht="30" customHeight="1" x14ac:dyDescent="0.2">
      <c r="B183" s="112" t="s">
        <v>122</v>
      </c>
      <c r="C183" s="37" t="s">
        <v>94</v>
      </c>
      <c r="D183" s="51" t="s">
        <v>86</v>
      </c>
      <c r="E183" s="39" t="s">
        <v>103</v>
      </c>
      <c r="F183" s="102">
        <f>IF(E183="Oportuna",15,IF(E183="Inoportuna",0,""))</f>
        <v>15</v>
      </c>
      <c r="G183" s="403" t="s">
        <v>473</v>
      </c>
      <c r="H183" s="404"/>
      <c r="I183" s="404"/>
      <c r="J183" s="405"/>
      <c r="K183" s="103" t="s">
        <v>103</v>
      </c>
      <c r="L183" s="102">
        <f t="shared" ref="L183" si="13">IF(K183="Oportuna",15,IF(K183="Inoportuna",0,""))</f>
        <v>15</v>
      </c>
      <c r="M183" s="403" t="s">
        <v>375</v>
      </c>
      <c r="N183" s="404"/>
      <c r="O183" s="404"/>
      <c r="P183" s="404"/>
      <c r="Q183" s="404"/>
      <c r="R183" s="405"/>
      <c r="S183" s="103" t="s">
        <v>103</v>
      </c>
      <c r="T183" s="102">
        <f t="shared" ref="T183" si="14">IF(S183="Oportuna",15,IF(S183="Inoportuna",0,""))</f>
        <v>15</v>
      </c>
      <c r="U183" s="403" t="s">
        <v>474</v>
      </c>
      <c r="V183" s="404"/>
      <c r="W183" s="404"/>
      <c r="X183" s="404"/>
      <c r="Y183" s="404"/>
      <c r="Z183" s="405"/>
    </row>
    <row r="184" spans="1:26" ht="45" customHeight="1" x14ac:dyDescent="0.2">
      <c r="B184" s="112" t="s">
        <v>123</v>
      </c>
      <c r="C184" s="37" t="s">
        <v>95</v>
      </c>
      <c r="D184" s="51" t="s">
        <v>87</v>
      </c>
      <c r="E184" s="41" t="s">
        <v>105</v>
      </c>
      <c r="F184" s="102">
        <f>IF(E184="Prevenir o detectar",15,IF(E184="No es control",0,""))</f>
        <v>15</v>
      </c>
      <c r="G184" s="403" t="s">
        <v>475</v>
      </c>
      <c r="H184" s="404"/>
      <c r="I184" s="404"/>
      <c r="J184" s="405"/>
      <c r="K184" s="104" t="s">
        <v>105</v>
      </c>
      <c r="L184" s="102">
        <f t="shared" ref="L184" si="15">IF(K184="Prevenir o detectar",15,IF(K184="No es control",0,""))</f>
        <v>15</v>
      </c>
      <c r="M184" s="403" t="s">
        <v>476</v>
      </c>
      <c r="N184" s="404"/>
      <c r="O184" s="404"/>
      <c r="P184" s="404"/>
      <c r="Q184" s="404"/>
      <c r="R184" s="405"/>
      <c r="S184" s="104" t="s">
        <v>106</v>
      </c>
      <c r="T184" s="102">
        <f t="shared" ref="T184" si="16">IF(S184="Prevenir o detectar",15,IF(S184="No es control",0,""))</f>
        <v>0</v>
      </c>
      <c r="U184" s="403" t="s">
        <v>379</v>
      </c>
      <c r="V184" s="404"/>
      <c r="W184" s="404"/>
      <c r="X184" s="404"/>
      <c r="Y184" s="404"/>
      <c r="Z184" s="405"/>
    </row>
    <row r="185" spans="1:26" ht="30" customHeight="1" x14ac:dyDescent="0.2">
      <c r="B185" s="113" t="s">
        <v>125</v>
      </c>
      <c r="C185" s="37" t="s">
        <v>96</v>
      </c>
      <c r="D185" s="51" t="s">
        <v>88</v>
      </c>
      <c r="E185" s="39" t="s">
        <v>107</v>
      </c>
      <c r="F185" s="102">
        <f>IF(E185="Confiable",15,IF(E185="No confiable",0,""))</f>
        <v>15</v>
      </c>
      <c r="G185" s="403" t="s">
        <v>373</v>
      </c>
      <c r="H185" s="404"/>
      <c r="I185" s="404"/>
      <c r="J185" s="405"/>
      <c r="K185" s="103" t="s">
        <v>107</v>
      </c>
      <c r="L185" s="102">
        <f t="shared" ref="L185" si="17">IF(K185="Confiable",15,IF(K185="No confiable",0,""))</f>
        <v>15</v>
      </c>
      <c r="M185" s="403" t="s">
        <v>376</v>
      </c>
      <c r="N185" s="404"/>
      <c r="O185" s="404"/>
      <c r="P185" s="404"/>
      <c r="Q185" s="404"/>
      <c r="R185" s="405"/>
      <c r="S185" s="103" t="s">
        <v>107</v>
      </c>
      <c r="T185" s="102">
        <f t="shared" ref="T185" si="18">IF(S185="Confiable",15,IF(S185="No confiable",0,""))</f>
        <v>15</v>
      </c>
      <c r="U185" s="403" t="s">
        <v>380</v>
      </c>
      <c r="V185" s="404"/>
      <c r="W185" s="404"/>
      <c r="X185" s="404"/>
      <c r="Y185" s="404"/>
      <c r="Z185" s="405"/>
    </row>
    <row r="186" spans="1:26" ht="45" customHeight="1" x14ac:dyDescent="0.2">
      <c r="B186" s="113" t="s">
        <v>126</v>
      </c>
      <c r="C186" s="37" t="s">
        <v>97</v>
      </c>
      <c r="D186" s="51" t="s">
        <v>89</v>
      </c>
      <c r="E186" s="41" t="s">
        <v>109</v>
      </c>
      <c r="F186" s="102">
        <f>IF(E186="Se investigan y resuelven oportunamente",15,IF(E186="No se investigan y resuelven oportunamente",0,""))</f>
        <v>15</v>
      </c>
      <c r="G186" s="403" t="s">
        <v>477</v>
      </c>
      <c r="H186" s="404"/>
      <c r="I186" s="404"/>
      <c r="J186" s="405"/>
      <c r="K186" s="104" t="s">
        <v>109</v>
      </c>
      <c r="L186" s="102">
        <f t="shared" ref="L186" si="19">IF(K186="Se investigan y resuelven oportunamente",15,IF(K186="No se investigan y resuelven oportunamente",0,""))</f>
        <v>15</v>
      </c>
      <c r="M186" s="403" t="s">
        <v>478</v>
      </c>
      <c r="N186" s="404"/>
      <c r="O186" s="404"/>
      <c r="P186" s="404"/>
      <c r="Q186" s="404"/>
      <c r="R186" s="405"/>
      <c r="S186" s="104" t="s">
        <v>109</v>
      </c>
      <c r="T186" s="102">
        <f t="shared" ref="T186" si="20">IF(S186="Se investigan y resuelven oportunamente",15,IF(S186="No se investigan y resuelven oportunamente",0,""))</f>
        <v>15</v>
      </c>
      <c r="U186" s="403" t="s">
        <v>479</v>
      </c>
      <c r="V186" s="404"/>
      <c r="W186" s="404"/>
      <c r="X186" s="404"/>
      <c r="Y186" s="404"/>
      <c r="Z186" s="405"/>
    </row>
    <row r="187" spans="1:26" ht="30" customHeight="1" thickBot="1" x14ac:dyDescent="0.25">
      <c r="B187" s="67" t="s">
        <v>124</v>
      </c>
      <c r="C187" s="111" t="s">
        <v>98</v>
      </c>
      <c r="D187" s="52" t="s">
        <v>90</v>
      </c>
      <c r="E187" s="42" t="s">
        <v>111</v>
      </c>
      <c r="F187" s="105">
        <f>IF(E187="Completa",10,IF(E187="Incompleta",5,IF(E187="No existe",0,"")))</f>
        <v>10</v>
      </c>
      <c r="G187" s="406" t="s">
        <v>374</v>
      </c>
      <c r="H187" s="407"/>
      <c r="I187" s="407"/>
      <c r="J187" s="408"/>
      <c r="K187" s="106" t="s">
        <v>111</v>
      </c>
      <c r="L187" s="105">
        <f t="shared" ref="L187" si="21">IF(K187="Completa",10,IF(K187="Incompleta",5,IF(K187="No existe",0,"")))</f>
        <v>10</v>
      </c>
      <c r="M187" s="406" t="s">
        <v>377</v>
      </c>
      <c r="N187" s="407"/>
      <c r="O187" s="407"/>
      <c r="P187" s="407"/>
      <c r="Q187" s="407"/>
      <c r="R187" s="408"/>
      <c r="S187" s="106" t="s">
        <v>111</v>
      </c>
      <c r="T187" s="105">
        <f t="shared" ref="T187" si="22">IF(S187="Completa",10,IF(S187="Incompleta",5,IF(S187="No existe",0,"")))</f>
        <v>10</v>
      </c>
      <c r="U187" s="406" t="s">
        <v>480</v>
      </c>
      <c r="V187" s="407"/>
      <c r="W187" s="407"/>
      <c r="X187" s="407"/>
      <c r="Y187" s="407"/>
      <c r="Z187" s="408"/>
    </row>
    <row r="188" spans="1:26" ht="7.5" customHeight="1" thickBot="1" x14ac:dyDescent="0.25">
      <c r="D188" s="38"/>
      <c r="J188" s="95"/>
      <c r="K188" s="107"/>
      <c r="L188" s="108"/>
      <c r="M188" s="95"/>
      <c r="S188" s="107"/>
      <c r="T188" s="108"/>
      <c r="U188" s="95"/>
    </row>
    <row r="189" spans="1:26" x14ac:dyDescent="0.2">
      <c r="D189" s="48" t="s">
        <v>91</v>
      </c>
      <c r="E189" s="369">
        <f>IF(SUM(F181:F187)=0,"-",SUM(F181:F187))</f>
        <v>100</v>
      </c>
      <c r="F189" s="370"/>
      <c r="G189" s="428"/>
      <c r="J189" s="96"/>
      <c r="K189" s="369">
        <f t="shared" ref="K189" si="23">IF(SUM(L181:L187)=0,"-",SUM(L181:L187))</f>
        <v>100</v>
      </c>
      <c r="L189" s="370"/>
      <c r="M189" s="96"/>
      <c r="S189" s="369">
        <f t="shared" ref="S189" si="24">IF(SUM(T181:T187)=0,"-",SUM(T181:T187))</f>
        <v>85</v>
      </c>
      <c r="T189" s="370"/>
      <c r="U189" s="96"/>
    </row>
    <row r="190" spans="1:26" ht="15.75" customHeight="1" thickBot="1" x14ac:dyDescent="0.25">
      <c r="D190" s="49" t="s">
        <v>117</v>
      </c>
      <c r="E190" s="371" t="str">
        <f>IF(E189&lt;=74,"Débil",IF(E189&lt;=89,"Moderado",IF(E189&lt;=100,"Fuerte","")))</f>
        <v>Fuerte</v>
      </c>
      <c r="F190" s="372"/>
      <c r="G190" s="428"/>
      <c r="J190" s="96"/>
      <c r="K190" s="371" t="str">
        <f t="shared" ref="K190" si="25">IF(K189&lt;=74,"Débil",IF(K189&lt;=89,"Moderado",IF(K189&lt;=100,"Fuerte","")))</f>
        <v>Fuerte</v>
      </c>
      <c r="L190" s="372"/>
      <c r="M190" s="96"/>
      <c r="S190" s="371" t="str">
        <f t="shared" ref="S190" si="26">IF(S189&lt;=74,"Débil",IF(S189&lt;=89,"Moderado",IF(S189&lt;=100,"Fuerte","")))</f>
        <v>Moderado</v>
      </c>
      <c r="T190" s="372"/>
      <c r="U190" s="96"/>
    </row>
    <row r="191" spans="1:26" ht="15" thickBot="1" x14ac:dyDescent="0.25"/>
    <row r="192" spans="1:26" ht="33" customHeight="1" thickBot="1" x14ac:dyDescent="0.25">
      <c r="A192" s="64" t="str">
        <f>+Matriz!E21</f>
        <v>AGRI-GD-RC-001</v>
      </c>
      <c r="B192" s="323" t="str">
        <f>+Matriz!F21</f>
        <v xml:space="preserve">Manipulación de la información para beneficio de un tercero </v>
      </c>
      <c r="C192" s="324"/>
      <c r="D192" s="324"/>
      <c r="E192" s="324"/>
      <c r="F192" s="324"/>
      <c r="G192" s="324"/>
      <c r="H192" s="324"/>
      <c r="I192" s="324"/>
      <c r="J192" s="324"/>
      <c r="K192" s="324"/>
      <c r="L192" s="325"/>
      <c r="M192" s="109"/>
    </row>
    <row r="193" spans="2:18" ht="10.5" customHeight="1" thickBot="1" x14ac:dyDescent="0.25"/>
    <row r="194" spans="2:18" ht="16.5" customHeight="1" thickBot="1" x14ac:dyDescent="0.25">
      <c r="B194" s="373" t="s">
        <v>152</v>
      </c>
      <c r="C194" s="374"/>
      <c r="D194" s="375"/>
      <c r="E194" s="326" t="s">
        <v>118</v>
      </c>
      <c r="F194" s="327"/>
      <c r="G194" s="327"/>
      <c r="H194" s="327"/>
      <c r="I194" s="327"/>
      <c r="J194" s="327"/>
      <c r="K194" s="417" t="s">
        <v>311</v>
      </c>
      <c r="L194" s="418"/>
      <c r="M194" s="418"/>
      <c r="N194" s="418"/>
      <c r="O194" s="418"/>
      <c r="P194" s="418"/>
      <c r="Q194" s="418"/>
      <c r="R194" s="419"/>
    </row>
    <row r="195" spans="2:18" ht="102" customHeight="1" thickBot="1" x14ac:dyDescent="0.25">
      <c r="B195" s="376"/>
      <c r="C195" s="377"/>
      <c r="D195" s="378"/>
      <c r="E195" s="409" t="str">
        <f>+Matriz!Q21</f>
        <v xml:space="preserve">Control al préstamo y consulta de los documentos físicos </v>
      </c>
      <c r="F195" s="410"/>
      <c r="G195" s="410"/>
      <c r="H195" s="410"/>
      <c r="I195" s="410"/>
      <c r="J195" s="410"/>
      <c r="K195" s="422" t="str">
        <f>+Matriz!Q22</f>
        <v xml:space="preserve">Entrega de documentos digitales a través de correo electrónico al solicitante </v>
      </c>
      <c r="L195" s="423"/>
      <c r="M195" s="423"/>
      <c r="N195" s="423"/>
      <c r="O195" s="423"/>
      <c r="P195" s="423"/>
      <c r="Q195" s="423"/>
      <c r="R195" s="424"/>
    </row>
    <row r="196" spans="2:18" ht="15" x14ac:dyDescent="0.25">
      <c r="B196" s="346" t="s">
        <v>119</v>
      </c>
      <c r="C196" s="348" t="s">
        <v>120</v>
      </c>
      <c r="D196" s="349"/>
      <c r="E196" s="420" t="s">
        <v>114</v>
      </c>
      <c r="F196" s="421"/>
      <c r="G196" s="411" t="s">
        <v>71</v>
      </c>
      <c r="H196" s="412"/>
      <c r="I196" s="412"/>
      <c r="J196" s="413"/>
      <c r="K196" s="367" t="s">
        <v>114</v>
      </c>
      <c r="L196" s="368"/>
      <c r="M196" s="364" t="s">
        <v>71</v>
      </c>
      <c r="N196" s="365"/>
      <c r="O196" s="365"/>
      <c r="P196" s="365"/>
      <c r="Q196" s="365"/>
      <c r="R196" s="366"/>
    </row>
    <row r="197" spans="2:18" ht="15.75" customHeight="1" thickBot="1" x14ac:dyDescent="0.25">
      <c r="B197" s="347"/>
      <c r="C197" s="350"/>
      <c r="D197" s="351"/>
      <c r="E197" s="62" t="s">
        <v>115</v>
      </c>
      <c r="F197" s="63" t="s">
        <v>116</v>
      </c>
      <c r="G197" s="414"/>
      <c r="H197" s="415"/>
      <c r="I197" s="415"/>
      <c r="J197" s="416"/>
      <c r="K197" s="62" t="s">
        <v>115</v>
      </c>
      <c r="L197" s="63" t="s">
        <v>116</v>
      </c>
      <c r="M197" s="425"/>
      <c r="N197" s="426"/>
      <c r="O197" s="426"/>
      <c r="P197" s="426"/>
      <c r="Q197" s="426"/>
      <c r="R197" s="427"/>
    </row>
    <row r="198" spans="2:18" ht="48" customHeight="1" x14ac:dyDescent="0.2">
      <c r="B198" s="344" t="s">
        <v>121</v>
      </c>
      <c r="C198" s="110" t="s">
        <v>92</v>
      </c>
      <c r="D198" s="114" t="s">
        <v>84</v>
      </c>
      <c r="E198" s="44" t="s">
        <v>99</v>
      </c>
      <c r="F198" s="100">
        <f>IF(E198="Asignado",15,IF(E198="No asignado",0,""))</f>
        <v>15</v>
      </c>
      <c r="G198" s="400" t="s">
        <v>387</v>
      </c>
      <c r="H198" s="401"/>
      <c r="I198" s="401"/>
      <c r="J198" s="402"/>
      <c r="K198" s="101" t="s">
        <v>99</v>
      </c>
      <c r="L198" s="100">
        <f t="shared" ref="L198" si="27">IF(K198="Asignado",15,IF(K198="No asignado",0,""))</f>
        <v>15</v>
      </c>
      <c r="M198" s="400" t="s">
        <v>387</v>
      </c>
      <c r="N198" s="401"/>
      <c r="O198" s="401"/>
      <c r="P198" s="401"/>
      <c r="Q198" s="401"/>
      <c r="R198" s="402"/>
    </row>
    <row r="199" spans="2:18" ht="30" customHeight="1" x14ac:dyDescent="0.2">
      <c r="B199" s="345"/>
      <c r="C199" s="37" t="s">
        <v>93</v>
      </c>
      <c r="D199" s="51" t="s">
        <v>85</v>
      </c>
      <c r="E199" s="39" t="s">
        <v>101</v>
      </c>
      <c r="F199" s="102">
        <f>IF(E199="Adecuado",15,IF(E199="Inadecuado",0,""))</f>
        <v>15</v>
      </c>
      <c r="G199" s="403" t="s">
        <v>388</v>
      </c>
      <c r="H199" s="404"/>
      <c r="I199" s="404"/>
      <c r="J199" s="405"/>
      <c r="K199" s="103" t="s">
        <v>101</v>
      </c>
      <c r="L199" s="102">
        <f t="shared" ref="L199" si="28">IF(K199="Adecuado",15,IF(K199="Inadecuado",0,""))</f>
        <v>15</v>
      </c>
      <c r="M199" s="403" t="s">
        <v>393</v>
      </c>
      <c r="N199" s="404"/>
      <c r="O199" s="404"/>
      <c r="P199" s="404"/>
      <c r="Q199" s="404"/>
      <c r="R199" s="405"/>
    </row>
    <row r="200" spans="2:18" ht="30" customHeight="1" x14ac:dyDescent="0.2">
      <c r="B200" s="112" t="s">
        <v>122</v>
      </c>
      <c r="C200" s="37" t="s">
        <v>94</v>
      </c>
      <c r="D200" s="51" t="s">
        <v>86</v>
      </c>
      <c r="E200" s="39" t="s">
        <v>103</v>
      </c>
      <c r="F200" s="102">
        <f>IF(E200="Oportuna",15,IF(E200="Inoportuna",0,""))</f>
        <v>15</v>
      </c>
      <c r="G200" s="403" t="s">
        <v>389</v>
      </c>
      <c r="H200" s="404"/>
      <c r="I200" s="404"/>
      <c r="J200" s="405"/>
      <c r="K200" s="103" t="s">
        <v>103</v>
      </c>
      <c r="L200" s="102">
        <f t="shared" ref="L200" si="29">IF(K200="Oportuna",15,IF(K200="Inoportuna",0,""))</f>
        <v>15</v>
      </c>
      <c r="M200" s="403" t="s">
        <v>389</v>
      </c>
      <c r="N200" s="404"/>
      <c r="O200" s="404"/>
      <c r="P200" s="404"/>
      <c r="Q200" s="404"/>
      <c r="R200" s="405"/>
    </row>
    <row r="201" spans="2:18" ht="45" customHeight="1" x14ac:dyDescent="0.2">
      <c r="B201" s="112" t="s">
        <v>123</v>
      </c>
      <c r="C201" s="37" t="s">
        <v>95</v>
      </c>
      <c r="D201" s="51" t="s">
        <v>87</v>
      </c>
      <c r="E201" s="41" t="s">
        <v>105</v>
      </c>
      <c r="F201" s="102">
        <f>IF(E201="Prevenir o detectar",15,IF(E201="No es control",0,""))</f>
        <v>15</v>
      </c>
      <c r="G201" s="403" t="s">
        <v>390</v>
      </c>
      <c r="H201" s="404"/>
      <c r="I201" s="404"/>
      <c r="J201" s="405"/>
      <c r="K201" s="104" t="s">
        <v>105</v>
      </c>
      <c r="L201" s="102">
        <f t="shared" ref="L201" si="30">IF(K201="Prevenir o detectar",15,IF(K201="No es control",0,""))</f>
        <v>15</v>
      </c>
      <c r="M201" s="403" t="s">
        <v>390</v>
      </c>
      <c r="N201" s="404"/>
      <c r="O201" s="404"/>
      <c r="P201" s="404"/>
      <c r="Q201" s="404"/>
      <c r="R201" s="405"/>
    </row>
    <row r="202" spans="2:18" ht="30" customHeight="1" x14ac:dyDescent="0.2">
      <c r="B202" s="113" t="s">
        <v>125</v>
      </c>
      <c r="C202" s="37" t="s">
        <v>96</v>
      </c>
      <c r="D202" s="51" t="s">
        <v>88</v>
      </c>
      <c r="E202" s="39" t="s">
        <v>107</v>
      </c>
      <c r="F202" s="102">
        <f>IF(E202="Confiable",15,IF(E202="No confiable",0,""))</f>
        <v>15</v>
      </c>
      <c r="G202" s="403" t="s">
        <v>391</v>
      </c>
      <c r="H202" s="404"/>
      <c r="I202" s="404"/>
      <c r="J202" s="405"/>
      <c r="K202" s="103" t="s">
        <v>107</v>
      </c>
      <c r="L202" s="102">
        <f t="shared" ref="L202" si="31">IF(K202="Confiable",15,IF(K202="No confiable",0,""))</f>
        <v>15</v>
      </c>
      <c r="M202" s="403" t="s">
        <v>394</v>
      </c>
      <c r="N202" s="404"/>
      <c r="O202" s="404"/>
      <c r="P202" s="404"/>
      <c r="Q202" s="404"/>
      <c r="R202" s="405"/>
    </row>
    <row r="203" spans="2:18" ht="45" customHeight="1" x14ac:dyDescent="0.2">
      <c r="B203" s="113" t="s">
        <v>126</v>
      </c>
      <c r="C203" s="37" t="s">
        <v>97</v>
      </c>
      <c r="D203" s="51" t="s">
        <v>89</v>
      </c>
      <c r="E203" s="41" t="s">
        <v>110</v>
      </c>
      <c r="F203" s="102">
        <f>IF(E203="Se investigan y resuelven oportunamente",15,IF(E203="No se investigan y resuelven oportunamente",0,""))</f>
        <v>0</v>
      </c>
      <c r="G203" s="403" t="s">
        <v>392</v>
      </c>
      <c r="H203" s="404"/>
      <c r="I203" s="404"/>
      <c r="J203" s="405"/>
      <c r="K203" s="104" t="s">
        <v>109</v>
      </c>
      <c r="L203" s="102">
        <f t="shared" ref="L203" si="32">IF(K203="Se investigan y resuelven oportunamente",15,IF(K203="No se investigan y resuelven oportunamente",0,""))</f>
        <v>15</v>
      </c>
      <c r="M203" s="403" t="s">
        <v>395</v>
      </c>
      <c r="N203" s="404"/>
      <c r="O203" s="404"/>
      <c r="P203" s="404"/>
      <c r="Q203" s="404"/>
      <c r="R203" s="405"/>
    </row>
    <row r="204" spans="2:18" ht="30" customHeight="1" thickBot="1" x14ac:dyDescent="0.25">
      <c r="B204" s="67" t="s">
        <v>124</v>
      </c>
      <c r="C204" s="111" t="s">
        <v>98</v>
      </c>
      <c r="D204" s="52" t="s">
        <v>90</v>
      </c>
      <c r="E204" s="42" t="s">
        <v>111</v>
      </c>
      <c r="F204" s="105">
        <f>IF(E204="Completa",10,IF(E204="Incompleta",5,IF(E204="No existe",0,"")))</f>
        <v>10</v>
      </c>
      <c r="G204" s="406" t="s">
        <v>481</v>
      </c>
      <c r="H204" s="407"/>
      <c r="I204" s="407"/>
      <c r="J204" s="408"/>
      <c r="K204" s="106" t="s">
        <v>111</v>
      </c>
      <c r="L204" s="105">
        <f t="shared" ref="L204" si="33">IF(K204="Completa",10,IF(K204="Incompleta",5,IF(K204="No existe",0,"")))</f>
        <v>10</v>
      </c>
      <c r="M204" s="406" t="s">
        <v>396</v>
      </c>
      <c r="N204" s="407"/>
      <c r="O204" s="407"/>
      <c r="P204" s="407"/>
      <c r="Q204" s="407"/>
      <c r="R204" s="408"/>
    </row>
    <row r="205" spans="2:18" ht="7.5" customHeight="1" thickBot="1" x14ac:dyDescent="0.25">
      <c r="D205" s="38"/>
      <c r="J205" s="95"/>
      <c r="K205" s="107"/>
      <c r="L205" s="108"/>
      <c r="M205" s="95"/>
    </row>
    <row r="206" spans="2:18" x14ac:dyDescent="0.2">
      <c r="D206" s="48" t="s">
        <v>91</v>
      </c>
      <c r="E206" s="369">
        <f>IF(SUM(F198:F204)=0,"-",SUM(F198:F204))</f>
        <v>85</v>
      </c>
      <c r="F206" s="370"/>
      <c r="G206" s="428"/>
      <c r="J206" s="96"/>
      <c r="K206" s="369">
        <f t="shared" ref="K206" si="34">IF(SUM(L198:L204)=0,"-",SUM(L198:L204))</f>
        <v>100</v>
      </c>
      <c r="L206" s="370"/>
      <c r="M206" s="96"/>
    </row>
    <row r="207" spans="2:18" ht="15.75" customHeight="1" thickBot="1" x14ac:dyDescent="0.25">
      <c r="D207" s="49" t="s">
        <v>117</v>
      </c>
      <c r="E207" s="371" t="str">
        <f>IF(E206&lt;=74,"Débil",IF(E206&lt;=89,"Moderado",IF(E206&lt;=100,"Fuerte","")))</f>
        <v>Moderado</v>
      </c>
      <c r="F207" s="372"/>
      <c r="G207" s="428"/>
      <c r="J207" s="96"/>
      <c r="K207" s="371" t="str">
        <f t="shared" ref="K207" si="35">IF(K206&lt;=74,"Débil",IF(K206&lt;=89,"Moderado",IF(K206&lt;=100,"Fuerte","")))</f>
        <v>Fuerte</v>
      </c>
      <c r="L207" s="372"/>
      <c r="M207" s="96"/>
    </row>
    <row r="208" spans="2:18" ht="15" thickBot="1" x14ac:dyDescent="0.25"/>
    <row r="209" spans="1:12" ht="30" customHeight="1" thickBot="1" x14ac:dyDescent="0.25">
      <c r="A209" s="64" t="str">
        <f>+Matriz!E24</f>
        <v>AGFF-RC-001</v>
      </c>
      <c r="B209" s="432" t="str">
        <f>+Matriz!F24</f>
        <v xml:space="preserve"> Posibilidad de recibir o solicitar cualquier dádiva o beneficio a nombre propio o de terceros, por destinar recursos de la entidad; impactando de forma negativa los intereses del Canal.</v>
      </c>
      <c r="C209" s="433"/>
      <c r="D209" s="433"/>
      <c r="E209" s="433"/>
      <c r="F209" s="433"/>
      <c r="G209" s="433"/>
      <c r="H209" s="433"/>
      <c r="I209" s="433"/>
      <c r="J209" s="433"/>
      <c r="K209" s="433"/>
      <c r="L209" s="434"/>
    </row>
    <row r="210" spans="1:12" ht="15" thickBot="1" x14ac:dyDescent="0.25"/>
    <row r="211" spans="1:12" ht="15.75" customHeight="1" x14ac:dyDescent="0.2">
      <c r="B211" s="373" t="s">
        <v>152</v>
      </c>
      <c r="C211" s="374"/>
      <c r="D211" s="374"/>
      <c r="E211" s="364" t="s">
        <v>118</v>
      </c>
      <c r="F211" s="365"/>
      <c r="G211" s="365"/>
      <c r="H211" s="365"/>
      <c r="I211" s="365"/>
      <c r="J211" s="365"/>
      <c r="K211" s="365"/>
      <c r="L211" s="366"/>
    </row>
    <row r="212" spans="1:12" ht="143.25" customHeight="1" thickBot="1" x14ac:dyDescent="0.25">
      <c r="B212" s="376"/>
      <c r="C212" s="377"/>
      <c r="D212" s="377"/>
      <c r="E212" s="361" t="str">
        <f>+Matriz!Q24</f>
        <v>Aplicar procedimiento: AGFF-PD-010 LIQUIDACIÓN ÓRDENES DE PAGO 
Puntos de control: 11, 12.</v>
      </c>
      <c r="F212" s="362"/>
      <c r="G212" s="362"/>
      <c r="H212" s="362"/>
      <c r="I212" s="362"/>
      <c r="J212" s="362"/>
      <c r="K212" s="362"/>
      <c r="L212" s="363"/>
    </row>
    <row r="213" spans="1:12" ht="15" x14ac:dyDescent="0.25">
      <c r="B213" s="346" t="s">
        <v>119</v>
      </c>
      <c r="C213" s="348" t="s">
        <v>120</v>
      </c>
      <c r="D213" s="349"/>
      <c r="E213" s="367" t="s">
        <v>114</v>
      </c>
      <c r="F213" s="368"/>
      <c r="G213" s="332" t="s">
        <v>71</v>
      </c>
      <c r="H213" s="333"/>
      <c r="I213" s="333"/>
      <c r="J213" s="333"/>
      <c r="K213" s="333"/>
      <c r="L213" s="334"/>
    </row>
    <row r="214" spans="1:12" ht="15" thickBot="1" x14ac:dyDescent="0.25">
      <c r="B214" s="347"/>
      <c r="C214" s="350"/>
      <c r="D214" s="351"/>
      <c r="E214" s="62" t="s">
        <v>115</v>
      </c>
      <c r="F214" s="63" t="s">
        <v>116</v>
      </c>
      <c r="G214" s="335"/>
      <c r="H214" s="336"/>
      <c r="I214" s="336"/>
      <c r="J214" s="336"/>
      <c r="K214" s="336"/>
      <c r="L214" s="337"/>
    </row>
    <row r="215" spans="1:12" ht="49.5" customHeight="1" x14ac:dyDescent="0.2">
      <c r="B215" s="344" t="s">
        <v>121</v>
      </c>
      <c r="C215" s="110" t="s">
        <v>92</v>
      </c>
      <c r="D215" s="114" t="s">
        <v>84</v>
      </c>
      <c r="E215" s="44" t="s">
        <v>99</v>
      </c>
      <c r="F215" s="45">
        <f>IF(E215="Asignado",15,IF(E215="No asignado",0,""))</f>
        <v>15</v>
      </c>
      <c r="G215" s="388" t="s">
        <v>406</v>
      </c>
      <c r="H215" s="389"/>
      <c r="I215" s="389"/>
      <c r="J215" s="389"/>
      <c r="K215" s="389"/>
      <c r="L215" s="390"/>
    </row>
    <row r="216" spans="1:12" ht="30.75" customHeight="1" x14ac:dyDescent="0.2">
      <c r="B216" s="345"/>
      <c r="C216" s="37" t="s">
        <v>93</v>
      </c>
      <c r="D216" s="51" t="s">
        <v>85</v>
      </c>
      <c r="E216" s="39" t="s">
        <v>101</v>
      </c>
      <c r="F216" s="40">
        <f>IF(E216="Adecuado",15,IF(E216="Inadecuado",0,""))</f>
        <v>15</v>
      </c>
      <c r="G216" s="379" t="s">
        <v>407</v>
      </c>
      <c r="H216" s="380"/>
      <c r="I216" s="380"/>
      <c r="J216" s="380"/>
      <c r="K216" s="380"/>
      <c r="L216" s="381"/>
    </row>
    <row r="217" spans="1:12" ht="47.25" customHeight="1" x14ac:dyDescent="0.2">
      <c r="B217" s="112" t="s">
        <v>122</v>
      </c>
      <c r="C217" s="37" t="s">
        <v>94</v>
      </c>
      <c r="D217" s="51" t="s">
        <v>86</v>
      </c>
      <c r="E217" s="39" t="s">
        <v>103</v>
      </c>
      <c r="F217" s="40">
        <f>IF(E217="Oportuna",15,IF(E217="Inoportuna",0,""))</f>
        <v>15</v>
      </c>
      <c r="G217" s="379" t="s">
        <v>482</v>
      </c>
      <c r="H217" s="380"/>
      <c r="I217" s="380"/>
      <c r="J217" s="380"/>
      <c r="K217" s="380"/>
      <c r="L217" s="381"/>
    </row>
    <row r="218" spans="1:12" ht="68.25" customHeight="1" x14ac:dyDescent="0.2">
      <c r="B218" s="112" t="s">
        <v>123</v>
      </c>
      <c r="C218" s="37" t="s">
        <v>95</v>
      </c>
      <c r="D218" s="51" t="s">
        <v>87</v>
      </c>
      <c r="E218" s="41" t="s">
        <v>105</v>
      </c>
      <c r="F218" s="40">
        <f>IF(E218="Prevenir o detectar",15,IF(E218="No es control",0,""))</f>
        <v>15</v>
      </c>
      <c r="G218" s="379" t="s">
        <v>483</v>
      </c>
      <c r="H218" s="380"/>
      <c r="I218" s="380"/>
      <c r="J218" s="380"/>
      <c r="K218" s="380"/>
      <c r="L218" s="381"/>
    </row>
    <row r="219" spans="1:12" ht="45" customHeight="1" x14ac:dyDescent="0.2">
      <c r="B219" s="113" t="s">
        <v>125</v>
      </c>
      <c r="C219" s="37" t="s">
        <v>96</v>
      </c>
      <c r="D219" s="51" t="s">
        <v>88</v>
      </c>
      <c r="E219" s="39" t="s">
        <v>107</v>
      </c>
      <c r="F219" s="40">
        <f>IF(E219="Confiable",15,IF(E219="No confiable",0,""))</f>
        <v>15</v>
      </c>
      <c r="G219" s="382" t="s">
        <v>408</v>
      </c>
      <c r="H219" s="383"/>
      <c r="I219" s="383"/>
      <c r="J219" s="383"/>
      <c r="K219" s="383"/>
      <c r="L219" s="384"/>
    </row>
    <row r="220" spans="1:12" ht="45" customHeight="1" x14ac:dyDescent="0.2">
      <c r="B220" s="113" t="s">
        <v>126</v>
      </c>
      <c r="C220" s="37" t="s">
        <v>97</v>
      </c>
      <c r="D220" s="51" t="s">
        <v>89</v>
      </c>
      <c r="E220" s="41" t="s">
        <v>109</v>
      </c>
      <c r="F220" s="40">
        <f>IF(E220="Se investigan y resuelven oportunamente",15,IF(E220="No se investigan y resuelven oportunamente",0,""))</f>
        <v>15</v>
      </c>
      <c r="G220" s="382" t="s">
        <v>409</v>
      </c>
      <c r="H220" s="383"/>
      <c r="I220" s="383"/>
      <c r="J220" s="383"/>
      <c r="K220" s="383"/>
      <c r="L220" s="384"/>
    </row>
    <row r="221" spans="1:12" ht="36.75" customHeight="1" thickBot="1" x14ac:dyDescent="0.25">
      <c r="B221" s="67" t="s">
        <v>124</v>
      </c>
      <c r="C221" s="111" t="s">
        <v>98</v>
      </c>
      <c r="D221" s="52" t="s">
        <v>90</v>
      </c>
      <c r="E221" s="42" t="s">
        <v>111</v>
      </c>
      <c r="F221" s="43">
        <f>IF(E221="Completa",10,IF(E221="Incompleta",5,IF(E221="No existe",0,"")))</f>
        <v>10</v>
      </c>
      <c r="G221" s="429" t="s">
        <v>410</v>
      </c>
      <c r="H221" s="430"/>
      <c r="I221" s="430"/>
      <c r="J221" s="430"/>
      <c r="K221" s="430"/>
      <c r="L221" s="431"/>
    </row>
    <row r="222" spans="1:12" ht="15" thickBot="1" x14ac:dyDescent="0.25">
      <c r="D222" s="38"/>
      <c r="G222" s="95"/>
      <c r="H222" s="95"/>
      <c r="I222" s="95"/>
      <c r="J222" s="95"/>
      <c r="K222" s="95"/>
      <c r="L222" s="95"/>
    </row>
    <row r="223" spans="1:12" x14ac:dyDescent="0.2">
      <c r="D223" s="48" t="s">
        <v>91</v>
      </c>
      <c r="E223" s="369">
        <f>IF(SUM(F215:F221)=0,"-",SUM(F215:F221))</f>
        <v>100</v>
      </c>
      <c r="F223" s="370"/>
      <c r="G223" s="96"/>
      <c r="H223" s="96"/>
      <c r="I223" s="96"/>
      <c r="J223" s="96"/>
      <c r="K223" s="96"/>
      <c r="L223" s="96"/>
    </row>
    <row r="224" spans="1:12" ht="15" thickBot="1" x14ac:dyDescent="0.25">
      <c r="D224" s="49" t="s">
        <v>117</v>
      </c>
      <c r="E224" s="371" t="str">
        <f>IF(E223&lt;=74,"Débil",IF(E223&lt;=89,"Moderado",IF(E223&lt;=100,"Fuerte","")))</f>
        <v>Fuerte</v>
      </c>
      <c r="F224" s="372"/>
      <c r="G224" s="96"/>
      <c r="H224" s="96"/>
      <c r="I224" s="96"/>
      <c r="J224" s="96"/>
      <c r="K224" s="96"/>
      <c r="L224" s="96"/>
    </row>
    <row r="225" spans="1:12" ht="15" thickBot="1" x14ac:dyDescent="0.25"/>
    <row r="226" spans="1:12" ht="30" customHeight="1" thickBot="1" x14ac:dyDescent="0.25">
      <c r="A226" s="64" t="str">
        <f>+Matriz!E25</f>
        <v>AGFF-RC-002</v>
      </c>
      <c r="B226" s="432" t="str">
        <f>+Matriz!F25</f>
        <v>Registrar operaciones contables no ciertas con el fin de beneficiar a un tercero.</v>
      </c>
      <c r="C226" s="433"/>
      <c r="D226" s="433"/>
      <c r="E226" s="433"/>
      <c r="F226" s="433"/>
      <c r="G226" s="433"/>
      <c r="H226" s="433"/>
      <c r="I226" s="433"/>
      <c r="J226" s="433"/>
      <c r="K226" s="433"/>
      <c r="L226" s="434"/>
    </row>
    <row r="227" spans="1:12" ht="15" thickBot="1" x14ac:dyDescent="0.25"/>
    <row r="228" spans="1:12" ht="15.75" customHeight="1" x14ac:dyDescent="0.2">
      <c r="B228" s="373" t="s">
        <v>152</v>
      </c>
      <c r="C228" s="374"/>
      <c r="D228" s="374"/>
      <c r="E228" s="364" t="s">
        <v>118</v>
      </c>
      <c r="F228" s="365"/>
      <c r="G228" s="365"/>
      <c r="H228" s="365"/>
      <c r="I228" s="365"/>
      <c r="J228" s="365"/>
      <c r="K228" s="365"/>
      <c r="L228" s="366"/>
    </row>
    <row r="229" spans="1:12" ht="143.25" customHeight="1" thickBot="1" x14ac:dyDescent="0.25">
      <c r="B229" s="376"/>
      <c r="C229" s="377"/>
      <c r="D229" s="377"/>
      <c r="E229" s="361" t="str">
        <f>+Matriz!Q25</f>
        <v xml:space="preserve">Aplicar procedimiento: AGFF-PD-010 LIQUIDACIÓN ÓRDENES DE PAGO 
Puntos de control: 1, 2, 4,5 8,9, </v>
      </c>
      <c r="F229" s="362"/>
      <c r="G229" s="362"/>
      <c r="H229" s="362"/>
      <c r="I229" s="362"/>
      <c r="J229" s="362"/>
      <c r="K229" s="362"/>
      <c r="L229" s="363"/>
    </row>
    <row r="230" spans="1:12" ht="15" x14ac:dyDescent="0.25">
      <c r="B230" s="346" t="s">
        <v>119</v>
      </c>
      <c r="C230" s="348" t="s">
        <v>120</v>
      </c>
      <c r="D230" s="349"/>
      <c r="E230" s="367" t="s">
        <v>114</v>
      </c>
      <c r="F230" s="368"/>
      <c r="G230" s="332" t="s">
        <v>71</v>
      </c>
      <c r="H230" s="333"/>
      <c r="I230" s="333"/>
      <c r="J230" s="333"/>
      <c r="K230" s="333"/>
      <c r="L230" s="334"/>
    </row>
    <row r="231" spans="1:12" ht="15" thickBot="1" x14ac:dyDescent="0.25">
      <c r="B231" s="347"/>
      <c r="C231" s="350"/>
      <c r="D231" s="351"/>
      <c r="E231" s="62" t="s">
        <v>115</v>
      </c>
      <c r="F231" s="63" t="s">
        <v>116</v>
      </c>
      <c r="G231" s="335"/>
      <c r="H231" s="336"/>
      <c r="I231" s="336"/>
      <c r="J231" s="336"/>
      <c r="K231" s="336"/>
      <c r="L231" s="337"/>
    </row>
    <row r="232" spans="1:12" ht="49.5" customHeight="1" x14ac:dyDescent="0.2">
      <c r="B232" s="344" t="s">
        <v>121</v>
      </c>
      <c r="C232" s="110" t="s">
        <v>92</v>
      </c>
      <c r="D232" s="114" t="s">
        <v>84</v>
      </c>
      <c r="E232" s="44" t="s">
        <v>99</v>
      </c>
      <c r="F232" s="45">
        <f>IF(E232="Asignado",15,IF(E232="No asignado",0,""))</f>
        <v>15</v>
      </c>
      <c r="G232" s="388" t="s">
        <v>406</v>
      </c>
      <c r="H232" s="389"/>
      <c r="I232" s="389"/>
      <c r="J232" s="389"/>
      <c r="K232" s="389"/>
      <c r="L232" s="390"/>
    </row>
    <row r="233" spans="1:12" ht="36" customHeight="1" x14ac:dyDescent="0.2">
      <c r="B233" s="345"/>
      <c r="C233" s="37" t="s">
        <v>93</v>
      </c>
      <c r="D233" s="51" t="s">
        <v>85</v>
      </c>
      <c r="E233" s="39" t="s">
        <v>101</v>
      </c>
      <c r="F233" s="40">
        <f>IF(E233="Adecuado",15,IF(E233="Inadecuado",0,""))</f>
        <v>15</v>
      </c>
      <c r="G233" s="379" t="s">
        <v>407</v>
      </c>
      <c r="H233" s="380"/>
      <c r="I233" s="380"/>
      <c r="J233" s="380"/>
      <c r="K233" s="380"/>
      <c r="L233" s="381"/>
    </row>
    <row r="234" spans="1:12" ht="53.25" customHeight="1" x14ac:dyDescent="0.2">
      <c r="B234" s="112" t="s">
        <v>122</v>
      </c>
      <c r="C234" s="37" t="s">
        <v>94</v>
      </c>
      <c r="D234" s="51" t="s">
        <v>86</v>
      </c>
      <c r="E234" s="39" t="s">
        <v>103</v>
      </c>
      <c r="F234" s="40">
        <f>IF(E234="Oportuna",15,IF(E234="Inoportuna",0,""))</f>
        <v>15</v>
      </c>
      <c r="G234" s="379" t="s">
        <v>482</v>
      </c>
      <c r="H234" s="380"/>
      <c r="I234" s="380"/>
      <c r="J234" s="380"/>
      <c r="K234" s="380"/>
      <c r="L234" s="381"/>
    </row>
    <row r="235" spans="1:12" ht="68.25" customHeight="1" x14ac:dyDescent="0.2">
      <c r="B235" s="112" t="s">
        <v>123</v>
      </c>
      <c r="C235" s="37" t="s">
        <v>95</v>
      </c>
      <c r="D235" s="51" t="s">
        <v>87</v>
      </c>
      <c r="E235" s="41" t="s">
        <v>105</v>
      </c>
      <c r="F235" s="40">
        <f>IF(E235="Prevenir o detectar",15,IF(E235="No es control",0,""))</f>
        <v>15</v>
      </c>
      <c r="G235" s="379" t="s">
        <v>483</v>
      </c>
      <c r="H235" s="380"/>
      <c r="I235" s="380"/>
      <c r="J235" s="380"/>
      <c r="K235" s="380"/>
      <c r="L235" s="381"/>
    </row>
    <row r="236" spans="1:12" ht="45" customHeight="1" x14ac:dyDescent="0.2">
      <c r="B236" s="113" t="s">
        <v>125</v>
      </c>
      <c r="C236" s="37" t="s">
        <v>96</v>
      </c>
      <c r="D236" s="51" t="s">
        <v>88</v>
      </c>
      <c r="E236" s="39" t="s">
        <v>107</v>
      </c>
      <c r="F236" s="40">
        <f>IF(E236="Confiable",15,IF(E236="No confiable",0,""))</f>
        <v>15</v>
      </c>
      <c r="G236" s="382" t="s">
        <v>408</v>
      </c>
      <c r="H236" s="383"/>
      <c r="I236" s="383"/>
      <c r="J236" s="383"/>
      <c r="K236" s="383"/>
      <c r="L236" s="384"/>
    </row>
    <row r="237" spans="1:12" ht="45" customHeight="1" x14ac:dyDescent="0.2">
      <c r="B237" s="113" t="s">
        <v>126</v>
      </c>
      <c r="C237" s="37" t="s">
        <v>97</v>
      </c>
      <c r="D237" s="51" t="s">
        <v>89</v>
      </c>
      <c r="E237" s="41" t="s">
        <v>109</v>
      </c>
      <c r="F237" s="40">
        <f>IF(E237="Se investigan y resuelven oportunamente",15,IF(E237="No se investigan y resuelven oportunamente",0,""))</f>
        <v>15</v>
      </c>
      <c r="G237" s="382" t="s">
        <v>409</v>
      </c>
      <c r="H237" s="383"/>
      <c r="I237" s="383"/>
      <c r="J237" s="383"/>
      <c r="K237" s="383"/>
      <c r="L237" s="384"/>
    </row>
    <row r="238" spans="1:12" ht="36.75" customHeight="1" thickBot="1" x14ac:dyDescent="0.25">
      <c r="B238" s="67" t="s">
        <v>124</v>
      </c>
      <c r="C238" s="111" t="s">
        <v>98</v>
      </c>
      <c r="D238" s="52" t="s">
        <v>90</v>
      </c>
      <c r="E238" s="42" t="s">
        <v>111</v>
      </c>
      <c r="F238" s="43">
        <f>IF(E238="Completa",10,IF(E238="Incompleta",5,IF(E238="No existe",0,"")))</f>
        <v>10</v>
      </c>
      <c r="G238" s="429" t="s">
        <v>410</v>
      </c>
      <c r="H238" s="430"/>
      <c r="I238" s="430"/>
      <c r="J238" s="430"/>
      <c r="K238" s="430"/>
      <c r="L238" s="431"/>
    </row>
    <row r="239" spans="1:12" ht="15" thickBot="1" x14ac:dyDescent="0.25">
      <c r="D239" s="38"/>
      <c r="G239" s="95"/>
      <c r="H239" s="95"/>
      <c r="I239" s="95"/>
      <c r="J239" s="95"/>
      <c r="K239" s="95"/>
      <c r="L239" s="95"/>
    </row>
    <row r="240" spans="1:12" x14ac:dyDescent="0.2">
      <c r="D240" s="48" t="s">
        <v>91</v>
      </c>
      <c r="E240" s="369">
        <f>IF(SUM(F232:F238)=0,"-",SUM(F232:F238))</f>
        <v>100</v>
      </c>
      <c r="F240" s="370"/>
      <c r="G240" s="96"/>
      <c r="H240" s="96"/>
      <c r="I240" s="96"/>
      <c r="J240" s="96"/>
      <c r="K240" s="96"/>
      <c r="L240" s="96"/>
    </row>
    <row r="241" spans="1:48" ht="15" thickBot="1" x14ac:dyDescent="0.25">
      <c r="D241" s="49" t="s">
        <v>117</v>
      </c>
      <c r="E241" s="371" t="str">
        <f>IF(E240&lt;=74,"Débil",IF(E240&lt;=89,"Moderado",IF(E240&lt;=100,"Fuerte","")))</f>
        <v>Fuerte</v>
      </c>
      <c r="F241" s="372"/>
      <c r="G241" s="96"/>
      <c r="H241" s="96"/>
      <c r="I241" s="96"/>
      <c r="J241" s="96"/>
      <c r="K241" s="96"/>
      <c r="L241" s="96"/>
    </row>
    <row r="242" spans="1:48" ht="15" thickBot="1" x14ac:dyDescent="0.25"/>
    <row r="243" spans="1:48" ht="33" customHeight="1" thickBot="1" x14ac:dyDescent="0.25">
      <c r="A243" s="64" t="str">
        <f>+Matriz!E27</f>
        <v>CCSE-RC-001</v>
      </c>
      <c r="B243" s="323" t="str">
        <f>+Matriz!F27</f>
        <v>Favorecimiento en la presentación de resultados de auditorías y/o seguimientos, omitiendo en los informes las observaciones detectadas.</v>
      </c>
      <c r="C243" s="324"/>
      <c r="D243" s="324"/>
      <c r="E243" s="324"/>
      <c r="F243" s="324"/>
      <c r="G243" s="324"/>
      <c r="H243" s="324"/>
      <c r="I243" s="324"/>
      <c r="J243" s="324"/>
      <c r="K243" s="324"/>
      <c r="L243" s="325"/>
      <c r="M243" s="109"/>
    </row>
    <row r="244" spans="1:48" ht="10.5" customHeight="1" thickBot="1" x14ac:dyDescent="0.25"/>
    <row r="245" spans="1:48" ht="16.5" customHeight="1" thickBot="1" x14ac:dyDescent="0.25">
      <c r="B245" s="373" t="s">
        <v>152</v>
      </c>
      <c r="C245" s="374"/>
      <c r="D245" s="375"/>
      <c r="E245" s="326" t="s">
        <v>118</v>
      </c>
      <c r="F245" s="327"/>
      <c r="G245" s="327"/>
      <c r="H245" s="327"/>
      <c r="I245" s="327"/>
      <c r="J245" s="327"/>
      <c r="K245" s="417" t="s">
        <v>311</v>
      </c>
      <c r="L245" s="418"/>
      <c r="M245" s="418"/>
      <c r="N245" s="418"/>
      <c r="O245" s="418"/>
      <c r="P245" s="418"/>
      <c r="Q245" s="418"/>
      <c r="R245" s="419"/>
      <c r="S245" s="417" t="s">
        <v>371</v>
      </c>
      <c r="T245" s="418"/>
      <c r="U245" s="418"/>
      <c r="V245" s="418"/>
      <c r="W245" s="418"/>
      <c r="X245" s="418"/>
      <c r="Y245" s="418"/>
      <c r="Z245" s="419"/>
      <c r="AA245" s="326" t="s">
        <v>372</v>
      </c>
      <c r="AB245" s="327"/>
      <c r="AC245" s="327"/>
      <c r="AD245" s="327"/>
      <c r="AE245" s="327"/>
      <c r="AF245" s="327"/>
      <c r="AG245" s="417" t="s">
        <v>417</v>
      </c>
      <c r="AH245" s="418"/>
      <c r="AI245" s="418"/>
      <c r="AJ245" s="418"/>
      <c r="AK245" s="418"/>
      <c r="AL245" s="418"/>
      <c r="AM245" s="418"/>
      <c r="AN245" s="419"/>
      <c r="AO245" s="417" t="s">
        <v>418</v>
      </c>
      <c r="AP245" s="418"/>
      <c r="AQ245" s="418"/>
      <c r="AR245" s="418"/>
      <c r="AS245" s="418"/>
      <c r="AT245" s="418"/>
      <c r="AU245" s="418"/>
      <c r="AV245" s="419"/>
    </row>
    <row r="246" spans="1:48" ht="102" customHeight="1" thickBot="1" x14ac:dyDescent="0.25">
      <c r="B246" s="376"/>
      <c r="C246" s="377"/>
      <c r="D246" s="378"/>
      <c r="E246" s="409" t="str">
        <f>+Matriz!Q27</f>
        <v>Procedimiento AUDITORIAS DE GESTIÓN (CCSE-PD-002) Actividades No.3,8,10,12,13 y 15.</v>
      </c>
      <c r="F246" s="410"/>
      <c r="G246" s="410"/>
      <c r="H246" s="410"/>
      <c r="I246" s="410"/>
      <c r="J246" s="410"/>
      <c r="K246" s="422" t="str">
        <f>Matriz!Q28</f>
        <v>Procedimiento SEGUIMIENTOS (CCSE-PD-003) Actividades 1,3,5,9,10,14 y 15.</v>
      </c>
      <c r="L246" s="423"/>
      <c r="M246" s="423"/>
      <c r="N246" s="423"/>
      <c r="O246" s="423"/>
      <c r="P246" s="423"/>
      <c r="Q246" s="423"/>
      <c r="R246" s="424"/>
      <c r="S246" s="422" t="str">
        <f>Matriz!Q29</f>
        <v>Código de Ética del Auditor - Compromiso</v>
      </c>
      <c r="T246" s="423"/>
      <c r="U246" s="423"/>
      <c r="V246" s="423"/>
      <c r="W246" s="423"/>
      <c r="X246" s="423"/>
      <c r="Y246" s="423"/>
      <c r="Z246" s="424"/>
      <c r="AA246" s="409" t="str">
        <f>Matriz!Q30</f>
        <v>Reuniones periódicas del Equipo de Control Interno</v>
      </c>
      <c r="AB246" s="410"/>
      <c r="AC246" s="410"/>
      <c r="AD246" s="410"/>
      <c r="AE246" s="410"/>
      <c r="AF246" s="410"/>
      <c r="AG246" s="422" t="str">
        <f>Matriz!Q31</f>
        <v>Capacitaciones Internas Equipo de Control Interno</v>
      </c>
      <c r="AH246" s="423"/>
      <c r="AI246" s="423"/>
      <c r="AJ246" s="423"/>
      <c r="AK246" s="423"/>
      <c r="AL246" s="423"/>
      <c r="AM246" s="423"/>
      <c r="AN246" s="424"/>
      <c r="AO246" s="422" t="str">
        <f>Matriz!Q32</f>
        <v>Procedimiento FORMULACIÓN, SEGUIMIENTO Y EVALUACIÓN DEL PLAN ANUAL DE AUDITORÍAS  (CCSE-PD-004) Actividades No. 6,7,9 y 10</v>
      </c>
      <c r="AP246" s="423"/>
      <c r="AQ246" s="423"/>
      <c r="AR246" s="423"/>
      <c r="AS246" s="423"/>
      <c r="AT246" s="423"/>
      <c r="AU246" s="423"/>
      <c r="AV246" s="424"/>
    </row>
    <row r="247" spans="1:48" ht="15" x14ac:dyDescent="0.25">
      <c r="B247" s="346" t="s">
        <v>119</v>
      </c>
      <c r="C247" s="348" t="s">
        <v>120</v>
      </c>
      <c r="D247" s="349"/>
      <c r="E247" s="420" t="s">
        <v>114</v>
      </c>
      <c r="F247" s="421"/>
      <c r="G247" s="411" t="s">
        <v>71</v>
      </c>
      <c r="H247" s="412"/>
      <c r="I247" s="412"/>
      <c r="J247" s="413"/>
      <c r="K247" s="367" t="s">
        <v>114</v>
      </c>
      <c r="L247" s="368"/>
      <c r="M247" s="364" t="s">
        <v>71</v>
      </c>
      <c r="N247" s="365"/>
      <c r="O247" s="365"/>
      <c r="P247" s="365"/>
      <c r="Q247" s="365"/>
      <c r="R247" s="366"/>
      <c r="S247" s="367" t="s">
        <v>114</v>
      </c>
      <c r="T247" s="368"/>
      <c r="U247" s="364" t="s">
        <v>71</v>
      </c>
      <c r="V247" s="365"/>
      <c r="W247" s="365"/>
      <c r="X247" s="365"/>
      <c r="Y247" s="365"/>
      <c r="Z247" s="366"/>
      <c r="AA247" s="420" t="s">
        <v>114</v>
      </c>
      <c r="AB247" s="421"/>
      <c r="AC247" s="411" t="s">
        <v>71</v>
      </c>
      <c r="AD247" s="412"/>
      <c r="AE247" s="412"/>
      <c r="AF247" s="413"/>
      <c r="AG247" s="367" t="s">
        <v>114</v>
      </c>
      <c r="AH247" s="368"/>
      <c r="AI247" s="364" t="s">
        <v>71</v>
      </c>
      <c r="AJ247" s="365"/>
      <c r="AK247" s="365"/>
      <c r="AL247" s="365"/>
      <c r="AM247" s="365"/>
      <c r="AN247" s="366"/>
      <c r="AO247" s="367" t="s">
        <v>114</v>
      </c>
      <c r="AP247" s="368"/>
      <c r="AQ247" s="364" t="s">
        <v>71</v>
      </c>
      <c r="AR247" s="365"/>
      <c r="AS247" s="365"/>
      <c r="AT247" s="365"/>
      <c r="AU247" s="365"/>
      <c r="AV247" s="366"/>
    </row>
    <row r="248" spans="1:48" ht="15.75" customHeight="1" thickBot="1" x14ac:dyDescent="0.25">
      <c r="B248" s="347"/>
      <c r="C248" s="350"/>
      <c r="D248" s="351"/>
      <c r="E248" s="62" t="s">
        <v>115</v>
      </c>
      <c r="F248" s="63" t="s">
        <v>116</v>
      </c>
      <c r="G248" s="414"/>
      <c r="H248" s="415"/>
      <c r="I248" s="415"/>
      <c r="J248" s="416"/>
      <c r="K248" s="62" t="s">
        <v>115</v>
      </c>
      <c r="L248" s="63" t="s">
        <v>116</v>
      </c>
      <c r="M248" s="425"/>
      <c r="N248" s="426"/>
      <c r="O248" s="426"/>
      <c r="P248" s="426"/>
      <c r="Q248" s="426"/>
      <c r="R248" s="427"/>
      <c r="S248" s="62" t="s">
        <v>115</v>
      </c>
      <c r="T248" s="63" t="s">
        <v>116</v>
      </c>
      <c r="U248" s="425"/>
      <c r="V248" s="426"/>
      <c r="W248" s="426"/>
      <c r="X248" s="426"/>
      <c r="Y248" s="426"/>
      <c r="Z248" s="427"/>
      <c r="AA248" s="62" t="s">
        <v>115</v>
      </c>
      <c r="AB248" s="63" t="s">
        <v>116</v>
      </c>
      <c r="AC248" s="414"/>
      <c r="AD248" s="415"/>
      <c r="AE248" s="415"/>
      <c r="AF248" s="416"/>
      <c r="AG248" s="62" t="s">
        <v>115</v>
      </c>
      <c r="AH248" s="63" t="s">
        <v>116</v>
      </c>
      <c r="AI248" s="425"/>
      <c r="AJ248" s="426"/>
      <c r="AK248" s="426"/>
      <c r="AL248" s="426"/>
      <c r="AM248" s="426"/>
      <c r="AN248" s="427"/>
      <c r="AO248" s="62" t="s">
        <v>115</v>
      </c>
      <c r="AP248" s="63" t="s">
        <v>116</v>
      </c>
      <c r="AQ248" s="425"/>
      <c r="AR248" s="426"/>
      <c r="AS248" s="426"/>
      <c r="AT248" s="426"/>
      <c r="AU248" s="426"/>
      <c r="AV248" s="427"/>
    </row>
    <row r="249" spans="1:48" ht="30" customHeight="1" x14ac:dyDescent="0.2">
      <c r="B249" s="344" t="s">
        <v>121</v>
      </c>
      <c r="C249" s="110" t="s">
        <v>92</v>
      </c>
      <c r="D249" s="114" t="s">
        <v>84</v>
      </c>
      <c r="E249" s="44" t="s">
        <v>99</v>
      </c>
      <c r="F249" s="100">
        <f>IF(E249="Asignado",15,IF(E249="No asignado",0,""))</f>
        <v>15</v>
      </c>
      <c r="G249" s="400"/>
      <c r="H249" s="401"/>
      <c r="I249" s="401"/>
      <c r="J249" s="402"/>
      <c r="K249" s="101" t="s">
        <v>99</v>
      </c>
      <c r="L249" s="100">
        <f t="shared" ref="L249" si="36">IF(K249="Asignado",15,IF(K249="No asignado",0,""))</f>
        <v>15</v>
      </c>
      <c r="M249" s="400"/>
      <c r="N249" s="401"/>
      <c r="O249" s="401"/>
      <c r="P249" s="401"/>
      <c r="Q249" s="401"/>
      <c r="R249" s="402"/>
      <c r="S249" s="44" t="s">
        <v>99</v>
      </c>
      <c r="T249" s="100">
        <f t="shared" ref="T249" si="37">IF(S249="Asignado",15,IF(S249="No asignado",0,""))</f>
        <v>15</v>
      </c>
      <c r="U249" s="400"/>
      <c r="V249" s="401"/>
      <c r="W249" s="401"/>
      <c r="X249" s="401"/>
      <c r="Y249" s="401"/>
      <c r="Z249" s="402"/>
      <c r="AA249" s="44" t="s">
        <v>99</v>
      </c>
      <c r="AB249" s="100">
        <f>IF(AA249="Asignado",15,IF(AA249="No asignado",0,""))</f>
        <v>15</v>
      </c>
      <c r="AC249" s="400"/>
      <c r="AD249" s="401"/>
      <c r="AE249" s="401"/>
      <c r="AF249" s="402"/>
      <c r="AG249" s="101" t="s">
        <v>99</v>
      </c>
      <c r="AH249" s="100">
        <f t="shared" ref="AH249" si="38">IF(AG249="Asignado",15,IF(AG249="No asignado",0,""))</f>
        <v>15</v>
      </c>
      <c r="AI249" s="400"/>
      <c r="AJ249" s="401"/>
      <c r="AK249" s="401"/>
      <c r="AL249" s="401"/>
      <c r="AM249" s="401"/>
      <c r="AN249" s="402"/>
      <c r="AO249" s="44" t="s">
        <v>99</v>
      </c>
      <c r="AP249" s="100">
        <f t="shared" ref="AP249" si="39">IF(AO249="Asignado",15,IF(AO249="No asignado",0,""))</f>
        <v>15</v>
      </c>
      <c r="AQ249" s="400"/>
      <c r="AR249" s="401"/>
      <c r="AS249" s="401"/>
      <c r="AT249" s="401"/>
      <c r="AU249" s="401"/>
      <c r="AV249" s="402"/>
    </row>
    <row r="250" spans="1:48" ht="30" customHeight="1" x14ac:dyDescent="0.2">
      <c r="B250" s="345"/>
      <c r="C250" s="37" t="s">
        <v>93</v>
      </c>
      <c r="D250" s="51" t="s">
        <v>85</v>
      </c>
      <c r="E250" s="39" t="s">
        <v>101</v>
      </c>
      <c r="F250" s="102">
        <f>IF(E250="Adecuado",15,IF(E250="Inadecuado",0,""))</f>
        <v>15</v>
      </c>
      <c r="G250" s="403"/>
      <c r="H250" s="404"/>
      <c r="I250" s="404"/>
      <c r="J250" s="405"/>
      <c r="K250" s="103" t="s">
        <v>101</v>
      </c>
      <c r="L250" s="102">
        <f t="shared" ref="L250" si="40">IF(K250="Adecuado",15,IF(K250="Inadecuado",0,""))</f>
        <v>15</v>
      </c>
      <c r="M250" s="403"/>
      <c r="N250" s="404"/>
      <c r="O250" s="404"/>
      <c r="P250" s="404"/>
      <c r="Q250" s="404"/>
      <c r="R250" s="405"/>
      <c r="S250" s="39" t="s">
        <v>101</v>
      </c>
      <c r="T250" s="102">
        <f t="shared" ref="T250" si="41">IF(S250="Adecuado",15,IF(S250="Inadecuado",0,""))</f>
        <v>15</v>
      </c>
      <c r="U250" s="403"/>
      <c r="V250" s="404"/>
      <c r="W250" s="404"/>
      <c r="X250" s="404"/>
      <c r="Y250" s="404"/>
      <c r="Z250" s="405"/>
      <c r="AA250" s="39" t="s">
        <v>101</v>
      </c>
      <c r="AB250" s="102">
        <f>IF(AA250="Adecuado",15,IF(AA250="Inadecuado",0,""))</f>
        <v>15</v>
      </c>
      <c r="AC250" s="403"/>
      <c r="AD250" s="404"/>
      <c r="AE250" s="404"/>
      <c r="AF250" s="405"/>
      <c r="AG250" s="103" t="s">
        <v>101</v>
      </c>
      <c r="AH250" s="102">
        <f t="shared" ref="AH250" si="42">IF(AG250="Adecuado",15,IF(AG250="Inadecuado",0,""))</f>
        <v>15</v>
      </c>
      <c r="AI250" s="403"/>
      <c r="AJ250" s="404"/>
      <c r="AK250" s="404"/>
      <c r="AL250" s="404"/>
      <c r="AM250" s="404"/>
      <c r="AN250" s="405"/>
      <c r="AO250" s="39" t="s">
        <v>101</v>
      </c>
      <c r="AP250" s="102">
        <f t="shared" ref="AP250" si="43">IF(AO250="Adecuado",15,IF(AO250="Inadecuado",0,""))</f>
        <v>15</v>
      </c>
      <c r="AQ250" s="403"/>
      <c r="AR250" s="404"/>
      <c r="AS250" s="404"/>
      <c r="AT250" s="404"/>
      <c r="AU250" s="404"/>
      <c r="AV250" s="405"/>
    </row>
    <row r="251" spans="1:48" ht="30" customHeight="1" x14ac:dyDescent="0.2">
      <c r="B251" s="112" t="s">
        <v>122</v>
      </c>
      <c r="C251" s="37" t="s">
        <v>94</v>
      </c>
      <c r="D251" s="51" t="s">
        <v>86</v>
      </c>
      <c r="E251" s="39" t="s">
        <v>103</v>
      </c>
      <c r="F251" s="102">
        <f>IF(E251="Oportuna",15,IF(E251="Inoportuna",0,""))</f>
        <v>15</v>
      </c>
      <c r="G251" s="403"/>
      <c r="H251" s="404"/>
      <c r="I251" s="404"/>
      <c r="J251" s="405"/>
      <c r="K251" s="103" t="s">
        <v>103</v>
      </c>
      <c r="L251" s="102">
        <f t="shared" ref="L251" si="44">IF(K251="Oportuna",15,IF(K251="Inoportuna",0,""))</f>
        <v>15</v>
      </c>
      <c r="M251" s="403"/>
      <c r="N251" s="404"/>
      <c r="O251" s="404"/>
      <c r="P251" s="404"/>
      <c r="Q251" s="404"/>
      <c r="R251" s="405"/>
      <c r="S251" s="39" t="s">
        <v>103</v>
      </c>
      <c r="T251" s="102">
        <f t="shared" ref="T251" si="45">IF(S251="Oportuna",15,IF(S251="Inoportuna",0,""))</f>
        <v>15</v>
      </c>
      <c r="U251" s="403"/>
      <c r="V251" s="404"/>
      <c r="W251" s="404"/>
      <c r="X251" s="404"/>
      <c r="Y251" s="404"/>
      <c r="Z251" s="405"/>
      <c r="AA251" s="39" t="s">
        <v>103</v>
      </c>
      <c r="AB251" s="102">
        <f>IF(AA251="Oportuna",15,IF(AA251="Inoportuna",0,""))</f>
        <v>15</v>
      </c>
      <c r="AC251" s="403"/>
      <c r="AD251" s="404"/>
      <c r="AE251" s="404"/>
      <c r="AF251" s="405"/>
      <c r="AG251" s="103" t="s">
        <v>103</v>
      </c>
      <c r="AH251" s="102">
        <f t="shared" ref="AH251" si="46">IF(AG251="Oportuna",15,IF(AG251="Inoportuna",0,""))</f>
        <v>15</v>
      </c>
      <c r="AI251" s="403"/>
      <c r="AJ251" s="404"/>
      <c r="AK251" s="404"/>
      <c r="AL251" s="404"/>
      <c r="AM251" s="404"/>
      <c r="AN251" s="405"/>
      <c r="AO251" s="39" t="s">
        <v>103</v>
      </c>
      <c r="AP251" s="102">
        <f t="shared" ref="AP251" si="47">IF(AO251="Oportuna",15,IF(AO251="Inoportuna",0,""))</f>
        <v>15</v>
      </c>
      <c r="AQ251" s="403"/>
      <c r="AR251" s="404"/>
      <c r="AS251" s="404"/>
      <c r="AT251" s="404"/>
      <c r="AU251" s="404"/>
      <c r="AV251" s="405"/>
    </row>
    <row r="252" spans="1:48" ht="45" customHeight="1" x14ac:dyDescent="0.2">
      <c r="B252" s="112" t="s">
        <v>123</v>
      </c>
      <c r="C252" s="37" t="s">
        <v>95</v>
      </c>
      <c r="D252" s="51" t="s">
        <v>87</v>
      </c>
      <c r="E252" s="41" t="s">
        <v>105</v>
      </c>
      <c r="F252" s="102">
        <f>IF(E252="Prevenir o detectar",15,IF(E252="No es control",0,""))</f>
        <v>15</v>
      </c>
      <c r="G252" s="403"/>
      <c r="H252" s="404"/>
      <c r="I252" s="404"/>
      <c r="J252" s="405"/>
      <c r="K252" s="104" t="s">
        <v>105</v>
      </c>
      <c r="L252" s="102">
        <f t="shared" ref="L252" si="48">IF(K252="Prevenir o detectar",15,IF(K252="No es control",0,""))</f>
        <v>15</v>
      </c>
      <c r="M252" s="403"/>
      <c r="N252" s="404"/>
      <c r="O252" s="404"/>
      <c r="P252" s="404"/>
      <c r="Q252" s="404"/>
      <c r="R252" s="405"/>
      <c r="S252" s="41" t="s">
        <v>105</v>
      </c>
      <c r="T252" s="102">
        <f t="shared" ref="T252" si="49">IF(S252="Prevenir o detectar",15,IF(S252="No es control",0,""))</f>
        <v>15</v>
      </c>
      <c r="U252" s="403"/>
      <c r="V252" s="404"/>
      <c r="W252" s="404"/>
      <c r="X252" s="404"/>
      <c r="Y252" s="404"/>
      <c r="Z252" s="405"/>
      <c r="AA252" s="41" t="s">
        <v>105</v>
      </c>
      <c r="AB252" s="102">
        <f>IF(AA252="Prevenir o detectar",15,IF(AA252="No es control",0,""))</f>
        <v>15</v>
      </c>
      <c r="AC252" s="403"/>
      <c r="AD252" s="404"/>
      <c r="AE252" s="404"/>
      <c r="AF252" s="405"/>
      <c r="AG252" s="104" t="s">
        <v>105</v>
      </c>
      <c r="AH252" s="102">
        <f t="shared" ref="AH252" si="50">IF(AG252="Prevenir o detectar",15,IF(AG252="No es control",0,""))</f>
        <v>15</v>
      </c>
      <c r="AI252" s="403"/>
      <c r="AJ252" s="404"/>
      <c r="AK252" s="404"/>
      <c r="AL252" s="404"/>
      <c r="AM252" s="404"/>
      <c r="AN252" s="405"/>
      <c r="AO252" s="41" t="s">
        <v>105</v>
      </c>
      <c r="AP252" s="102">
        <f t="shared" ref="AP252" si="51">IF(AO252="Prevenir o detectar",15,IF(AO252="No es control",0,""))</f>
        <v>15</v>
      </c>
      <c r="AQ252" s="403"/>
      <c r="AR252" s="404"/>
      <c r="AS252" s="404"/>
      <c r="AT252" s="404"/>
      <c r="AU252" s="404"/>
      <c r="AV252" s="405"/>
    </row>
    <row r="253" spans="1:48" ht="30" customHeight="1" x14ac:dyDescent="0.2">
      <c r="B253" s="113" t="s">
        <v>125</v>
      </c>
      <c r="C253" s="37" t="s">
        <v>96</v>
      </c>
      <c r="D253" s="51" t="s">
        <v>88</v>
      </c>
      <c r="E253" s="39" t="s">
        <v>107</v>
      </c>
      <c r="F253" s="102">
        <f>IF(E253="Confiable",15,IF(E253="No confiable",0,""))</f>
        <v>15</v>
      </c>
      <c r="G253" s="403"/>
      <c r="H253" s="404"/>
      <c r="I253" s="404"/>
      <c r="J253" s="405"/>
      <c r="K253" s="103" t="s">
        <v>107</v>
      </c>
      <c r="L253" s="102">
        <f t="shared" ref="L253" si="52">IF(K253="Confiable",15,IF(K253="No confiable",0,""))</f>
        <v>15</v>
      </c>
      <c r="M253" s="403"/>
      <c r="N253" s="404"/>
      <c r="O253" s="404"/>
      <c r="P253" s="404"/>
      <c r="Q253" s="404"/>
      <c r="R253" s="405"/>
      <c r="S253" s="39" t="s">
        <v>107</v>
      </c>
      <c r="T253" s="102">
        <f t="shared" ref="T253" si="53">IF(S253="Confiable",15,IF(S253="No confiable",0,""))</f>
        <v>15</v>
      </c>
      <c r="U253" s="403"/>
      <c r="V253" s="404"/>
      <c r="W253" s="404"/>
      <c r="X253" s="404"/>
      <c r="Y253" s="404"/>
      <c r="Z253" s="405"/>
      <c r="AA253" s="39" t="s">
        <v>107</v>
      </c>
      <c r="AB253" s="102">
        <f>IF(AA253="Confiable",15,IF(AA253="No confiable",0,""))</f>
        <v>15</v>
      </c>
      <c r="AC253" s="403"/>
      <c r="AD253" s="404"/>
      <c r="AE253" s="404"/>
      <c r="AF253" s="405"/>
      <c r="AG253" s="103" t="s">
        <v>107</v>
      </c>
      <c r="AH253" s="102">
        <f t="shared" ref="AH253" si="54">IF(AG253="Confiable",15,IF(AG253="No confiable",0,""))</f>
        <v>15</v>
      </c>
      <c r="AI253" s="403"/>
      <c r="AJ253" s="404"/>
      <c r="AK253" s="404"/>
      <c r="AL253" s="404"/>
      <c r="AM253" s="404"/>
      <c r="AN253" s="405"/>
      <c r="AO253" s="39" t="s">
        <v>107</v>
      </c>
      <c r="AP253" s="102">
        <f t="shared" ref="AP253" si="55">IF(AO253="Confiable",15,IF(AO253="No confiable",0,""))</f>
        <v>15</v>
      </c>
      <c r="AQ253" s="403"/>
      <c r="AR253" s="404"/>
      <c r="AS253" s="404"/>
      <c r="AT253" s="404"/>
      <c r="AU253" s="404"/>
      <c r="AV253" s="405"/>
    </row>
    <row r="254" spans="1:48" ht="45" customHeight="1" x14ac:dyDescent="0.2">
      <c r="B254" s="113" t="s">
        <v>126</v>
      </c>
      <c r="C254" s="37" t="s">
        <v>97</v>
      </c>
      <c r="D254" s="51" t="s">
        <v>89</v>
      </c>
      <c r="E254" s="41" t="s">
        <v>109</v>
      </c>
      <c r="F254" s="102">
        <f>IF(E254="Se investigan y resuelven oportunamente",15,IF(E254="No se investigan y resuelven oportunamente",0,""))</f>
        <v>15</v>
      </c>
      <c r="G254" s="403"/>
      <c r="H254" s="404"/>
      <c r="I254" s="404"/>
      <c r="J254" s="405"/>
      <c r="K254" s="104" t="s">
        <v>109</v>
      </c>
      <c r="L254" s="102">
        <f t="shared" ref="L254" si="56">IF(K254="Se investigan y resuelven oportunamente",15,IF(K254="No se investigan y resuelven oportunamente",0,""))</f>
        <v>15</v>
      </c>
      <c r="M254" s="403"/>
      <c r="N254" s="404"/>
      <c r="O254" s="404"/>
      <c r="P254" s="404"/>
      <c r="Q254" s="404"/>
      <c r="R254" s="405"/>
      <c r="S254" s="41" t="s">
        <v>109</v>
      </c>
      <c r="T254" s="102">
        <f t="shared" ref="T254" si="57">IF(S254="Se investigan y resuelven oportunamente",15,IF(S254="No se investigan y resuelven oportunamente",0,""))</f>
        <v>15</v>
      </c>
      <c r="U254" s="403"/>
      <c r="V254" s="404"/>
      <c r="W254" s="404"/>
      <c r="X254" s="404"/>
      <c r="Y254" s="404"/>
      <c r="Z254" s="405"/>
      <c r="AA254" s="41" t="s">
        <v>109</v>
      </c>
      <c r="AB254" s="102">
        <f>IF(AA254="Se investigan y resuelven oportunamente",15,IF(AA254="No se investigan y resuelven oportunamente",0,""))</f>
        <v>15</v>
      </c>
      <c r="AC254" s="403"/>
      <c r="AD254" s="404"/>
      <c r="AE254" s="404"/>
      <c r="AF254" s="405"/>
      <c r="AG254" s="104" t="s">
        <v>109</v>
      </c>
      <c r="AH254" s="102">
        <f t="shared" ref="AH254" si="58">IF(AG254="Se investigan y resuelven oportunamente",15,IF(AG254="No se investigan y resuelven oportunamente",0,""))</f>
        <v>15</v>
      </c>
      <c r="AI254" s="403"/>
      <c r="AJ254" s="404"/>
      <c r="AK254" s="404"/>
      <c r="AL254" s="404"/>
      <c r="AM254" s="404"/>
      <c r="AN254" s="405"/>
      <c r="AO254" s="41" t="s">
        <v>109</v>
      </c>
      <c r="AP254" s="102">
        <f t="shared" ref="AP254" si="59">IF(AO254="Se investigan y resuelven oportunamente",15,IF(AO254="No se investigan y resuelven oportunamente",0,""))</f>
        <v>15</v>
      </c>
      <c r="AQ254" s="403"/>
      <c r="AR254" s="404"/>
      <c r="AS254" s="404"/>
      <c r="AT254" s="404"/>
      <c r="AU254" s="404"/>
      <c r="AV254" s="405"/>
    </row>
    <row r="255" spans="1:48" ht="30" customHeight="1" thickBot="1" x14ac:dyDescent="0.25">
      <c r="B255" s="67" t="s">
        <v>124</v>
      </c>
      <c r="C255" s="111" t="s">
        <v>98</v>
      </c>
      <c r="D255" s="52" t="s">
        <v>90</v>
      </c>
      <c r="E255" s="42" t="s">
        <v>111</v>
      </c>
      <c r="F255" s="105">
        <f>IF(E255="Completa",10,IF(E255="Incompleta",5,IF(E255="No existe",0,"")))</f>
        <v>10</v>
      </c>
      <c r="G255" s="406"/>
      <c r="H255" s="407"/>
      <c r="I255" s="407"/>
      <c r="J255" s="408"/>
      <c r="K255" s="106" t="s">
        <v>111</v>
      </c>
      <c r="L255" s="105">
        <f t="shared" ref="L255" si="60">IF(K255="Completa",10,IF(K255="Incompleta",5,IF(K255="No existe",0,"")))</f>
        <v>10</v>
      </c>
      <c r="M255" s="406"/>
      <c r="N255" s="407"/>
      <c r="O255" s="407"/>
      <c r="P255" s="407"/>
      <c r="Q255" s="407"/>
      <c r="R255" s="408"/>
      <c r="S255" s="42" t="s">
        <v>111</v>
      </c>
      <c r="T255" s="105">
        <f t="shared" ref="T255" si="61">IF(S255="Completa",10,IF(S255="Incompleta",5,IF(S255="No existe",0,"")))</f>
        <v>10</v>
      </c>
      <c r="U255" s="406"/>
      <c r="V255" s="407"/>
      <c r="W255" s="407"/>
      <c r="X255" s="407"/>
      <c r="Y255" s="407"/>
      <c r="Z255" s="408"/>
      <c r="AA255" s="42" t="s">
        <v>111</v>
      </c>
      <c r="AB255" s="105">
        <f>IF(AA255="Completa",10,IF(AA255="Incompleta",5,IF(AA255="No existe",0,"")))</f>
        <v>10</v>
      </c>
      <c r="AC255" s="406"/>
      <c r="AD255" s="407"/>
      <c r="AE255" s="407"/>
      <c r="AF255" s="408"/>
      <c r="AG255" s="106" t="s">
        <v>111</v>
      </c>
      <c r="AH255" s="105">
        <f t="shared" ref="AH255" si="62">IF(AG255="Completa",10,IF(AG255="Incompleta",5,IF(AG255="No existe",0,"")))</f>
        <v>10</v>
      </c>
      <c r="AI255" s="406"/>
      <c r="AJ255" s="407"/>
      <c r="AK255" s="407"/>
      <c r="AL255" s="407"/>
      <c r="AM255" s="407"/>
      <c r="AN255" s="408"/>
      <c r="AO255" s="42" t="s">
        <v>111</v>
      </c>
      <c r="AP255" s="105">
        <f t="shared" ref="AP255" si="63">IF(AO255="Completa",10,IF(AO255="Incompleta",5,IF(AO255="No existe",0,"")))</f>
        <v>10</v>
      </c>
      <c r="AQ255" s="406"/>
      <c r="AR255" s="407"/>
      <c r="AS255" s="407"/>
      <c r="AT255" s="407"/>
      <c r="AU255" s="407"/>
      <c r="AV255" s="408"/>
    </row>
    <row r="256" spans="1:48" ht="7.5" customHeight="1" thickBot="1" x14ac:dyDescent="0.25">
      <c r="D256" s="38"/>
      <c r="J256" s="95"/>
      <c r="K256" s="107"/>
      <c r="L256" s="108"/>
      <c r="M256" s="95"/>
      <c r="S256" s="107"/>
      <c r="T256" s="108"/>
      <c r="U256" s="95"/>
      <c r="AF256" s="95"/>
      <c r="AG256" s="107"/>
      <c r="AH256" s="108"/>
      <c r="AI256" s="95"/>
      <c r="AO256" s="107"/>
      <c r="AP256" s="108"/>
      <c r="AQ256" s="95"/>
    </row>
    <row r="257" spans="4:43" x14ac:dyDescent="0.2">
      <c r="D257" s="48" t="s">
        <v>91</v>
      </c>
      <c r="E257" s="369">
        <f>IF(SUM(F249:F255)=0,"-",SUM(F249:F255))</f>
        <v>100</v>
      </c>
      <c r="F257" s="370"/>
      <c r="G257" s="428"/>
      <c r="J257" s="96"/>
      <c r="K257" s="369">
        <f t="shared" ref="K257" si="64">IF(SUM(L249:L255)=0,"-",SUM(L249:L255))</f>
        <v>100</v>
      </c>
      <c r="L257" s="370"/>
      <c r="M257" s="96"/>
      <c r="S257" s="369">
        <f t="shared" ref="S257" si="65">IF(SUM(T249:T255)=0,"-",SUM(T249:T255))</f>
        <v>100</v>
      </c>
      <c r="T257" s="370"/>
      <c r="U257" s="96"/>
      <c r="AA257" s="369">
        <f>IF(SUM(AB249:AB255)=0,"-",SUM(AB249:AB255))</f>
        <v>100</v>
      </c>
      <c r="AB257" s="370"/>
      <c r="AC257" s="428"/>
      <c r="AF257" s="96"/>
      <c r="AG257" s="369">
        <f t="shared" ref="AG257" si="66">IF(SUM(AH249:AH255)=0,"-",SUM(AH249:AH255))</f>
        <v>100</v>
      </c>
      <c r="AH257" s="370"/>
      <c r="AI257" s="96"/>
      <c r="AO257" s="369">
        <f t="shared" ref="AO257" si="67">IF(SUM(AP249:AP255)=0,"-",SUM(AP249:AP255))</f>
        <v>100</v>
      </c>
      <c r="AP257" s="370"/>
      <c r="AQ257" s="96"/>
    </row>
    <row r="258" spans="4:43" ht="15.75" customHeight="1" thickBot="1" x14ac:dyDescent="0.25">
      <c r="D258" s="49" t="s">
        <v>117</v>
      </c>
      <c r="E258" s="371" t="str">
        <f>IF(E257&lt;=74,"Débil",IF(E257&lt;=89,"Moderado",IF(E257&lt;=100,"Fuerte","")))</f>
        <v>Fuerte</v>
      </c>
      <c r="F258" s="372"/>
      <c r="G258" s="428"/>
      <c r="J258" s="96"/>
      <c r="K258" s="371" t="str">
        <f t="shared" ref="K258" si="68">IF(K257&lt;=74,"Débil",IF(K257&lt;=89,"Moderado",IF(K257&lt;=100,"Fuerte","")))</f>
        <v>Fuerte</v>
      </c>
      <c r="L258" s="372"/>
      <c r="M258" s="96"/>
      <c r="S258" s="371" t="str">
        <f t="shared" ref="S258" si="69">IF(S257&lt;=74,"Débil",IF(S257&lt;=89,"Moderado",IF(S257&lt;=100,"Fuerte","")))</f>
        <v>Fuerte</v>
      </c>
      <c r="T258" s="372"/>
      <c r="U258" s="96"/>
      <c r="AA258" s="371" t="str">
        <f>IF(AA257&lt;=74,"Débil",IF(AA257&lt;=89,"Moderado",IF(AA257&lt;=100,"Fuerte","")))</f>
        <v>Fuerte</v>
      </c>
      <c r="AB258" s="372"/>
      <c r="AC258" s="428"/>
      <c r="AF258" s="96"/>
      <c r="AG258" s="371" t="str">
        <f t="shared" ref="AG258" si="70">IF(AG257&lt;=74,"Débil",IF(AG257&lt;=89,"Moderado",IF(AG257&lt;=100,"Fuerte","")))</f>
        <v>Fuerte</v>
      </c>
      <c r="AH258" s="372"/>
      <c r="AI258" s="96"/>
      <c r="AO258" s="371" t="str">
        <f t="shared" ref="AO258" si="71">IF(AO257&lt;=74,"Débil",IF(AO257&lt;=89,"Moderado",IF(AO257&lt;=100,"Fuerte","")))</f>
        <v>Fuerte</v>
      </c>
      <c r="AP258" s="372"/>
      <c r="AQ258" s="96"/>
    </row>
  </sheetData>
  <mergeCells count="391">
    <mergeCell ref="AC255:AF255"/>
    <mergeCell ref="AI255:AN255"/>
    <mergeCell ref="AQ255:AV255"/>
    <mergeCell ref="AA257:AB257"/>
    <mergeCell ref="AC257:AC258"/>
    <mergeCell ref="AG257:AH257"/>
    <mergeCell ref="AO257:AP257"/>
    <mergeCell ref="AA258:AB258"/>
    <mergeCell ref="AG258:AH258"/>
    <mergeCell ref="AO258:AP258"/>
    <mergeCell ref="AC252:AF252"/>
    <mergeCell ref="AI252:AN252"/>
    <mergeCell ref="AQ252:AV252"/>
    <mergeCell ref="AC253:AF253"/>
    <mergeCell ref="AI253:AN253"/>
    <mergeCell ref="AQ253:AV253"/>
    <mergeCell ref="AC254:AF254"/>
    <mergeCell ref="AI254:AN254"/>
    <mergeCell ref="AQ254:AV254"/>
    <mergeCell ref="AC249:AF249"/>
    <mergeCell ref="AI249:AN249"/>
    <mergeCell ref="AQ249:AV249"/>
    <mergeCell ref="AC250:AF250"/>
    <mergeCell ref="AI250:AN250"/>
    <mergeCell ref="AQ250:AV250"/>
    <mergeCell ref="AC251:AF251"/>
    <mergeCell ref="AI251:AN251"/>
    <mergeCell ref="AQ251:AV251"/>
    <mergeCell ref="AA245:AF245"/>
    <mergeCell ref="AG245:AN245"/>
    <mergeCell ref="AO245:AV245"/>
    <mergeCell ref="AA246:AF246"/>
    <mergeCell ref="AG246:AN246"/>
    <mergeCell ref="AO246:AV246"/>
    <mergeCell ref="AA247:AB247"/>
    <mergeCell ref="AC247:AF248"/>
    <mergeCell ref="AG247:AH247"/>
    <mergeCell ref="AI247:AN248"/>
    <mergeCell ref="AO247:AP247"/>
    <mergeCell ref="AQ247:AV248"/>
    <mergeCell ref="G255:J255"/>
    <mergeCell ref="M255:R255"/>
    <mergeCell ref="U255:Z255"/>
    <mergeCell ref="E257:F257"/>
    <mergeCell ref="G257:G258"/>
    <mergeCell ref="K257:L257"/>
    <mergeCell ref="S257:T257"/>
    <mergeCell ref="E258:F258"/>
    <mergeCell ref="K258:L258"/>
    <mergeCell ref="S258:T258"/>
    <mergeCell ref="G252:J252"/>
    <mergeCell ref="M252:R252"/>
    <mergeCell ref="U252:Z252"/>
    <mergeCell ref="G253:J253"/>
    <mergeCell ref="M253:R253"/>
    <mergeCell ref="U253:Z253"/>
    <mergeCell ref="G254:J254"/>
    <mergeCell ref="M254:R254"/>
    <mergeCell ref="U254:Z254"/>
    <mergeCell ref="B249:B250"/>
    <mergeCell ref="G249:J249"/>
    <mergeCell ref="M249:R249"/>
    <mergeCell ref="U249:Z249"/>
    <mergeCell ref="G250:J250"/>
    <mergeCell ref="M250:R250"/>
    <mergeCell ref="U250:Z250"/>
    <mergeCell ref="G251:J251"/>
    <mergeCell ref="M251:R251"/>
    <mergeCell ref="U251:Z251"/>
    <mergeCell ref="S245:Z245"/>
    <mergeCell ref="E246:J246"/>
    <mergeCell ref="K246:R246"/>
    <mergeCell ref="S246:Z246"/>
    <mergeCell ref="B247:B248"/>
    <mergeCell ref="C247:D248"/>
    <mergeCell ref="E247:F247"/>
    <mergeCell ref="G247:J248"/>
    <mergeCell ref="K247:L247"/>
    <mergeCell ref="M247:R248"/>
    <mergeCell ref="S247:T247"/>
    <mergeCell ref="U247:Z248"/>
    <mergeCell ref="G236:L236"/>
    <mergeCell ref="G237:L237"/>
    <mergeCell ref="G238:L238"/>
    <mergeCell ref="E240:F240"/>
    <mergeCell ref="E241:F241"/>
    <mergeCell ref="B243:L243"/>
    <mergeCell ref="B245:D246"/>
    <mergeCell ref="E245:J245"/>
    <mergeCell ref="K245:R245"/>
    <mergeCell ref="B230:B231"/>
    <mergeCell ref="C230:D231"/>
    <mergeCell ref="E230:F230"/>
    <mergeCell ref="G230:L231"/>
    <mergeCell ref="B232:B233"/>
    <mergeCell ref="G232:L232"/>
    <mergeCell ref="G233:L233"/>
    <mergeCell ref="G234:L234"/>
    <mergeCell ref="G235:L235"/>
    <mergeCell ref="G217:L217"/>
    <mergeCell ref="G218:L218"/>
    <mergeCell ref="G219:L219"/>
    <mergeCell ref="G220:L220"/>
    <mergeCell ref="G221:L221"/>
    <mergeCell ref="E223:F223"/>
    <mergeCell ref="E224:F224"/>
    <mergeCell ref="B226:L226"/>
    <mergeCell ref="B228:D229"/>
    <mergeCell ref="E228:L228"/>
    <mergeCell ref="E229:L229"/>
    <mergeCell ref="B209:L209"/>
    <mergeCell ref="B211:D212"/>
    <mergeCell ref="E211:L211"/>
    <mergeCell ref="E212:L212"/>
    <mergeCell ref="B213:B214"/>
    <mergeCell ref="C213:D214"/>
    <mergeCell ref="E213:F213"/>
    <mergeCell ref="G213:L214"/>
    <mergeCell ref="B215:B216"/>
    <mergeCell ref="G215:L215"/>
    <mergeCell ref="G216:L216"/>
    <mergeCell ref="G202:J202"/>
    <mergeCell ref="M202:R202"/>
    <mergeCell ref="G203:J203"/>
    <mergeCell ref="M203:R203"/>
    <mergeCell ref="G204:J204"/>
    <mergeCell ref="M204:R204"/>
    <mergeCell ref="E206:F206"/>
    <mergeCell ref="G206:G207"/>
    <mergeCell ref="K206:L206"/>
    <mergeCell ref="E207:F207"/>
    <mergeCell ref="K207:L207"/>
    <mergeCell ref="B198:B199"/>
    <mergeCell ref="G198:J198"/>
    <mergeCell ref="M198:R198"/>
    <mergeCell ref="G199:J199"/>
    <mergeCell ref="M199:R199"/>
    <mergeCell ref="G200:J200"/>
    <mergeCell ref="M200:R200"/>
    <mergeCell ref="G201:J201"/>
    <mergeCell ref="M201:R201"/>
    <mergeCell ref="B192:L192"/>
    <mergeCell ref="B194:D195"/>
    <mergeCell ref="E194:J194"/>
    <mergeCell ref="K194:R194"/>
    <mergeCell ref="E195:J195"/>
    <mergeCell ref="K195:R195"/>
    <mergeCell ref="B196:B197"/>
    <mergeCell ref="C196:D197"/>
    <mergeCell ref="E196:F196"/>
    <mergeCell ref="G196:J197"/>
    <mergeCell ref="K196:L196"/>
    <mergeCell ref="M196:R197"/>
    <mergeCell ref="G187:J187"/>
    <mergeCell ref="M187:R187"/>
    <mergeCell ref="E189:F189"/>
    <mergeCell ref="G189:G190"/>
    <mergeCell ref="K189:L189"/>
    <mergeCell ref="E190:F190"/>
    <mergeCell ref="K190:L190"/>
    <mergeCell ref="S177:Z177"/>
    <mergeCell ref="S178:Z178"/>
    <mergeCell ref="S179:T179"/>
    <mergeCell ref="U179:Z180"/>
    <mergeCell ref="U181:Z181"/>
    <mergeCell ref="U182:Z182"/>
    <mergeCell ref="U183:Z183"/>
    <mergeCell ref="U184:Z184"/>
    <mergeCell ref="U185:Z185"/>
    <mergeCell ref="U186:Z186"/>
    <mergeCell ref="U187:Z187"/>
    <mergeCell ref="S189:T189"/>
    <mergeCell ref="S190:T190"/>
    <mergeCell ref="G185:J185"/>
    <mergeCell ref="M185:R185"/>
    <mergeCell ref="G186:J186"/>
    <mergeCell ref="M186:R186"/>
    <mergeCell ref="B177:D178"/>
    <mergeCell ref="E177:J177"/>
    <mergeCell ref="K177:R177"/>
    <mergeCell ref="E178:J178"/>
    <mergeCell ref="K178:R178"/>
    <mergeCell ref="B179:B180"/>
    <mergeCell ref="C179:D180"/>
    <mergeCell ref="E179:F179"/>
    <mergeCell ref="G179:J180"/>
    <mergeCell ref="K179:L179"/>
    <mergeCell ref="M179:R180"/>
    <mergeCell ref="B181:B182"/>
    <mergeCell ref="G181:J181"/>
    <mergeCell ref="M181:R181"/>
    <mergeCell ref="G182:J182"/>
    <mergeCell ref="M182:R182"/>
    <mergeCell ref="G183:J183"/>
    <mergeCell ref="M183:R183"/>
    <mergeCell ref="G184:J184"/>
    <mergeCell ref="M184:R184"/>
    <mergeCell ref="G168:L168"/>
    <mergeCell ref="G169:L169"/>
    <mergeCell ref="G170:L170"/>
    <mergeCell ref="E172:F172"/>
    <mergeCell ref="E173:F173"/>
    <mergeCell ref="B175:L175"/>
    <mergeCell ref="B162:B163"/>
    <mergeCell ref="C162:D163"/>
    <mergeCell ref="E162:F162"/>
    <mergeCell ref="G162:L163"/>
    <mergeCell ref="B164:B165"/>
    <mergeCell ref="G164:L164"/>
    <mergeCell ref="G165:L165"/>
    <mergeCell ref="G166:L166"/>
    <mergeCell ref="G167:L167"/>
    <mergeCell ref="G151:L151"/>
    <mergeCell ref="G152:L152"/>
    <mergeCell ref="G153:L153"/>
    <mergeCell ref="E155:F155"/>
    <mergeCell ref="E156:F156"/>
    <mergeCell ref="B158:L158"/>
    <mergeCell ref="B160:D161"/>
    <mergeCell ref="E160:L160"/>
    <mergeCell ref="E161:L161"/>
    <mergeCell ref="B145:B146"/>
    <mergeCell ref="C145:D146"/>
    <mergeCell ref="E145:F145"/>
    <mergeCell ref="G145:L146"/>
    <mergeCell ref="B147:B148"/>
    <mergeCell ref="G147:L147"/>
    <mergeCell ref="G148:L148"/>
    <mergeCell ref="G149:L149"/>
    <mergeCell ref="G150:L150"/>
    <mergeCell ref="G134:L134"/>
    <mergeCell ref="G135:L135"/>
    <mergeCell ref="G136:L136"/>
    <mergeCell ref="E138:F138"/>
    <mergeCell ref="E139:F139"/>
    <mergeCell ref="B141:L141"/>
    <mergeCell ref="B143:D144"/>
    <mergeCell ref="E143:L143"/>
    <mergeCell ref="E144:L144"/>
    <mergeCell ref="B128:B129"/>
    <mergeCell ref="C128:D129"/>
    <mergeCell ref="E128:F128"/>
    <mergeCell ref="G128:L129"/>
    <mergeCell ref="B130:B131"/>
    <mergeCell ref="G130:L130"/>
    <mergeCell ref="G131:L131"/>
    <mergeCell ref="G132:L132"/>
    <mergeCell ref="G133:L133"/>
    <mergeCell ref="G115:L115"/>
    <mergeCell ref="G116:L116"/>
    <mergeCell ref="G117:L117"/>
    <mergeCell ref="G118:L118"/>
    <mergeCell ref="G119:L119"/>
    <mergeCell ref="E121:F121"/>
    <mergeCell ref="E122:F122"/>
    <mergeCell ref="B124:L124"/>
    <mergeCell ref="B126:D127"/>
    <mergeCell ref="E126:L126"/>
    <mergeCell ref="E127:L127"/>
    <mergeCell ref="B107:L107"/>
    <mergeCell ref="B109:D110"/>
    <mergeCell ref="E109:L109"/>
    <mergeCell ref="E110:L110"/>
    <mergeCell ref="B111:B112"/>
    <mergeCell ref="C111:D112"/>
    <mergeCell ref="E111:F111"/>
    <mergeCell ref="G111:L112"/>
    <mergeCell ref="B113:B114"/>
    <mergeCell ref="G113:L113"/>
    <mergeCell ref="G114:L114"/>
    <mergeCell ref="E104:F104"/>
    <mergeCell ref="E105:F105"/>
    <mergeCell ref="G100:L100"/>
    <mergeCell ref="G101:L101"/>
    <mergeCell ref="G102:L102"/>
    <mergeCell ref="B96:B97"/>
    <mergeCell ref="G96:L96"/>
    <mergeCell ref="G97:L97"/>
    <mergeCell ref="G98:L98"/>
    <mergeCell ref="G99:L99"/>
    <mergeCell ref="B90:L90"/>
    <mergeCell ref="B92:D93"/>
    <mergeCell ref="B94:B95"/>
    <mergeCell ref="C94:D95"/>
    <mergeCell ref="E94:F94"/>
    <mergeCell ref="E92:L92"/>
    <mergeCell ref="E93:L93"/>
    <mergeCell ref="G94:L95"/>
    <mergeCell ref="E87:F87"/>
    <mergeCell ref="E88:F88"/>
    <mergeCell ref="G81:L81"/>
    <mergeCell ref="G82:L82"/>
    <mergeCell ref="G83:L83"/>
    <mergeCell ref="G84:L84"/>
    <mergeCell ref="G85:L85"/>
    <mergeCell ref="B77:B78"/>
    <mergeCell ref="C77:D78"/>
    <mergeCell ref="E77:F77"/>
    <mergeCell ref="G77:L78"/>
    <mergeCell ref="B79:B80"/>
    <mergeCell ref="G79:L79"/>
    <mergeCell ref="G80:L80"/>
    <mergeCell ref="B73:L73"/>
    <mergeCell ref="B75:D76"/>
    <mergeCell ref="E75:L75"/>
    <mergeCell ref="E76:L76"/>
    <mergeCell ref="G66:J66"/>
    <mergeCell ref="G67:J67"/>
    <mergeCell ref="G68:J68"/>
    <mergeCell ref="E70:F70"/>
    <mergeCell ref="G70:G71"/>
    <mergeCell ref="K70:L70"/>
    <mergeCell ref="E71:F71"/>
    <mergeCell ref="K71:L71"/>
    <mergeCell ref="B56:L56"/>
    <mergeCell ref="M62:R62"/>
    <mergeCell ref="M63:R63"/>
    <mergeCell ref="M64:R64"/>
    <mergeCell ref="M65:R65"/>
    <mergeCell ref="M66:R66"/>
    <mergeCell ref="M67:R67"/>
    <mergeCell ref="M68:R68"/>
    <mergeCell ref="E58:J58"/>
    <mergeCell ref="E59:J59"/>
    <mergeCell ref="G60:J61"/>
    <mergeCell ref="K58:R58"/>
    <mergeCell ref="B62:B63"/>
    <mergeCell ref="G62:J62"/>
    <mergeCell ref="G63:J63"/>
    <mergeCell ref="G64:J64"/>
    <mergeCell ref="G65:J65"/>
    <mergeCell ref="B58:D59"/>
    <mergeCell ref="B60:B61"/>
    <mergeCell ref="C60:D61"/>
    <mergeCell ref="E60:F60"/>
    <mergeCell ref="K60:L60"/>
    <mergeCell ref="K59:R59"/>
    <mergeCell ref="M60:R61"/>
    <mergeCell ref="G27:L28"/>
    <mergeCell ref="G29:L29"/>
    <mergeCell ref="G30:L30"/>
    <mergeCell ref="G31:L31"/>
    <mergeCell ref="G32:L32"/>
    <mergeCell ref="E36:F36"/>
    <mergeCell ref="B23:D24"/>
    <mergeCell ref="C25:D26"/>
    <mergeCell ref="E25:F25"/>
    <mergeCell ref="B27:B28"/>
    <mergeCell ref="B25:B26"/>
    <mergeCell ref="B45:B46"/>
    <mergeCell ref="E53:F53"/>
    <mergeCell ref="B43:B44"/>
    <mergeCell ref="C43:D44"/>
    <mergeCell ref="E43:F43"/>
    <mergeCell ref="E41:L41"/>
    <mergeCell ref="E42:L42"/>
    <mergeCell ref="B41:D42"/>
    <mergeCell ref="G33:L33"/>
    <mergeCell ref="E54:F54"/>
    <mergeCell ref="G43:L44"/>
    <mergeCell ref="G47:L47"/>
    <mergeCell ref="G48:L48"/>
    <mergeCell ref="G49:L49"/>
    <mergeCell ref="G51:L51"/>
    <mergeCell ref="G45:L45"/>
    <mergeCell ref="G46:L46"/>
    <mergeCell ref="G50:L50"/>
    <mergeCell ref="A2:L2"/>
    <mergeCell ref="B4:L4"/>
    <mergeCell ref="B21:L21"/>
    <mergeCell ref="B39:L39"/>
    <mergeCell ref="E6:L6"/>
    <mergeCell ref="E7:L7"/>
    <mergeCell ref="G8:L9"/>
    <mergeCell ref="G12:L12"/>
    <mergeCell ref="G13:L13"/>
    <mergeCell ref="G14:L14"/>
    <mergeCell ref="B10:B11"/>
    <mergeCell ref="B8:B9"/>
    <mergeCell ref="C8:D9"/>
    <mergeCell ref="G15:L15"/>
    <mergeCell ref="G16:L16"/>
    <mergeCell ref="G10:L11"/>
    <mergeCell ref="E24:L24"/>
    <mergeCell ref="E23:L23"/>
    <mergeCell ref="E8:F8"/>
    <mergeCell ref="E18:F18"/>
    <mergeCell ref="E19:F19"/>
    <mergeCell ref="B6:D7"/>
    <mergeCell ref="E35:F35"/>
    <mergeCell ref="G25:L26"/>
  </mergeCells>
  <dataValidations count="7">
    <dataValidation type="list" allowBlank="1" showInputMessage="1" showErrorMessage="1" sqref="E10 E45 E27 E62 K62 E79 E96 E113 E130 E147 E164 E181 K181 S181 K198 E198 E215 E232 E249 K249 S249 AA249 AG249 AO249" xr:uid="{00000000-0002-0000-0400-000000000000}">
      <formula1>P_1</formula1>
    </dataValidation>
    <dataValidation type="list" allowBlank="1" showInputMessage="1" showErrorMessage="1" sqref="E11 E46 E28 E63 K63 E80 E97 E114 E131 E148 E165 E182 K182 S182 K199 E199 E216 E233 E250 K250 S250 AA250 AG250 AO250" xr:uid="{00000000-0002-0000-0400-000001000000}">
      <formula1>P_2</formula1>
    </dataValidation>
    <dataValidation type="list" allowBlank="1" showInputMessage="1" showErrorMessage="1" sqref="E12 E47 E29 E64 K64 E81 E98 E115 E132 E149 E166 E183 K183 S183 K200 E200 E217 E234 E251 K251 S251 AA251 AG251 AO251" xr:uid="{00000000-0002-0000-0400-000002000000}">
      <formula1>P_3</formula1>
    </dataValidation>
    <dataValidation type="list" allowBlank="1" showInputMessage="1" showErrorMessage="1" sqref="E13 E48 E30 E65 K65 E82 E99 E116 E133 E150 E167 E184 K184 S184 K201 E201 E218 E235 E252 K252 S252 AA252 AG252 AO252" xr:uid="{00000000-0002-0000-0400-000003000000}">
      <formula1>P_4</formula1>
    </dataValidation>
    <dataValidation type="list" allowBlank="1" showInputMessage="1" showErrorMessage="1" sqref="E14 E49 E31 E66 K66 E83 E100 E117 E134 E151 E168 E185 K185 S185 K202 E202 E219 E236 E253 K253 S253 AA253 AG253 AO253" xr:uid="{00000000-0002-0000-0400-000004000000}">
      <formula1>P_5</formula1>
    </dataValidation>
    <dataValidation type="list" allowBlank="1" showInputMessage="1" showErrorMessage="1" sqref="E16 E51 E33 E68 K68 E85 E102 E119 E136 E153 E170 E187 K187 S187 K204 E204 E221 E238 E255 K255 S255 AA255 AG255 AO255" xr:uid="{00000000-0002-0000-0400-000005000000}">
      <formula1>P_7</formula1>
    </dataValidation>
    <dataValidation type="list" allowBlank="1" showInputMessage="1" showErrorMessage="1" sqref="E15 E50 E32 E67 K67 E84 E101 E118 E135 E152 E169 E186 K186 S186 K203 E203 E220 E237 E254 K254 S254 AA254 AG254 AO254" xr:uid="{00000000-0002-0000-04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20</vt:i4>
      </vt:variant>
    </vt:vector>
  </HeadingPairs>
  <TitlesOfParts>
    <vt:vector size="26" baseType="lpstr">
      <vt:lpstr>Mapa</vt:lpstr>
      <vt:lpstr>Listas</vt:lpstr>
      <vt:lpstr>Matriz</vt:lpstr>
      <vt:lpstr>Datos</vt:lpstr>
      <vt:lpstr>Anexo 1 - Impacto (RC)</vt:lpstr>
      <vt:lpstr>Anexo 2 - Valoración Controles</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 G</cp:lastModifiedBy>
  <cp:lastPrinted>2020-01-31T23:12:07Z</cp:lastPrinted>
  <dcterms:created xsi:type="dcterms:W3CDTF">2020-01-13T19:31:31Z</dcterms:created>
  <dcterms:modified xsi:type="dcterms:W3CDTF">2020-05-14T20:13:53Z</dcterms:modified>
</cp:coreProperties>
</file>