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jofga\Documents\John F\2022\PAAC\"/>
    </mc:Choice>
  </mc:AlternateContent>
  <xr:revisionPtr revIDLastSave="0" documentId="13_ncr:1_{7B51EB20-BA8B-4A8C-9B82-DFA3A8FDDE34}" xr6:coauthVersionLast="47" xr6:coauthVersionMax="47" xr10:uidLastSave="{00000000-0000-0000-0000-000000000000}"/>
  <bookViews>
    <workbookView xWindow="-120" yWindow="-120" windowWidth="20730" windowHeight="11310" tabRatio="911" firstSheet="2" activeTab="2" xr2:uid="{00000000-000D-0000-FFFF-FFFF00000000}"/>
  </bookViews>
  <sheets>
    <sheet name="Mapa" sheetId="4" state="hidden" r:id="rId1"/>
    <sheet name="Listas" sheetId="3" state="hidden" r:id="rId2"/>
    <sheet name="Matriz" sheetId="1" r:id="rId3"/>
    <sheet name="Anexo 1 - Impacto (RC)" sheetId="7" r:id="rId4"/>
    <sheet name="Anexo 2 - Controles (Corrup)." sheetId="6"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2" hidden="1">Matriz!$A$12:$AP$35</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Matriz!$1:$12</definedName>
    <definedName name="Valor_Riesgo">Listas!$H$3:$H$7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255" i="6" l="1"/>
  <c r="T255" i="6"/>
  <c r="L255" i="6"/>
  <c r="F255" i="6"/>
  <c r="AB254" i="6"/>
  <c r="T254" i="6"/>
  <c r="L254" i="6"/>
  <c r="F254" i="6"/>
  <c r="AB253" i="6"/>
  <c r="T253" i="6"/>
  <c r="L253" i="6"/>
  <c r="F253" i="6"/>
  <c r="AB252" i="6"/>
  <c r="T252" i="6"/>
  <c r="L252" i="6"/>
  <c r="F252" i="6"/>
  <c r="AB251" i="6"/>
  <c r="T251" i="6"/>
  <c r="L251" i="6"/>
  <c r="F251" i="6"/>
  <c r="AB250" i="6"/>
  <c r="T250" i="6"/>
  <c r="S257" i="6" s="1"/>
  <c r="S258" i="6" s="1"/>
  <c r="L250" i="6"/>
  <c r="K257" i="6" s="1"/>
  <c r="K258" i="6" s="1"/>
  <c r="F250" i="6"/>
  <c r="E257" i="6" s="1"/>
  <c r="E258" i="6" s="1"/>
  <c r="AB249" i="6"/>
  <c r="AA257" i="6" s="1"/>
  <c r="AA258" i="6" s="1"/>
  <c r="T249" i="6"/>
  <c r="L249" i="6"/>
  <c r="F249" i="6"/>
  <c r="L16" i="1" l="1"/>
  <c r="N16" i="1"/>
  <c r="O16" i="1" l="1"/>
  <c r="P16" i="1" s="1"/>
  <c r="L169" i="6" l="1"/>
  <c r="F169" i="6"/>
  <c r="L168" i="6"/>
  <c r="F168" i="6"/>
  <c r="L167" i="6"/>
  <c r="F167" i="6"/>
  <c r="L166" i="6"/>
  <c r="F166" i="6"/>
  <c r="L165" i="6"/>
  <c r="F165" i="6"/>
  <c r="L164" i="6"/>
  <c r="F164" i="6"/>
  <c r="L163" i="6"/>
  <c r="F163" i="6"/>
  <c r="R26" i="1"/>
  <c r="V26" i="1" s="1"/>
  <c r="V25" i="1"/>
  <c r="R25" i="1"/>
  <c r="T25" i="1" s="1"/>
  <c r="U25" i="1" s="1"/>
  <c r="N25" i="1"/>
  <c r="L25" i="1"/>
  <c r="E171" i="6" l="1"/>
  <c r="E172" i="6" s="1"/>
  <c r="K171" i="6"/>
  <c r="K172" i="6" s="1"/>
  <c r="O25" i="1"/>
  <c r="P25" i="1" s="1"/>
  <c r="T26" i="1"/>
  <c r="U26" i="1" s="1"/>
  <c r="X25" i="1" s="1"/>
  <c r="Y25" i="1" s="1"/>
  <c r="AC25" i="1" l="1"/>
  <c r="AF25" i="1" s="1"/>
  <c r="AG25" i="1" s="1"/>
  <c r="AA25" i="1"/>
  <c r="AD25" i="1" s="1"/>
  <c r="AH25" i="1" l="1"/>
  <c r="AI25" i="1" s="1"/>
  <c r="AJ25" i="1" s="1"/>
  <c r="AE25" i="1"/>
  <c r="T135" i="6" l="1"/>
  <c r="L135" i="6"/>
  <c r="F135" i="6"/>
  <c r="T134" i="6"/>
  <c r="L134" i="6"/>
  <c r="F134" i="6"/>
  <c r="T133" i="6"/>
  <c r="L133" i="6"/>
  <c r="F133" i="6"/>
  <c r="T132" i="6"/>
  <c r="L132" i="6"/>
  <c r="F132" i="6"/>
  <c r="T131" i="6"/>
  <c r="L131" i="6"/>
  <c r="F131" i="6"/>
  <c r="T130" i="6"/>
  <c r="L130" i="6"/>
  <c r="F130" i="6"/>
  <c r="T129" i="6"/>
  <c r="L129" i="6"/>
  <c r="F129" i="6"/>
  <c r="E126" i="6"/>
  <c r="K126" i="6"/>
  <c r="S126" i="6"/>
  <c r="W22" i="1"/>
  <c r="R22" i="1"/>
  <c r="V22" i="1" s="1"/>
  <c r="W21" i="1"/>
  <c r="R21" i="1"/>
  <c r="T21" i="1" s="1"/>
  <c r="U21" i="1" s="1"/>
  <c r="W20" i="1"/>
  <c r="R20" i="1"/>
  <c r="T20" i="1" s="1"/>
  <c r="U20" i="1" s="1"/>
  <c r="N20" i="1"/>
  <c r="L20" i="1"/>
  <c r="S137" i="6" l="1"/>
  <c r="S138" i="6" s="1"/>
  <c r="K137" i="6"/>
  <c r="K138" i="6" s="1"/>
  <c r="E137" i="6"/>
  <c r="E138" i="6" s="1"/>
  <c r="V20" i="1"/>
  <c r="V21" i="1"/>
  <c r="O20" i="1"/>
  <c r="P20" i="1" s="1"/>
  <c r="T22" i="1"/>
  <c r="U22" i="1" s="1"/>
  <c r="X20" i="1" s="1"/>
  <c r="Y20" i="1" s="1"/>
  <c r="AC20" i="1" l="1"/>
  <c r="AF20" i="1" s="1"/>
  <c r="AG20" i="1" s="1"/>
  <c r="AA20" i="1"/>
  <c r="AD20" i="1" s="1"/>
  <c r="AH20" i="1" l="1"/>
  <c r="AI20" i="1" s="1"/>
  <c r="AJ20" i="1" s="1"/>
  <c r="AE20" i="1"/>
  <c r="L152" i="6" l="1"/>
  <c r="L151" i="6"/>
  <c r="L150" i="6"/>
  <c r="L149" i="6"/>
  <c r="L148" i="6"/>
  <c r="L147" i="6"/>
  <c r="L146" i="6"/>
  <c r="F152" i="6"/>
  <c r="F151" i="6"/>
  <c r="F150" i="6"/>
  <c r="F149" i="6"/>
  <c r="F148" i="6"/>
  <c r="F147" i="6"/>
  <c r="F146" i="6"/>
  <c r="R24" i="1"/>
  <c r="V24" i="1" s="1"/>
  <c r="V23" i="1"/>
  <c r="R23" i="1"/>
  <c r="T23" i="1" s="1"/>
  <c r="U23" i="1" s="1"/>
  <c r="N23" i="1"/>
  <c r="L23" i="1"/>
  <c r="F84" i="6"/>
  <c r="F83" i="6"/>
  <c r="F82" i="6"/>
  <c r="F81" i="6"/>
  <c r="F80" i="6"/>
  <c r="F79" i="6"/>
  <c r="F78" i="6"/>
  <c r="L17" i="1"/>
  <c r="N17" i="1"/>
  <c r="O17" i="1" s="1"/>
  <c r="P17" i="1" s="1"/>
  <c r="O23" i="1" l="1"/>
  <c r="P23" i="1" s="1"/>
  <c r="T24" i="1"/>
  <c r="U24" i="1" s="1"/>
  <c r="X23" i="1" s="1"/>
  <c r="Y23" i="1" s="1"/>
  <c r="F237" i="6"/>
  <c r="F236" i="6"/>
  <c r="F235" i="6"/>
  <c r="F234" i="6"/>
  <c r="F233" i="6"/>
  <c r="F232" i="6"/>
  <c r="F231" i="6"/>
  <c r="R30" i="1"/>
  <c r="V30" i="1" s="1"/>
  <c r="N30" i="1"/>
  <c r="L30" i="1"/>
  <c r="O30" i="1" l="1"/>
  <c r="P30" i="1" s="1"/>
  <c r="AC23" i="1"/>
  <c r="AF23" i="1" s="1"/>
  <c r="AG23" i="1" s="1"/>
  <c r="AA23" i="1"/>
  <c r="AD23" i="1" s="1"/>
  <c r="T30" i="1"/>
  <c r="U30" i="1" s="1"/>
  <c r="X30" i="1" s="1"/>
  <c r="Y30" i="1" s="1"/>
  <c r="AE23" i="1" l="1"/>
  <c r="AH23" i="1"/>
  <c r="AI23" i="1" s="1"/>
  <c r="AJ23" i="1" s="1"/>
  <c r="AA30" i="1"/>
  <c r="AD30" i="1" s="1"/>
  <c r="AC30" i="1"/>
  <c r="AF30" i="1" s="1"/>
  <c r="AG30" i="1" s="1"/>
  <c r="AE30" i="1" l="1"/>
  <c r="AH30" i="1"/>
  <c r="AI30" i="1" s="1"/>
  <c r="AJ30" i="1" s="1"/>
  <c r="F220" i="6" l="1"/>
  <c r="F219" i="6"/>
  <c r="F218" i="6"/>
  <c r="F217" i="6"/>
  <c r="F216" i="6"/>
  <c r="F215" i="6"/>
  <c r="F214" i="6"/>
  <c r="F203" i="6"/>
  <c r="F202" i="6"/>
  <c r="F201" i="6"/>
  <c r="F200" i="6"/>
  <c r="F199" i="6"/>
  <c r="F198" i="6"/>
  <c r="F197" i="6"/>
  <c r="R29" i="1"/>
  <c r="V29" i="1" s="1"/>
  <c r="N29" i="1"/>
  <c r="L29" i="1"/>
  <c r="R28" i="1"/>
  <c r="T28" i="1" s="1"/>
  <c r="U28" i="1" s="1"/>
  <c r="X28" i="1" s="1"/>
  <c r="Y28" i="1" s="1"/>
  <c r="N28" i="1"/>
  <c r="L28" i="1"/>
  <c r="V28" i="1" l="1"/>
  <c r="O28" i="1"/>
  <c r="P28" i="1" s="1"/>
  <c r="O29" i="1"/>
  <c r="P29" i="1" s="1"/>
  <c r="AC28" i="1"/>
  <c r="AF28" i="1" s="1"/>
  <c r="AG28" i="1" s="1"/>
  <c r="AA28" i="1"/>
  <c r="AD28" i="1" s="1"/>
  <c r="T29" i="1"/>
  <c r="U29" i="1" s="1"/>
  <c r="X29" i="1" s="1"/>
  <c r="Y29" i="1" s="1"/>
  <c r="AC29" i="1" l="1"/>
  <c r="AF29" i="1" s="1"/>
  <c r="AG29" i="1" s="1"/>
  <c r="AA29" i="1"/>
  <c r="AD29" i="1" s="1"/>
  <c r="AH28" i="1"/>
  <c r="AI28" i="1" s="1"/>
  <c r="AJ28" i="1" s="1"/>
  <c r="AE28" i="1"/>
  <c r="AH29" i="1" l="1"/>
  <c r="AI29" i="1" s="1"/>
  <c r="AJ29" i="1" s="1"/>
  <c r="AE29" i="1"/>
  <c r="F101" i="6" l="1"/>
  <c r="F100" i="6"/>
  <c r="F99" i="6"/>
  <c r="F98" i="6"/>
  <c r="F97" i="6"/>
  <c r="F96" i="6"/>
  <c r="F95" i="6"/>
  <c r="F67" i="6"/>
  <c r="F66" i="6"/>
  <c r="F65" i="6"/>
  <c r="F64" i="6"/>
  <c r="F63" i="6"/>
  <c r="F62" i="6"/>
  <c r="F61" i="6"/>
  <c r="F50" i="6"/>
  <c r="F49" i="6"/>
  <c r="F48" i="6"/>
  <c r="F47" i="6"/>
  <c r="F46" i="6"/>
  <c r="F45" i="6"/>
  <c r="F44" i="6"/>
  <c r="F16" i="6" l="1"/>
  <c r="F15" i="6"/>
  <c r="F14" i="6"/>
  <c r="F13" i="6"/>
  <c r="F12" i="6"/>
  <c r="F11" i="6"/>
  <c r="F10" i="6"/>
  <c r="V13" i="1"/>
  <c r="R13" i="1"/>
  <c r="T13" i="1" s="1"/>
  <c r="U13" i="1" s="1"/>
  <c r="X13" i="1" s="1"/>
  <c r="Y13" i="1" s="1"/>
  <c r="N13" i="1"/>
  <c r="L13" i="1"/>
  <c r="O13" i="1" l="1"/>
  <c r="P13" i="1" s="1"/>
  <c r="AA13" i="1"/>
  <c r="AD13" i="1" s="1"/>
  <c r="AC13" i="1"/>
  <c r="AF13" i="1" s="1"/>
  <c r="AG13" i="1" s="1"/>
  <c r="AE13" i="1" l="1"/>
  <c r="AH13" i="1"/>
  <c r="AI13" i="1" s="1"/>
  <c r="AJ13" i="1" s="1"/>
  <c r="Z6" i="1" l="1"/>
  <c r="Z7" i="1"/>
  <c r="Z8" i="1"/>
  <c r="Q4" i="7"/>
  <c r="Q5" i="7" s="1"/>
  <c r="AA246" i="6"/>
  <c r="S246" i="6"/>
  <c r="K246" i="6"/>
  <c r="E246" i="6"/>
  <c r="B243" i="6"/>
  <c r="A243" i="6"/>
  <c r="N31" i="1"/>
  <c r="L31" i="1"/>
  <c r="R31" i="1" l="1"/>
  <c r="T31" i="1" s="1"/>
  <c r="U31" i="1" s="1"/>
  <c r="R32" i="1"/>
  <c r="V32" i="1" s="1"/>
  <c r="R33" i="1"/>
  <c r="V33" i="1" s="1"/>
  <c r="R34" i="1"/>
  <c r="T34" i="1" s="1"/>
  <c r="U34" i="1" s="1"/>
  <c r="O31" i="1"/>
  <c r="P31" i="1" s="1"/>
  <c r="T33" i="1" l="1"/>
  <c r="U33" i="1" s="1"/>
  <c r="T32" i="1"/>
  <c r="U32" i="1" s="1"/>
  <c r="X31" i="1" s="1"/>
  <c r="V31" i="1"/>
  <c r="V34" i="1"/>
  <c r="Y31" i="1" l="1"/>
  <c r="AA31" i="1" s="1"/>
  <c r="AD31" i="1" s="1"/>
  <c r="AE31" i="1" s="1"/>
  <c r="AC31" i="1" l="1"/>
  <c r="AF31" i="1" s="1"/>
  <c r="AG31" i="1" s="1"/>
  <c r="AH31" i="1" l="1"/>
  <c r="AI31" i="1" s="1"/>
  <c r="AJ31" i="1" s="1"/>
  <c r="F33" i="6"/>
  <c r="F32" i="6"/>
  <c r="F31" i="6"/>
  <c r="F30" i="6"/>
  <c r="F29" i="6"/>
  <c r="F28" i="6"/>
  <c r="F27" i="6"/>
  <c r="E24" i="6"/>
  <c r="B21" i="6"/>
  <c r="A21" i="6"/>
  <c r="D4" i="7"/>
  <c r="D5" i="7" s="1"/>
  <c r="L14" i="1"/>
  <c r="N14" i="1"/>
  <c r="O14" i="1" l="1"/>
  <c r="P14" i="1" s="1"/>
  <c r="E35" i="6"/>
  <c r="E36" i="6" s="1"/>
  <c r="R14" i="1" s="1"/>
  <c r="C4" i="7" l="1"/>
  <c r="E4" i="7"/>
  <c r="F4" i="7"/>
  <c r="G4" i="7"/>
  <c r="H4" i="7"/>
  <c r="I4" i="7"/>
  <c r="J4" i="7"/>
  <c r="K4" i="7"/>
  <c r="L4" i="7"/>
  <c r="M4" i="7"/>
  <c r="N4" i="7"/>
  <c r="O4" i="7"/>
  <c r="P4" i="7"/>
  <c r="E211" i="6" l="1"/>
  <c r="E194" i="6"/>
  <c r="B208" i="6"/>
  <c r="A208" i="6"/>
  <c r="B191" i="6"/>
  <c r="A191" i="6"/>
  <c r="E222" i="6" l="1"/>
  <c r="E223" i="6" s="1"/>
  <c r="E205" i="6"/>
  <c r="E206" i="6" s="1"/>
  <c r="A157" i="6" l="1"/>
  <c r="B157" i="6"/>
  <c r="K160" i="6"/>
  <c r="E160" i="6"/>
  <c r="B123" i="6" l="1"/>
  <c r="A123" i="6"/>
  <c r="E177" i="6" l="1"/>
  <c r="B174" i="6"/>
  <c r="A174" i="6"/>
  <c r="F186" i="6"/>
  <c r="F185" i="6"/>
  <c r="F184" i="6"/>
  <c r="F183" i="6"/>
  <c r="F182" i="6"/>
  <c r="F181" i="6"/>
  <c r="F180" i="6"/>
  <c r="E188" i="6" l="1"/>
  <c r="E189" i="6" s="1"/>
  <c r="R27" i="1" s="1"/>
  <c r="T27" i="1" s="1"/>
  <c r="U27" i="1" s="1"/>
  <c r="E92" i="6" l="1"/>
  <c r="B89" i="6"/>
  <c r="A89" i="6"/>
  <c r="E103" i="6" l="1"/>
  <c r="E104" i="6" s="1"/>
  <c r="R18" i="1" s="1"/>
  <c r="E75" i="6" l="1"/>
  <c r="B72" i="6"/>
  <c r="A72" i="6"/>
  <c r="E86" i="6" l="1"/>
  <c r="E87" i="6" s="1"/>
  <c r="R17" i="1" s="1"/>
  <c r="T17" i="1" l="1"/>
  <c r="U17" i="1" s="1"/>
  <c r="X17" i="1" s="1"/>
  <c r="Y17" i="1" s="1"/>
  <c r="V17" i="1"/>
  <c r="E41" i="6"/>
  <c r="B38" i="6"/>
  <c r="A38" i="6"/>
  <c r="AA17" i="1" l="1"/>
  <c r="AD17" i="1" s="1"/>
  <c r="AC17" i="1"/>
  <c r="E52" i="6"/>
  <c r="E53" i="6" s="1"/>
  <c r="R15" i="1" l="1"/>
  <c r="T15" i="1" s="1"/>
  <c r="U15" i="1" s="1"/>
  <c r="X15" i="1" s="1"/>
  <c r="E58" i="6"/>
  <c r="B55" i="6"/>
  <c r="A55" i="6"/>
  <c r="L18" i="1"/>
  <c r="N18" i="1"/>
  <c r="T18" i="1"/>
  <c r="U18" i="1" s="1"/>
  <c r="X18" i="1" s="1"/>
  <c r="Y18" i="1" s="1"/>
  <c r="AA18" i="1" s="1"/>
  <c r="V18" i="1"/>
  <c r="AD18" i="1" l="1"/>
  <c r="AE18" i="1" s="1"/>
  <c r="AC18" i="1"/>
  <c r="AF18" i="1" s="1"/>
  <c r="AG18" i="1" s="1"/>
  <c r="E69" i="6"/>
  <c r="E70" i="6" s="1"/>
  <c r="R16" i="1" s="1"/>
  <c r="O18" i="1"/>
  <c r="P18" i="1" s="1"/>
  <c r="T16" i="1" l="1"/>
  <c r="U16" i="1" s="1"/>
  <c r="X16" i="1" s="1"/>
  <c r="Y16" i="1" s="1"/>
  <c r="V16" i="1"/>
  <c r="AH18" i="1"/>
  <c r="AI18" i="1" s="1"/>
  <c r="AJ18" i="1" s="1"/>
  <c r="AA16" i="1" l="1"/>
  <c r="AD16" i="1" s="1"/>
  <c r="AC16" i="1"/>
  <c r="AF16" i="1" s="1"/>
  <c r="AG16" i="1" s="1"/>
  <c r="K143" i="6"/>
  <c r="E143" i="6"/>
  <c r="B140" i="6"/>
  <c r="A140" i="6"/>
  <c r="AE16" i="1" l="1"/>
  <c r="E154" i="6"/>
  <c r="E155" i="6" s="1"/>
  <c r="K154" i="6"/>
  <c r="K155" i="6" s="1"/>
  <c r="AH16" i="1" l="1"/>
  <c r="AI16" i="1" s="1"/>
  <c r="AJ16" i="1" s="1"/>
  <c r="E109" i="6" l="1"/>
  <c r="B106" i="6"/>
  <c r="A106" i="6"/>
  <c r="F118" i="6"/>
  <c r="F117" i="6"/>
  <c r="F116" i="6"/>
  <c r="F115" i="6"/>
  <c r="F114" i="6"/>
  <c r="F113" i="6"/>
  <c r="F112" i="6"/>
  <c r="E120" i="6" l="1"/>
  <c r="E121" i="6" s="1"/>
  <c r="R19" i="1" s="1"/>
  <c r="E228" i="6"/>
  <c r="B225" i="6"/>
  <c r="A225" i="6"/>
  <c r="E239" i="6" l="1"/>
  <c r="E240" i="6" s="1"/>
  <c r="A4" i="6" l="1"/>
  <c r="E7" i="6" l="1"/>
  <c r="B4" i="6"/>
  <c r="E5" i="7" l="1"/>
  <c r="F5" i="7"/>
  <c r="G5" i="7"/>
  <c r="H5" i="7"/>
  <c r="I5" i="7"/>
  <c r="J5" i="7"/>
  <c r="K5" i="7"/>
  <c r="L5" i="7"/>
  <c r="M5" i="7"/>
  <c r="N5" i="7"/>
  <c r="O5" i="7"/>
  <c r="P5" i="7"/>
  <c r="AM4" i="1" l="1"/>
  <c r="AM3" i="1"/>
  <c r="AM2" i="1"/>
  <c r="AM1" i="1"/>
  <c r="Z1" i="1"/>
  <c r="L15" i="1" l="1"/>
  <c r="N15" i="1"/>
  <c r="L19" i="1"/>
  <c r="N19" i="1"/>
  <c r="L27" i="1"/>
  <c r="N27" i="1"/>
  <c r="L35" i="1"/>
  <c r="N35" i="1"/>
  <c r="AA35" i="1"/>
  <c r="AD35" i="1" s="1"/>
  <c r="AC35" i="1"/>
  <c r="AF35" i="1" s="1"/>
  <c r="AG35" i="1" s="1"/>
  <c r="O35" i="1" l="1"/>
  <c r="P35" i="1" s="1"/>
  <c r="O19" i="1"/>
  <c r="P19" i="1" s="1"/>
  <c r="O27" i="1"/>
  <c r="P27" i="1" s="1"/>
  <c r="O15" i="1"/>
  <c r="P15" i="1" s="1"/>
  <c r="AH35" i="1"/>
  <c r="AI35" i="1" s="1"/>
  <c r="AJ35" i="1" s="1"/>
  <c r="AE35" i="1"/>
  <c r="C5" i="7" l="1"/>
  <c r="E18" i="6" l="1"/>
  <c r="E19" i="6" l="1"/>
  <c r="T14" i="1" l="1"/>
  <c r="U14" i="1" s="1"/>
  <c r="X14" i="1" s="1"/>
  <c r="Y14" i="1" s="1"/>
  <c r="V14" i="1"/>
  <c r="T19" i="1"/>
  <c r="U19" i="1" s="1"/>
  <c r="X19" i="1" s="1"/>
  <c r="Y19" i="1" s="1"/>
  <c r="V19" i="1"/>
  <c r="Y15" i="1"/>
  <c r="V15" i="1"/>
  <c r="V27" i="1"/>
  <c r="X27" i="1"/>
  <c r="Y27" i="1" s="1"/>
  <c r="T35" i="1"/>
  <c r="U35" i="1" s="1"/>
  <c r="X35" i="1" s="1"/>
  <c r="Y35" i="1" s="1"/>
  <c r="V35" i="1"/>
  <c r="AC14" i="1" l="1"/>
  <c r="AF14" i="1" s="1"/>
  <c r="AG14" i="1" s="1"/>
  <c r="AA14" i="1"/>
  <c r="AD14" i="1" s="1"/>
  <c r="AA27" i="1"/>
  <c r="AD27" i="1" s="1"/>
  <c r="AC27" i="1"/>
  <c r="AF27" i="1" s="1"/>
  <c r="AG27" i="1" s="1"/>
  <c r="AF17" i="1"/>
  <c r="AG17" i="1" s="1"/>
  <c r="AA15" i="1"/>
  <c r="AD15" i="1" s="1"/>
  <c r="AC15" i="1"/>
  <c r="AF15" i="1" s="1"/>
  <c r="AG15" i="1" s="1"/>
  <c r="AA19" i="1"/>
  <c r="AD19" i="1" s="1"/>
  <c r="AC19" i="1"/>
  <c r="AF19" i="1" s="1"/>
  <c r="AG19" i="1" s="1"/>
  <c r="AH14" i="1" l="1"/>
  <c r="AI14" i="1" s="1"/>
  <c r="AJ14" i="1" s="1"/>
  <c r="AE14" i="1"/>
  <c r="AE27" i="1"/>
  <c r="AH27" i="1"/>
  <c r="AI27" i="1" s="1"/>
  <c r="AJ27" i="1" s="1"/>
  <c r="AH17" i="1"/>
  <c r="AI17" i="1" s="1"/>
  <c r="AJ17" i="1" s="1"/>
  <c r="AE17" i="1"/>
  <c r="AH15" i="1"/>
  <c r="AI15" i="1" s="1"/>
  <c r="AJ15" i="1" s="1"/>
  <c r="AE15" i="1"/>
  <c r="AE19" i="1"/>
  <c r="AH19" i="1"/>
  <c r="AI19" i="1" s="1"/>
  <c r="AJ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Juan Manuel Solano Peña</author>
  </authors>
  <commentList>
    <comment ref="F11" authorId="0" shapeId="0" xr:uid="{00000000-0006-0000-0200-000001000000}">
      <text>
        <r>
          <rPr>
            <sz val="9"/>
            <color indexed="81"/>
            <rFont val="Tahoma"/>
            <family val="2"/>
          </rPr>
          <t xml:space="preserve">Describir la situación de riesgo, siguiendo los parámetros de formulación descritos en el documento EPLE-MN-003 MANUAL METODOLÓGICO PARA LA ADMINISTRACIÓN DEL RIESGO.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¿Qué, cómo, cuándo puede suceder y qué consecuencias trae su materialización?</t>
        </r>
      </text>
    </comment>
    <comment ref="G11" authorId="0" shapeId="0" xr:uid="{00000000-0006-0000-0200-000002000000}">
      <text>
        <r>
          <rPr>
            <sz val="9"/>
            <color indexed="81"/>
            <rFont val="Tahoma"/>
            <family val="2"/>
          </rPr>
          <t>Detallar la manera en la que se presenta la materialización del riesgo, considerando sus posibles causas y consecuencias</t>
        </r>
      </text>
    </comment>
    <comment ref="H11" authorId="0" shapeId="0" xr:uid="{00000000-0006-0000-0200-000003000000}">
      <text>
        <r>
          <rPr>
            <sz val="9"/>
            <color indexed="81"/>
            <rFont val="Tahoma"/>
            <family val="2"/>
          </rPr>
          <t>Seleccionar, de acuerdo con las tipologías descritas y con el riesgo identificado.</t>
        </r>
      </text>
    </comment>
    <comment ref="I11" authorId="0" shapeId="0" xr:uid="{00000000-0006-0000-0200-000004000000}">
      <text>
        <r>
          <rPr>
            <sz val="9"/>
            <color indexed="81"/>
            <rFont val="Tahoma"/>
            <family val="2"/>
          </rPr>
          <t>Describir las causas internas y/o externas que generan la posibilidad de presentación del riesgo.</t>
        </r>
      </text>
    </comment>
    <comment ref="J11" authorId="0" shapeId="0" xr:uid="{00000000-0006-0000-0200-000005000000}">
      <text>
        <r>
          <rPr>
            <sz val="9"/>
            <color indexed="81"/>
            <rFont val="Tahoma"/>
            <family val="2"/>
          </rPr>
          <t>Identificar los efectos que pueden suceder cuando el riesgo se manifiesta, al interior o externas a la entidad.</t>
        </r>
      </text>
    </comment>
    <comment ref="K11" authorId="0" shapeId="0" xr:uid="{00000000-0006-0000-0200-000006000000}">
      <text>
        <r>
          <rPr>
            <sz val="9"/>
            <color indexed="81"/>
            <rFont val="Tahoma"/>
            <family val="2"/>
          </rPr>
          <t>Analizar sobre las causas qué tan posible es que ocurra el riesgo, expresado en términos de frecuencia o factibilidad.</t>
        </r>
      </text>
    </comment>
    <comment ref="L11" authorId="0" shapeId="0" xr:uid="{00000000-0006-0000-0200-000007000000}">
      <text>
        <r>
          <rPr>
            <sz val="9"/>
            <color indexed="81"/>
            <rFont val="Tahoma"/>
            <family val="2"/>
          </rPr>
          <t xml:space="preserve">Cálculo Automático
</t>
        </r>
      </text>
    </comment>
    <comment ref="M11" authorId="0"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N11" authorId="0" shapeId="0" xr:uid="{00000000-0006-0000-0200-000009000000}">
      <text>
        <r>
          <rPr>
            <sz val="9"/>
            <color indexed="81"/>
            <rFont val="Tahoma"/>
            <family val="2"/>
          </rPr>
          <t xml:space="preserve">Cálculo Automático
</t>
        </r>
      </text>
    </comment>
    <comment ref="O11" authorId="0" shapeId="0" xr:uid="{00000000-0006-0000-0200-00000A000000}">
      <text>
        <r>
          <rPr>
            <sz val="9"/>
            <color indexed="81"/>
            <rFont val="Tahoma"/>
            <family val="2"/>
          </rPr>
          <t xml:space="preserve">Cálculo Automático
</t>
        </r>
      </text>
    </comment>
    <comment ref="P11" authorId="0" shapeId="0" xr:uid="{00000000-0006-0000-0200-00000B000000}">
      <text>
        <r>
          <rPr>
            <sz val="9"/>
            <color indexed="81"/>
            <rFont val="Tahoma"/>
            <family val="2"/>
          </rPr>
          <t>Cálculo Automático.</t>
        </r>
      </text>
    </comment>
    <comment ref="Q11" authorId="1"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R11" authorId="0" shapeId="0" xr:uid="{00000000-0006-0000-0200-00000D000000}">
      <text>
        <r>
          <rPr>
            <sz val="9"/>
            <color indexed="81"/>
            <rFont val="Tahoma"/>
            <family val="2"/>
          </rPr>
          <t>Diligenciar los criterios de evaluación de diseño del control, descritos en el Anexo 2 de la matriz, para los controles descritos por cada riesgo.</t>
        </r>
      </text>
    </comment>
    <comment ref="S11" authorId="0" shapeId="0" xr:uid="{00000000-0006-0000-0200-00000E000000}">
      <text>
        <r>
          <rPr>
            <sz val="9"/>
            <color indexed="81"/>
            <rFont val="Tahoma"/>
            <family val="2"/>
          </rPr>
          <t>Seleccionar de la lista, según la frecuencia de ejecución del control:</t>
        </r>
        <r>
          <rPr>
            <b/>
            <sz val="9"/>
            <color indexed="81"/>
            <rFont val="Tahoma"/>
            <family val="2"/>
          </rPr>
          <t xml:space="preserve">
</t>
        </r>
        <r>
          <rPr>
            <sz val="9"/>
            <color indexed="81"/>
            <rFont val="Tahoma"/>
            <family val="2"/>
          </rPr>
          <t>Fuerte - (siempre se ejecuta)
Moderado - (algunas veces)
Débil - (nunca ejecuta el control)</t>
        </r>
      </text>
    </comment>
    <comment ref="T11" authorId="0" shapeId="0" xr:uid="{00000000-0006-0000-0200-00000F000000}">
      <text>
        <r>
          <rPr>
            <sz val="9"/>
            <color indexed="81"/>
            <rFont val="Tahoma"/>
            <family val="2"/>
          </rPr>
          <t>Cálculo automático</t>
        </r>
      </text>
    </comment>
    <comment ref="U11" authorId="0" shapeId="0" xr:uid="{00000000-0006-0000-0200-000010000000}">
      <text>
        <r>
          <rPr>
            <sz val="9"/>
            <color indexed="81"/>
            <rFont val="Tahoma"/>
            <family val="2"/>
          </rPr>
          <t>Cálculo Automático.</t>
        </r>
      </text>
    </comment>
    <comment ref="V11" authorId="0" shapeId="0" xr:uid="{00000000-0006-0000-0200-000011000000}">
      <text>
        <r>
          <rPr>
            <sz val="9"/>
            <color indexed="81"/>
            <rFont val="Tahoma"/>
            <family val="2"/>
          </rPr>
          <t>Cálculo Automático.</t>
        </r>
      </text>
    </comment>
    <comment ref="W11" authorId="0" shapeId="0" xr:uid="{00000000-0006-0000-0200-000012000000}">
      <text>
        <r>
          <rPr>
            <sz val="9"/>
            <color indexed="81"/>
            <rFont val="Tahoma"/>
            <family val="2"/>
          </rPr>
          <t xml:space="preserve">Ponderar la importancia de los controles definidos para un riesgo.
</t>
        </r>
      </text>
    </comment>
    <comment ref="X11" authorId="0" shapeId="0" xr:uid="{00000000-0006-0000-0200-000013000000}">
      <text>
        <r>
          <rPr>
            <sz val="9"/>
            <color indexed="81"/>
            <rFont val="Tahoma"/>
            <family val="2"/>
          </rPr>
          <t>Resultado de la suma promedio del valor de solidez de cada control, por su porcentaje de ponderación.</t>
        </r>
      </text>
    </comment>
    <comment ref="Y11" authorId="0" shapeId="0" xr:uid="{00000000-0006-0000-0200-000014000000}">
      <text>
        <r>
          <rPr>
            <sz val="9"/>
            <color indexed="81"/>
            <rFont val="Tahoma"/>
            <family val="2"/>
          </rPr>
          <t>Cálculo automático, del promedio ponderado de los resultados de solidez individual de los controles y sus ponderaciones.</t>
        </r>
      </text>
    </comment>
    <comment ref="Z11" authorId="0" shapeId="0" xr:uid="{00000000-0006-0000-0200-000015000000}">
      <text>
        <r>
          <rPr>
            <sz val="9"/>
            <color indexed="81"/>
            <rFont val="Tahoma"/>
            <family val="2"/>
          </rPr>
          <t>Seleccionar de la lista, teniendo en cuenta si la aplicación del control reduce la probabilidad de ocurrencia del riesgo.</t>
        </r>
      </text>
    </comment>
    <comment ref="AA11" authorId="0" shapeId="0" xr:uid="{00000000-0006-0000-0200-000016000000}">
      <text>
        <r>
          <rPr>
            <sz val="9"/>
            <color indexed="81"/>
            <rFont val="Tahoma"/>
            <family val="2"/>
          </rPr>
          <t xml:space="preserve">Cálculo Automático.
</t>
        </r>
      </text>
    </comment>
    <comment ref="AB11" authorId="0" shapeId="0" xr:uid="{00000000-0006-0000-0200-000017000000}">
      <text>
        <r>
          <rPr>
            <sz val="9"/>
            <color indexed="81"/>
            <rFont val="Tahoma"/>
            <family val="2"/>
          </rPr>
          <t xml:space="preserve">Seleccionar de la lista, teniendo en cuenta si la aplicación del control reduce el impacto en las consecuencias de materialización del riesgo.
</t>
        </r>
      </text>
    </comment>
    <comment ref="AC11" authorId="0" shapeId="0" xr:uid="{00000000-0006-0000-0200-000018000000}">
      <text>
        <r>
          <rPr>
            <sz val="9"/>
            <color indexed="81"/>
            <rFont val="Tahoma"/>
            <family val="2"/>
          </rPr>
          <t>Cálculo Automático.</t>
        </r>
      </text>
    </comment>
    <comment ref="AI11" authorId="0" shapeId="0" xr:uid="{00000000-0006-0000-0200-000019000000}">
      <text>
        <r>
          <rPr>
            <sz val="9"/>
            <color indexed="81"/>
            <rFont val="Tahoma"/>
            <family val="2"/>
          </rPr>
          <t xml:space="preserve">Cálculo automático de la zona de riesgo residual
</t>
        </r>
      </text>
    </comment>
    <comment ref="AJ11" authorId="0" shapeId="0" xr:uid="{00000000-0006-0000-0200-00001A000000}">
      <text>
        <r>
          <rPr>
            <sz val="9"/>
            <color indexed="81"/>
            <rFont val="Tahoma"/>
            <family val="2"/>
          </rPr>
          <t xml:space="preserve">Resultado automático, en función de la zona de riesgo residual identificada.
</t>
        </r>
      </text>
    </comment>
    <comment ref="AK11" authorId="1" shapeId="0" xr:uid="{00000000-0006-0000-0200-00001B000000}">
      <text>
        <r>
          <rPr>
            <sz val="9"/>
            <color indexed="81"/>
            <rFont val="Tahoma"/>
            <family val="2"/>
          </rPr>
          <t>Registre las acciones necesarias para evidenciar la gestión de los riesgos en el proceso.</t>
        </r>
      </text>
    </comment>
    <comment ref="AL11" authorId="1" shapeId="0" xr:uid="{00000000-0006-0000-0200-00001C000000}">
      <text>
        <r>
          <rPr>
            <sz val="9"/>
            <color indexed="81"/>
            <rFont val="Tahoma"/>
            <family val="2"/>
          </rPr>
          <t>Indique el soporte de cumplimiento de la actividad propuesta</t>
        </r>
      </text>
    </comment>
    <comment ref="AM11" authorId="1" shapeId="0" xr:uid="{00000000-0006-0000-0200-00001D000000}">
      <text>
        <r>
          <rPr>
            <sz val="9"/>
            <color indexed="81"/>
            <rFont val="Tahoma"/>
            <family val="2"/>
          </rPr>
          <t>Toda acción de tratamiento , debe tener un responsable.
Indique el cargo de la persona responsable.</t>
        </r>
      </text>
    </comment>
    <comment ref="AN11" authorId="1" shapeId="0" xr:uid="{00000000-0006-0000-0200-00001E000000}">
      <text>
        <r>
          <rPr>
            <sz val="9"/>
            <color indexed="81"/>
            <rFont val="Tahoma"/>
            <family val="2"/>
          </rPr>
          <t xml:space="preserve">Toda acción formulada debe tener una fecha de inicio y una fecha de finalización.
</t>
        </r>
      </text>
    </comment>
    <comment ref="AO11" authorId="1"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0" shapeId="0" xr:uid="{00000000-0006-0000-0200-000020000000}">
      <text>
        <r>
          <rPr>
            <sz val="9"/>
            <color indexed="81"/>
            <rFont val="Tahoma"/>
            <family val="2"/>
          </rPr>
          <t>Seleccionar el macroproceso al que pertenece o se asocia el proceso / proyecto evaluado.</t>
        </r>
      </text>
    </comment>
    <comment ref="B12" authorId="0" shapeId="0" xr:uid="{00000000-0006-0000-0200-000021000000}">
      <text>
        <r>
          <rPr>
            <sz val="9"/>
            <color indexed="81"/>
            <rFont val="Tahoma"/>
            <family val="2"/>
          </rPr>
          <t>Seleccionar de la lista el proceso / proyecto sobre el cual se adelantará el análisis de riesgos.</t>
        </r>
      </text>
    </comment>
    <comment ref="C12" authorId="0"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00000000-0006-0000-0200-000023000000}">
      <text>
        <r>
          <rPr>
            <sz val="9"/>
            <color indexed="81"/>
            <rFont val="Tahoma"/>
            <family val="2"/>
          </rPr>
          <t>Seleccionar de la lista el tipo de riesgo a documentar:
- Gestión
- Corrupción
- Ambiental</t>
        </r>
      </text>
    </comment>
    <comment ref="E12" authorId="0" shapeId="0" xr:uid="{00000000-0006-0000-0200-000024000000}">
      <text>
        <r>
          <rPr>
            <sz val="9"/>
            <color indexed="81"/>
            <rFont val="Tahoma"/>
            <family val="2"/>
          </rPr>
          <t>Asignar código de identificación del riesgo, relacionado con el proceso y con el tipo de riesgo.</t>
        </r>
      </text>
    </comment>
    <comment ref="AD12" authorId="0" shapeId="0" xr:uid="{00000000-0006-0000-0200-000025000000}">
      <text>
        <r>
          <rPr>
            <sz val="9"/>
            <color indexed="81"/>
            <rFont val="Tahoma"/>
            <family val="2"/>
          </rPr>
          <t xml:space="preserve">Cálculo automático de probabilidad o frecuencia, después de analizar los controles.
</t>
        </r>
      </text>
    </comment>
    <comment ref="AE12" authorId="0" shapeId="0" xr:uid="{00000000-0006-0000-0200-000026000000}">
      <text>
        <r>
          <rPr>
            <sz val="9"/>
            <color indexed="81"/>
            <rFont val="Tahoma"/>
            <family val="2"/>
          </rPr>
          <t xml:space="preserve">Cálculo automático, que corresponde con el nuevo descriptor de probabilidad después de controles.
</t>
        </r>
      </text>
    </comment>
    <comment ref="AF12" authorId="0" shapeId="0" xr:uid="{00000000-0006-0000-0200-000027000000}">
      <text>
        <r>
          <rPr>
            <sz val="9"/>
            <color indexed="81"/>
            <rFont val="Tahoma"/>
            <family val="2"/>
          </rPr>
          <t>Cálculo automático de impacto, después de analizar los controles.</t>
        </r>
      </text>
    </comment>
    <comment ref="AG12" authorId="0" shapeId="0" xr:uid="{00000000-0006-0000-0200-000028000000}">
      <text>
        <r>
          <rPr>
            <sz val="9"/>
            <color indexed="81"/>
            <rFont val="Tahoma"/>
            <family val="2"/>
          </rPr>
          <t xml:space="preserve">Cálculo automático, que corresponde con el nuevo descriptor de impacto después de controles.
</t>
        </r>
      </text>
    </comment>
    <comment ref="AH12" authorId="0" shapeId="0" xr:uid="{00000000-0006-0000-0200-000029000000}">
      <text>
        <r>
          <rPr>
            <sz val="9"/>
            <color indexed="81"/>
            <rFont val="Tahoma"/>
            <family val="2"/>
          </rPr>
          <t xml:space="preserve">Cálculo automático del nivel de exposición después del análisis de controles.
</t>
        </r>
      </text>
    </comment>
  </commentList>
</comments>
</file>

<file path=xl/sharedStrings.xml><?xml version="1.0" encoding="utf-8"?>
<sst xmlns="http://schemas.openxmlformats.org/spreadsheetml/2006/main" count="1675" uniqueCount="543">
  <si>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</si>
  <si>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</si>
  <si>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</si>
  <si>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</si>
  <si>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</si>
  <si>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</si>
  <si>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</si>
  <si>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</si>
  <si>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</si>
  <si>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</si>
  <si>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</si>
  <si>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</si>
  <si>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</si>
  <si>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</si>
  <si>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</si>
  <si>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</si>
  <si>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</si>
  <si>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</si>
  <si>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</si>
  <si>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</si>
  <si>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</si>
  <si>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</si>
  <si>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</si>
  <si>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</si>
  <si>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</si>
  <si>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</si>
  <si>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</si>
  <si>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</si>
  <si>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</si>
  <si>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</si>
  <si>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</si>
  <si>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</si>
  <si>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</si>
  <si>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</si>
  <si>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</si>
  <si>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</si>
  <si>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</si>
  <si>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</si>
  <si>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</si>
  <si>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</si>
  <si>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</si>
  <si>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</si>
  <si>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</si>
  <si>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</si>
  <si>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</si>
  <si>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</si>
  <si>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</si>
  <si>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</si>
  <si>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</si>
  <si>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</si>
  <si>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</si>
  <si>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</si>
  <si>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</si>
  <si>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</si>
  <si>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</si>
  <si>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</si>
  <si>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</si>
  <si>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</si>
  <si>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</si>
  <si>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</si>
  <si>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</si>
  <si>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</si>
  <si>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</si>
  <si>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</si>
  <si>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</si>
  <si>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</si>
  <si>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</si>
  <si>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</si>
  <si>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</si>
  <si>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</si>
  <si>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</si>
  <si>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</si>
  <si>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</si>
  <si>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</si>
  <si>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</si>
  <si>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</si>
  <si>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</si>
  <si>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</si>
  <si>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</si>
  <si>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</si>
  <si>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</si>
  <si>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</si>
  <si>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</si>
  <si>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r>
      <t xml:space="preserve">Riesgo 
</t>
    </r>
    <r>
      <rPr>
        <sz val="10"/>
        <color theme="1"/>
        <rFont val="Arial"/>
        <family val="2"/>
      </rPr>
      <t>(¿Qué puede suceder?)</t>
    </r>
  </si>
  <si>
    <r>
      <t xml:space="preserve">Consecuencias
</t>
    </r>
    <r>
      <rPr>
        <sz val="10"/>
        <color theme="1"/>
        <rFont val="Arial"/>
        <family val="2"/>
      </rPr>
      <t>(Lo que podría ocasionar…)</t>
    </r>
  </si>
  <si>
    <r>
      <t xml:space="preserve">Total Nivel de Exposición
</t>
    </r>
    <r>
      <rPr>
        <sz val="10"/>
        <color theme="1"/>
        <rFont val="Arial"/>
        <family val="2"/>
      </rPr>
      <t>(F x I)</t>
    </r>
  </si>
  <si>
    <t>Descripción del control</t>
  </si>
  <si>
    <t>¿Existe un responsable asignado a la ejecución del control?</t>
  </si>
  <si>
    <r>
      <t xml:space="preserve">Probabilidad o Frecuencia
</t>
    </r>
    <r>
      <rPr>
        <sz val="10"/>
        <color theme="1"/>
        <rFont val="Arial"/>
        <family val="2"/>
      </rPr>
      <t>(Sobre las causas)</t>
    </r>
  </si>
  <si>
    <r>
      <t xml:space="preserve">Impacto
</t>
    </r>
    <r>
      <rPr>
        <sz val="10"/>
        <color theme="1"/>
        <rFont val="Arial"/>
        <family val="2"/>
      </rPr>
      <t>(Sobre las consecuencias)</t>
    </r>
  </si>
  <si>
    <r>
      <t xml:space="preserve">Información general  </t>
    </r>
    <r>
      <rPr>
        <sz val="10"/>
        <color theme="1"/>
        <rFont val="Arial"/>
        <family val="2"/>
      </rPr>
      <t>(asignada por planeación)</t>
    </r>
  </si>
  <si>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</si>
  <si>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</si>
  <si>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</si>
  <si>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</si>
  <si>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</si>
  <si>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</si>
  <si>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</si>
  <si>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</si>
  <si>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</si>
  <si>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</si>
  <si>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</si>
  <si>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</si>
  <si>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</si>
  <si>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</si>
  <si>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</si>
  <si>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</si>
  <si>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</si>
  <si>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</si>
  <si>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</si>
  <si>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</si>
  <si>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</si>
  <si>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</si>
  <si>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</si>
  <si>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</si>
  <si>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</si>
  <si>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</si>
  <si>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</si>
  <si>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</si>
  <si>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</si>
  <si>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</si>
  <si>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</si>
  <si>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</si>
  <si>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</si>
  <si>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</si>
  <si>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</si>
  <si>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</si>
  <si>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</si>
  <si>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</si>
  <si>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</si>
  <si>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</si>
  <si>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</si>
  <si>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</si>
  <si>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</si>
  <si>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</si>
  <si>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</si>
  <si>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</si>
  <si>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</si>
  <si>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</si>
  <si>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</si>
  <si>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</si>
  <si>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</si>
  <si>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</si>
  <si>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</si>
  <si>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</si>
  <si>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</si>
  <si>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</si>
  <si>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</si>
  <si>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</si>
  <si>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</si>
  <si>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</si>
  <si>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</si>
  <si>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</si>
  <si>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</si>
  <si>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</si>
  <si>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</si>
  <si>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</si>
  <si>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</si>
  <si>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</si>
  <si>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</si>
  <si>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</si>
  <si>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</si>
  <si>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</si>
  <si>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</si>
  <si>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</si>
  <si>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</si>
  <si>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</si>
  <si>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</si>
  <si>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</si>
  <si>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</si>
  <si>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</si>
  <si>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</si>
  <si>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</si>
  <si>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</si>
  <si>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</si>
  <si>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</si>
  <si>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</si>
  <si>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</si>
  <si>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</si>
  <si>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</si>
  <si>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</si>
  <si>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r>
      <t xml:space="preserve">Total nivel de exposición residual
</t>
    </r>
    <r>
      <rPr>
        <sz val="10"/>
        <color theme="1"/>
        <rFont val="Arial"/>
        <family val="2"/>
      </rPr>
      <t>(F' x I')</t>
    </r>
  </si>
  <si>
    <t>ANEXO 1 - IMPACTO (RIESGO DE CORRUPCIÓN)</t>
  </si>
  <si>
    <t>Opciones de manejo</t>
  </si>
  <si>
    <t>Evaluación de diseño
(Anexo 2)</t>
  </si>
  <si>
    <t>Plazo de ejecución</t>
  </si>
  <si>
    <t>Plan de manejo de riesgos</t>
  </si>
  <si>
    <t>Clasificación</t>
  </si>
  <si>
    <t>Actividad de control</t>
  </si>
  <si>
    <t>Soporte</t>
  </si>
  <si>
    <t>Ambiental</t>
  </si>
  <si>
    <r>
      <t xml:space="preserve">Causa - Vulnerabilidades y amenazas
 </t>
    </r>
    <r>
      <rPr>
        <sz val="10"/>
        <color theme="1"/>
        <rFont val="Arial"/>
        <family val="2"/>
      </rPr>
      <t>(Factores Internos y Externos, Agente Generador)</t>
    </r>
  </si>
  <si>
    <t>CÓDIGO: EPLE-FT-025</t>
  </si>
  <si>
    <t>VERSIÓN: 09</t>
  </si>
  <si>
    <t>RESPONSABLE: PLANEACIÓN</t>
  </si>
  <si>
    <t>MATRIZ DE CALIFICACIÓN, EVALUACIÓN Y RESPUESTA A LOS RIESGOS</t>
  </si>
  <si>
    <t>FECHA DE APROBACIÓN: 15/01/2020</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</si>
  <si>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</si>
  <si>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</si>
  <si>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</si>
  <si>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</si>
  <si>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</si>
  <si>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</si>
  <si>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</si>
  <si>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</si>
  <si>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</si>
  <si>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</si>
  <si>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</si>
  <si>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</si>
  <si>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</si>
  <si>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</si>
  <si>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</si>
  <si>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</si>
  <si>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</si>
  <si>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</si>
  <si>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</si>
  <si>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</si>
  <si>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</si>
  <si>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</si>
  <si>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Facilitar copias de material audiovisual sin el debido procedimiento a cambio de beneficios económicos personales dados por parte de terceros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</si>
  <si>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</si>
  <si>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</si>
  <si>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</si>
  <si>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1. Investigaciones Penales y Fiscales.
2. Información errada para la toma de decisiones.
3. Daño de la imagen institucional.</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</si>
  <si>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</si>
  <si>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</si>
  <si>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</si>
  <si>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</si>
  <si>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</si>
  <si>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</si>
  <si>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</si>
  <si>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</si>
  <si>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</si>
  <si>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</si>
  <si>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</si>
  <si>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</si>
  <si>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</si>
  <si>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</si>
  <si>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</si>
  <si>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</si>
  <si>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</si>
  <si>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</si>
  <si>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</si>
  <si>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</si>
  <si>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</si>
  <si>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</si>
  <si>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</si>
  <si>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</si>
  <si>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</si>
  <si>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</si>
  <si>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</si>
  <si>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</si>
  <si>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</si>
  <si>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</si>
  <si>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</si>
  <si>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</si>
  <si>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</si>
  <si>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</si>
  <si>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</si>
  <si>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</si>
  <si>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</si>
  <si>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</si>
  <si>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</si>
  <si>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</si>
  <si>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</si>
  <si>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</si>
  <si>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</si>
  <si>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</si>
  <si>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</si>
  <si>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Gestión de Recursos y Administración de la Información (Servicios administrativos)</t>
  </si>
  <si>
    <t>CONTROL 3</t>
  </si>
  <si>
    <t>CONTROL 4</t>
  </si>
  <si>
    <t xml:space="preserve">Se cuenta con una empresa de vigilancia </t>
  </si>
  <si>
    <t xml:space="preserve">Si, es confiable </t>
  </si>
  <si>
    <t>Gestión de Recursos y Administración de la Información (Gestión documental)</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</si>
  <si>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</si>
  <si>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</si>
  <si>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</si>
  <si>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</si>
  <si>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</si>
  <si>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</si>
  <si>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Líder de Gestión Documental 
Equipo de Gestión Documental </t>
  </si>
  <si>
    <t>Aplicar procedimiento: AGFF-PD-010 LIQUIDACIÓN ÓRDENES DE PAGO 
Puntos de control: 11, 12.</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</si>
  <si>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</si>
  <si>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</si>
  <si>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</si>
  <si>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</si>
  <si>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</si>
  <si>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AGRI-SA-RC-001</t>
  </si>
  <si>
    <t>AGRI-SI-RC-001</t>
  </si>
  <si>
    <t>AGRI-GD-RC-001</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</si>
  <si>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</si>
  <si>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</si>
  <si>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</si>
  <si>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Servicio a la Ciudadanía y Defensor del Televidente</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</si>
  <si>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</si>
  <si>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</si>
  <si>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</si>
  <si>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</si>
  <si>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</si>
  <si>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</si>
  <si>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</si>
  <si>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</si>
  <si>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</si>
  <si>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</si>
  <si>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</si>
  <si>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</si>
  <si>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</si>
  <si>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</si>
  <si>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</si>
  <si>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</si>
  <si>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Responsabilidad del coordinador de programación descrito en el manual de funciones.</t>
  </si>
  <si>
    <t>El control valida que los contenidos puestos en la parrilla den cumplimiento con los lineamientos editoriales de Capital.</t>
  </si>
  <si>
    <t>Manipulación de la información precontractual para la adquisición de equipos y servicios asociados al proceso.</t>
  </si>
  <si>
    <t>1. Medidas disciplinarias, penales y fiscales.
2. Afectaciones en  la calidad de la producción y emisión de contenidos.</t>
  </si>
  <si>
    <t>La persona responsable dentro del proceso es la coordinadora técnica apoyada por su equipo de trabajo.</t>
  </si>
  <si>
    <t xml:space="preserve">Con la aplicación del control se previene la ocurrencia del riesgo. </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</si>
  <si>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</si>
  <si>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</si>
  <si>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</si>
  <si>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</si>
  <si>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Coordinadora de prensa y comunicaciones</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</si>
  <si>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</si>
  <si>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</si>
  <si>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</si>
  <si>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</si>
  <si>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</si>
  <si>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</si>
  <si>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Apropiarse de manera particular de los elementos y/o bienes destinados para el desarrollo las actividades institucionales.</t>
  </si>
  <si>
    <t>1. Debilidades de control, en la salida y entrada de los elementos autorizados. 
2. Excesiva discrecionalidad.</t>
  </si>
  <si>
    <t>Sistema de seguridad física y tecnológica para la custodia de los bienes de la entidad. (Contrato de vigilancia).
1. Personal capacitado
2. Cámaras de monitoreo en HD
3. Sistema de comunicación.</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</si>
  <si>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</si>
  <si>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</si>
  <si>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</si>
  <si>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</si>
  <si>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</si>
  <si>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</si>
  <si>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</si>
  <si>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</si>
  <si>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</si>
  <si>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</si>
  <si>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</si>
  <si>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</si>
  <si>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</si>
  <si>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</si>
  <si>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</si>
  <si>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</si>
  <si>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</si>
  <si>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</si>
  <si>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</si>
  <si>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</si>
  <si>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</si>
  <si>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</si>
  <si>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</si>
  <si>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</si>
  <si>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</si>
  <si>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</si>
  <si>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</si>
  <si>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</si>
  <si>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</si>
  <si>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</si>
  <si>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</si>
  <si>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</si>
  <si>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</si>
  <si>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</si>
  <si>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</si>
  <si>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</si>
  <si>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</si>
  <si>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</si>
  <si>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Se verifica lo observado por el área con los soportes entregados por el área, en caso de no corresponder se procede a la modificación de manera previa a la publicación o emisión del seguimiento.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</si>
  <si>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</si>
  <si>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</si>
  <si>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</si>
  <si>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</si>
  <si>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</si>
  <si>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</si>
  <si>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</si>
  <si>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Profesional de producción, coordinador técnico, director operativo y contratista del laboratorio</t>
  </si>
  <si>
    <t>Para los tres responsables esta definido en el manual de funciones, para el caso de los contratistas esta asignada en las obligaciones contractuales.</t>
  </si>
  <si>
    <t>El control se realiza cada vez que un servidor público o contratista solicita un bien o equipo de producción al profesional de producción, coordinador técnico o director operativo</t>
  </si>
  <si>
    <t>Las autorizaciones de salida de equipos contiene información suministrada por la persona que solicita el permiso y el profesional de producción, coordinador técnico, director operativo por esta razón se considera confiable.</t>
  </si>
  <si>
    <t xml:space="preserve">1. Impactos negativos en la imagen institucional.
2. Perdida de credibilidad en el canal tanto interna como externamente. 
3. Investigaciones y procesos sancionatorios por entes de control. </t>
  </si>
  <si>
    <t>Ofrecer a las audiencias una programación de contenidos de calidad que planteen la transformación de la sociedad hacia un modelo participativo e incluyente.</t>
  </si>
  <si>
    <t>ANEXO 2 - VALORACIÓN DE CONTROLES
RIESGOS DE CORRUPCIÓN</t>
  </si>
  <si>
    <t>1. Investigaciones disciplinarias
2. Deterioro de la imagen institucional
3. Desgaste administrativo</t>
  </si>
  <si>
    <t>1. Realizar revisiones periódicas de acuerdo con la programación de la SDP sobre el cumplimiento en la ejecución de los proyectos de inversión, como insumo de validación para el reporte y registro de información en el sistema SEGPLAN.</t>
  </si>
  <si>
    <t>2. Revisar procedimiento AGRI-SA-PD-010 TOMA FÍSICA DE INVENTARIOS  y actualizar en caso de requerirlo.</t>
  </si>
  <si>
    <t xml:space="preserve">3. Contrato de seguridad firmado y estudios de seguridad </t>
  </si>
  <si>
    <t xml:space="preserve">1. Un (1) procedimiento actualizado. O documento que sustente dicha actividad. </t>
  </si>
  <si>
    <t>1. Elaborar anexos técnicos para la adquisición de bienes y/o servicios que realiza el área.</t>
  </si>
  <si>
    <t>2. Identificar los valores de referencia históricos de la entidad y del sector (Colombia Compra Eficiente)</t>
  </si>
  <si>
    <t>1. Anexo técnico de los procesos adelantados en el periodo</t>
  </si>
  <si>
    <t>1. Número de anexos técnicos elaborados / Total de contratos de adquisición de bienes y servicios del área.</t>
  </si>
  <si>
    <t>1. Información registrada y actualizada en el formato de préstamo de expedientes</t>
  </si>
  <si>
    <t>1. Acta de asistencia a jornada de socialización.
2. Minutas contractuales con las cláusulas exigiendo la constitución de las garantías.</t>
  </si>
  <si>
    <t>1. No. De actividades ejecutadas / No. De actividades programadas.
2. Número de pólizas exigidas / Número de contratos suscritos</t>
  </si>
  <si>
    <t>El control se ejecuta trimestralmente o según la programación de la SDP para la realización del reporte de información .</t>
  </si>
  <si>
    <r>
      <t>Se cuenta con los correos remitidos por los líderes y responsables de las metas</t>
    </r>
    <r>
      <rPr>
        <sz val="11"/>
        <color theme="1"/>
        <rFont val="Arial"/>
        <family val="2"/>
      </rPr>
      <t xml:space="preserve"> y el registro de la información reportada en el sistema SEGPLAN.</t>
    </r>
  </si>
  <si>
    <t>El profesional Universitario de Planeación y el equipo de profesionales de apoyo del área</t>
  </si>
  <si>
    <t>1. Número de reportes realizados en el sistema SEGPLAN / Total de reportes según la programación de la SDP para los seguimientos en SEGPLAN de la vigencia.</t>
  </si>
  <si>
    <t>Generar canales de comunicación internos y externos para fortalecer la gestión de la entidad, mediante estrategias comunicacional organizacional interna y estrategias de comunicación masiva de forma externa.</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</si>
  <si>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</si>
  <si>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El responsable asignado del establecimiento de las cláusulas de confidencialidad es la Coordinación Jurídica de Canal Capital.</t>
  </si>
  <si>
    <t>La aplicación del control se inicia desde la etapa precontractual, se extiende hasta la etapa poscontractual.</t>
  </si>
  <si>
    <t>Permite prevenir que se presenten vulneraciones a la información y/o uso inadecuado.</t>
  </si>
  <si>
    <t>Se construye sobre la normatividad en materia de contratación, uso de la información, confidencialidad y demás normatividad aplicable.</t>
  </si>
  <si>
    <t xml:space="preserve">Se soporta en los informes de supervisión entregados por el Jefe de la Oficina de Control Interno con destino al expediente de cada profesional del equipo y en los informes de supervisión en caso de que se detecten incumplimientos de alguna de las cláusulas señaladas. </t>
  </si>
  <si>
    <t xml:space="preserve">El equipo de gestión del archivo central cuenta con obligaciones definidas frente al tema </t>
  </si>
  <si>
    <t xml:space="preserve">1. Interés de obtener comisiones o beneficiar a terceros.
2. Falta o incumplimiento de controles o lineamientos para establecer las condiciones técnicas, pliego de condiciones o reglas de participación según lo definido en el manual de contratación de Capital que se encuentre vigente. </t>
  </si>
  <si>
    <t>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</si>
  <si>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 xml:space="preserve">La coordinadora técnica tiene asignadas las funciones del caso para la ejecución del control, así mismo, el equipo de trabajo asociado cuenta con obligaciones contractuales orientadas al desarrollo del control. </t>
  </si>
  <si>
    <t>Es confiable toda vez que la coordinadora junto con su equipo establecen las condiciones y las valida con la información suministrada por los oferentes.</t>
  </si>
  <si>
    <t>Se cuenta con 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</si>
  <si>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t>
  </si>
  <si>
    <r>
      <t>1. Realizar una jornada de socialización sobre el Manual de contratación</t>
    </r>
    <r>
      <rPr>
        <sz val="9"/>
        <color theme="1"/>
        <rFont val="Arial"/>
        <family val="2"/>
      </rPr>
      <t xml:space="preserve"> y los procedimientos asociados.
2. Exigir la constitución de las pólizas que cubran la totalidad de los riesgos asociados al incumplimiento en la ejecución del contrato.</t>
    </r>
  </si>
  <si>
    <t>1. Detrimento patrimonial
2. Investigaciones disciplinarias penales y fiscales.</t>
  </si>
  <si>
    <t>1. Procedimiento actualizado o soporte del proceso de revisión correspondiente</t>
  </si>
  <si>
    <t>2. Procedimiento actualizado o soporte del proceso de revisión correspondiente</t>
  </si>
  <si>
    <t>3. Revisión de las obligaciones contractuales del servicio de vigilancia de la entidad en su etapa precontractual
4. Solicitar anualmente un estudio de seguridad para Capital.</t>
  </si>
  <si>
    <t>1. Un (1) documento con el estudio de seguridad.
2. Una (1) minuta contractual delservicio de vigilancia con las obligaciones definidas por la entidad.</t>
  </si>
  <si>
    <t>Se cuenta con toda la trazabilidad de la información (cámaras de seguridad, software de la empresa de seguridad y personal de seguridad)</t>
  </si>
  <si>
    <t>1. Estudios del mercado y análisis del sector de los procesos adelantados</t>
  </si>
  <si>
    <t>1. Número de estudios de mercado y análisis de sector adelantados por adquisición de bienes y/o servicios / Total de contratos de adquisición de bienes y servicios del área.</t>
  </si>
  <si>
    <t xml:space="preserve">El área adelanta el estudio de mercado para adelantar el proceso de contratación y surte los tramites en las diferentes dependencias involucradas quienes sugieren los cambios a los que haya lugar. Desde sistemas es aplicado por el profesional universitario del área y su equipo e trabajo que tiene asignadas las obligaciones contractuales del caso. </t>
  </si>
  <si>
    <t>Versión:</t>
  </si>
  <si>
    <t>Fecha de actualización:</t>
  </si>
  <si>
    <t>Descripción de la versión:</t>
  </si>
  <si>
    <t>Debido al desconocimiento y/o falta de aplicación de los lineamientos definidos por la dirección operativa, para la elaboración de propuestas comerciales o por el favorecimiento a los clientes y/o proveedores para dar descuentos, es posible que se presente la obtención de comisiones u otro tipo de ventaja con los clientes y/o proveedores para favores intereses particulares.</t>
  </si>
  <si>
    <t>1. Favorecimiento a los clientes para dar descuentos no permitidos o no autorizados. 
2. Desconocimiento y/o falta de aplicación de los lineamientos definidos por la dirección operativa para la elaboración de cotizaciones  y/o propuesta creativa y presupuesto, asi como para la aplicación de descuentos</t>
  </si>
  <si>
    <t xml:space="preserve">1. Investigaciones penales y fiscales
2. Daño de la reputación corporativa y pública
3. Pérdida de recursos para el funcionamiento de operación </t>
  </si>
  <si>
    <t>*MCOM-PD-002 Gestión proyectos y negocios estratégicos
*Resolución de tarifas (en donde se establecen las autorización de descuentos)
*MCOM-FT-014 Cotización sector público y privado y/o contratos - ofertas comerciales y presupuesto</t>
  </si>
  <si>
    <t>Obtención de comisiones u otro tipo de ventajas con los clientes, favoreciendo intereses particulares en las líneas de proyectos estratégicos y en detrimento de la rentabilidad de Capital.</t>
  </si>
  <si>
    <t>Para la ejecución del control es realizada por el lider de proyectos estrategicos (contratista) y/o el profesional de ventas y mercadeo</t>
  </si>
  <si>
    <t>La responsabilidad para el profesional de ventas y mercadeo ha sido definida en el manual de funciones y para el Lider de proyectos estrategicos en el contrato</t>
  </si>
  <si>
    <t xml:space="preserve">La periodicidad definida para la ejecución del control es la apropiada de acuerdo con la dinamica de la gestión de proyectos y negocios estratégicos </t>
  </si>
  <si>
    <t>Las acciones propuestas son prevenivas toda vez que permiten monitorear y controlar el riesgo previo a que este se materialice</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</si>
  <si>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</si>
  <si>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A la fecha no se han requerido investigaciones producto de la ejecución del control, en caso de identificar una posible desviación se tomarán las medidas correspondientes como se describe a continuación.
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</si>
  <si>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 xml:space="preserve">Documento de seguimiento ejecutivo de las cuentas </t>
  </si>
  <si>
    <t xml:space="preserve">1. Documento de seguimiento ejecutivo de las cuentas </t>
  </si>
  <si>
    <t>Lider de proyectos estrategicos
Profesional de ventas y mercadeo</t>
  </si>
  <si>
    <t xml:space="preserve">1. Número de reuniones de tráfico realizadas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</si>
  <si>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</si>
  <si>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 xml:space="preserve">Aplicar una ruta de revisión del contenido a publica o difundir por parte de la Coordinación de Prensa y Comunicaciones. </t>
  </si>
  <si>
    <t xml:space="preserve">Se realiza una verficación continua de la información a publicar que permite identificar cualquier tipo de desviación o diferencia. </t>
  </si>
  <si>
    <t xml:space="preserve">1. Mantener la aplicación de la ruta de revisión del contenido a publicar o difundir por parte de la Coordinación de Prensa y Comunicaciones. 
2. Incluir la descripción de la ruta de revisión de contenido a publicar en la Polìtica de Comunicaciones . </t>
  </si>
  <si>
    <t>1. Comunicaciones entre la Coordinación de Prensa y Comunicaciones y las diferentes áreas. 
2. Descripción de la ruta incluida en la Política de Comunicaciones.</t>
  </si>
  <si>
    <t>1. Politica de Comunicaciones con la ruta de aprobación incluida.</t>
  </si>
  <si>
    <t xml:space="preserve">* Acta de reunión interna tratando el tema de selección de personal. </t>
  </si>
  <si>
    <t>Número de reuniones realizadas / número de reuniones programadas.</t>
  </si>
  <si>
    <t>Ausencia de criterios para la invitación a oferentes que puedan proporcionar contenidos o  servicios logisticos requeridos por la dirección operativa.</t>
  </si>
  <si>
    <t>1. AGJC-CN-MN-001 Manual de contratacion que se encuentre vigente.
3. MPTV-PD-006 Presentación de iniciativas - banco de proyectos audiovisuales y digitales</t>
  </si>
  <si>
    <t>Coordinador de producción y/o director operativo</t>
  </si>
  <si>
    <t>1. Perdida de los recursos financieros de la empresa e inadecuado manejo de los mismos. 
2. Detrimento patrimonial
Investigaciones Disciplinarias, Penales y Fiscales
3. Sanciones</t>
  </si>
  <si>
    <t>Subdirector Financiero.
Profesionales de la Subdirección Financiera.</t>
  </si>
  <si>
    <t>Favorecer a un tercero (persona, cliente o entidad) a través de la programación para la emisión de contenidos que no están asociados a la misionalidad de Capital o a un convenio o contrato suscrito por el canal</t>
  </si>
  <si>
    <t>1. Falta o incumplimiento de los puntos de control en la gestión de la programación en relación con contenidos que no provienen de los equipos de produción o comercialización del canal.</t>
  </si>
  <si>
    <t>1. Daño a la imagen institucional
2. Pérdida de credibilidad y clientes.
3. Afectación a la pertinencia de los contenidos
4. Investigaciones disciplinarias.</t>
  </si>
  <si>
    <t>Coordinador de Programación
Auxiliar de tráfico</t>
  </si>
  <si>
    <t>1. Número de solicitudes realizadas al dirección operativa para la validación de la parrilla.
2. Número de correos electrónicos con la continuidad diaria de emisión.
3.  Número de bitácoras diarias de seguimiento a la emisión.</t>
  </si>
  <si>
    <t>El control se realiza de acuerdo a las condiciones de la programación y al procedimiento que se encuentra vigente para tal fin, lo cual se considera oportuno</t>
  </si>
  <si>
    <t>La información es obtenida de reuniones con la dirección operativa, las solicitudes de emisión por parte de la gestión comercial, solicitudes de espacios por parte del ente regulador.</t>
  </si>
  <si>
    <t>Se publica el documento Matriz de Riesgos de Corrupción en su primera versión, de acuerdo con los compromisos definidos por las diferentes áreas de la entidad para la mitigación de posibles situaciones de corrupción en la gestión administrativa.</t>
  </si>
  <si>
    <t>1. Correos electrónicos con los responsables de las metas asociadas a los proyectos de inversión.
2. Reporte de información de seguimiento a la ejecución de proyectos de inversión en el sistema SEGPLAN, según la programación de la SDP.</t>
  </si>
  <si>
    <t>Fecha inicial:
01/01/2022
Fecha de finalización:
31/01/2023</t>
  </si>
  <si>
    <t>Fecha de inicio: 01/02/2022
Fecha de fin: 31/12/2022</t>
  </si>
  <si>
    <t>Fecha inicial:
01/01/2022
Fecha de finalización:
31/12/2022</t>
  </si>
  <si>
    <t>Fecha de inicio:
01/01/2022
Fecha de finalización:
31/12/2022</t>
  </si>
  <si>
    <t>Fecha de inicio:
01/02/2022
Fecha de finalización:
31/12/2022</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</si>
  <si>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</si>
  <si>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El Lider de proyectos estrategicos y/o el profesional de ventas y mercadeo, cada vez que se perfecciona un contrato u oferta de servicio, realizan la asignación de los productores para las diferentes cuentas del área, asi mismo realizan las reuniones de tráfico (minimo dos veces en el mes) con los equipos de proyectos estratégicos (comunicación publica y negocios estrategicos). Como soporte de la ejecución de estas actividades se realiza el registro de la información en la herramienta dispuesta para este fin.
Nota: este control incluye la información relacionada con contratos ejecutados directamente por los equipos de la dirección operativa.</t>
  </si>
  <si>
    <t>Producir contenidos audiovisuales que planteen la transformación de la sociedad hacia un modelo participativo e incluyente, bajo la política editorial que se construye para el cuatrienio "el ciudadano en el centro"</t>
  </si>
  <si>
    <t>Posibilidad de realizar una administración inadecuada  de los recursos asignados para la producción de contenidos con el fin obtener beneficio propio o para favorecer un tercero</t>
  </si>
  <si>
    <r>
      <t xml:space="preserve">Cada vez que se identifica la necesidad de adquisición de contenidos o servicios logisticos para la Dirección Operativa, los equipos técnicos, administrativos y juridicos designados para el apoyo de los procesos de contratación de bienes y servicios, realizan la definición de las condiciones técnicas,  jurídicas y financieras para  la contratación de los proveedores de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9"/>
        <rFont val="Arial"/>
        <family val="2"/>
      </rPr>
      <t>Nota</t>
    </r>
    <r>
      <rPr>
        <sz val="9"/>
        <rFont val="Arial"/>
        <family val="2"/>
      </rPr>
      <t>: 
Se realiza una descripción ampliada de los responsables del control, los cuales participaran según corresponda y de acuerdo con la etapa precontractual:
Coordinador de producción
Profesional universitario de producción
Profesional universitario de ventas y mercadeo
Contratista que lidera el equipo digital
Contratista que lidera el proyectos estrategicos
Contratista que lidera el equipo cultura - ciudadania y educación
Contratista que lidera el equipo de proyectos perioditicos e informativos,
Contratista designado como productor de un proyecto audiovisual
Colaboradores del área técnica y/o programación, segun corresponda y de acuerdo a la pertinencia de la producción
Colaboradores de la subdirección financiera, juridica y administrativa designados</t>
    </r>
  </si>
  <si>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almancenamiento sera determinado por el área juridica de la entidad y el equipo de la Dirección Operativa seguirá los lineamientos por dicha instancia definidos)</t>
  </si>
  <si>
    <t>Número de expedientes cargados  carpeta drive compartida o en el link de secop II</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</si>
  <si>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cápita</t>
  </si>
  <si>
    <t>A la fecha no se han requerido investigaciones producto de la ejecución del control, en caso de identificar una posible desviación se tomarán las medidas correspondientes como se describe a continuación.; no obstante en caso tal, el coordinador de programacion realizara el análisis e indagación de la situación presentada sobre programación de contenidos que no están asociados a la misionalidad de Capital o a un convenio o contrato suscrito por el canal</t>
  </si>
  <si>
    <t>1. Solicitud al dirección operativa de validación de la parrilla.
2. Correos electrónicos con la continuidad diaria de emisión.
3. Bitácoras diarias de seguimiento a la emisión</t>
  </si>
  <si>
    <t xml:space="preserve">El control se realiza cada vez que se tiene la necesidad de contratación que requiere estudios de mercado y de acuerdo al Plan Anual de Adquisiciones. </t>
  </si>
  <si>
    <t xml:space="preserve">El riesgo de corrupción relacionado con la posibilidad de recibir o solicitar cualquier dádiva o beneficio a nombre propio o de terceros. </t>
  </si>
  <si>
    <t xml:space="preserve">1. Demora injustificada en los pagos. </t>
  </si>
  <si>
    <t xml:space="preserve">
1. Investigaciones Disciplinarias, penales y fiscales. 
2. Sanciones. </t>
  </si>
  <si>
    <t xml:space="preserve">
1. Vigilar que las cuentas se paguen dentro de los tiempos establecidos dentro del procedimiento. </t>
  </si>
  <si>
    <t xml:space="preserve">1. Informe de ORDPAGO trámite de cuentas. </t>
  </si>
  <si>
    <t xml:space="preserve">1. Acta de reunión de equipo de trabajo de la subdirección asociada a la revisión del procedimiento 
2. Informe de trámite de cuentas. </t>
  </si>
  <si>
    <t>Registrar operaciones no ciertas con el fin de beneficiar a un tercero.</t>
  </si>
  <si>
    <t>El riesgo corrupción asociado con el registro de operaciones no ciertas con el fin de beneficiar a un tercero, podría ser causado por presiones por parte de terceros o superiores u ocultamiento de fallas en las operaciones y/o procedimientos, ocasionando detrimento patrimonial e investigaciones por parte de los entes de control y vigilancia.</t>
  </si>
  <si>
    <t>1. Presiones por parte de terceros o superiores
2. Ocultamiento de fallas en las operaciones y procedimientos.</t>
  </si>
  <si>
    <t xml:space="preserve">1. Aplicar procedimiento: AGFF-PD-010 LIQUIDACIÓN ÓRDENES DE PAGO 
Puntos de control: 1, 2, 4,5 8,9, 
2. Política Financiera </t>
  </si>
  <si>
    <t>1. Revisar y mantener actualizados los procedimientos y la Polìtica Fiananciera de la Subdirección Financiera, para que los mismos cumplan  con la normatividad en materia financiera.</t>
  </si>
  <si>
    <t xml:space="preserve">1. Procedimientos actualizados y publicados
2. Política Financiera actualizada. </t>
  </si>
  <si>
    <t xml:space="preserve">1. Acta de reunión de equipo de trabajo de la subdirección asociada a la revisión del procedimiento 
2. Procedimientos y política actualizado </t>
  </si>
  <si>
    <t>Posibilidad de recibir o solicitar cualquier dávida o beneficio a cambio de agilizar el trámite de una cuenta.</t>
  </si>
  <si>
    <t>Ejecutar procedimiento: AAUT-PD-001 ATENCIÓN Y RESPUESTA A REQUERIMIENTOS DE LA CIUDADANÍA - Punto de Control actividad 3</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</si>
  <si>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</si>
  <si>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</si>
  <si>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Fecha de inicio:
01/02/2022
Fecha de finalización:
31/01/2023</t>
  </si>
  <si>
    <t>1.  Al menos dos comunicaciones enviada a las áreas competentes.</t>
  </si>
  <si>
    <t xml:space="preserve">El coordinador de técnica o el ingeniero de apoyo del área técnica (contratista) o la persona que el coordinador delegue, cada vez que requieran iniciar un proceso de contratación en el cual sea necesario efectuar un estudio de mercado se realizan las siguientes acciones:
1. Proyección de un anexo técnico
2. Invitación a cotizar a empresas con experiencia en el producto o servicios a contratar
3. Comparación de las ofertas </t>
  </si>
  <si>
    <t xml:space="preserve">Coordinador Técnica </t>
  </si>
  <si>
    <t>1. Número de documentos evidencia del proceso precontractual, elaborados por la coordinación de técnica/ Total de contratos de adquisición de bienes y servicios de la coordinación técnica que requieren estudio de mercado.</t>
  </si>
  <si>
    <t>AGJC-CN-MN-001 Manual de contratación que se encuentre vigente</t>
  </si>
  <si>
    <t>Fecha de inicio:
25/01/2022
Fecha de finalización:
31/01/2023</t>
  </si>
  <si>
    <t>Ejecutar procedimiento: AGRI-SA-PD-008 SALIDA DE ELEMENTOS DEL ALMACÉN
Puntos de Control: 2,3,6,7 y 8</t>
  </si>
  <si>
    <t xml:space="preserve">1. Revisar procedimiento AGRI-SA-PD-008 SALIDA DE ELEMENTOS DEL ALMACÉN y actualización en caso de  requerirlo. </t>
  </si>
  <si>
    <t>Control al préstamo y consulta de los documentos físicos</t>
  </si>
  <si>
    <t xml:space="preserve">1. Realizar la solicitud de prestamo por correo electronico
2. Registrar la solicitud en la base de datos de prestamos
3. Realizar la entrega del expediente solicitado dejando la evidencia de entrega por medio de correo electronico  </t>
  </si>
  <si>
    <t>1. Correo de solicitud de prestamo de expedientes
2. Base de datos de control de préstamos de expedientes.
3. Correo electronico de evidencia de entrega y/o devolución de expedientes</t>
  </si>
  <si>
    <t>Control al préstamo y consulta de los documentos electronicos y/o Digitales</t>
  </si>
  <si>
    <t xml:space="preserve">Continuidad  de emisión diaria, parrilla de programación y bitácora de emisión.
MDCC-PD-002 Gestión de programación para el servicio de televisión </t>
  </si>
  <si>
    <t>1.El coordinador de programación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produción o comercialización del canal.</t>
  </si>
  <si>
    <t>1. Acta en la que el director operativo aprueba la parrilla.
2. Correos electrónicos con la continuidad diaria de emisión.
3. Bitácoras diarias de seguimiento a la emisión.</t>
  </si>
  <si>
    <t>Posibilidad de recibir y/o solicitar dádivas o beneficios a nombre propio o de terceros, omitiendo observaciones detectadas, en los informes de resultados o usando inadecuadamente la información a la que se tiene acceso.</t>
  </si>
  <si>
    <t>La recepción o solicitud de dádivas o beneficios, pueden ocasionar la omisión de observaciones detectadas en el desarrollo de evaluaciones y seguimientos y/o el uso inadecuado de información por alguno de los miembros del equipo de la Oficina de Control Interno. Lo cual puede generar perjuicios a la entidad, representados en: detrimentos patrimoniales,  sanciones al equipo de la Oficina de Control Interno, no realización de investigaciones (disciplinarias, penales o fiscales), obstáculos a la mejora continua y deterioro de la imagen de la OCI.</t>
  </si>
  <si>
    <t>1. Presiones por parte de los responsables del proceso evaluado a los miembros de la Oficina de Control Interno. 
2. Prevalencia de los intereses particulares sobre los institucionales.
3. Incumplimiento de normatividad y principios aplicables frente a la confidencialidad de la información, así como de auditoría.
4. Ausencia de una cultura ética del Equipo de la OCI.</t>
  </si>
  <si>
    <t xml:space="preserve">1. Probabilidad que se presneten Detrimentos patrimoniales.
2. Sanciones al equipo de la Oficina de Control Interno.
3. Impedir la mejora continua de la organización.
4. Pérdida de credibilidad de la Oficina de Control Interno y/o de la organización. 
5. Impedir el inicio de indagaciones y/o investigaciones disciplinarias, penales y/o fiscales. </t>
  </si>
  <si>
    <t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t>
  </si>
  <si>
    <t>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t>
  </si>
  <si>
    <t>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</si>
  <si>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Los profesionales de la Oficina de Control Interno suscriben sus contratos de prestación de servicios, incluida la cláusula de confidencialidad y uso de la información.</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</si>
  <si>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</si>
  <si>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</si>
  <si>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Fecha de inicio:
01/02/2022
Fecha de finalización:
01/02/2023</t>
  </si>
  <si>
    <t xml:space="preserve">5. Formular el Plan de Fomento de la Cultura del Autocontrol.
6. Realizar seguimiento al Plan de Fomento de la Cultura del Autocontrol mínimo una (1) vez al mes. </t>
  </si>
  <si>
    <t xml:space="preserve">1. Plan de Fomento de la Cultura del Autocontrol.
2. Seguimiento al Plan de Fomento de la Cultura del Autocontrol. </t>
  </si>
  <si>
    <t xml:space="preserve">7. Revisar y/o actualizar el Código de Ética del Auditor - Canal Capital.
8. Suscribir el Compromiso Ético del Auditor Interno al incio de la nueva contratación- Canal Capital y remitir al expediente de cada integrante de la OCI.
9. Socializar a los integrantes de la OCI, sobre el Código de Ética del Auditor y el Código de Integridad. </t>
  </si>
  <si>
    <t>1. Código de ética revisado y/o actualizado. 
2. Acta de reunión de socialización del documento revisado y/o actualizado.
3. Compromiso ético del auditor suscrito.</t>
  </si>
  <si>
    <t xml:space="preserve">10. Revisar y/o actualizar el Estatuto de Auditoría - Canal Capital
11. Revisar y/o actualizar el Manual de Auditoría Interna - Canal Capital
12. Socialización del Estatuto de Auditoría Interna y Manual de Auditoría al equipo de la Oficina de Control Interno. </t>
  </si>
  <si>
    <t xml:space="preserve">1. Estatuto de auditoría revisado y/o actualizado.
2. Manual de auditoría revisado y/o atualizado.
3. Acta de reunión de socialización de los documentos revisados y/o actualizados. </t>
  </si>
  <si>
    <t xml:space="preserve">Los responsables son el Comité Institucional de Coordinación de Control Interno y el Jefe de la Oficina de Control Interno. </t>
  </si>
  <si>
    <t>Personas que prestan sus servicios a la Oficina de Control Interno y el Jefe de la Oficina de Control Interno</t>
  </si>
  <si>
    <t>Determinadas en el Manual especifico de Funciones y competencias de Canal Capital, Resolución de conformación del Comité Institucional de Coordinación de Control Interno y demás normatividad aplicable en materia de Control Interno.</t>
  </si>
  <si>
    <t>Determinadas en la normatividad aplicable en materia de contratación, así de las disposiciones del Canal incluidas en la documentación del proceso contractual.</t>
  </si>
  <si>
    <t xml:space="preserve">La ejecución de los controles se aplica en cada Comité Institucional de Coordinación de Control Interno adelantado en Capital. </t>
  </si>
  <si>
    <t>Permite verificar que las evaluaciones y/o seguimientos adelantados generen valor para la entidad, que cuenten con los parámetros definidos y que evidencie el avance reportado por el área responsable de entregar la información.</t>
  </si>
  <si>
    <t>Se soporta con las evidencias entregadas por las áreas responsables en relación con el avance identificado por el equipo de la Oficina de Control Interno, registrado en los papeles de trabajo.</t>
  </si>
  <si>
    <t xml:space="preserve">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 </t>
  </si>
  <si>
    <t xml:space="preserve">Actas de reunión del Comité Institucional de Coordinación de Control Interno en las que se evidencia la ejecución de la supervisión de cumplimiento del estatuto y resultados del cumplimiento de las evaluaciones y/o seguimientos. </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</si>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</sst>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0.0%"/>
  </numFmts>
  <fonts count="28"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i/>
      <sz val="9"/>
      <color indexed="81"/>
      <name val="Tahoma"/>
      <family val="2"/>
    </font>
    <font>
      <sz val="9"/>
      <name val="Arial"/>
      <family val="2"/>
    </font>
    <font>
      <sz val="11"/>
      <color rgb="FFFF0000"/>
      <name val="Arial"/>
      <family val="2"/>
    </font>
    <font>
      <sz val="8"/>
      <name val="Calibri"/>
      <family val="2"/>
      <scheme val="minor"/>
    </font>
    <font>
      <b/>
      <sz val="9"/>
      <name val="Arial"/>
      <family val="2"/>
    </font>
    <font>
      <sz val="10"/>
      <color theme="1"/>
      <name val="Arial Narrow"/>
      <family val="2"/>
    </font>
    <font>
      <b/>
      <sz val="9"/>
      <color theme="1"/>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8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9">
    <xf numFmtId="0" fontId="0" fillId="0" borderId="0"/>
    <xf numFmtId="0" fontId="2" fillId="0" borderId="0"/>
    <xf numFmtId="0" fontId="7" fillId="0" borderId="0"/>
    <xf numFmtId="0" fontId="7" fillId="0" borderId="0"/>
    <xf numFmtId="9" fontId="13" fillId="0" borderId="0" applyFont="0" applyFill="0" applyBorder="0" applyAlignment="0" applyProtection="0"/>
    <xf numFmtId="164" fontId="13" fillId="0" borderId="0" applyFont="0" applyFill="0" applyBorder="0" applyAlignment="0" applyProtection="0"/>
    <xf numFmtId="0" fontId="2" fillId="0" borderId="0"/>
    <xf numFmtId="0" fontId="2" fillId="0" borderId="0"/>
    <xf numFmtId="164" fontId="13" fillId="0" borderId="0" applyFont="0" applyFill="0" applyBorder="0" applyAlignment="0" applyProtection="0"/>
  </cellStyleXfs>
  <cellXfs count="665">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1"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1" fillId="0" borderId="26"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8" fillId="0" borderId="0" xfId="0" applyFont="1" applyProtection="1">
      <protection locked="0"/>
    </xf>
    <xf numFmtId="0" fontId="9" fillId="0" borderId="0" xfId="0" applyFont="1" applyAlignment="1" applyProtection="1">
      <alignment vertical="center"/>
      <protection locked="0"/>
    </xf>
    <xf numFmtId="0" fontId="10" fillId="0" borderId="0" xfId="0" applyFont="1" applyBorder="1" applyAlignment="1" applyProtection="1">
      <alignment horizontal="left" vertical="center" wrapText="1"/>
      <protection locked="0"/>
    </xf>
    <xf numFmtId="0" fontId="7" fillId="0" borderId="0" xfId="1" applyFont="1" applyFill="1" applyBorder="1" applyAlignment="1" applyProtection="1">
      <alignment vertical="center" wrapText="1"/>
      <protection locked="0"/>
    </xf>
    <xf numFmtId="0" fontId="19" fillId="0"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19"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60" xfId="0" applyFont="1" applyBorder="1" applyAlignment="1">
      <alignment horizontal="center" vertical="center"/>
    </xf>
    <xf numFmtId="0" fontId="9" fillId="0" borderId="61"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2" xfId="0" applyFont="1" applyBorder="1" applyAlignment="1">
      <alignment vertical="center"/>
    </xf>
    <xf numFmtId="0" fontId="8" fillId="0" borderId="57" xfId="0" applyFont="1" applyBorder="1"/>
    <xf numFmtId="0" fontId="8" fillId="0" borderId="58" xfId="0" applyFont="1" applyBorder="1"/>
    <xf numFmtId="0" fontId="17"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8" fillId="0" borderId="0" xfId="0" applyFont="1" applyAlignment="1">
      <alignment vertical="center"/>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Fill="1" applyBorder="1" applyAlignment="1">
      <alignment horizontal="center" vertical="center"/>
    </xf>
    <xf numFmtId="0" fontId="16" fillId="0" borderId="52" xfId="0" applyFont="1" applyBorder="1" applyAlignment="1">
      <alignment horizontal="center" vertical="center"/>
    </xf>
    <xf numFmtId="0" fontId="22" fillId="0" borderId="9" xfId="0" applyFont="1" applyBorder="1" applyAlignment="1">
      <alignment horizontal="left" vertical="center" wrapText="1"/>
    </xf>
    <xf numFmtId="0" fontId="16" fillId="0" borderId="23"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0" fillId="0" borderId="26"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xf>
    <xf numFmtId="9" fontId="10" fillId="0" borderId="9" xfId="4" applyFont="1" applyBorder="1" applyAlignment="1" applyProtection="1">
      <alignment horizontal="center" vertical="center" wrapText="1"/>
      <protection locked="0"/>
    </xf>
    <xf numFmtId="10" fontId="10" fillId="0" borderId="9" xfId="4" applyNumberFormat="1" applyFont="1" applyBorder="1" applyAlignment="1" applyProtection="1">
      <alignment horizontal="center" vertical="center" wrapText="1"/>
      <protection locked="0"/>
    </xf>
    <xf numFmtId="165" fontId="10" fillId="0" borderId="9" xfId="4" applyNumberFormat="1" applyFont="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protection locked="0"/>
    </xf>
    <xf numFmtId="0" fontId="11" fillId="10" borderId="12" xfId="0" applyFont="1" applyFill="1" applyBorder="1" applyAlignment="1" applyProtection="1">
      <alignment horizontal="center" vertical="center"/>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xf>
    <xf numFmtId="0" fontId="22" fillId="0" borderId="9" xfId="0" applyFont="1" applyBorder="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Border="1" applyProtection="1">
      <protection locked="0"/>
    </xf>
    <xf numFmtId="9" fontId="10" fillId="0" borderId="11" xfId="4" applyFont="1" applyBorder="1" applyAlignment="1" applyProtection="1">
      <alignment horizontal="center" vertical="center" wrapText="1"/>
      <protection locked="0"/>
    </xf>
    <xf numFmtId="0" fontId="11" fillId="14" borderId="13"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5" fillId="0" borderId="25" xfId="0" applyFont="1" applyFill="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9" fontId="10" fillId="0" borderId="6" xfId="4" applyFont="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22" fillId="0" borderId="4"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10" fillId="0" borderId="59" xfId="0" applyFont="1" applyBorder="1" applyAlignment="1" applyProtection="1">
      <alignment horizontal="center" vertical="center" wrapText="1"/>
    </xf>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1" fillId="0" borderId="48" xfId="0" applyFont="1" applyFill="1" applyBorder="1" applyAlignment="1" applyProtection="1">
      <alignment horizontal="center" vertical="center" wrapText="1"/>
      <protection locked="0"/>
    </xf>
    <xf numFmtId="0" fontId="17" fillId="0" borderId="0" xfId="0" applyFont="1" applyAlignment="1">
      <alignment vertical="center"/>
    </xf>
    <xf numFmtId="0" fontId="1" fillId="0" borderId="0" xfId="0" applyFont="1"/>
    <xf numFmtId="0" fontId="19" fillId="0" borderId="20"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6" fillId="0" borderId="14" xfId="0" applyFont="1" applyBorder="1" applyAlignment="1">
      <alignment horizontal="center" vertical="center" wrapText="1"/>
    </xf>
    <xf numFmtId="0" fontId="19" fillId="0" borderId="14" xfId="0" applyFont="1" applyFill="1" applyBorder="1" applyAlignment="1">
      <alignment horizontal="center" vertical="center" wrapText="1"/>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50" xfId="0" applyFont="1" applyBorder="1" applyAlignment="1">
      <alignment horizontal="center" vertical="center"/>
    </xf>
    <xf numFmtId="0" fontId="7" fillId="0" borderId="53" xfId="0" applyFont="1" applyFill="1" applyBorder="1" applyAlignment="1">
      <alignment vertical="center" wrapText="1"/>
    </xf>
    <xf numFmtId="0" fontId="7" fillId="0" borderId="55" xfId="0" applyFont="1" applyFill="1" applyBorder="1" applyAlignment="1">
      <alignment vertical="center" wrapText="1"/>
    </xf>
    <xf numFmtId="0" fontId="7" fillId="0" borderId="50" xfId="0" applyFont="1" applyFill="1" applyBorder="1" applyAlignment="1">
      <alignment vertical="center" wrapText="1"/>
    </xf>
    <xf numFmtId="0" fontId="27" fillId="0" borderId="0" xfId="0" applyFont="1" applyAlignment="1">
      <alignment horizontal="righ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14" fontId="10" fillId="0" borderId="0" xfId="0" applyNumberFormat="1" applyFont="1" applyAlignment="1" applyProtection="1">
      <alignment horizontal="center" vertical="center"/>
      <protection locked="0"/>
    </xf>
    <xf numFmtId="0" fontId="11" fillId="10" borderId="12" xfId="0" applyFont="1" applyFill="1" applyBorder="1" applyAlignment="1" applyProtection="1">
      <alignment horizontal="center" vertical="center" wrapText="1"/>
      <protection locked="0"/>
    </xf>
    <xf numFmtId="0" fontId="10" fillId="0" borderId="4" xfId="0" applyFont="1" applyBorder="1" applyAlignment="1" applyProtection="1">
      <alignment vertical="center" wrapText="1"/>
      <protection locked="0"/>
    </xf>
    <xf numFmtId="0" fontId="22" fillId="2" borderId="4" xfId="0" applyFont="1"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6" fillId="0" borderId="0"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0" fillId="0" borderId="9" xfId="0" applyFont="1" applyBorder="1" applyAlignment="1" applyProtection="1">
      <alignment vertical="center" wrapText="1"/>
      <protection locked="0"/>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vertical="center" wrapText="1"/>
    </xf>
    <xf numFmtId="0" fontId="23" fillId="0" borderId="0" xfId="0" applyFont="1" applyBorder="1" applyAlignment="1">
      <alignment vertical="center" wrapText="1"/>
    </xf>
    <xf numFmtId="0" fontId="8" fillId="0" borderId="0" xfId="0" applyFont="1" applyBorder="1" applyAlignment="1">
      <alignment vertical="center" wrapText="1"/>
    </xf>
    <xf numFmtId="0" fontId="14" fillId="0" borderId="0" xfId="0" applyFont="1" applyBorder="1" applyAlignment="1"/>
    <xf numFmtId="0" fontId="14" fillId="0" borderId="0" xfId="0" applyFont="1" applyBorder="1" applyAlignment="1">
      <alignment vertical="center"/>
    </xf>
    <xf numFmtId="0" fontId="11" fillId="0" borderId="0" xfId="0" applyFont="1" applyBorder="1" applyAlignment="1">
      <alignment vertical="center" wrapText="1"/>
    </xf>
    <xf numFmtId="0" fontId="18" fillId="0" borderId="0" xfId="0" applyFont="1" applyBorder="1" applyAlignment="1">
      <alignment vertical="center" wrapText="1"/>
    </xf>
    <xf numFmtId="0" fontId="27" fillId="0" borderId="0" xfId="0" applyFont="1" applyAlignment="1">
      <alignment horizontal="right" vertical="center" wrapText="1"/>
    </xf>
    <xf numFmtId="0" fontId="10" fillId="0" borderId="9"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10" fillId="0" borderId="56" xfId="0" applyFont="1" applyBorder="1" applyAlignment="1">
      <alignment horizontal="center" vertical="center" wrapText="1"/>
    </xf>
    <xf numFmtId="0" fontId="25" fillId="0" borderId="8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9"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4"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11" fillId="0" borderId="7"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11" fillId="15" borderId="47" xfId="0" applyFont="1" applyFill="1" applyBorder="1" applyAlignment="1" applyProtection="1">
      <alignment horizontal="center" vertical="center"/>
      <protection locked="0"/>
    </xf>
    <xf numFmtId="0" fontId="11" fillId="15" borderId="48" xfId="0" applyFont="1" applyFill="1" applyBorder="1" applyAlignment="1" applyProtection="1">
      <alignment horizontal="center" vertical="center"/>
      <protection locked="0"/>
    </xf>
    <xf numFmtId="0" fontId="11" fillId="15" borderId="49" xfId="0" applyFont="1" applyFill="1" applyBorder="1" applyAlignment="1" applyProtection="1">
      <alignment horizontal="center" vertical="center"/>
      <protection locked="0"/>
    </xf>
    <xf numFmtId="0" fontId="11" fillId="14" borderId="14"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0" fontId="14" fillId="0" borderId="44" xfId="0" applyFont="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3" xfId="0" applyFont="1" applyBorder="1" applyAlignment="1" applyProtection="1">
      <alignment horizontal="center" vertical="center"/>
    </xf>
    <xf numFmtId="0" fontId="11" fillId="11" borderId="20" xfId="0" applyFont="1" applyFill="1" applyBorder="1" applyAlignment="1" applyProtection="1">
      <alignment horizontal="center" vertical="center" wrapText="1"/>
      <protection locked="0"/>
    </xf>
    <xf numFmtId="0" fontId="11" fillId="11" borderId="11" xfId="0" applyFont="1" applyFill="1" applyBorder="1" applyAlignment="1" applyProtection="1">
      <alignment horizontal="center" vertical="center" wrapText="1"/>
      <protection locked="0"/>
    </xf>
    <xf numFmtId="0" fontId="11" fillId="0" borderId="2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8" borderId="47" xfId="0" applyFont="1" applyFill="1" applyBorder="1" applyAlignment="1" applyProtection="1">
      <alignment horizontal="center" vertical="center"/>
      <protection locked="0"/>
    </xf>
    <xf numFmtId="0" fontId="11" fillId="8" borderId="48" xfId="0" applyFont="1" applyFill="1" applyBorder="1" applyAlignment="1" applyProtection="1">
      <alignment horizontal="center" vertical="center"/>
      <protection locked="0"/>
    </xf>
    <xf numFmtId="0" fontId="11" fillId="8" borderId="49" xfId="0" applyFont="1" applyFill="1" applyBorder="1" applyAlignment="1" applyProtection="1">
      <alignment horizontal="center" vertical="center"/>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0" fillId="0" borderId="16" xfId="0" applyBorder="1" applyAlignment="1">
      <alignment horizontal="left" vertical="center"/>
    </xf>
    <xf numFmtId="0" fontId="11" fillId="0" borderId="23" xfId="0" applyFont="1" applyBorder="1" applyAlignment="1" applyProtection="1">
      <alignment horizontal="left" vertical="center"/>
    </xf>
    <xf numFmtId="0" fontId="11" fillId="0" borderId="51" xfId="0" applyFont="1" applyBorder="1" applyAlignment="1" applyProtection="1">
      <alignment horizontal="left" vertical="center"/>
    </xf>
    <xf numFmtId="0" fontId="0" fillId="0" borderId="52" xfId="0" applyBorder="1" applyAlignment="1">
      <alignment horizontal="left" vertical="center"/>
    </xf>
    <xf numFmtId="0" fontId="11" fillId="16" borderId="26" xfId="0" applyFont="1" applyFill="1" applyBorder="1" applyAlignment="1" applyProtection="1">
      <alignment horizontal="center" vertical="center"/>
      <protection locked="0"/>
    </xf>
    <xf numFmtId="0" fontId="11" fillId="16" borderId="34" xfId="0" applyFont="1" applyFill="1" applyBorder="1" applyAlignment="1" applyProtection="1">
      <alignment horizontal="center" vertical="center"/>
      <protection locked="0"/>
    </xf>
    <xf numFmtId="0" fontId="11" fillId="16" borderId="27" xfId="0" applyFont="1" applyFill="1" applyBorder="1" applyAlignment="1" applyProtection="1">
      <alignment horizontal="center" vertical="center"/>
      <protection locked="0"/>
    </xf>
    <xf numFmtId="0" fontId="11" fillId="14" borderId="24"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7" borderId="20" xfId="0" applyFont="1" applyFill="1" applyBorder="1" applyAlignment="1" applyProtection="1">
      <alignment horizontal="center" vertical="center" wrapText="1"/>
      <protection locked="0"/>
    </xf>
    <xf numFmtId="0" fontId="11" fillId="17" borderId="11" xfId="0" applyFont="1" applyFill="1" applyBorder="1" applyAlignment="1" applyProtection="1">
      <alignment horizontal="center" vertical="center" wrapText="1"/>
      <protection locked="0"/>
    </xf>
    <xf numFmtId="0" fontId="11" fillId="17" borderId="21" xfId="0" applyFont="1" applyFill="1" applyBorder="1" applyAlignment="1" applyProtection="1">
      <alignment horizontal="center" vertical="center" wrapText="1"/>
      <protection locked="0"/>
    </xf>
    <xf numFmtId="0" fontId="11" fillId="17" borderId="13" xfId="0" applyFont="1" applyFill="1" applyBorder="1" applyAlignment="1" applyProtection="1">
      <alignment horizontal="center" vertical="center" wrapText="1"/>
      <protection locked="0"/>
    </xf>
    <xf numFmtId="0" fontId="11" fillId="17" borderId="35" xfId="0" applyFont="1" applyFill="1" applyBorder="1" applyAlignment="1" applyProtection="1">
      <alignment horizontal="center" vertical="center" wrapText="1"/>
      <protection locked="0"/>
    </xf>
    <xf numFmtId="0" fontId="11" fillId="17" borderId="38"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59" xfId="0" applyFont="1" applyFill="1" applyBorder="1" applyAlignment="1" applyProtection="1">
      <alignment horizontal="center" vertical="center" wrapText="1"/>
      <protection locked="0"/>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8" fillId="0" borderId="13" xfId="0" applyFont="1" applyBorder="1" applyAlignment="1" applyProtection="1">
      <alignment horizontal="center"/>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10" borderId="20"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protection locked="0"/>
    </xf>
    <xf numFmtId="0" fontId="11" fillId="10" borderId="35" xfId="0" applyFont="1" applyFill="1" applyBorder="1" applyAlignment="1" applyProtection="1">
      <alignment horizontal="center" vertical="center" wrapText="1"/>
      <protection locked="0"/>
    </xf>
    <xf numFmtId="0" fontId="11" fillId="10" borderId="38" xfId="0" applyFont="1" applyFill="1" applyBorder="1" applyAlignment="1" applyProtection="1">
      <alignment horizontal="center" vertical="center"/>
      <protection locked="0"/>
    </xf>
    <xf numFmtId="0" fontId="11" fillId="10" borderId="63" xfId="0" applyFont="1" applyFill="1" applyBorder="1" applyAlignment="1" applyProtection="1">
      <alignment horizontal="center" vertical="center" wrapText="1"/>
      <protection locked="0"/>
    </xf>
    <xf numFmtId="0" fontId="11" fillId="10" borderId="39" xfId="0" applyFont="1" applyFill="1" applyBorder="1" applyAlignment="1" applyProtection="1">
      <alignment horizontal="center" vertical="center" wrapText="1"/>
      <protection locked="0"/>
    </xf>
    <xf numFmtId="0" fontId="11" fillId="10" borderId="35" xfId="0" applyFont="1" applyFill="1" applyBorder="1" applyAlignment="1" applyProtection="1">
      <alignment horizontal="center" vertical="center"/>
      <protection locked="0"/>
    </xf>
    <xf numFmtId="0" fontId="11" fillId="9" borderId="47" xfId="0" applyFont="1" applyFill="1" applyBorder="1" applyAlignment="1" applyProtection="1">
      <alignment horizontal="center" vertical="center"/>
      <protection locked="0"/>
    </xf>
    <xf numFmtId="0" fontId="11" fillId="9" borderId="48" xfId="0" applyFont="1" applyFill="1" applyBorder="1" applyAlignment="1" applyProtection="1">
      <alignment horizontal="center" vertical="center"/>
      <protection locked="0"/>
    </xf>
    <xf numFmtId="0" fontId="11" fillId="9" borderId="49" xfId="0" applyFont="1" applyFill="1" applyBorder="1" applyAlignment="1" applyProtection="1">
      <alignment horizontal="center" vertical="center"/>
      <protection locked="0"/>
    </xf>
    <xf numFmtId="0" fontId="11" fillId="10" borderId="38" xfId="0" applyFont="1" applyFill="1" applyBorder="1" applyAlignment="1" applyProtection="1">
      <alignment horizontal="center" vertical="center" wrapText="1"/>
      <protection locked="0"/>
    </xf>
    <xf numFmtId="0" fontId="11" fillId="13" borderId="35" xfId="0" applyFont="1" applyFill="1" applyBorder="1" applyAlignment="1" applyProtection="1">
      <alignment horizontal="center" vertical="center" wrapText="1"/>
      <protection locked="0"/>
    </xf>
    <xf numFmtId="0" fontId="11" fillId="13" borderId="38"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protection locked="0"/>
    </xf>
    <xf numFmtId="0" fontId="11" fillId="12" borderId="48" xfId="0" applyFont="1" applyFill="1" applyBorder="1" applyAlignment="1" applyProtection="1">
      <alignment horizontal="center" vertical="center"/>
      <protection locked="0"/>
    </xf>
    <xf numFmtId="0" fontId="11" fillId="12" borderId="49" xfId="0" applyFont="1" applyFill="1" applyBorder="1" applyAlignment="1" applyProtection="1">
      <alignment horizontal="center" vertical="center"/>
      <protection locked="0"/>
    </xf>
    <xf numFmtId="0" fontId="11" fillId="13" borderId="24" xfId="0" applyFont="1" applyFill="1" applyBorder="1" applyAlignment="1" applyProtection="1">
      <alignment horizontal="center" vertical="center" wrapText="1"/>
      <protection locked="0"/>
    </xf>
    <xf numFmtId="0" fontId="11" fillId="13" borderId="25" xfId="0" applyFont="1" applyFill="1" applyBorder="1" applyAlignment="1" applyProtection="1">
      <alignment horizontal="center" vertical="center" wrapText="1"/>
      <protection locked="0"/>
    </xf>
    <xf numFmtId="0" fontId="11" fillId="13" borderId="62" xfId="0" applyFont="1" applyFill="1" applyBorder="1" applyAlignment="1" applyProtection="1">
      <alignment horizontal="center" vertical="center" wrapText="1"/>
      <protection locked="0"/>
    </xf>
    <xf numFmtId="0" fontId="11" fillId="13" borderId="40" xfId="0" applyFont="1" applyFill="1" applyBorder="1" applyAlignment="1" applyProtection="1">
      <alignment horizontal="center" vertical="center" wrapText="1"/>
      <protection locked="0"/>
    </xf>
    <xf numFmtId="0" fontId="11" fillId="14" borderId="20"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1" fillId="14" borderId="35" xfId="0" applyFont="1" applyFill="1" applyBorder="1" applyAlignment="1" applyProtection="1">
      <alignment horizontal="center" vertical="center" textRotation="90" wrapText="1"/>
      <protection locked="0"/>
    </xf>
    <xf numFmtId="0" fontId="11" fillId="14" borderId="38" xfId="0" applyFont="1" applyFill="1" applyBorder="1" applyAlignment="1" applyProtection="1">
      <alignment horizontal="center" vertical="center" textRotation="90" wrapText="1"/>
      <protection locked="0"/>
    </xf>
    <xf numFmtId="2" fontId="10" fillId="0" borderId="4" xfId="5" applyNumberFormat="1" applyFont="1" applyBorder="1" applyAlignment="1" applyProtection="1">
      <alignment horizontal="center" vertical="center" wrapText="1"/>
    </xf>
    <xf numFmtId="0" fontId="11" fillId="14" borderId="6" xfId="0" applyFont="1" applyFill="1" applyBorder="1" applyAlignment="1" applyProtection="1">
      <alignment horizontal="center" vertical="center" wrapText="1"/>
      <protection locked="0"/>
    </xf>
    <xf numFmtId="0" fontId="11" fillId="14" borderId="7" xfId="0" applyFont="1" applyFill="1" applyBorder="1" applyAlignment="1" applyProtection="1">
      <alignment horizontal="center" vertical="center" wrapText="1"/>
      <protection locked="0"/>
    </xf>
    <xf numFmtId="0" fontId="11" fillId="14" borderId="8"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textRotation="90" wrapText="1"/>
      <protection locked="0"/>
    </xf>
    <xf numFmtId="0" fontId="11" fillId="14" borderId="46" xfId="0" applyFont="1" applyFill="1" applyBorder="1" applyAlignment="1" applyProtection="1">
      <alignment horizontal="center" vertical="center" textRotation="90" wrapText="1"/>
      <protection locked="0"/>
    </xf>
    <xf numFmtId="0" fontId="22"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4" xfId="0" applyFont="1" applyBorder="1" applyAlignment="1">
      <alignment horizontal="left" vertical="center" wrapText="1"/>
    </xf>
    <xf numFmtId="0" fontId="22" fillId="0" borderId="4" xfId="0" applyFont="1" applyBorder="1" applyAlignment="1">
      <alignment horizontal="left" vertical="center"/>
    </xf>
    <xf numFmtId="0" fontId="10" fillId="0" borderId="4" xfId="0" applyFont="1" applyBorder="1" applyAlignment="1">
      <alignment horizontal="center" vertical="center" wrapText="1"/>
    </xf>
    <xf numFmtId="0" fontId="10" fillId="0" borderId="81"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25"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21"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6" xfId="0" applyFont="1" applyBorder="1" applyAlignment="1">
      <alignment horizontal="center" vertical="center" wrapText="1"/>
    </xf>
    <xf numFmtId="0" fontId="11" fillId="0" borderId="0" xfId="0" applyFont="1" applyAlignment="1">
      <alignment horizontal="right" vertical="center"/>
    </xf>
    <xf numFmtId="14" fontId="22" fillId="0" borderId="0" xfId="0" applyNumberFormat="1" applyFont="1" applyAlignment="1" applyProtection="1">
      <alignment horizontal="left" vertical="center" wrapText="1"/>
      <protection locked="0"/>
    </xf>
    <xf numFmtId="14" fontId="10" fillId="0" borderId="0" xfId="0" applyNumberFormat="1" applyFont="1" applyAlignment="1" applyProtection="1">
      <alignment horizontal="left" vertical="center" wrapText="1"/>
      <protection locked="0"/>
    </xf>
    <xf numFmtId="0" fontId="10" fillId="0" borderId="82" xfId="0" applyFont="1" applyBorder="1" applyAlignment="1">
      <alignment horizontal="center" vertical="center" wrapText="1"/>
    </xf>
    <xf numFmtId="0" fontId="10" fillId="0" borderId="20" xfId="0" applyFont="1" applyBorder="1" applyAlignment="1">
      <alignment horizontal="center" vertical="center" wrapText="1"/>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9" xfId="0" applyFont="1" applyBorder="1" applyAlignment="1">
      <alignment vertical="center" wrapText="1"/>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55" xfId="0" applyFont="1" applyBorder="1" applyAlignment="1">
      <alignment vertical="center" wrapText="1"/>
    </xf>
    <xf numFmtId="0" fontId="8" fillId="0" borderId="15" xfId="0" applyFont="1" applyBorder="1" applyAlignment="1">
      <alignment vertical="center" wrapText="1"/>
    </xf>
    <xf numFmtId="0" fontId="8" fillId="0" borderId="56"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7" fillId="0" borderId="26" xfId="0" applyFont="1" applyBorder="1" applyAlignment="1">
      <alignment horizontal="left" vertical="center"/>
    </xf>
    <xf numFmtId="0" fontId="17" fillId="0" borderId="34" xfId="0" applyFont="1" applyBorder="1" applyAlignment="1">
      <alignment horizontal="left" vertical="center"/>
    </xf>
    <xf numFmtId="0" fontId="17" fillId="0" borderId="27" xfId="0" applyFont="1" applyBorder="1" applyAlignment="1">
      <alignment horizontal="left"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4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9" xfId="0" applyFont="1" applyBorder="1" applyAlignment="1">
      <alignment horizontal="center" vertical="center" wrapText="1"/>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4" fillId="0" borderId="41" xfId="0" applyFont="1" applyBorder="1" applyAlignment="1">
      <alignment horizontal="center"/>
    </xf>
    <xf numFmtId="0" fontId="14" fillId="0" borderId="37" xfId="0" applyFont="1" applyBorder="1" applyAlignment="1">
      <alignment horizont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14" fillId="0" borderId="20" xfId="0" applyFont="1" applyBorder="1" applyAlignment="1">
      <alignment horizontal="center"/>
    </xf>
    <xf numFmtId="0" fontId="14" fillId="0" borderId="21" xfId="0" applyFont="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57" xfId="0"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xf>
    <xf numFmtId="0" fontId="14" fillId="0" borderId="27" xfId="0" applyFont="1" applyBorder="1" applyAlignment="1">
      <alignment horizontal="center" vertical="center"/>
    </xf>
    <xf numFmtId="0" fontId="11" fillId="0" borderId="2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7"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7" xfId="0" applyFont="1" applyBorder="1" applyAlignment="1">
      <alignment horizontal="center" vertical="center" wrapText="1"/>
    </xf>
    <xf numFmtId="0" fontId="8" fillId="0" borderId="55" xfId="0" applyFont="1" applyBorder="1" applyAlignment="1">
      <alignment horizontal="left" vertical="center" wrapText="1"/>
    </xf>
    <xf numFmtId="0" fontId="8" fillId="0" borderId="15" xfId="0" applyFont="1" applyBorder="1" applyAlignment="1">
      <alignment horizontal="left" vertical="center" wrapText="1"/>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3" xfId="0" applyFont="1" applyBorder="1" applyAlignment="1">
      <alignment horizontal="left" vertical="center" wrapText="1"/>
    </xf>
    <xf numFmtId="0" fontId="8" fillId="0" borderId="1" xfId="0" applyFont="1" applyBorder="1" applyAlignment="1">
      <alignment horizontal="left" vertical="center" wrapText="1"/>
    </xf>
    <xf numFmtId="0" fontId="8" fillId="0" borderId="54" xfId="0" applyFont="1" applyBorder="1" applyAlignment="1">
      <alignment horizontal="left" vertical="center" wrapText="1"/>
    </xf>
    <xf numFmtId="0" fontId="14" fillId="0" borderId="6" xfId="0" applyFont="1" applyBorder="1" applyAlignment="1">
      <alignment horizontal="center"/>
    </xf>
    <xf numFmtId="0" fontId="14" fillId="0" borderId="8" xfId="0" applyFont="1" applyBorder="1" applyAlignment="1">
      <alignment horizont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6" fillId="0" borderId="55" xfId="0" applyFont="1" applyBorder="1" applyAlignment="1">
      <alignment vertical="center" wrapText="1"/>
    </xf>
    <xf numFmtId="0" fontId="6" fillId="0" borderId="15" xfId="0" applyFont="1" applyBorder="1" applyAlignment="1">
      <alignment vertical="center" wrapText="1"/>
    </xf>
    <xf numFmtId="0" fontId="6" fillId="0" borderId="56"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9" xfId="0" applyFont="1" applyBorder="1" applyAlignment="1">
      <alignment vertical="center" wrapText="1"/>
    </xf>
    <xf numFmtId="0" fontId="17" fillId="0" borderId="26" xfId="0" applyFont="1" applyBorder="1" applyAlignment="1">
      <alignment horizontal="left" vertical="center" wrapText="1"/>
    </xf>
    <xf numFmtId="0" fontId="17" fillId="0" borderId="34" xfId="0" applyFont="1" applyBorder="1" applyAlignment="1">
      <alignment horizontal="left" vertical="center" wrapText="1"/>
    </xf>
    <xf numFmtId="0" fontId="17" fillId="0" borderId="27" xfId="0" applyFont="1" applyBorder="1" applyAlignment="1">
      <alignment horizontal="left" vertical="center" wrapText="1"/>
    </xf>
    <xf numFmtId="0" fontId="8" fillId="0" borderId="0"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4" fillId="0" borderId="61" xfId="0" applyFont="1" applyBorder="1" applyAlignment="1">
      <alignment horizontal="center"/>
    </xf>
    <xf numFmtId="0" fontId="14" fillId="0" borderId="22" xfId="0" applyFont="1" applyBorder="1" applyAlignment="1">
      <alignment horizont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18" fillId="0" borderId="0" xfId="0" applyFont="1" applyAlignment="1">
      <alignment horizontal="center" vertical="center" wrapText="1"/>
    </xf>
    <xf numFmtId="0" fontId="14" fillId="0" borderId="60" xfId="0" applyFont="1" applyBorder="1" applyAlignment="1">
      <alignment horizontal="center"/>
    </xf>
    <xf numFmtId="0" fontId="8" fillId="0" borderId="0" xfId="0" applyFont="1" applyAlignment="1">
      <alignment horizontal="center" vertical="center"/>
    </xf>
    <xf numFmtId="0" fontId="18" fillId="0" borderId="5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7" xfId="0" applyFont="1" applyBorder="1" applyAlignment="1">
      <alignment horizontal="center" vertical="center" wrapText="1"/>
    </xf>
    <xf numFmtId="0" fontId="2" fillId="0" borderId="21" xfId="0" applyFont="1" applyBorder="1" applyAlignment="1">
      <alignment horizontal="center" vertical="center"/>
    </xf>
    <xf numFmtId="0" fontId="6" fillId="0" borderId="41"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6" fillId="2" borderId="30" xfId="0" applyFont="1" applyFill="1" applyBorder="1" applyAlignment="1">
      <alignment vertical="center" wrapText="1"/>
    </xf>
    <xf numFmtId="0" fontId="6" fillId="2" borderId="33" xfId="0" applyFont="1" applyFill="1" applyBorder="1" applyAlignment="1">
      <alignment vertical="center" wrapText="1"/>
    </xf>
    <xf numFmtId="0" fontId="6" fillId="2" borderId="31" xfId="0" applyFont="1" applyFill="1" applyBorder="1" applyAlignment="1">
      <alignment vertical="center" wrapText="1"/>
    </xf>
    <xf numFmtId="0" fontId="6" fillId="2" borderId="55" xfId="0" applyFont="1" applyFill="1" applyBorder="1" applyAlignment="1">
      <alignment vertical="center" wrapText="1"/>
    </xf>
    <xf numFmtId="0" fontId="6" fillId="2" borderId="15" xfId="0" applyFont="1" applyFill="1" applyBorder="1" applyAlignment="1">
      <alignment vertical="center" wrapText="1"/>
    </xf>
    <xf numFmtId="0" fontId="6" fillId="2" borderId="56" xfId="0" applyFont="1" applyFill="1" applyBorder="1" applyAlignment="1">
      <alignment vertical="center" wrapText="1"/>
    </xf>
    <xf numFmtId="0" fontId="6" fillId="2" borderId="9" xfId="0" applyFont="1" applyFill="1" applyBorder="1" applyAlignment="1">
      <alignment vertical="center" wrapText="1"/>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41" xfId="0" applyFont="1" applyFill="1" applyBorder="1" applyAlignment="1">
      <alignment vertical="center" wrapText="1"/>
    </xf>
    <xf numFmtId="0" fontId="6" fillId="2" borderId="36" xfId="0" applyFont="1" applyFill="1" applyBorder="1" applyAlignment="1">
      <alignment vertical="center" wrapText="1"/>
    </xf>
    <xf numFmtId="0" fontId="6" fillId="2" borderId="37" xfId="0" applyFont="1" applyFill="1" applyBorder="1" applyAlignment="1">
      <alignment vertical="center" wrapText="1"/>
    </xf>
    <xf numFmtId="0" fontId="6" fillId="2" borderId="50" xfId="0" applyFont="1" applyFill="1" applyBorder="1" applyAlignment="1">
      <alignment vertical="center" wrapText="1"/>
    </xf>
    <xf numFmtId="0" fontId="6" fillId="2" borderId="51" xfId="0" applyFont="1" applyFill="1" applyBorder="1" applyAlignment="1">
      <alignment vertical="center" wrapText="1"/>
    </xf>
    <xf numFmtId="0" fontId="6" fillId="2" borderId="59" xfId="0" applyFont="1" applyFill="1" applyBorder="1" applyAlignment="1">
      <alignment vertical="center" wrapText="1"/>
    </xf>
    <xf numFmtId="0" fontId="10" fillId="0" borderId="81" xfId="0" applyFont="1" applyBorder="1" applyAlignment="1" applyProtection="1">
      <alignment horizontal="left" vertical="center" wrapText="1"/>
      <protection locked="0"/>
    </xf>
    <xf numFmtId="0" fontId="22" fillId="0" borderId="81" xfId="0" applyFont="1" applyBorder="1" applyAlignment="1" applyProtection="1">
      <alignment horizontal="left" vertical="center" wrapText="1"/>
      <protection locked="0"/>
    </xf>
    <xf numFmtId="0" fontId="22" fillId="0" borderId="83" xfId="0" applyFont="1" applyBorder="1" applyAlignment="1" applyProtection="1">
      <alignment horizontal="left" vertical="center" wrapText="1"/>
      <protection locked="0"/>
    </xf>
    <xf numFmtId="0" fontId="10" fillId="0" borderId="82" xfId="0" applyFont="1" applyBorder="1" applyAlignment="1" applyProtection="1">
      <alignment horizontal="center" vertical="center" wrapText="1"/>
      <protection locked="0"/>
    </xf>
    <xf numFmtId="0" fontId="10" fillId="0" borderId="14"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10" fillId="0" borderId="20" xfId="0" applyFont="1" applyBorder="1" applyAlignment="1" applyProtection="1">
      <alignment horizontal="center" vertical="center" wrapText="1"/>
      <protection locked="0"/>
    </xf>
    <xf numFmtId="0" fontId="2" fillId="0" borderId="22"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56" xfId="0" applyFont="1" applyBorder="1" applyAlignment="1">
      <alignment horizontal="left" vertical="center" wrapText="1"/>
    </xf>
    <xf numFmtId="0" fontId="2" fillId="0" borderId="23" xfId="0" applyFont="1" applyBorder="1" applyAlignment="1">
      <alignment horizontal="left" vertical="center" wrapText="1"/>
    </xf>
    <xf numFmtId="0" fontId="2" fillId="0" borderId="51" xfId="0" applyFont="1" applyBorder="1" applyAlignment="1">
      <alignment horizontal="left" vertical="center" wrapText="1"/>
    </xf>
    <xf numFmtId="0" fontId="2" fillId="0" borderId="59" xfId="0" applyFont="1" applyBorder="1" applyAlignment="1">
      <alignment horizontal="left" vertical="center" wrapText="1"/>
    </xf>
    <xf numFmtId="0" fontId="2" fillId="0" borderId="41" xfId="0" applyFont="1" applyBorder="1" applyAlignment="1">
      <alignment horizontal="left" vertical="center" wrapText="1"/>
    </xf>
    <xf numFmtId="0" fontId="2" fillId="0" borderId="55" xfId="0" applyFont="1" applyBorder="1" applyAlignment="1">
      <alignment horizontal="left" vertical="center" wrapText="1"/>
    </xf>
    <xf numFmtId="0" fontId="2" fillId="0" borderId="50" xfId="0" applyFont="1" applyBorder="1" applyAlignment="1">
      <alignment horizontal="left" vertical="center" wrapText="1"/>
    </xf>
    <xf numFmtId="1" fontId="10" fillId="0" borderId="4" xfId="0" applyNumberFormat="1" applyFont="1" applyBorder="1" applyAlignment="1">
      <alignment horizontal="center" vertical="center" wrapText="1"/>
    </xf>
    <xf numFmtId="0" fontId="2" fillId="0" borderId="67" xfId="0" applyFont="1" applyBorder="1" applyAlignment="1">
      <alignment vertical="center" wrapText="1"/>
    </xf>
    <xf numFmtId="0" fontId="2" fillId="0" borderId="66" xfId="0" applyFont="1" applyBorder="1" applyAlignment="1">
      <alignment vertical="center" wrapText="1"/>
    </xf>
    <xf numFmtId="0" fontId="2" fillId="0" borderId="68" xfId="0" applyFont="1" applyBorder="1" applyAlignment="1">
      <alignment vertical="center" wrapText="1"/>
    </xf>
    <xf numFmtId="0" fontId="2" fillId="0" borderId="74" xfId="0" applyFont="1" applyBorder="1" applyAlignment="1">
      <alignment horizontal="left" vertical="center" wrapText="1"/>
    </xf>
    <xf numFmtId="0" fontId="2" fillId="0" borderId="66" xfId="0" applyFont="1" applyBorder="1" applyAlignment="1">
      <alignment horizontal="left" vertical="center" wrapText="1"/>
    </xf>
    <xf numFmtId="0" fontId="2" fillId="0" borderId="75" xfId="0" applyFont="1" applyBorder="1" applyAlignment="1">
      <alignment horizontal="left" vertical="center" wrapText="1"/>
    </xf>
    <xf numFmtId="0" fontId="2" fillId="0" borderId="69" xfId="0" applyFont="1" applyBorder="1" applyAlignment="1">
      <alignment vertical="center" wrapText="1"/>
    </xf>
    <xf numFmtId="0" fontId="2" fillId="0" borderId="64" xfId="0" applyFont="1" applyBorder="1" applyAlignment="1">
      <alignment vertical="center" wrapText="1"/>
    </xf>
    <xf numFmtId="0" fontId="2" fillId="0" borderId="70" xfId="0" applyFont="1" applyBorder="1" applyAlignment="1">
      <alignment vertical="center" wrapText="1"/>
    </xf>
    <xf numFmtId="0" fontId="2" fillId="0" borderId="76" xfId="0" applyFont="1" applyBorder="1" applyAlignment="1">
      <alignment horizontal="left" vertical="center" wrapText="1"/>
    </xf>
    <xf numFmtId="0" fontId="2" fillId="0" borderId="64" xfId="0" applyFont="1" applyBorder="1" applyAlignment="1">
      <alignment horizontal="left" vertical="center" wrapText="1"/>
    </xf>
    <xf numFmtId="0" fontId="2" fillId="0" borderId="77" xfId="0" applyFont="1" applyBorder="1" applyAlignment="1">
      <alignment horizontal="lef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8" xfId="0" applyFont="1" applyBorder="1" applyAlignment="1">
      <alignment horizontal="left" vertical="center" wrapText="1"/>
    </xf>
    <xf numFmtId="0" fontId="2" fillId="0" borderId="65" xfId="0" applyFont="1" applyBorder="1" applyAlignment="1">
      <alignment horizontal="left" vertical="center" wrapText="1"/>
    </xf>
    <xf numFmtId="0" fontId="2" fillId="0" borderId="79" xfId="0" applyFont="1" applyBorder="1" applyAlignment="1">
      <alignment horizontal="left" vertical="center" wrapText="1"/>
    </xf>
    <xf numFmtId="0" fontId="11" fillId="0" borderId="57" xfId="0" applyFont="1" applyBorder="1" applyAlignment="1">
      <alignment vertical="center" wrapText="1"/>
    </xf>
    <xf numFmtId="0" fontId="10" fillId="0" borderId="62" xfId="0" applyFont="1" applyBorder="1" applyAlignment="1" applyProtection="1">
      <alignment horizontal="center" vertical="center" wrapText="1"/>
      <protection locked="0"/>
    </xf>
    <xf numFmtId="0" fontId="19" fillId="0" borderId="8" xfId="0" applyFont="1" applyBorder="1" applyAlignment="1">
      <alignment horizontal="center" vertical="center" wrapText="1"/>
    </xf>
    <xf numFmtId="0" fontId="4" fillId="0" borderId="4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41" xfId="0" applyFont="1" applyBorder="1" applyAlignment="1">
      <alignment horizontal="justify" vertical="center" wrapText="1"/>
    </xf>
    <xf numFmtId="0" fontId="9" fillId="0" borderId="36" xfId="0" applyFont="1" applyBorder="1" applyAlignment="1">
      <alignment horizontal="justify" vertical="center" wrapText="1"/>
    </xf>
    <xf numFmtId="0" fontId="9" fillId="0" borderId="3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9" fillId="0" borderId="55" xfId="0" applyFont="1" applyBorder="1" applyAlignment="1">
      <alignment horizontal="justify" vertical="center" wrapText="1"/>
    </xf>
    <xf numFmtId="0" fontId="9" fillId="0" borderId="15" xfId="0" applyFont="1" applyBorder="1" applyAlignment="1">
      <alignment horizontal="justify" vertical="center" wrapText="1"/>
    </xf>
    <xf numFmtId="0" fontId="9" fillId="0" borderId="56"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56" xfId="0" applyFont="1" applyBorder="1" applyAlignment="1">
      <alignment horizontal="justify" vertical="center" wrapText="1"/>
    </xf>
    <xf numFmtId="0" fontId="9" fillId="0" borderId="50" xfId="0" applyFont="1" applyBorder="1" applyAlignment="1">
      <alignment horizontal="justify" vertical="center" wrapText="1"/>
    </xf>
    <xf numFmtId="0" fontId="9" fillId="0" borderId="51" xfId="0" applyFont="1" applyBorder="1" applyAlignment="1">
      <alignment horizontal="justify" vertical="center" wrapText="1"/>
    </xf>
    <xf numFmtId="0" fontId="9" fillId="0" borderId="59" xfId="0" applyFont="1" applyBorder="1" applyAlignment="1">
      <alignment horizontal="justify" vertical="center" wrapText="1"/>
    </xf>
    <xf numFmtId="0" fontId="2" fillId="0" borderId="50" xfId="0" applyFont="1" applyBorder="1" applyAlignment="1">
      <alignment horizontal="justify" vertical="center" wrapText="1"/>
    </xf>
    <xf numFmtId="0" fontId="2" fillId="0" borderId="51" xfId="0" applyFont="1" applyBorder="1" applyAlignment="1">
      <alignment horizontal="justify" vertical="center" wrapText="1"/>
    </xf>
    <xf numFmtId="0" fontId="2" fillId="0" borderId="59" xfId="0" applyFont="1" applyBorder="1" applyAlignment="1">
      <alignment horizontal="justify" vertical="center" wrapText="1"/>
    </xf>
    <xf numFmtId="0" fontId="10" fillId="0" borderId="7"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10" fillId="2" borderId="10" xfId="0" applyFont="1" applyFill="1" applyBorder="1" applyAlignment="1" applyProtection="1">
      <alignment vertical="center" wrapText="1"/>
      <protection locked="0"/>
    </xf>
    <xf numFmtId="0" fontId="22" fillId="0" borderId="9" xfId="0" applyFont="1" applyFill="1" applyBorder="1" applyAlignment="1" applyProtection="1">
      <alignment vertical="center" wrapText="1"/>
      <protection locked="0"/>
    </xf>
    <xf numFmtId="0" fontId="22" fillId="0" borderId="4"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2" borderId="9" xfId="0" applyFont="1" applyFill="1" applyBorder="1" applyAlignment="1" applyProtection="1">
      <alignment vertical="center" wrapText="1"/>
      <protection locked="0"/>
    </xf>
    <xf numFmtId="0" fontId="22" fillId="0" borderId="82" xfId="0" applyFont="1" applyBorder="1" applyAlignment="1">
      <alignment vertical="center" wrapText="1"/>
    </xf>
    <xf numFmtId="0" fontId="22" fillId="0" borderId="81" xfId="0" applyFont="1" applyBorder="1" applyAlignment="1">
      <alignment vertical="center" wrapText="1"/>
    </xf>
    <xf numFmtId="0" fontId="22" fillId="0" borderId="83" xfId="0" applyFont="1" applyBorder="1" applyAlignment="1" applyProtection="1">
      <alignment vertical="center" wrapText="1"/>
      <protection locked="0"/>
    </xf>
    <xf numFmtId="0" fontId="22" fillId="0" borderId="20" xfId="0" applyFont="1" applyBorder="1" applyAlignment="1">
      <alignment vertical="center" wrapText="1"/>
    </xf>
    <xf numFmtId="0" fontId="22" fillId="0" borderId="14" xfId="0" applyFont="1" applyBorder="1" applyAlignment="1">
      <alignment vertical="center" wrapText="1"/>
    </xf>
    <xf numFmtId="0" fontId="22" fillId="0" borderId="21" xfId="0" applyFont="1" applyBorder="1" applyAlignment="1" applyProtection="1">
      <alignment vertical="center" wrapText="1"/>
      <protection locked="0"/>
    </xf>
    <xf numFmtId="0" fontId="22" fillId="0" borderId="81" xfId="0" applyFont="1" applyBorder="1" applyAlignment="1" applyProtection="1">
      <alignment vertical="center" wrapText="1"/>
      <protection locked="0"/>
    </xf>
    <xf numFmtId="0" fontId="22" fillId="0" borderId="35" xfId="0" applyFont="1" applyBorder="1" applyAlignment="1" applyProtection="1">
      <alignment vertical="center" wrapText="1"/>
      <protection locked="0"/>
    </xf>
    <xf numFmtId="0" fontId="22" fillId="0" borderId="14" xfId="0" applyFont="1" applyBorder="1" applyAlignment="1" applyProtection="1">
      <alignment vertical="center" wrapText="1"/>
      <protection locked="0"/>
    </xf>
    <xf numFmtId="0" fontId="10" fillId="0" borderId="81"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22" fillId="2" borderId="9" xfId="0" applyFont="1" applyFill="1" applyBorder="1" applyAlignment="1" applyProtection="1">
      <alignment horizontal="left" vertical="center" wrapText="1"/>
      <protection locked="0"/>
    </xf>
    <xf numFmtId="0" fontId="10" fillId="0" borderId="35" xfId="0" applyFont="1" applyBorder="1" applyAlignment="1" applyProtection="1">
      <alignment vertical="center" wrapText="1"/>
      <protection locked="0"/>
    </xf>
    <xf numFmtId="0" fontId="22" fillId="0" borderId="4" xfId="0" applyFont="1" applyBorder="1" applyAlignment="1" applyProtection="1">
      <alignment vertical="center" wrapText="1"/>
      <protection locked="0"/>
    </xf>
    <xf numFmtId="0" fontId="22" fillId="0" borderId="4" xfId="0" applyFont="1" applyBorder="1" applyAlignment="1">
      <alignment vertical="center" wrapText="1"/>
    </xf>
    <xf numFmtId="0" fontId="22" fillId="0" borderId="4" xfId="0" applyFont="1" applyBorder="1" applyAlignment="1">
      <alignment vertical="center"/>
    </xf>
    <xf numFmtId="0" fontId="10" fillId="0" borderId="83"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cellXfs>
  <cellStyles count="9">
    <cellStyle name="Moneda" xfId="5" builtinId="4"/>
    <cellStyle name="Moneda 2" xfId="8" xr:uid="{FB121C21-41C9-45ED-920B-F0D2C0691CAC}"/>
    <cellStyle name="Normal" xfId="0" builtinId="0"/>
    <cellStyle name="Normal 2" xfId="1" xr:uid="{00000000-0005-0000-0000-000001000000}"/>
    <cellStyle name="Normal 3" xfId="2" xr:uid="{00000000-0005-0000-0000-000002000000}"/>
    <cellStyle name="Normal 3 2" xfId="6" xr:uid="{FE4A26E3-0079-465F-BFC2-4B465381BEE5}"/>
    <cellStyle name="Normal 4" xfId="3" xr:uid="{00000000-0005-0000-0000-000003000000}"/>
    <cellStyle name="Normal 4 2" xfId="7" xr:uid="{B75F9B12-0342-41EF-8172-82EDDD9148B4}"/>
    <cellStyle name="Porcentaje" xfId="4" builtinId="5"/>
  </cellStyles>
  <dxfs count="18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402789</xdr:colOff>
      <xdr:row>0</xdr:row>
      <xdr:rowOff>56029</xdr:rowOff>
    </xdr:from>
    <xdr:to>
      <xdr:col>40</xdr:col>
      <xdr:colOff>1111486</xdr:colOff>
      <xdr:row>3</xdr:row>
      <xdr:rowOff>132304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872" y="56029"/>
          <a:ext cx="708697" cy="616025"/>
        </a:xfrm>
        <a:prstGeom prst="rect">
          <a:avLst/>
        </a:prstGeom>
        <a:noFill/>
        <a:ln>
          <a:noFill/>
        </a:ln>
      </xdr:spPr>
    </xdr:pic>
    <xdr:clientData/>
  </xdr:twoCellAnchor>
  <xdr:twoCellAnchor editAs="oneCell">
    <xdr:from>
      <xdr:col>21</xdr:col>
      <xdr:colOff>78442</xdr:colOff>
      <xdr:row>0</xdr:row>
      <xdr:rowOff>56030</xdr:rowOff>
    </xdr:from>
    <xdr:to>
      <xdr:col>21</xdr:col>
      <xdr:colOff>787139</xdr:colOff>
      <xdr:row>3</xdr:row>
      <xdr:rowOff>132305</xdr:rowOff>
    </xdr:to>
    <xdr:pic>
      <xdr:nvPicPr>
        <xdr:cNvPr id="4" name="3 Imagen" descr="C:\Users\john.garcia\Desktop\2020-01-0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6971" y="56030"/>
          <a:ext cx="708697" cy="614157"/>
        </a:xfrm>
        <a:prstGeom prst="rect">
          <a:avLst/>
        </a:prstGeom>
        <a:noFill/>
        <a:ln>
          <a:noFill/>
        </a:ln>
      </xdr:spPr>
    </xdr:pic>
    <xdr:clientData/>
  </xdr:twoCellAnchor>
  <xdr:twoCellAnchor editAs="oneCell">
    <xdr:from>
      <xdr:col>0</xdr:col>
      <xdr:colOff>108324</xdr:colOff>
      <xdr:row>0</xdr:row>
      <xdr:rowOff>33617</xdr:rowOff>
    </xdr:from>
    <xdr:to>
      <xdr:col>0</xdr:col>
      <xdr:colOff>1195295</xdr:colOff>
      <xdr:row>3</xdr:row>
      <xdr:rowOff>167379</xdr:rowOff>
    </xdr:to>
    <xdr:pic>
      <xdr:nvPicPr>
        <xdr:cNvPr id="8" name="5 Imagen" descr="C:\Users\john.garcia\Desktop\LOGO CAPITAL LETRA NEGRA.png">
          <a:extLst>
            <a:ext uri="{FF2B5EF4-FFF2-40B4-BE49-F238E27FC236}">
              <a16:creationId xmlns:a16="http://schemas.microsoft.com/office/drawing/2014/main" id="{3A405BDE-392C-4764-8BBD-3EA7E95E5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4" y="33617"/>
          <a:ext cx="1086971" cy="673512"/>
        </a:xfrm>
        <a:prstGeom prst="rect">
          <a:avLst/>
        </a:prstGeom>
        <a:noFill/>
        <a:ln>
          <a:noFill/>
        </a:ln>
      </xdr:spPr>
    </xdr:pic>
    <xdr:clientData/>
  </xdr:twoCellAnchor>
  <xdr:twoCellAnchor editAs="oneCell">
    <xdr:from>
      <xdr:col>22</xdr:col>
      <xdr:colOff>336176</xdr:colOff>
      <xdr:row>0</xdr:row>
      <xdr:rowOff>44823</xdr:rowOff>
    </xdr:from>
    <xdr:to>
      <xdr:col>24</xdr:col>
      <xdr:colOff>79685</xdr:colOff>
      <xdr:row>3</xdr:row>
      <xdr:rowOff>178585</xdr:rowOff>
    </xdr:to>
    <xdr:pic>
      <xdr:nvPicPr>
        <xdr:cNvPr id="9" name="5 Imagen" descr="C:\Users\john.garcia\Desktop\LOGO CAPITAL LETRA NEGRA.png">
          <a:extLst>
            <a:ext uri="{FF2B5EF4-FFF2-40B4-BE49-F238E27FC236}">
              <a16:creationId xmlns:a16="http://schemas.microsoft.com/office/drawing/2014/main" id="{AB9E4E9B-D79A-4C43-B765-3EB773C5B4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49176" y="44823"/>
          <a:ext cx="1098177" cy="6735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820513</xdr:colOff>
      <xdr:row>1</xdr:row>
      <xdr:rowOff>50934</xdr:rowOff>
    </xdr:from>
    <xdr:to>
      <xdr:col>16</xdr:col>
      <xdr:colOff>493366</xdr:colOff>
      <xdr:row>1</xdr:row>
      <xdr:rowOff>665091</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65638" y="253340"/>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E5E7C1CC-7FEB-4947-8AA9-4C86963C01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RC/MRC%20PLANEA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RC/MRC%20FINANCIE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RC/MRC%20ATENCI&#211;N%20AL%20CIUDADAN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RC/1%20MRC%20SISTEM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RC/1%20MRC%20SERVICIOS%20ADMI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RC/1%20MRC%20GESTI&#211;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refreshError="1"/>
      <sheetData sheetId="1" refreshError="1"/>
      <sheetData sheetId="2" refreshError="1"/>
      <sheetData sheetId="3" refreshError="1"/>
      <sheetData sheetId="4">
        <row r="19">
          <cell r="E19" t="str">
            <v>Fuerte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refreshError="1"/>
      <sheetData sheetId="1" refreshError="1"/>
      <sheetData sheetId="2" refreshError="1"/>
      <sheetData sheetId="3" refreshError="1"/>
      <sheetData sheetId="4">
        <row r="206">
          <cell r="E206" t="str">
            <v>Fuerte</v>
          </cell>
        </row>
        <row r="223">
          <cell r="E223" t="str">
            <v>Fuerte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refreshError="1"/>
      <sheetData sheetId="1" refreshError="1"/>
      <sheetData sheetId="2" refreshError="1"/>
      <sheetData sheetId="3" refreshError="1"/>
      <sheetData sheetId="4">
        <row r="240">
          <cell r="E240" t="str">
            <v>Moderado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refreshError="1"/>
      <sheetData sheetId="1" refreshError="1"/>
      <sheetData sheetId="2" refreshError="1"/>
      <sheetData sheetId="3" refreshError="1"/>
      <sheetData sheetId="4">
        <row r="20">
          <cell r="E20" t="str">
            <v>Fuerte</v>
          </cell>
          <cell r="K20" t="str">
            <v>Fuerte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refreshError="1"/>
      <sheetData sheetId="1" refreshError="1"/>
      <sheetData sheetId="2"/>
      <sheetData sheetId="3" refreshError="1"/>
      <sheetData sheetId="4">
        <row r="20">
          <cell r="E20" t="str">
            <v>Fuerte</v>
          </cell>
          <cell r="K20" t="str">
            <v>Fuerte</v>
          </cell>
          <cell r="S20" t="str">
            <v>Moderado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refreshError="1"/>
      <sheetData sheetId="1" refreshError="1"/>
      <sheetData sheetId="2" refreshError="1"/>
      <sheetData sheetId="3" refreshError="1"/>
      <sheetData sheetId="4">
        <row r="20">
          <cell r="E20" t="str">
            <v>Moderado</v>
          </cell>
          <cell r="K20" t="str">
            <v>Fuerte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E11" sqref="E11"/>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235" t="s">
        <v>198</v>
      </c>
      <c r="B2" s="235"/>
      <c r="C2" s="235"/>
      <c r="D2" s="235"/>
      <c r="E2" s="235"/>
      <c r="F2" s="235"/>
      <c r="G2" s="235"/>
    </row>
    <row r="3" spans="1:8" ht="8.25" customHeight="1" x14ac:dyDescent="0.2"/>
    <row r="4" spans="1:8" ht="13.5" customHeight="1" x14ac:dyDescent="0.2">
      <c r="E4" s="243" t="s">
        <v>70</v>
      </c>
      <c r="F4" s="243"/>
      <c r="G4" s="243"/>
    </row>
    <row r="5" spans="1:8" ht="6" customHeight="1" x14ac:dyDescent="0.2">
      <c r="D5" s="2"/>
      <c r="E5" s="3"/>
      <c r="F5" s="3"/>
      <c r="G5" s="3"/>
      <c r="H5" s="4"/>
    </row>
    <row r="6" spans="1:8" ht="6" customHeight="1" thickBot="1" x14ac:dyDescent="0.25">
      <c r="E6" s="3"/>
      <c r="F6" s="3"/>
      <c r="G6" s="3"/>
    </row>
    <row r="7" spans="1:8" ht="20.25" customHeight="1" x14ac:dyDescent="0.2">
      <c r="A7" s="244" t="s">
        <v>3</v>
      </c>
      <c r="B7" s="5" t="s">
        <v>4</v>
      </c>
      <c r="C7" s="6">
        <v>5</v>
      </c>
      <c r="D7" s="7">
        <v>10</v>
      </c>
      <c r="E7" s="8">
        <v>15</v>
      </c>
      <c r="F7" s="9">
        <v>20</v>
      </c>
      <c r="G7" s="10">
        <v>25</v>
      </c>
    </row>
    <row r="8" spans="1:8" ht="20.25" customHeight="1" x14ac:dyDescent="0.2">
      <c r="A8" s="244"/>
      <c r="B8" s="5" t="s">
        <v>5</v>
      </c>
      <c r="C8" s="6">
        <v>4</v>
      </c>
      <c r="D8" s="7">
        <v>8</v>
      </c>
      <c r="E8" s="11">
        <v>12</v>
      </c>
      <c r="F8" s="12">
        <v>16</v>
      </c>
      <c r="G8" s="13">
        <v>20</v>
      </c>
    </row>
    <row r="9" spans="1:8" ht="20.25" customHeight="1" x14ac:dyDescent="0.2">
      <c r="A9" s="244"/>
      <c r="B9" s="5" t="s">
        <v>6</v>
      </c>
      <c r="C9" s="6">
        <v>3</v>
      </c>
      <c r="D9" s="14">
        <v>6</v>
      </c>
      <c r="E9" s="11">
        <v>9</v>
      </c>
      <c r="F9" s="15">
        <v>12</v>
      </c>
      <c r="G9" s="13">
        <v>15</v>
      </c>
    </row>
    <row r="10" spans="1:8" ht="20.25" customHeight="1" x14ac:dyDescent="0.2">
      <c r="A10" s="244"/>
      <c r="B10" s="5" t="s">
        <v>7</v>
      </c>
      <c r="C10" s="16">
        <v>2</v>
      </c>
      <c r="D10" s="14">
        <v>4</v>
      </c>
      <c r="E10" s="17">
        <v>6</v>
      </c>
      <c r="F10" s="15">
        <v>8</v>
      </c>
      <c r="G10" s="18">
        <v>10</v>
      </c>
    </row>
    <row r="11" spans="1:8" ht="20.25" customHeight="1" thickBot="1" x14ac:dyDescent="0.25">
      <c r="A11" s="244"/>
      <c r="B11" s="5" t="s">
        <v>8</v>
      </c>
      <c r="C11" s="16">
        <v>1</v>
      </c>
      <c r="D11" s="19">
        <v>2</v>
      </c>
      <c r="E11" s="20">
        <v>3</v>
      </c>
      <c r="F11" s="21">
        <v>4</v>
      </c>
      <c r="G11" s="22">
        <v>5</v>
      </c>
    </row>
    <row r="12" spans="1:8" ht="18" customHeight="1" x14ac:dyDescent="0.2">
      <c r="B12" s="245"/>
      <c r="C12" s="5" t="s">
        <v>9</v>
      </c>
      <c r="D12" s="5" t="s">
        <v>10</v>
      </c>
      <c r="E12" s="23" t="s">
        <v>11</v>
      </c>
      <c r="F12" s="23" t="s">
        <v>12</v>
      </c>
      <c r="G12" s="23" t="s">
        <v>13</v>
      </c>
    </row>
    <row r="13" spans="1:8" ht="22.5" customHeight="1" x14ac:dyDescent="0.2">
      <c r="B13" s="245"/>
      <c r="C13" s="246" t="s">
        <v>14</v>
      </c>
      <c r="D13" s="247"/>
      <c r="E13" s="247"/>
      <c r="F13" s="247"/>
      <c r="G13" s="248"/>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240" t="s">
        <v>65</v>
      </c>
      <c r="C16" s="241"/>
      <c r="D16" s="241"/>
      <c r="E16" s="241"/>
      <c r="F16" s="241"/>
      <c r="G16" s="242"/>
    </row>
    <row r="17" spans="1:7" ht="13.5" customHeight="1" x14ac:dyDescent="0.2">
      <c r="A17" s="3"/>
      <c r="B17" s="31" t="s">
        <v>58</v>
      </c>
      <c r="C17" s="32" t="s">
        <v>62</v>
      </c>
      <c r="D17" s="249" t="s">
        <v>66</v>
      </c>
      <c r="E17" s="249"/>
      <c r="F17" s="249"/>
      <c r="G17" s="250"/>
    </row>
    <row r="18" spans="1:7" ht="13.5" customHeight="1" x14ac:dyDescent="0.2">
      <c r="A18" s="3"/>
      <c r="B18" s="33" t="s">
        <v>59</v>
      </c>
      <c r="C18" s="29" t="s">
        <v>36</v>
      </c>
      <c r="D18" s="236" t="s">
        <v>67</v>
      </c>
      <c r="E18" s="236"/>
      <c r="F18" s="236"/>
      <c r="G18" s="237"/>
    </row>
    <row r="19" spans="1:7" ht="13.5" customHeight="1" x14ac:dyDescent="0.2">
      <c r="A19" s="3"/>
      <c r="B19" s="34" t="s">
        <v>60</v>
      </c>
      <c r="C19" s="29" t="s">
        <v>63</v>
      </c>
      <c r="D19" s="236" t="s">
        <v>68</v>
      </c>
      <c r="E19" s="236"/>
      <c r="F19" s="236"/>
      <c r="G19" s="237"/>
    </row>
    <row r="20" spans="1:7" ht="13.5" customHeight="1" thickBot="1" x14ac:dyDescent="0.25">
      <c r="A20" s="3"/>
      <c r="B20" s="35" t="s">
        <v>61</v>
      </c>
      <c r="C20" s="30" t="s">
        <v>64</v>
      </c>
      <c r="D20" s="238" t="s">
        <v>69</v>
      </c>
      <c r="E20" s="238"/>
      <c r="F20" s="238"/>
      <c r="G20" s="239"/>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D4" sqref="D4"/>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x14ac:dyDescent="0.25">
      <c r="A2" s="36" t="s">
        <v>15</v>
      </c>
      <c r="B2" s="36" t="s">
        <v>16</v>
      </c>
      <c r="C2" s="36" t="s">
        <v>56</v>
      </c>
      <c r="D2" s="36" t="s">
        <v>76</v>
      </c>
      <c r="E2" s="36" t="s">
        <v>17</v>
      </c>
      <c r="F2" s="36" t="s">
        <v>14</v>
      </c>
      <c r="G2" s="36" t="s">
        <v>18</v>
      </c>
      <c r="H2" s="36" t="s">
        <v>57</v>
      </c>
      <c r="I2" s="36" t="s">
        <v>98</v>
      </c>
      <c r="J2" s="36" t="s">
        <v>99</v>
      </c>
      <c r="K2" s="36" t="s">
        <v>100</v>
      </c>
      <c r="L2" s="36" t="s">
        <v>101</v>
      </c>
      <c r="M2" s="36" t="s">
        <v>102</v>
      </c>
      <c r="N2" s="36" t="s">
        <v>103</v>
      </c>
      <c r="O2" s="36" t="s">
        <v>104</v>
      </c>
      <c r="P2" s="36" t="s">
        <v>154</v>
      </c>
      <c r="Q2" s="36" t="s">
        <v>153</v>
      </c>
      <c r="R2" s="36" t="s">
        <v>175</v>
      </c>
    </row>
    <row r="4" spans="1:18" x14ac:dyDescent="0.25">
      <c r="A4" t="s">
        <v>19</v>
      </c>
      <c r="B4" t="s">
        <v>20</v>
      </c>
      <c r="C4" t="s">
        <v>21</v>
      </c>
      <c r="D4" t="s">
        <v>19</v>
      </c>
      <c r="E4" t="s">
        <v>22</v>
      </c>
      <c r="F4" t="s">
        <v>81</v>
      </c>
      <c r="G4" t="s">
        <v>23</v>
      </c>
      <c r="H4" t="s">
        <v>24</v>
      </c>
      <c r="I4" t="s">
        <v>105</v>
      </c>
      <c r="J4" t="s">
        <v>107</v>
      </c>
      <c r="K4" t="s">
        <v>109</v>
      </c>
      <c r="L4" t="s">
        <v>111</v>
      </c>
      <c r="M4" t="s">
        <v>113</v>
      </c>
      <c r="N4" t="s">
        <v>115</v>
      </c>
      <c r="O4" t="s">
        <v>117</v>
      </c>
      <c r="P4" t="s">
        <v>155</v>
      </c>
      <c r="Q4" t="s">
        <v>163</v>
      </c>
      <c r="R4" t="s">
        <v>163</v>
      </c>
    </row>
    <row r="5" spans="1:18" x14ac:dyDescent="0.25">
      <c r="A5" t="s">
        <v>25</v>
      </c>
      <c r="B5" t="s">
        <v>26</v>
      </c>
      <c r="C5" t="s">
        <v>27</v>
      </c>
      <c r="D5" t="s">
        <v>34</v>
      </c>
      <c r="E5" t="s">
        <v>29</v>
      </c>
      <c r="F5" t="s">
        <v>82</v>
      </c>
      <c r="G5" t="s">
        <v>30</v>
      </c>
      <c r="H5" t="s">
        <v>31</v>
      </c>
      <c r="I5" t="s">
        <v>106</v>
      </c>
      <c r="J5" t="s">
        <v>108</v>
      </c>
      <c r="K5" t="s">
        <v>110</v>
      </c>
      <c r="L5" t="s">
        <v>112</v>
      </c>
      <c r="M5" t="s">
        <v>114</v>
      </c>
      <c r="N5" t="s">
        <v>116</v>
      </c>
      <c r="O5" t="s">
        <v>118</v>
      </c>
      <c r="P5" t="s">
        <v>36</v>
      </c>
      <c r="Q5" t="s">
        <v>164</v>
      </c>
      <c r="R5" t="s">
        <v>165</v>
      </c>
    </row>
    <row r="6" spans="1:18" x14ac:dyDescent="0.25">
      <c r="A6" t="s">
        <v>32</v>
      </c>
      <c r="B6" t="s">
        <v>33</v>
      </c>
      <c r="C6" t="s">
        <v>190</v>
      </c>
      <c r="D6" t="s">
        <v>28</v>
      </c>
      <c r="E6" t="s">
        <v>35</v>
      </c>
      <c r="F6" t="s">
        <v>36</v>
      </c>
      <c r="H6" t="s">
        <v>37</v>
      </c>
      <c r="O6" t="s">
        <v>119</v>
      </c>
      <c r="P6" t="s">
        <v>156</v>
      </c>
      <c r="R6" t="s">
        <v>164</v>
      </c>
    </row>
    <row r="7" spans="1:18" x14ac:dyDescent="0.25">
      <c r="A7" t="s">
        <v>38</v>
      </c>
      <c r="B7" t="s">
        <v>39</v>
      </c>
      <c r="D7" t="s">
        <v>44</v>
      </c>
      <c r="E7" t="s">
        <v>40</v>
      </c>
      <c r="F7" t="s">
        <v>41</v>
      </c>
      <c r="H7" t="s">
        <v>42</v>
      </c>
    </row>
    <row r="8" spans="1:18" x14ac:dyDescent="0.25">
      <c r="B8" t="s">
        <v>43</v>
      </c>
      <c r="D8" t="s">
        <v>72</v>
      </c>
      <c r="E8" t="s">
        <v>45</v>
      </c>
      <c r="F8" t="s">
        <v>46</v>
      </c>
    </row>
    <row r="9" spans="1:18" x14ac:dyDescent="0.25">
      <c r="B9" t="s">
        <v>47</v>
      </c>
      <c r="D9" t="s">
        <v>27</v>
      </c>
    </row>
    <row r="10" spans="1:18" x14ac:dyDescent="0.25">
      <c r="B10" t="s">
        <v>48</v>
      </c>
      <c r="D10" t="s">
        <v>73</v>
      </c>
    </row>
    <row r="11" spans="1:18" x14ac:dyDescent="0.25">
      <c r="B11" t="s">
        <v>49</v>
      </c>
      <c r="D11" t="s">
        <v>74</v>
      </c>
    </row>
    <row r="12" spans="1:18" x14ac:dyDescent="0.25">
      <c r="B12" t="s">
        <v>50</v>
      </c>
      <c r="D12" t="s">
        <v>75</v>
      </c>
    </row>
    <row r="13" spans="1:18" x14ac:dyDescent="0.25">
      <c r="B13" t="s">
        <v>51</v>
      </c>
    </row>
    <row r="14" spans="1:18" x14ac:dyDescent="0.25">
      <c r="B14" t="s">
        <v>52</v>
      </c>
    </row>
    <row r="15" spans="1:18" x14ac:dyDescent="0.25">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5"/>
  <sheetViews>
    <sheetView tabSelected="1" zoomScale="90" zoomScaleNormal="90" zoomScaleSheetLayoutView="85" workbookViewId="0">
      <selection activeCell="B8" sqref="B8:Q8"/>
    </sheetView>
  </sheetViews>
  <sheetFormatPr baseColWidth="10" defaultRowHeight="14.25" x14ac:dyDescent="0.2"/>
  <cols>
    <col min="1" max="1" width="22" style="62" customWidth="1"/>
    <col min="2" max="2" width="18.28515625" style="62" customWidth="1"/>
    <col min="3" max="3" width="35.7109375" style="62" customWidth="1"/>
    <col min="4" max="4" width="11.42578125" style="62"/>
    <col min="5" max="5" width="14.28515625" style="62" customWidth="1"/>
    <col min="6" max="6" width="25" style="62" customWidth="1"/>
    <col min="7" max="7" width="29.42578125" style="62" customWidth="1"/>
    <col min="8" max="8" width="14.140625" style="62" customWidth="1"/>
    <col min="9" max="9" width="33" style="62" customWidth="1"/>
    <col min="10" max="10" width="25.85546875" style="62" customWidth="1"/>
    <col min="11" max="11" width="15" style="62" customWidth="1"/>
    <col min="12" max="12" width="4.28515625" style="62" customWidth="1"/>
    <col min="13" max="13" width="15" style="62" customWidth="1"/>
    <col min="14" max="14" width="4.28515625" style="62" customWidth="1"/>
    <col min="15" max="16" width="17" style="62" customWidth="1"/>
    <col min="17" max="17" width="35.85546875" style="62" customWidth="1"/>
    <col min="18" max="19" width="17.28515625" style="62" customWidth="1"/>
    <col min="20" max="20" width="16" style="62" customWidth="1"/>
    <col min="21" max="21" width="4.28515625" style="139" customWidth="1"/>
    <col min="22" max="22" width="13.140625" style="62" customWidth="1"/>
    <col min="23" max="23" width="13.28515625" style="62" customWidth="1"/>
    <col min="24" max="24" width="7" style="62" customWidth="1"/>
    <col min="25" max="25" width="10" style="62" customWidth="1"/>
    <col min="26" max="26" width="13.85546875" style="62" customWidth="1"/>
    <col min="27" max="27" width="8.42578125" style="62" customWidth="1"/>
    <col min="28" max="28" width="13.28515625" style="62" customWidth="1"/>
    <col min="29" max="29" width="8.42578125" style="62" customWidth="1"/>
    <col min="30" max="30" width="5.5703125" style="62" customWidth="1"/>
    <col min="31" max="31" width="15.140625" style="62" customWidth="1"/>
    <col min="32" max="32" width="5.5703125" style="62" customWidth="1"/>
    <col min="33" max="33" width="13.140625" style="62" customWidth="1"/>
    <col min="34" max="34" width="15.85546875" style="62" customWidth="1"/>
    <col min="35" max="36" width="12.28515625" style="62" customWidth="1"/>
    <col min="37" max="37" width="68.5703125" style="62" customWidth="1"/>
    <col min="38" max="38" width="28.42578125" style="62" customWidth="1"/>
    <col min="39" max="39" width="17.7109375" style="62" customWidth="1"/>
    <col min="40" max="40" width="16.5703125" style="62" customWidth="1"/>
    <col min="41" max="41" width="22.42578125" style="62" customWidth="1"/>
    <col min="42" max="16384" width="11.42578125" style="62"/>
  </cols>
  <sheetData>
    <row r="1" spans="1:41" ht="14.25" customHeight="1" x14ac:dyDescent="0.2">
      <c r="A1" s="317"/>
      <c r="B1" s="272" t="s">
        <v>195</v>
      </c>
      <c r="C1" s="273"/>
      <c r="D1" s="273"/>
      <c r="E1" s="273"/>
      <c r="F1" s="273"/>
      <c r="G1" s="273"/>
      <c r="H1" s="273"/>
      <c r="I1" s="273"/>
      <c r="J1" s="273"/>
      <c r="K1" s="273"/>
      <c r="L1" s="273"/>
      <c r="M1" s="273"/>
      <c r="N1" s="273"/>
      <c r="O1" s="273"/>
      <c r="P1" s="274"/>
      <c r="Q1" s="283" t="s">
        <v>192</v>
      </c>
      <c r="R1" s="284"/>
      <c r="S1" s="284"/>
      <c r="T1" s="284"/>
      <c r="U1" s="285"/>
      <c r="V1" s="262"/>
      <c r="W1" s="256"/>
      <c r="X1" s="257"/>
      <c r="Y1" s="257"/>
      <c r="Z1" s="272" t="str">
        <f>+B1</f>
        <v>MATRIZ DE CALIFICACIÓN, EVALUACIÓN Y RESPUESTA A LOS RIESGOS</v>
      </c>
      <c r="AA1" s="273"/>
      <c r="AB1" s="273"/>
      <c r="AC1" s="273"/>
      <c r="AD1" s="273"/>
      <c r="AE1" s="273"/>
      <c r="AF1" s="273"/>
      <c r="AG1" s="273"/>
      <c r="AH1" s="273"/>
      <c r="AI1" s="273"/>
      <c r="AJ1" s="273"/>
      <c r="AK1" s="273"/>
      <c r="AL1" s="274"/>
      <c r="AM1" s="253" t="str">
        <f>+Q1</f>
        <v>CÓDIGO: EPLE-FT-025</v>
      </c>
      <c r="AN1" s="253"/>
      <c r="AO1" s="314"/>
    </row>
    <row r="2" spans="1:41" ht="14.25" customHeight="1" x14ac:dyDescent="0.2">
      <c r="A2" s="318"/>
      <c r="B2" s="275"/>
      <c r="C2" s="276"/>
      <c r="D2" s="276"/>
      <c r="E2" s="276"/>
      <c r="F2" s="276"/>
      <c r="G2" s="276"/>
      <c r="H2" s="276"/>
      <c r="I2" s="276"/>
      <c r="J2" s="276"/>
      <c r="K2" s="276"/>
      <c r="L2" s="276"/>
      <c r="M2" s="276"/>
      <c r="N2" s="276"/>
      <c r="O2" s="276"/>
      <c r="P2" s="277"/>
      <c r="Q2" s="295" t="s">
        <v>193</v>
      </c>
      <c r="R2" s="296"/>
      <c r="S2" s="296"/>
      <c r="T2" s="296"/>
      <c r="U2" s="297"/>
      <c r="V2" s="263"/>
      <c r="W2" s="258"/>
      <c r="X2" s="259"/>
      <c r="Y2" s="259"/>
      <c r="Z2" s="275"/>
      <c r="AA2" s="276"/>
      <c r="AB2" s="276"/>
      <c r="AC2" s="276"/>
      <c r="AD2" s="276"/>
      <c r="AE2" s="276"/>
      <c r="AF2" s="276"/>
      <c r="AG2" s="276"/>
      <c r="AH2" s="276"/>
      <c r="AI2" s="276"/>
      <c r="AJ2" s="276"/>
      <c r="AK2" s="276"/>
      <c r="AL2" s="277"/>
      <c r="AM2" s="254" t="str">
        <f>+Q2</f>
        <v>VERSIÓN: 09</v>
      </c>
      <c r="AN2" s="254"/>
      <c r="AO2" s="315"/>
    </row>
    <row r="3" spans="1:41" ht="14.25" customHeight="1" x14ac:dyDescent="0.2">
      <c r="A3" s="318"/>
      <c r="B3" s="275"/>
      <c r="C3" s="276"/>
      <c r="D3" s="276"/>
      <c r="E3" s="276"/>
      <c r="F3" s="276"/>
      <c r="G3" s="276"/>
      <c r="H3" s="276"/>
      <c r="I3" s="276"/>
      <c r="J3" s="276"/>
      <c r="K3" s="276"/>
      <c r="L3" s="276"/>
      <c r="M3" s="276"/>
      <c r="N3" s="276"/>
      <c r="O3" s="276"/>
      <c r="P3" s="277"/>
      <c r="Q3" s="295" t="s">
        <v>196</v>
      </c>
      <c r="R3" s="296"/>
      <c r="S3" s="296"/>
      <c r="T3" s="296"/>
      <c r="U3" s="297"/>
      <c r="V3" s="263"/>
      <c r="W3" s="258"/>
      <c r="X3" s="259"/>
      <c r="Y3" s="259"/>
      <c r="Z3" s="275"/>
      <c r="AA3" s="276"/>
      <c r="AB3" s="276"/>
      <c r="AC3" s="276"/>
      <c r="AD3" s="276"/>
      <c r="AE3" s="276"/>
      <c r="AF3" s="276"/>
      <c r="AG3" s="276"/>
      <c r="AH3" s="276"/>
      <c r="AI3" s="276"/>
      <c r="AJ3" s="276"/>
      <c r="AK3" s="276"/>
      <c r="AL3" s="277"/>
      <c r="AM3" s="254" t="str">
        <f>+Q3</f>
        <v>FECHA DE APROBACIÓN: 15/01/2020</v>
      </c>
      <c r="AN3" s="254"/>
      <c r="AO3" s="315"/>
    </row>
    <row r="4" spans="1:41" ht="15" customHeight="1" thickBot="1" x14ac:dyDescent="0.25">
      <c r="A4" s="319"/>
      <c r="B4" s="278"/>
      <c r="C4" s="279"/>
      <c r="D4" s="279"/>
      <c r="E4" s="279"/>
      <c r="F4" s="279"/>
      <c r="G4" s="279"/>
      <c r="H4" s="279"/>
      <c r="I4" s="279"/>
      <c r="J4" s="279"/>
      <c r="K4" s="279"/>
      <c r="L4" s="279"/>
      <c r="M4" s="279"/>
      <c r="N4" s="279"/>
      <c r="O4" s="279"/>
      <c r="P4" s="280"/>
      <c r="Q4" s="298" t="s">
        <v>194</v>
      </c>
      <c r="R4" s="299"/>
      <c r="S4" s="299"/>
      <c r="T4" s="299"/>
      <c r="U4" s="300"/>
      <c r="V4" s="264"/>
      <c r="W4" s="260"/>
      <c r="X4" s="261"/>
      <c r="Y4" s="261"/>
      <c r="Z4" s="278"/>
      <c r="AA4" s="279"/>
      <c r="AB4" s="279"/>
      <c r="AC4" s="279"/>
      <c r="AD4" s="279"/>
      <c r="AE4" s="279"/>
      <c r="AF4" s="279"/>
      <c r="AG4" s="279"/>
      <c r="AH4" s="279"/>
      <c r="AI4" s="279"/>
      <c r="AJ4" s="279"/>
      <c r="AK4" s="279"/>
      <c r="AL4" s="280"/>
      <c r="AM4" s="255" t="str">
        <f>+Q4</f>
        <v>RESPONSABLE: PLANEACIÓN</v>
      </c>
      <c r="AN4" s="255"/>
      <c r="AO4" s="316"/>
    </row>
    <row r="5" spans="1:41" ht="6.75" customHeight="1" x14ac:dyDescent="0.2"/>
    <row r="6" spans="1:41" s="63" customFormat="1" ht="14.25" customHeight="1" x14ac:dyDescent="0.25">
      <c r="A6" s="181" t="s">
        <v>424</v>
      </c>
      <c r="B6" s="182">
        <v>1</v>
      </c>
      <c r="C6" s="183"/>
      <c r="D6" s="183"/>
      <c r="E6" s="183"/>
      <c r="F6" s="183"/>
      <c r="G6" s="183"/>
      <c r="H6" s="183"/>
      <c r="I6" s="183"/>
      <c r="J6" s="183"/>
      <c r="K6" s="183"/>
      <c r="L6" s="183"/>
      <c r="M6" s="183"/>
      <c r="N6" s="183"/>
      <c r="O6" s="183"/>
      <c r="P6" s="183"/>
      <c r="Q6" s="183"/>
      <c r="W6" s="379" t="s">
        <v>424</v>
      </c>
      <c r="X6" s="379"/>
      <c r="Y6" s="379"/>
      <c r="Z6" s="182">
        <f>B6</f>
        <v>1</v>
      </c>
    </row>
    <row r="7" spans="1:41" s="63" customFormat="1" ht="14.25" customHeight="1" x14ac:dyDescent="0.25">
      <c r="A7" s="181" t="s">
        <v>425</v>
      </c>
      <c r="B7" s="184">
        <v>44592</v>
      </c>
      <c r="C7" s="183"/>
      <c r="D7" s="183"/>
      <c r="E7" s="183"/>
      <c r="F7" s="183"/>
      <c r="G7" s="183"/>
      <c r="H7" s="183"/>
      <c r="I7" s="183"/>
      <c r="J7" s="183"/>
      <c r="K7" s="183"/>
      <c r="L7" s="183"/>
      <c r="M7" s="183"/>
      <c r="N7" s="183"/>
      <c r="O7" s="183"/>
      <c r="P7" s="183"/>
      <c r="Q7" s="183"/>
      <c r="W7" s="379" t="s">
        <v>425</v>
      </c>
      <c r="X7" s="379"/>
      <c r="Y7" s="379"/>
      <c r="Z7" s="184">
        <f>B7</f>
        <v>44592</v>
      </c>
    </row>
    <row r="8" spans="1:41" s="63" customFormat="1" ht="33" customHeight="1" x14ac:dyDescent="0.25">
      <c r="A8" s="212" t="s">
        <v>426</v>
      </c>
      <c r="B8" s="380" t="s">
        <v>462</v>
      </c>
      <c r="C8" s="380"/>
      <c r="D8" s="380"/>
      <c r="E8" s="380"/>
      <c r="F8" s="380"/>
      <c r="G8" s="380"/>
      <c r="H8" s="380"/>
      <c r="I8" s="380"/>
      <c r="J8" s="380"/>
      <c r="K8" s="380"/>
      <c r="L8" s="380"/>
      <c r="M8" s="380"/>
      <c r="N8" s="380"/>
      <c r="O8" s="380"/>
      <c r="P8" s="380"/>
      <c r="Q8" s="380"/>
      <c r="W8" s="379" t="s">
        <v>426</v>
      </c>
      <c r="X8" s="379"/>
      <c r="Y8" s="379"/>
      <c r="Z8" s="381" t="str">
        <f>B8</f>
        <v>Se publica el documento Matriz de Riesgos de Corrupción en su primera versión, de acuerdo con los compromisos definidos por las diferentes áreas de la entidad para la mitigación de posibles situaciones de corrupción en la gestión administrativa.</v>
      </c>
      <c r="AA8" s="381"/>
      <c r="AB8" s="381"/>
      <c r="AC8" s="381"/>
      <c r="AD8" s="381"/>
      <c r="AE8" s="381"/>
      <c r="AF8" s="381"/>
      <c r="AG8" s="381"/>
      <c r="AH8" s="381"/>
      <c r="AI8" s="381"/>
      <c r="AJ8" s="381"/>
      <c r="AK8" s="381"/>
      <c r="AL8" s="381"/>
      <c r="AM8" s="381"/>
      <c r="AN8" s="381"/>
    </row>
    <row r="9" spans="1:41" s="63" customFormat="1" ht="6.75" customHeight="1" thickBot="1" x14ac:dyDescent="0.3"/>
    <row r="10" spans="1:41" s="63" customFormat="1" ht="20.25" customHeight="1" thickBot="1" x14ac:dyDescent="0.3">
      <c r="A10" s="327" t="s">
        <v>0</v>
      </c>
      <c r="B10" s="328"/>
      <c r="C10" s="328"/>
      <c r="D10" s="328"/>
      <c r="E10" s="328"/>
      <c r="F10" s="328"/>
      <c r="G10" s="328"/>
      <c r="H10" s="328"/>
      <c r="I10" s="328"/>
      <c r="J10" s="329"/>
      <c r="K10" s="335" t="s">
        <v>77</v>
      </c>
      <c r="L10" s="336"/>
      <c r="M10" s="336"/>
      <c r="N10" s="336"/>
      <c r="O10" s="336"/>
      <c r="P10" s="337"/>
      <c r="Q10" s="286" t="s">
        <v>172</v>
      </c>
      <c r="R10" s="287"/>
      <c r="S10" s="287"/>
      <c r="T10" s="287"/>
      <c r="U10" s="287"/>
      <c r="V10" s="288"/>
      <c r="W10" s="265" t="s">
        <v>159</v>
      </c>
      <c r="X10" s="266"/>
      <c r="Y10" s="266"/>
      <c r="Z10" s="266"/>
      <c r="AA10" s="266"/>
      <c r="AB10" s="266"/>
      <c r="AC10" s="266"/>
      <c r="AD10" s="266"/>
      <c r="AE10" s="266"/>
      <c r="AF10" s="266"/>
      <c r="AG10" s="266"/>
      <c r="AH10" s="266"/>
      <c r="AI10" s="266"/>
      <c r="AJ10" s="267"/>
      <c r="AK10" s="301" t="s">
        <v>186</v>
      </c>
      <c r="AL10" s="302"/>
      <c r="AM10" s="302"/>
      <c r="AN10" s="302"/>
      <c r="AO10" s="303"/>
    </row>
    <row r="11" spans="1:41" s="63" customFormat="1" ht="26.25" customHeight="1" x14ac:dyDescent="0.25">
      <c r="A11" s="320" t="s">
        <v>90</v>
      </c>
      <c r="B11" s="321"/>
      <c r="C11" s="321"/>
      <c r="D11" s="321"/>
      <c r="E11" s="321"/>
      <c r="F11" s="322" t="s">
        <v>83</v>
      </c>
      <c r="G11" s="322" t="s">
        <v>71</v>
      </c>
      <c r="H11" s="326" t="s">
        <v>187</v>
      </c>
      <c r="I11" s="322" t="s">
        <v>191</v>
      </c>
      <c r="J11" s="324" t="s">
        <v>84</v>
      </c>
      <c r="K11" s="340" t="s">
        <v>88</v>
      </c>
      <c r="L11" s="331" t="s">
        <v>79</v>
      </c>
      <c r="M11" s="331" t="s">
        <v>89</v>
      </c>
      <c r="N11" s="331" t="s">
        <v>80</v>
      </c>
      <c r="O11" s="333" t="s">
        <v>85</v>
      </c>
      <c r="P11" s="338" t="s">
        <v>78</v>
      </c>
      <c r="Q11" s="281" t="s">
        <v>86</v>
      </c>
      <c r="R11" s="270" t="s">
        <v>184</v>
      </c>
      <c r="S11" s="291" t="s">
        <v>166</v>
      </c>
      <c r="T11" s="270" t="s">
        <v>168</v>
      </c>
      <c r="U11" s="293" t="s">
        <v>170</v>
      </c>
      <c r="V11" s="289" t="s">
        <v>157</v>
      </c>
      <c r="W11" s="342" t="s">
        <v>169</v>
      </c>
      <c r="X11" s="344" t="s">
        <v>171</v>
      </c>
      <c r="Y11" s="268" t="s">
        <v>167</v>
      </c>
      <c r="Z11" s="268" t="s">
        <v>161</v>
      </c>
      <c r="AA11" s="344" t="s">
        <v>173</v>
      </c>
      <c r="AB11" s="268" t="s">
        <v>162</v>
      </c>
      <c r="AC11" s="350" t="s">
        <v>174</v>
      </c>
      <c r="AD11" s="347" t="s">
        <v>176</v>
      </c>
      <c r="AE11" s="348"/>
      <c r="AF11" s="348"/>
      <c r="AG11" s="348"/>
      <c r="AH11" s="349"/>
      <c r="AI11" s="304" t="s">
        <v>160</v>
      </c>
      <c r="AJ11" s="312" t="s">
        <v>183</v>
      </c>
      <c r="AK11" s="306" t="s">
        <v>188</v>
      </c>
      <c r="AL11" s="310" t="s">
        <v>189</v>
      </c>
      <c r="AM11" s="310" t="s">
        <v>127</v>
      </c>
      <c r="AN11" s="310" t="s">
        <v>185</v>
      </c>
      <c r="AO11" s="308" t="s">
        <v>197</v>
      </c>
    </row>
    <row r="12" spans="1:41" s="63" customFormat="1" ht="52.5" customHeight="1" thickBot="1" x14ac:dyDescent="0.3">
      <c r="A12" s="128" t="s">
        <v>1</v>
      </c>
      <c r="B12" s="185" t="s">
        <v>2</v>
      </c>
      <c r="C12" s="129" t="s">
        <v>54</v>
      </c>
      <c r="D12" s="129" t="s">
        <v>56</v>
      </c>
      <c r="E12" s="129" t="s">
        <v>55</v>
      </c>
      <c r="F12" s="323"/>
      <c r="G12" s="323"/>
      <c r="H12" s="323"/>
      <c r="I12" s="330"/>
      <c r="J12" s="325"/>
      <c r="K12" s="341"/>
      <c r="L12" s="332"/>
      <c r="M12" s="332"/>
      <c r="N12" s="332"/>
      <c r="O12" s="334"/>
      <c r="P12" s="339"/>
      <c r="Q12" s="282"/>
      <c r="R12" s="271"/>
      <c r="S12" s="292"/>
      <c r="T12" s="271"/>
      <c r="U12" s="294"/>
      <c r="V12" s="290"/>
      <c r="W12" s="343"/>
      <c r="X12" s="345"/>
      <c r="Y12" s="269"/>
      <c r="Z12" s="269"/>
      <c r="AA12" s="345"/>
      <c r="AB12" s="269"/>
      <c r="AC12" s="351"/>
      <c r="AD12" s="144" t="s">
        <v>177</v>
      </c>
      <c r="AE12" s="143" t="s">
        <v>178</v>
      </c>
      <c r="AF12" s="143" t="s">
        <v>179</v>
      </c>
      <c r="AG12" s="143" t="s">
        <v>180</v>
      </c>
      <c r="AH12" s="142" t="s">
        <v>181</v>
      </c>
      <c r="AI12" s="305"/>
      <c r="AJ12" s="313"/>
      <c r="AK12" s="307"/>
      <c r="AL12" s="311"/>
      <c r="AM12" s="311"/>
      <c r="AN12" s="311"/>
      <c r="AO12" s="309"/>
    </row>
    <row r="13" spans="1:41" s="64" customFormat="1" ht="192.75" customHeight="1" x14ac:dyDescent="0.25">
      <c r="A13" s="156" t="s">
        <v>19</v>
      </c>
      <c r="B13" s="157" t="s">
        <v>20</v>
      </c>
      <c r="C13" s="157" t="s">
        <v>199</v>
      </c>
      <c r="D13" s="154" t="s">
        <v>27</v>
      </c>
      <c r="E13" s="154" t="s">
        <v>206</v>
      </c>
      <c r="F13" s="636" t="s">
        <v>305</v>
      </c>
      <c r="G13" s="636" t="s">
        <v>259</v>
      </c>
      <c r="H13" s="154" t="s">
        <v>27</v>
      </c>
      <c r="I13" s="157" t="s">
        <v>260</v>
      </c>
      <c r="J13" s="159" t="s">
        <v>223</v>
      </c>
      <c r="K13" s="155" t="s">
        <v>22</v>
      </c>
      <c r="L13" s="544">
        <f t="shared" ref="L13" si="0">IF(K13="Rara vez",1,IF(K13="Improbable",2,IF(K13="Posible",3,IF(K13="Probable",4,IF(K13="Casi seguro",5,"")))))</f>
        <v>1</v>
      </c>
      <c r="M13" s="154" t="s">
        <v>41</v>
      </c>
      <c r="N13" s="544">
        <f t="shared" ref="N13" si="1">IF(M13="Insignificante",1,IF(M13="Menor",2,IF(M13="Moderado",3,IF(M13="Mayor",4,IF(M13="Catastrófico",5,"")))))</f>
        <v>4</v>
      </c>
      <c r="O13" s="545">
        <f t="shared" ref="O13" si="2">IF(OR(L13="",N13=""),"",L13*N13)</f>
        <v>4</v>
      </c>
      <c r="P13" s="546" t="str">
        <f t="shared" ref="P13" si="3">IF(O13="","",IF(O13&lt;=2,"BAJA",IF(O13&lt;=6,"MODERADA",IF(O13&lt;=12,"ALTA","EXTREMA"))))</f>
        <v>MODERADA</v>
      </c>
      <c r="Q13" s="156" t="s">
        <v>306</v>
      </c>
      <c r="R13" s="544" t="str">
        <f>'[2]Anexo 2 - Controles (Corrup).'!E19</f>
        <v>Fuerte</v>
      </c>
      <c r="S13" s="154" t="s">
        <v>155</v>
      </c>
      <c r="T13" s="544" t="str">
        <f t="shared" ref="T13" si="4">IF(OR(R13="",S13=""),"",IF(AND(R13="Fuerte",S13="Fuerte"),"Fuerte",IF(OR(R13="Débil",S13="Débil"),"Débil","Moderado")))</f>
        <v>Fuerte</v>
      </c>
      <c r="U13" s="544">
        <f t="shared" ref="U13" si="5">IF(T13="","",IF(T13="Fuerte",100,IF(T13="Moderado",50,0)))</f>
        <v>100</v>
      </c>
      <c r="V13" s="547" t="str">
        <f t="shared" ref="V13" si="6">IF(OR(R13="",S13=""),"",(IF(AND(R13="Fuerte",S13="Fuerte"),"No","Si")))</f>
        <v>No</v>
      </c>
      <c r="W13" s="158">
        <v>1</v>
      </c>
      <c r="X13" s="544">
        <f>IF(U13="","",AVERAGE(U13*W13))</f>
        <v>100</v>
      </c>
      <c r="Y13" s="544" t="str">
        <f t="shared" ref="Y13" si="7">IF(X13="","",IF(X13&lt;50,"Débil",IF(X13&lt;=99,"Moderado","Fuerte")))</f>
        <v>Fuerte</v>
      </c>
      <c r="Z13" s="154" t="s">
        <v>163</v>
      </c>
      <c r="AA13" s="544">
        <f t="shared" ref="AA13" si="8">IF(Z13="","",IF(AND(Y13="Fuerte",Z13="Directamente"),2,IF(AND(Y13="Moderado",Z13="Directamente"),1,0)))</f>
        <v>2</v>
      </c>
      <c r="AB13" s="154" t="s">
        <v>165</v>
      </c>
      <c r="AC13" s="545">
        <f t="shared" ref="AC13" si="9">IF(AB13="","",IF(AND(Y13="Fuerte",AB13="Directamente"),2,IF(AND(Y13="Fuerte",AB13="indirectamente"),1,IF(AND(Y13="Fuerte",AB13="No disminuye"),0,IF(AND(Y13="Moderado",AB13="Directamente"),1,IF(AND(Y13="Moderado",AB13="indirectamente"),0,IF(AND(Y13="Moderado",AB13="No disminuye"),0,0)))))))</f>
        <v>1</v>
      </c>
      <c r="AD13" s="548">
        <f t="shared" ref="AD13" si="10">IF(AA13="","",IF((L13-AA13)&lt;=0,1,L13-AA13))</f>
        <v>1</v>
      </c>
      <c r="AE13" s="544" t="str">
        <f t="shared" ref="AE13" si="11">IF(AD13=1,"Rara vez",IF(AD13=2,"Improbable",IF(AD13=3,"Posible",IF(AD13=4,"Probable",IF(AD13=5,"Casi seguro","")))))</f>
        <v>Rara vez</v>
      </c>
      <c r="AF13" s="544">
        <f t="shared" ref="AF13" si="12">IF(AC13="","",IF(AND(D13="Corrupción",(N13-AC13)&lt;=3),3,IF((N13-AC13)&lt;=1,1,N13-AC13)))</f>
        <v>3</v>
      </c>
      <c r="AG13" s="544" t="str">
        <f t="shared" ref="AG13" si="13">IF(AF13=1,"Insignificante",IF(AF13=2,"Menor",IF(AF13=3,"Moderado",IF(AF13=4,"Mayor",IF(AF13=5,"Catastrófico","")))))</f>
        <v>Moderado</v>
      </c>
      <c r="AH13" s="547">
        <f t="shared" ref="AH13" si="14">IF(OR(AD13="",AF13=""),"",AD13*AF13)</f>
        <v>3</v>
      </c>
      <c r="AI13" s="546" t="str">
        <f t="shared" ref="AI13" si="15">IF(AH13="","",IF(AH13&lt;=2,"BAJA",IF(AH13&lt;=6,"MODERADA",IF(AH13&lt;=12,"ALTA","EXTREMA"))))</f>
        <v>MODERADA</v>
      </c>
      <c r="AJ13" s="549" t="str">
        <f t="shared" ref="AJ13" si="16">IF(AI13="","",IF(AI13="Baja","Asumir el Riesgo.",IF(AI13="Moderada","Reducir el Riesgo.",IF(AI13="Alta","Reducir el Riesgo, Evitar, Compartir o Transferir.",IF(AI13="Extrema","Reducir el Riesgo, Evitar o Compartir (Se requiere acción inmediata).","")))))</f>
        <v>Reducir el Riesgo.</v>
      </c>
      <c r="AK13" s="153" t="s">
        <v>385</v>
      </c>
      <c r="AL13" s="636" t="s">
        <v>463</v>
      </c>
      <c r="AM13" s="636" t="s">
        <v>235</v>
      </c>
      <c r="AN13" s="636" t="s">
        <v>464</v>
      </c>
      <c r="AO13" s="637" t="s">
        <v>399</v>
      </c>
    </row>
    <row r="14" spans="1:41" s="64" customFormat="1" ht="170.25" customHeight="1" x14ac:dyDescent="0.25">
      <c r="A14" s="145" t="s">
        <v>19</v>
      </c>
      <c r="B14" s="228" t="s">
        <v>26</v>
      </c>
      <c r="C14" s="146" t="s">
        <v>400</v>
      </c>
      <c r="D14" s="224" t="s">
        <v>27</v>
      </c>
      <c r="E14" s="224" t="s">
        <v>318</v>
      </c>
      <c r="F14" s="638" t="s">
        <v>319</v>
      </c>
      <c r="G14" s="638" t="s">
        <v>320</v>
      </c>
      <c r="H14" s="150" t="s">
        <v>27</v>
      </c>
      <c r="I14" s="146" t="s">
        <v>442</v>
      </c>
      <c r="J14" s="147" t="s">
        <v>381</v>
      </c>
      <c r="K14" s="227" t="s">
        <v>29</v>
      </c>
      <c r="L14" s="225">
        <f t="shared" ref="L14" si="17">IF(K14="Rara vez",1,IF(K14="Improbable",2,IF(K14="Posible",3,IF(K14="Probable",4,IF(K14="Casi seguro",5,"")))))</f>
        <v>2</v>
      </c>
      <c r="M14" s="224" t="s">
        <v>41</v>
      </c>
      <c r="N14" s="225">
        <f t="shared" ref="N14" si="18">IF(M14="Insignificante",1,IF(M14="Menor",2,IF(M14="Moderado",3,IF(M14="Mayor",4,IF(M14="Catastrófico",5,"")))))</f>
        <v>4</v>
      </c>
      <c r="O14" s="226">
        <f t="shared" ref="O14" si="19">IF(OR(L14="",N14=""),"",L14*N14)</f>
        <v>8</v>
      </c>
      <c r="P14" s="216" t="str">
        <f t="shared" ref="P14" si="20">IF(O14="","",IF(O14&lt;=2,"BAJA",IF(O14&lt;=6,"MODERADA",IF(O14&lt;=12,"ALTA","EXTREMA"))))</f>
        <v>ALTA</v>
      </c>
      <c r="Q14" s="148" t="s">
        <v>443</v>
      </c>
      <c r="R14" s="225" t="str">
        <f>+'Anexo 2 - Controles (Corrup).'!E36</f>
        <v>Fuerte</v>
      </c>
      <c r="S14" s="224" t="s">
        <v>155</v>
      </c>
      <c r="T14" s="225" t="str">
        <f t="shared" ref="T14:T15" si="21">IF(OR(R14="",S14=""),"",IF(AND(R14="Fuerte",S14="Fuerte"),"Fuerte",IF(OR(R14="Débil",S14="Débil"),"Débil","Moderado")))</f>
        <v>Fuerte</v>
      </c>
      <c r="U14" s="225">
        <f t="shared" ref="U14:U15" si="22">IF(T14="","",IF(T14="Fuerte",100,IF(T14="Moderado",50,0)))</f>
        <v>100</v>
      </c>
      <c r="V14" s="215" t="str">
        <f t="shared" ref="V14" si="23">IF(OR(R14="",S14=""),"",(IF(AND(R14="Fuerte",S14="Fuerte"),"No","Si")))</f>
        <v>No</v>
      </c>
      <c r="W14" s="125">
        <v>1</v>
      </c>
      <c r="X14" s="225">
        <f>IF(U14="","",AVERAGE(U14*W14))</f>
        <v>100</v>
      </c>
      <c r="Y14" s="225" t="str">
        <f t="shared" ref="Y14" si="24">IF(X14="","",IF(X14&lt;50,"Débil",IF(X14&lt;=99,"Moderado","Fuerte")))</f>
        <v>Fuerte</v>
      </c>
      <c r="Z14" s="224" t="s">
        <v>163</v>
      </c>
      <c r="AA14" s="225">
        <f t="shared" ref="AA14" si="25">IF(Z14="","",IF(AND(Y14="Fuerte",Z14="Directamente"),2,IF(AND(Y14="Moderado",Z14="Directamente"),1,0)))</f>
        <v>2</v>
      </c>
      <c r="AB14" s="224" t="s">
        <v>164</v>
      </c>
      <c r="AC14" s="226">
        <f t="shared" ref="AC14" si="26">IF(AB14="","",IF(AND(Y14="Fuerte",AB14="Directamente"),2,IF(AND(Y14="Fuerte",AB14="indirectamente"),1,IF(AND(Y14="Fuerte",AB14="No disminuye"),0,IF(AND(Y14="Moderado",AB14="Directamente"),1,IF(AND(Y14="Moderado",AB14="indirectamente"),0,IF(AND(Y14="Moderado",AB14="No disminuye"),0,0)))))))</f>
        <v>0</v>
      </c>
      <c r="AD14" s="213">
        <f t="shared" ref="AD14" si="27">IF(AA14="","",IF((L14-AA14)&lt;=0,1,L14-AA14))</f>
        <v>1</v>
      </c>
      <c r="AE14" s="214" t="str">
        <f t="shared" ref="AE14" si="28">IF(AD14=1,"Rara vez",IF(AD14=2,"Improbable",IF(AD14=3,"Posible",IF(AD14=4,"Probable",IF(AD14=5,"Casi seguro","")))))</f>
        <v>Rara vez</v>
      </c>
      <c r="AF14" s="214">
        <f t="shared" ref="AF14" si="29">IF(AC14="","",IF(AND(D14="Corrupción",(N14-AC14)&lt;=3),3,IF((N14-AC14)&lt;=1,1,N14-AC14)))</f>
        <v>4</v>
      </c>
      <c r="AG14" s="214" t="str">
        <f t="shared" ref="AG14" si="30">IF(AF14=1,"Insignificante",IF(AF14=2,"Menor",IF(AF14=3,"Moderado",IF(AF14=4,"Mayor",IF(AF14=5,"Catastrófico","")))))</f>
        <v>Mayor</v>
      </c>
      <c r="AH14" s="215">
        <f t="shared" ref="AH14" si="31">IF(OR(AD14="",AF14=""),"",AD14*AF14)</f>
        <v>4</v>
      </c>
      <c r="AI14" s="216" t="str">
        <f t="shared" ref="AI14" si="32">IF(AH14="","",IF(AH14&lt;=2,"BAJA",IF(AH14&lt;=6,"MODERADA",IF(AH14&lt;=12,"ALTA","EXTREMA"))))</f>
        <v>MODERADA</v>
      </c>
      <c r="AJ14" s="217" t="str">
        <f t="shared" ref="AJ14" si="33">IF(AI14="","",IF(AI14="Baja","Asumir el Riesgo.",IF(AI14="Moderada","Reducir el Riesgo.",IF(AI14="Alta","Reducir el Riesgo, Evitar, Compartir o Transferir.",IF(AI14="Extrema","Reducir el Riesgo, Evitar o Compartir (Se requiere acción inmediata).","")))))</f>
        <v>Reducir el Riesgo.</v>
      </c>
      <c r="AK14" s="162" t="s">
        <v>445</v>
      </c>
      <c r="AL14" s="638" t="s">
        <v>446</v>
      </c>
      <c r="AM14" s="638" t="s">
        <v>321</v>
      </c>
      <c r="AN14" s="638" t="s">
        <v>465</v>
      </c>
      <c r="AO14" s="639" t="s">
        <v>447</v>
      </c>
    </row>
    <row r="15" spans="1:41" ht="294" customHeight="1" x14ac:dyDescent="0.2">
      <c r="A15" s="145" t="s">
        <v>25</v>
      </c>
      <c r="B15" s="228" t="s">
        <v>47</v>
      </c>
      <c r="C15" s="228" t="s">
        <v>471</v>
      </c>
      <c r="D15" s="224" t="s">
        <v>27</v>
      </c>
      <c r="E15" s="224" t="s">
        <v>207</v>
      </c>
      <c r="F15" s="187" t="s">
        <v>472</v>
      </c>
      <c r="G15" s="186" t="s">
        <v>307</v>
      </c>
      <c r="H15" s="224" t="s">
        <v>27</v>
      </c>
      <c r="I15" s="228" t="s">
        <v>450</v>
      </c>
      <c r="J15" s="229" t="s">
        <v>384</v>
      </c>
      <c r="K15" s="227" t="s">
        <v>22</v>
      </c>
      <c r="L15" s="225">
        <f t="shared" ref="L15:L35" si="34">IF(K15="Rara vez",1,IF(K15="Improbable",2,IF(K15="Posible",3,IF(K15="Probable",4,IF(K15="Casi seguro",5,"")))))</f>
        <v>1</v>
      </c>
      <c r="M15" s="224" t="s">
        <v>41</v>
      </c>
      <c r="N15" s="225">
        <f t="shared" ref="N15:N35" si="35">IF(M15="Insignificante",1,IF(M15="Menor",2,IF(M15="Moderado",3,IF(M15="Mayor",4,IF(M15="Catastrófico",5,"")))))</f>
        <v>4</v>
      </c>
      <c r="O15" s="226">
        <f t="shared" ref="O15:O35" si="36">IF(OR(L15="",N15=""),"",L15*N15)</f>
        <v>4</v>
      </c>
      <c r="P15" s="216" t="str">
        <f t="shared" ref="P15:P35" si="37">IF(O15="","",IF(O15&lt;=2,"BAJA",IF(O15&lt;=6,"MODERADA",IF(O15&lt;=12,"ALTA","EXTREMA"))))</f>
        <v>MODERADA</v>
      </c>
      <c r="Q15" s="145" t="s">
        <v>451</v>
      </c>
      <c r="R15" s="225" t="str">
        <f>'Anexo 2 - Controles (Corrup).'!E53</f>
        <v>Fuerte</v>
      </c>
      <c r="S15" s="224" t="s">
        <v>155</v>
      </c>
      <c r="T15" s="221" t="str">
        <f t="shared" si="21"/>
        <v>Fuerte</v>
      </c>
      <c r="U15" s="221">
        <f t="shared" si="22"/>
        <v>100</v>
      </c>
      <c r="V15" s="215" t="str">
        <f t="shared" ref="V15:V35" si="38">IF(OR(R15="",S15=""),"",(IF(AND(R15="Fuerte",S15="Fuerte"),"No","Si")))</f>
        <v>No</v>
      </c>
      <c r="W15" s="125">
        <v>1</v>
      </c>
      <c r="X15" s="221">
        <f>((U15*W15))</f>
        <v>100</v>
      </c>
      <c r="Y15" s="225" t="str">
        <f t="shared" ref="Y15:Y35" si="39">IF(X15="","",IF(X15&lt;50,"Débil",IF(X15&lt;=99,"Moderado","Fuerte")))</f>
        <v>Fuerte</v>
      </c>
      <c r="Z15" s="224" t="s">
        <v>163</v>
      </c>
      <c r="AA15" s="225">
        <f t="shared" ref="AA15:AA35" si="40">IF(Z15="","",IF(AND(Y15="Fuerte",Z15="Directamente"),2,IF(AND(Y15="Moderado",Z15="Directamente"),1,0)))</f>
        <v>2</v>
      </c>
      <c r="AB15" s="224" t="s">
        <v>165</v>
      </c>
      <c r="AC15" s="226">
        <f t="shared" ref="AC15:AC35" si="41">IF(AB15="","",IF(AND(Y15="Fuerte",AB15="Directamente"),2,IF(AND(Y15="Fuerte",AB15="indirectamente"),1,IF(AND(Y15="Fuerte",AB15="No disminuye"),0,IF(AND(Y15="Moderado",AB15="Directamente"),1,IF(AND(Y15="Moderado",AB15="indirectamente"),0,IF(AND(Y15="Moderado",AB15="No disminuye"),0,0)))))))</f>
        <v>1</v>
      </c>
      <c r="AD15" s="213">
        <f t="shared" ref="AD15:AD35" si="42">IF(AA15="","",IF((L15-AA15)&lt;=0,1,L15-AA15))</f>
        <v>1</v>
      </c>
      <c r="AE15" s="214" t="str">
        <f t="shared" ref="AE15:AE35" si="43">IF(AD15=1,"Rara vez",IF(AD15=2,"Improbable",IF(AD15=3,"Posible",IF(AD15=4,"Probable",IF(AD15=5,"Casi seguro","")))))</f>
        <v>Rara vez</v>
      </c>
      <c r="AF15" s="214">
        <f t="shared" ref="AF15:AF35" si="44">IF(AC15="","",IF(AND(D15="Corrupción",(N15-AC15)&lt;=3),3,IF((N15-AC15)&lt;=1,1,N15-AC15)))</f>
        <v>3</v>
      </c>
      <c r="AG15" s="214" t="str">
        <f t="shared" ref="AG15:AG35" si="45">IF(AF15=1,"Insignificante",IF(AF15=2,"Menor",IF(AF15=3,"Moderado",IF(AF15=4,"Mayor",IF(AF15=5,"Catastrófico","")))))</f>
        <v>Moderado</v>
      </c>
      <c r="AH15" s="215">
        <f t="shared" ref="AH15:AH35" si="46">IF(OR(AD15="",AF15=""),"",AD15*AF15)</f>
        <v>3</v>
      </c>
      <c r="AI15" s="216" t="str">
        <f t="shared" ref="AI15:AI35" si="47">IF(AH15="","",IF(AH15&lt;=2,"BAJA",IF(AH15&lt;=6,"MODERADA",IF(AH15&lt;=12,"ALTA","EXTREMA"))))</f>
        <v>MODERADA</v>
      </c>
      <c r="AJ15" s="217" t="str">
        <f t="shared" ref="AJ15:AJ35" si="48">IF(AI15="","",IF(AI15="Baja","Asumir el Riesgo.",IF(AI15="Moderada","Reducir el Riesgo.",IF(AI15="Alta","Reducir el Riesgo, Evitar, Compartir o Transferir.",IF(AI15="Extrema","Reducir el Riesgo, Evitar o Compartir (Se requiere acción inmediata).","")))))</f>
        <v>Reducir el Riesgo.</v>
      </c>
      <c r="AK15" s="640" t="s">
        <v>473</v>
      </c>
      <c r="AL15" s="641" t="s">
        <v>474</v>
      </c>
      <c r="AM15" s="641" t="s">
        <v>452</v>
      </c>
      <c r="AN15" s="641" t="s">
        <v>466</v>
      </c>
      <c r="AO15" s="642" t="s">
        <v>475</v>
      </c>
    </row>
    <row r="16" spans="1:41" ht="169.5" customHeight="1" x14ac:dyDescent="0.2">
      <c r="A16" s="145" t="s">
        <v>25</v>
      </c>
      <c r="B16" s="228" t="s">
        <v>33</v>
      </c>
      <c r="C16" s="228" t="s">
        <v>382</v>
      </c>
      <c r="D16" s="224" t="s">
        <v>27</v>
      </c>
      <c r="E16" s="224" t="s">
        <v>208</v>
      </c>
      <c r="F16" s="186" t="s">
        <v>455</v>
      </c>
      <c r="G16" s="186" t="s">
        <v>310</v>
      </c>
      <c r="H16" s="224" t="s">
        <v>27</v>
      </c>
      <c r="I16" s="228" t="s">
        <v>456</v>
      </c>
      <c r="J16" s="229" t="s">
        <v>457</v>
      </c>
      <c r="K16" s="227" t="s">
        <v>22</v>
      </c>
      <c r="L16" s="225">
        <f t="shared" si="34"/>
        <v>1</v>
      </c>
      <c r="M16" s="224" t="s">
        <v>41</v>
      </c>
      <c r="N16" s="225">
        <f t="shared" si="35"/>
        <v>4</v>
      </c>
      <c r="O16" s="226">
        <f t="shared" si="36"/>
        <v>4</v>
      </c>
      <c r="P16" s="216" t="str">
        <f t="shared" si="37"/>
        <v>MODERADA</v>
      </c>
      <c r="Q16" s="151" t="s">
        <v>510</v>
      </c>
      <c r="R16" s="225" t="str">
        <f>+'Anexo 2 - Controles (Corrup).'!E70</f>
        <v>Fuerte</v>
      </c>
      <c r="S16" s="224" t="s">
        <v>155</v>
      </c>
      <c r="T16" s="225" t="str">
        <f t="shared" ref="T16:T35" si="49">IF(OR(R16="",S16=""),"",IF(AND(R16="Fuerte",S16="Fuerte"),"Fuerte",IF(OR(R16="Débil",S16="Débil"),"Débil","Moderado")))</f>
        <v>Fuerte</v>
      </c>
      <c r="U16" s="225">
        <f t="shared" ref="U16:U35" si="50">IF(T16="","",IF(T16="Fuerte",100,IF(T16="Moderado",50,0)))</f>
        <v>100</v>
      </c>
      <c r="V16" s="215" t="str">
        <f t="shared" si="38"/>
        <v>No</v>
      </c>
      <c r="W16" s="125">
        <v>1</v>
      </c>
      <c r="X16" s="221">
        <f>U16*W16</f>
        <v>100</v>
      </c>
      <c r="Y16" s="225" t="str">
        <f t="shared" si="39"/>
        <v>Fuerte</v>
      </c>
      <c r="Z16" s="224" t="s">
        <v>163</v>
      </c>
      <c r="AA16" s="225">
        <f t="shared" si="40"/>
        <v>2</v>
      </c>
      <c r="AB16" s="224" t="s">
        <v>164</v>
      </c>
      <c r="AC16" s="226">
        <f t="shared" si="41"/>
        <v>0</v>
      </c>
      <c r="AD16" s="213">
        <f t="shared" si="42"/>
        <v>1</v>
      </c>
      <c r="AE16" s="214" t="str">
        <f t="shared" si="43"/>
        <v>Rara vez</v>
      </c>
      <c r="AF16" s="214">
        <f t="shared" si="44"/>
        <v>4</v>
      </c>
      <c r="AG16" s="214" t="str">
        <f t="shared" si="45"/>
        <v>Mayor</v>
      </c>
      <c r="AH16" s="215">
        <f t="shared" si="46"/>
        <v>4</v>
      </c>
      <c r="AI16" s="216" t="str">
        <f t="shared" si="47"/>
        <v>MODERADA</v>
      </c>
      <c r="AJ16" s="217" t="str">
        <f t="shared" si="48"/>
        <v>Reducir el Riesgo.</v>
      </c>
      <c r="AK16" s="186" t="s">
        <v>511</v>
      </c>
      <c r="AL16" s="186" t="s">
        <v>512</v>
      </c>
      <c r="AM16" s="186" t="s">
        <v>458</v>
      </c>
      <c r="AN16" s="186" t="s">
        <v>466</v>
      </c>
      <c r="AO16" s="188" t="s">
        <v>459</v>
      </c>
    </row>
    <row r="17" spans="1:42" ht="201.75" customHeight="1" x14ac:dyDescent="0.2">
      <c r="A17" s="145" t="s">
        <v>25</v>
      </c>
      <c r="B17" s="228" t="s">
        <v>39</v>
      </c>
      <c r="C17" s="228" t="s">
        <v>200</v>
      </c>
      <c r="D17" s="224" t="s">
        <v>27</v>
      </c>
      <c r="E17" s="224" t="s">
        <v>209</v>
      </c>
      <c r="F17" s="641" t="s">
        <v>313</v>
      </c>
      <c r="G17" s="641" t="s">
        <v>376</v>
      </c>
      <c r="H17" s="224" t="s">
        <v>27</v>
      </c>
      <c r="I17" s="230" t="s">
        <v>408</v>
      </c>
      <c r="J17" s="231" t="s">
        <v>314</v>
      </c>
      <c r="K17" s="227" t="s">
        <v>29</v>
      </c>
      <c r="L17" s="225">
        <f t="shared" si="34"/>
        <v>2</v>
      </c>
      <c r="M17" s="224" t="s">
        <v>41</v>
      </c>
      <c r="N17" s="225">
        <f t="shared" si="35"/>
        <v>4</v>
      </c>
      <c r="O17" s="226">
        <f t="shared" si="36"/>
        <v>8</v>
      </c>
      <c r="P17" s="216" t="str">
        <f t="shared" si="37"/>
        <v>ALTA</v>
      </c>
      <c r="Q17" s="151" t="s">
        <v>502</v>
      </c>
      <c r="R17" s="225" t="str">
        <f>+'Anexo 2 - Controles (Corrup).'!E87</f>
        <v>Fuerte</v>
      </c>
      <c r="S17" s="224" t="s">
        <v>155</v>
      </c>
      <c r="T17" s="225" t="str">
        <f t="shared" si="49"/>
        <v>Fuerte</v>
      </c>
      <c r="U17" s="225">
        <f t="shared" si="50"/>
        <v>100</v>
      </c>
      <c r="V17" s="215" t="str">
        <f t="shared" si="38"/>
        <v>No</v>
      </c>
      <c r="W17" s="125">
        <v>1</v>
      </c>
      <c r="X17" s="225">
        <f t="shared" ref="X17:X35" si="51">IF(U17="","",AVERAGE(U17*W17))</f>
        <v>100</v>
      </c>
      <c r="Y17" s="225" t="str">
        <f t="shared" si="39"/>
        <v>Fuerte</v>
      </c>
      <c r="Z17" s="224" t="s">
        <v>163</v>
      </c>
      <c r="AA17" s="225">
        <f t="shared" si="40"/>
        <v>2</v>
      </c>
      <c r="AB17" s="224" t="s">
        <v>163</v>
      </c>
      <c r="AC17" s="226">
        <f t="shared" si="41"/>
        <v>2</v>
      </c>
      <c r="AD17" s="213">
        <f t="shared" si="42"/>
        <v>1</v>
      </c>
      <c r="AE17" s="214" t="str">
        <f t="shared" si="43"/>
        <v>Rara vez</v>
      </c>
      <c r="AF17" s="214">
        <f t="shared" si="44"/>
        <v>3</v>
      </c>
      <c r="AG17" s="214" t="str">
        <f t="shared" si="45"/>
        <v>Moderado</v>
      </c>
      <c r="AH17" s="215">
        <f t="shared" si="46"/>
        <v>3</v>
      </c>
      <c r="AI17" s="216" t="str">
        <f t="shared" si="47"/>
        <v>MODERADA</v>
      </c>
      <c r="AJ17" s="217" t="str">
        <f t="shared" si="48"/>
        <v>Reducir el Riesgo.</v>
      </c>
      <c r="AK17" s="138" t="s">
        <v>499</v>
      </c>
      <c r="AL17" s="641" t="s">
        <v>409</v>
      </c>
      <c r="AM17" s="641" t="s">
        <v>500</v>
      </c>
      <c r="AN17" s="641" t="s">
        <v>466</v>
      </c>
      <c r="AO17" s="642" t="s">
        <v>501</v>
      </c>
    </row>
    <row r="18" spans="1:42" ht="222" customHeight="1" x14ac:dyDescent="0.2">
      <c r="A18" s="145" t="s">
        <v>25</v>
      </c>
      <c r="B18" s="228" t="s">
        <v>43</v>
      </c>
      <c r="C18" s="230" t="s">
        <v>469</v>
      </c>
      <c r="D18" s="224" t="s">
        <v>27</v>
      </c>
      <c r="E18" s="224" t="s">
        <v>210</v>
      </c>
      <c r="F18" s="641" t="s">
        <v>431</v>
      </c>
      <c r="G18" s="187" t="s">
        <v>427</v>
      </c>
      <c r="H18" s="150" t="s">
        <v>27</v>
      </c>
      <c r="I18" s="146" t="s">
        <v>428</v>
      </c>
      <c r="J18" s="147" t="s">
        <v>429</v>
      </c>
      <c r="K18" s="227" t="s">
        <v>29</v>
      </c>
      <c r="L18" s="225">
        <f t="shared" si="34"/>
        <v>2</v>
      </c>
      <c r="M18" s="224" t="s">
        <v>41</v>
      </c>
      <c r="N18" s="225">
        <f t="shared" si="35"/>
        <v>4</v>
      </c>
      <c r="O18" s="226">
        <f t="shared" si="36"/>
        <v>8</v>
      </c>
      <c r="P18" s="216" t="str">
        <f t="shared" si="37"/>
        <v>ALTA</v>
      </c>
      <c r="Q18" s="656" t="s">
        <v>430</v>
      </c>
      <c r="R18" s="225" t="str">
        <f>+'Anexo 2 - Controles (Corrup).'!E104</f>
        <v>Fuerte</v>
      </c>
      <c r="S18" s="224" t="s">
        <v>155</v>
      </c>
      <c r="T18" s="225" t="str">
        <f t="shared" si="49"/>
        <v>Fuerte</v>
      </c>
      <c r="U18" s="225">
        <f t="shared" si="50"/>
        <v>100</v>
      </c>
      <c r="V18" s="215" t="str">
        <f t="shared" si="38"/>
        <v>No</v>
      </c>
      <c r="W18" s="125">
        <v>1</v>
      </c>
      <c r="X18" s="225">
        <f t="shared" si="51"/>
        <v>100</v>
      </c>
      <c r="Y18" s="225" t="str">
        <f t="shared" si="39"/>
        <v>Fuerte</v>
      </c>
      <c r="Z18" s="224" t="s">
        <v>163</v>
      </c>
      <c r="AA18" s="225">
        <f t="shared" si="40"/>
        <v>2</v>
      </c>
      <c r="AB18" s="224" t="s">
        <v>163</v>
      </c>
      <c r="AC18" s="226">
        <f t="shared" si="41"/>
        <v>2</v>
      </c>
      <c r="AD18" s="213">
        <f t="shared" si="42"/>
        <v>1</v>
      </c>
      <c r="AE18" s="214" t="str">
        <f t="shared" si="43"/>
        <v>Rara vez</v>
      </c>
      <c r="AF18" s="214">
        <f t="shared" si="44"/>
        <v>3</v>
      </c>
      <c r="AG18" s="214" t="str">
        <f t="shared" si="45"/>
        <v>Moderado</v>
      </c>
      <c r="AH18" s="215">
        <f t="shared" si="46"/>
        <v>3</v>
      </c>
      <c r="AI18" s="216" t="str">
        <f t="shared" si="47"/>
        <v>MODERADA</v>
      </c>
      <c r="AJ18" s="217" t="str">
        <f t="shared" si="48"/>
        <v>Reducir el Riesgo.</v>
      </c>
      <c r="AK18" s="643" t="s">
        <v>470</v>
      </c>
      <c r="AL18" s="638" t="s">
        <v>439</v>
      </c>
      <c r="AM18" s="638" t="s">
        <v>440</v>
      </c>
      <c r="AN18" s="638" t="s">
        <v>467</v>
      </c>
      <c r="AO18" s="639" t="s">
        <v>441</v>
      </c>
      <c r="AP18" s="65"/>
    </row>
    <row r="19" spans="1:42" ht="155.25" customHeight="1" x14ac:dyDescent="0.2">
      <c r="A19" s="145" t="s">
        <v>32</v>
      </c>
      <c r="B19" s="228" t="s">
        <v>51</v>
      </c>
      <c r="C19" s="228" t="s">
        <v>204</v>
      </c>
      <c r="D19" s="224" t="s">
        <v>27</v>
      </c>
      <c r="E19" s="224" t="s">
        <v>211</v>
      </c>
      <c r="F19" s="186" t="s">
        <v>217</v>
      </c>
      <c r="G19" s="638" t="s">
        <v>291</v>
      </c>
      <c r="H19" s="150" t="s">
        <v>27</v>
      </c>
      <c r="I19" s="146" t="s">
        <v>220</v>
      </c>
      <c r="J19" s="147" t="s">
        <v>240</v>
      </c>
      <c r="K19" s="227" t="s">
        <v>22</v>
      </c>
      <c r="L19" s="225">
        <f t="shared" si="34"/>
        <v>1</v>
      </c>
      <c r="M19" s="224" t="s">
        <v>41</v>
      </c>
      <c r="N19" s="225">
        <f t="shared" si="35"/>
        <v>4</v>
      </c>
      <c r="O19" s="226">
        <f t="shared" si="36"/>
        <v>4</v>
      </c>
      <c r="P19" s="216" t="str">
        <f t="shared" si="37"/>
        <v>MODERADA</v>
      </c>
      <c r="Q19" s="148" t="s">
        <v>227</v>
      </c>
      <c r="R19" s="225" t="str">
        <f>+'Anexo 2 - Controles (Corrup).'!E121</f>
        <v>Fuerte</v>
      </c>
      <c r="S19" s="224" t="s">
        <v>155</v>
      </c>
      <c r="T19" s="225" t="str">
        <f t="shared" si="49"/>
        <v>Fuerte</v>
      </c>
      <c r="U19" s="225">
        <f t="shared" si="50"/>
        <v>100</v>
      </c>
      <c r="V19" s="215" t="str">
        <f t="shared" si="38"/>
        <v>No</v>
      </c>
      <c r="W19" s="125">
        <v>1</v>
      </c>
      <c r="X19" s="225">
        <f t="shared" si="51"/>
        <v>100</v>
      </c>
      <c r="Y19" s="225" t="str">
        <f t="shared" si="39"/>
        <v>Fuerte</v>
      </c>
      <c r="Z19" s="224" t="s">
        <v>163</v>
      </c>
      <c r="AA19" s="225">
        <f t="shared" si="40"/>
        <v>2</v>
      </c>
      <c r="AB19" s="224" t="s">
        <v>163</v>
      </c>
      <c r="AC19" s="226">
        <f t="shared" si="41"/>
        <v>2</v>
      </c>
      <c r="AD19" s="213">
        <f t="shared" si="42"/>
        <v>1</v>
      </c>
      <c r="AE19" s="214" t="str">
        <f t="shared" si="43"/>
        <v>Rara vez</v>
      </c>
      <c r="AF19" s="214">
        <f t="shared" si="44"/>
        <v>3</v>
      </c>
      <c r="AG19" s="214" t="str">
        <f t="shared" si="45"/>
        <v>Moderado</v>
      </c>
      <c r="AH19" s="215">
        <f t="shared" si="46"/>
        <v>3</v>
      </c>
      <c r="AI19" s="216" t="str">
        <f t="shared" si="47"/>
        <v>MODERADA</v>
      </c>
      <c r="AJ19" s="217" t="str">
        <f t="shared" si="48"/>
        <v>Reducir el Riesgo.</v>
      </c>
      <c r="AK19" s="162" t="s">
        <v>250</v>
      </c>
      <c r="AL19" s="638" t="s">
        <v>448</v>
      </c>
      <c r="AM19" s="638" t="s">
        <v>229</v>
      </c>
      <c r="AN19" s="638" t="s">
        <v>468</v>
      </c>
      <c r="AO19" s="639" t="s">
        <v>449</v>
      </c>
      <c r="AP19" s="65"/>
    </row>
    <row r="20" spans="1:42" ht="93" customHeight="1" x14ac:dyDescent="0.2">
      <c r="A20" s="145" t="s">
        <v>32</v>
      </c>
      <c r="B20" s="228" t="s">
        <v>269</v>
      </c>
      <c r="C20" s="251" t="s">
        <v>201</v>
      </c>
      <c r="D20" s="224" t="s">
        <v>27</v>
      </c>
      <c r="E20" s="224" t="s">
        <v>288</v>
      </c>
      <c r="F20" s="658" t="s">
        <v>328</v>
      </c>
      <c r="G20" s="658" t="s">
        <v>292</v>
      </c>
      <c r="H20" s="149" t="s">
        <v>27</v>
      </c>
      <c r="I20" s="252" t="s">
        <v>329</v>
      </c>
      <c r="J20" s="352" t="s">
        <v>415</v>
      </c>
      <c r="K20" s="353" t="s">
        <v>35</v>
      </c>
      <c r="L20" s="359">
        <f t="shared" si="34"/>
        <v>3</v>
      </c>
      <c r="M20" s="354" t="s">
        <v>41</v>
      </c>
      <c r="N20" s="359">
        <f t="shared" si="35"/>
        <v>4</v>
      </c>
      <c r="O20" s="363">
        <f t="shared" si="36"/>
        <v>12</v>
      </c>
      <c r="P20" s="364" t="str">
        <f t="shared" si="37"/>
        <v>ALTA</v>
      </c>
      <c r="Q20" s="151" t="s">
        <v>504</v>
      </c>
      <c r="R20" s="221" t="str">
        <f>+'[6]Anexo 2 - Controles (Corrup).'!E20</f>
        <v>Fuerte</v>
      </c>
      <c r="S20" s="224" t="s">
        <v>155</v>
      </c>
      <c r="T20" s="221" t="str">
        <f t="shared" si="49"/>
        <v>Fuerte</v>
      </c>
      <c r="U20" s="221">
        <f t="shared" si="50"/>
        <v>100</v>
      </c>
      <c r="V20" s="222" t="str">
        <f t="shared" si="38"/>
        <v>No</v>
      </c>
      <c r="W20" s="126">
        <f>100%/3</f>
        <v>0.33333333333333331</v>
      </c>
      <c r="X20" s="346">
        <f>((U20*W20)+(U21*W21)+(U22*W22))</f>
        <v>83.333333333333314</v>
      </c>
      <c r="Y20" s="359" t="str">
        <f>IF(X20="","",IF(X20&lt;50,"Débil",IF(X20&lt;=99,"Moderado","Fuerte")))</f>
        <v>Moderado</v>
      </c>
      <c r="Z20" s="354" t="s">
        <v>163</v>
      </c>
      <c r="AA20" s="359">
        <f t="shared" si="40"/>
        <v>1</v>
      </c>
      <c r="AB20" s="354" t="s">
        <v>165</v>
      </c>
      <c r="AC20" s="363">
        <f t="shared" si="41"/>
        <v>0</v>
      </c>
      <c r="AD20" s="375">
        <f t="shared" si="42"/>
        <v>2</v>
      </c>
      <c r="AE20" s="359" t="str">
        <f t="shared" si="43"/>
        <v>Improbable</v>
      </c>
      <c r="AF20" s="359">
        <f t="shared" si="44"/>
        <v>4</v>
      </c>
      <c r="AG20" s="359" t="str">
        <f t="shared" si="45"/>
        <v>Mayor</v>
      </c>
      <c r="AH20" s="376">
        <f t="shared" si="46"/>
        <v>8</v>
      </c>
      <c r="AI20" s="364" t="str">
        <f t="shared" si="47"/>
        <v>ALTA</v>
      </c>
      <c r="AJ20" s="374" t="str">
        <f t="shared" si="48"/>
        <v>Reducir el Riesgo, Evitar, Compartir o Transferir.</v>
      </c>
      <c r="AK20" s="138" t="s">
        <v>505</v>
      </c>
      <c r="AL20" s="641" t="s">
        <v>416</v>
      </c>
      <c r="AM20" s="641" t="s">
        <v>230</v>
      </c>
      <c r="AN20" s="641" t="s">
        <v>468</v>
      </c>
      <c r="AO20" s="642" t="s">
        <v>388</v>
      </c>
      <c r="AP20" s="65"/>
    </row>
    <row r="21" spans="1:42" ht="82.5" customHeight="1" x14ac:dyDescent="0.2">
      <c r="A21" s="145" t="s">
        <v>32</v>
      </c>
      <c r="B21" s="228" t="s">
        <v>269</v>
      </c>
      <c r="C21" s="251"/>
      <c r="D21" s="224" t="s">
        <v>27</v>
      </c>
      <c r="E21" s="224" t="s">
        <v>288</v>
      </c>
      <c r="F21" s="658"/>
      <c r="G21" s="658"/>
      <c r="H21" s="149" t="s">
        <v>27</v>
      </c>
      <c r="I21" s="252"/>
      <c r="J21" s="352"/>
      <c r="K21" s="353"/>
      <c r="L21" s="359"/>
      <c r="M21" s="354"/>
      <c r="N21" s="359"/>
      <c r="O21" s="363"/>
      <c r="P21" s="364"/>
      <c r="Q21" s="151" t="s">
        <v>228</v>
      </c>
      <c r="R21" s="221" t="str">
        <f>+'[6]Anexo 2 - Controles (Corrup).'!K20</f>
        <v>Fuerte</v>
      </c>
      <c r="S21" s="224" t="s">
        <v>155</v>
      </c>
      <c r="T21" s="221" t="str">
        <f t="shared" si="49"/>
        <v>Fuerte</v>
      </c>
      <c r="U21" s="221">
        <f t="shared" si="50"/>
        <v>100</v>
      </c>
      <c r="V21" s="222" t="str">
        <f t="shared" si="38"/>
        <v>No</v>
      </c>
      <c r="W21" s="126">
        <f>100%/3</f>
        <v>0.33333333333333331</v>
      </c>
      <c r="X21" s="346"/>
      <c r="Y21" s="359"/>
      <c r="Z21" s="354"/>
      <c r="AA21" s="359"/>
      <c r="AB21" s="354"/>
      <c r="AC21" s="363"/>
      <c r="AD21" s="375"/>
      <c r="AE21" s="359"/>
      <c r="AF21" s="359"/>
      <c r="AG21" s="359"/>
      <c r="AH21" s="376"/>
      <c r="AI21" s="364"/>
      <c r="AJ21" s="374"/>
      <c r="AK21" s="138" t="s">
        <v>386</v>
      </c>
      <c r="AL21" s="641" t="s">
        <v>417</v>
      </c>
      <c r="AM21" s="641" t="s">
        <v>230</v>
      </c>
      <c r="AN21" s="641" t="s">
        <v>468</v>
      </c>
      <c r="AO21" s="642" t="s">
        <v>388</v>
      </c>
      <c r="AP21" s="65"/>
    </row>
    <row r="22" spans="1:42" ht="96" customHeight="1" x14ac:dyDescent="0.2">
      <c r="A22" s="145" t="s">
        <v>32</v>
      </c>
      <c r="B22" s="228" t="s">
        <v>269</v>
      </c>
      <c r="C22" s="251"/>
      <c r="D22" s="224" t="s">
        <v>27</v>
      </c>
      <c r="E22" s="224" t="s">
        <v>288</v>
      </c>
      <c r="F22" s="658"/>
      <c r="G22" s="658"/>
      <c r="H22" s="149" t="s">
        <v>27</v>
      </c>
      <c r="I22" s="252"/>
      <c r="J22" s="352"/>
      <c r="K22" s="353"/>
      <c r="L22" s="359"/>
      <c r="M22" s="354"/>
      <c r="N22" s="359"/>
      <c r="O22" s="363"/>
      <c r="P22" s="364"/>
      <c r="Q22" s="151" t="s">
        <v>330</v>
      </c>
      <c r="R22" s="221" t="str">
        <f>+'[6]Anexo 2 - Controles (Corrup).'!S20</f>
        <v>Moderado</v>
      </c>
      <c r="S22" s="224" t="s">
        <v>155</v>
      </c>
      <c r="T22" s="221" t="str">
        <f t="shared" si="49"/>
        <v>Moderado</v>
      </c>
      <c r="U22" s="221">
        <f t="shared" si="50"/>
        <v>50</v>
      </c>
      <c r="V22" s="222" t="str">
        <f t="shared" si="38"/>
        <v>Si</v>
      </c>
      <c r="W22" s="126">
        <f>100%/3</f>
        <v>0.33333333333333331</v>
      </c>
      <c r="X22" s="346"/>
      <c r="Y22" s="359"/>
      <c r="Z22" s="354"/>
      <c r="AA22" s="359"/>
      <c r="AB22" s="354"/>
      <c r="AC22" s="363"/>
      <c r="AD22" s="375"/>
      <c r="AE22" s="359"/>
      <c r="AF22" s="359"/>
      <c r="AG22" s="359"/>
      <c r="AH22" s="376"/>
      <c r="AI22" s="364"/>
      <c r="AJ22" s="374"/>
      <c r="AK22" s="138" t="s">
        <v>418</v>
      </c>
      <c r="AL22" s="641" t="s">
        <v>387</v>
      </c>
      <c r="AM22" s="641" t="s">
        <v>230</v>
      </c>
      <c r="AN22" s="641" t="s">
        <v>468</v>
      </c>
      <c r="AO22" s="642" t="s">
        <v>419</v>
      </c>
    </row>
    <row r="23" spans="1:42" ht="99.75" customHeight="1" x14ac:dyDescent="0.2">
      <c r="A23" s="145" t="s">
        <v>32</v>
      </c>
      <c r="B23" s="228" t="s">
        <v>251</v>
      </c>
      <c r="C23" s="574" t="s">
        <v>201</v>
      </c>
      <c r="D23" s="224" t="s">
        <v>27</v>
      </c>
      <c r="E23" s="224" t="s">
        <v>289</v>
      </c>
      <c r="F23" s="650" t="s">
        <v>216</v>
      </c>
      <c r="G23" s="650" t="s">
        <v>293</v>
      </c>
      <c r="H23" s="149" t="s">
        <v>27</v>
      </c>
      <c r="I23" s="575" t="s">
        <v>221</v>
      </c>
      <c r="J23" s="576" t="s">
        <v>224</v>
      </c>
      <c r="K23" s="577" t="s">
        <v>29</v>
      </c>
      <c r="L23" s="365">
        <f t="shared" ref="L23:L24" si="52">IF(K23="Rara vez",1,IF(K23="Improbable",2,IF(K23="Posible",3,IF(K23="Probable",4,IF(K23="Casi seguro",5,"")))))</f>
        <v>2</v>
      </c>
      <c r="M23" s="360" t="s">
        <v>41</v>
      </c>
      <c r="N23" s="365">
        <f t="shared" ref="N23:N24" si="53">IF(M23="Insignificante",1,IF(M23="Menor",2,IF(M23="Moderado",3,IF(M23="Mayor",4,IF(M23="Catastrófico",5,"")))))</f>
        <v>4</v>
      </c>
      <c r="O23" s="368">
        <f t="shared" ref="O23:O24" si="54">IF(OR(L23="",N23=""),"",L23*N23)</f>
        <v>8</v>
      </c>
      <c r="P23" s="371" t="str">
        <f t="shared" ref="P23:P24" si="55">IF(O23="","",IF(O23&lt;=2,"BAJA",IF(O23&lt;=6,"MODERADA",IF(O23&lt;=12,"ALTA","EXTREMA"))))</f>
        <v>ALTA</v>
      </c>
      <c r="Q23" s="151" t="s">
        <v>252</v>
      </c>
      <c r="R23" s="221" t="str">
        <f>+'[5]Anexo 2 - Controles (Corrup).'!E20</f>
        <v>Fuerte</v>
      </c>
      <c r="S23" s="224" t="s">
        <v>155</v>
      </c>
      <c r="T23" s="221" t="str">
        <f t="shared" si="49"/>
        <v>Fuerte</v>
      </c>
      <c r="U23" s="221">
        <f t="shared" si="50"/>
        <v>100</v>
      </c>
      <c r="V23" s="222" t="str">
        <f t="shared" si="38"/>
        <v>No</v>
      </c>
      <c r="W23" s="125">
        <v>0.4</v>
      </c>
      <c r="X23" s="365">
        <f>(U23*W23)+(U24*W24)</f>
        <v>100</v>
      </c>
      <c r="Y23" s="365" t="str">
        <f t="shared" ref="Y23:Y24" si="56">IF(X23="","",IF(X23&lt;50,"Débil",IF(X23&lt;=99,"Moderado","Fuerte")))</f>
        <v>Fuerte</v>
      </c>
      <c r="Z23" s="360" t="s">
        <v>163</v>
      </c>
      <c r="AA23" s="365">
        <f t="shared" ref="AA23:AA24" si="57">IF(Z23="","",IF(AND(Y23="Fuerte",Z23="Directamente"),2,IF(AND(Y23="Moderado",Z23="Directamente"),1,0)))</f>
        <v>2</v>
      </c>
      <c r="AB23" s="360" t="s">
        <v>165</v>
      </c>
      <c r="AC23" s="368">
        <f t="shared" ref="AC23:AC24" si="58">IF(AB23="","",IF(AND(Y23="Fuerte",AB23="Directamente"),2,IF(AND(Y23="Fuerte",AB23="indirectamente"),1,IF(AND(Y23="Fuerte",AB23="No disminuye"),0,IF(AND(Y23="Moderado",AB23="Directamente"),1,IF(AND(Y23="Moderado",AB23="indirectamente"),0,IF(AND(Y23="Moderado",AB23="No disminuye"),0,0)))))))</f>
        <v>1</v>
      </c>
      <c r="AD23" s="382">
        <f t="shared" ref="AD23:AD24" si="59">IF(AA23="","",IF((L23-AA23)&lt;=0,1,L23-AA23))</f>
        <v>1</v>
      </c>
      <c r="AE23" s="365" t="str">
        <f t="shared" ref="AE23:AE24" si="60">IF(AD23=1,"Rara vez",IF(AD23=2,"Improbable",IF(AD23=3,"Posible",IF(AD23=4,"Probable",IF(AD23=5,"Casi seguro","")))))</f>
        <v>Rara vez</v>
      </c>
      <c r="AF23" s="365">
        <f t="shared" ref="AF23:AF24" si="61">IF(AC23="","",IF(AND(D23="Corrupción",(N23-AC23)&lt;=3),3,IF((N23-AC23)&lt;=1,1,N23-AC23)))</f>
        <v>3</v>
      </c>
      <c r="AG23" s="365" t="str">
        <f t="shared" ref="AG23:AG24" si="62">IF(AF23=1,"Insignificante",IF(AF23=2,"Menor",IF(AF23=3,"Moderado",IF(AF23=4,"Mayor",IF(AF23=5,"Catastrófico","")))))</f>
        <v>Moderado</v>
      </c>
      <c r="AH23" s="368">
        <f t="shared" ref="AH23:AH24" si="63">IF(OR(AD23="",AF23=""),"",AD23*AF23)</f>
        <v>3</v>
      </c>
      <c r="AI23" s="371" t="str">
        <f t="shared" ref="AI23:AI24" si="64">IF(AH23="","",IF(AH23&lt;=2,"BAJA",IF(AH23&lt;=6,"MODERADA",IF(AH23&lt;=12,"ALTA","EXTREMA"))))</f>
        <v>MODERADA</v>
      </c>
      <c r="AJ23" s="377" t="str">
        <f t="shared" ref="AJ23:AJ24" si="65">IF(AI23="","",IF(AI23="Baja","Asumir el Riesgo.",IF(AI23="Moderada","Reducir el Riesgo.",IF(AI23="Alta","Reducir el Riesgo, Evitar, Compartir o Transferir.",IF(AI23="Extrema","Reducir el Riesgo, Evitar o Compartir (Se requiere acción inmediata).","")))))</f>
        <v>Reducir el Riesgo.</v>
      </c>
      <c r="AK23" s="138" t="s">
        <v>389</v>
      </c>
      <c r="AL23" s="641" t="s">
        <v>391</v>
      </c>
      <c r="AM23" s="641" t="s">
        <v>231</v>
      </c>
      <c r="AN23" s="641" t="s">
        <v>503</v>
      </c>
      <c r="AO23" s="642" t="s">
        <v>392</v>
      </c>
    </row>
    <row r="24" spans="1:42" ht="99.75" customHeight="1" x14ac:dyDescent="0.2">
      <c r="A24" s="145" t="s">
        <v>32</v>
      </c>
      <c r="B24" s="228" t="s">
        <v>251</v>
      </c>
      <c r="C24" s="578"/>
      <c r="D24" s="224" t="s">
        <v>27</v>
      </c>
      <c r="E24" s="224" t="s">
        <v>289</v>
      </c>
      <c r="F24" s="652"/>
      <c r="G24" s="652"/>
      <c r="H24" s="149" t="s">
        <v>27</v>
      </c>
      <c r="I24" s="579"/>
      <c r="J24" s="580"/>
      <c r="K24" s="581"/>
      <c r="L24" s="367"/>
      <c r="M24" s="362"/>
      <c r="N24" s="367"/>
      <c r="O24" s="370"/>
      <c r="P24" s="373"/>
      <c r="Q24" s="151" t="s">
        <v>253</v>
      </c>
      <c r="R24" s="221" t="str">
        <f>+'[5]Anexo 2 - Controles (Corrup).'!K20</f>
        <v>Fuerte</v>
      </c>
      <c r="S24" s="224" t="s">
        <v>155</v>
      </c>
      <c r="T24" s="221" t="str">
        <f t="shared" si="49"/>
        <v>Fuerte</v>
      </c>
      <c r="U24" s="221">
        <f t="shared" si="50"/>
        <v>100</v>
      </c>
      <c r="V24" s="222" t="str">
        <f t="shared" si="38"/>
        <v>No</v>
      </c>
      <c r="W24" s="125">
        <v>0.6</v>
      </c>
      <c r="X24" s="367"/>
      <c r="Y24" s="367"/>
      <c r="Z24" s="362"/>
      <c r="AA24" s="367"/>
      <c r="AB24" s="362"/>
      <c r="AC24" s="370"/>
      <c r="AD24" s="383"/>
      <c r="AE24" s="367"/>
      <c r="AF24" s="367"/>
      <c r="AG24" s="367"/>
      <c r="AH24" s="370"/>
      <c r="AI24" s="373"/>
      <c r="AJ24" s="378"/>
      <c r="AK24" s="138" t="s">
        <v>390</v>
      </c>
      <c r="AL24" s="641" t="s">
        <v>421</v>
      </c>
      <c r="AM24" s="641" t="s">
        <v>231</v>
      </c>
      <c r="AN24" s="641" t="s">
        <v>503</v>
      </c>
      <c r="AO24" s="642" t="s">
        <v>422</v>
      </c>
    </row>
    <row r="25" spans="1:42" ht="109.5" customHeight="1" x14ac:dyDescent="0.2">
      <c r="A25" s="145" t="s">
        <v>32</v>
      </c>
      <c r="B25" s="228" t="s">
        <v>274</v>
      </c>
      <c r="C25" s="228" t="s">
        <v>201</v>
      </c>
      <c r="D25" s="224" t="s">
        <v>27</v>
      </c>
      <c r="E25" s="224" t="s">
        <v>290</v>
      </c>
      <c r="F25" s="659" t="s">
        <v>218</v>
      </c>
      <c r="G25" s="659" t="s">
        <v>352</v>
      </c>
      <c r="H25" s="160" t="s">
        <v>27</v>
      </c>
      <c r="I25" s="357" t="s">
        <v>353</v>
      </c>
      <c r="J25" s="355" t="s">
        <v>225</v>
      </c>
      <c r="K25" s="353" t="s">
        <v>35</v>
      </c>
      <c r="L25" s="359">
        <f t="shared" ref="L25:L26" si="66">IF(K25="Rara vez",1,IF(K25="Improbable",2,IF(K25="Posible",3,IF(K25="Probable",4,IF(K25="Casi seguro",5,"")))))</f>
        <v>3</v>
      </c>
      <c r="M25" s="354" t="s">
        <v>41</v>
      </c>
      <c r="N25" s="359">
        <f t="shared" ref="N25:N26" si="67">IF(M25="Insignificante",1,IF(M25="Menor",2,IF(M25="Moderado",3,IF(M25="Mayor",4,IF(M25="Catastrófico",5,"")))))</f>
        <v>4</v>
      </c>
      <c r="O25" s="363">
        <f t="shared" ref="O25:O26" si="68">IF(OR(L25="",N25=""),"",L25*N25)</f>
        <v>12</v>
      </c>
      <c r="P25" s="364" t="str">
        <f t="shared" ref="P25:P26" si="69">IF(O25="","",IF(O25&lt;=2,"BAJA",IF(O25&lt;=6,"MODERADA",IF(O25&lt;=12,"ALTA","EXTREMA"))))</f>
        <v>ALTA</v>
      </c>
      <c r="Q25" s="118" t="s">
        <v>506</v>
      </c>
      <c r="R25" s="221" t="str">
        <f>+'[7]Anexo 2 - Controles (Corrup).'!E20</f>
        <v>Moderado</v>
      </c>
      <c r="S25" s="224" t="s">
        <v>155</v>
      </c>
      <c r="T25" s="221" t="str">
        <f t="shared" si="49"/>
        <v>Moderado</v>
      </c>
      <c r="U25" s="221">
        <f t="shared" si="50"/>
        <v>50</v>
      </c>
      <c r="V25" s="222" t="str">
        <f t="shared" si="38"/>
        <v>Si</v>
      </c>
      <c r="W25" s="125">
        <v>0.5</v>
      </c>
      <c r="X25" s="594">
        <f>(U25*W25)+(U26*W26)</f>
        <v>75</v>
      </c>
      <c r="Y25" s="359" t="str">
        <f>IF(X25="","",IF(X25&lt;50,"Débil",IF(X25&lt;=99,"Moderado","Fuerte")))</f>
        <v>Moderado</v>
      </c>
      <c r="Z25" s="354" t="s">
        <v>163</v>
      </c>
      <c r="AA25" s="359">
        <f t="shared" ref="AA25:AA26" si="70">IF(Z25="","",IF(AND(Y25="Fuerte",Z25="Directamente"),2,IF(AND(Y25="Moderado",Z25="Directamente"),1,0)))</f>
        <v>1</v>
      </c>
      <c r="AB25" s="354" t="s">
        <v>163</v>
      </c>
      <c r="AC25" s="363">
        <f t="shared" ref="AC25:AC26" si="71">IF(AB25="","",IF(AND(Y25="Fuerte",AB25="Directamente"),2,IF(AND(Y25="Fuerte",AB25="indirectamente"),1,IF(AND(Y25="Fuerte",AB25="No disminuye"),0,IF(AND(Y25="Moderado",AB25="Directamente"),1,IF(AND(Y25="Moderado",AB25="indirectamente"),0,IF(AND(Y25="Moderado",AB25="No disminuye"),0,0)))))))</f>
        <v>1</v>
      </c>
      <c r="AD25" s="375">
        <f t="shared" ref="AD25:AD26" si="72">IF(AA25="","",IF((L25-AA25)&lt;=0,1,L25-AA25))</f>
        <v>2</v>
      </c>
      <c r="AE25" s="359" t="str">
        <f t="shared" ref="AE25:AE26" si="73">IF(AD25=1,"Rara vez",IF(AD25=2,"Improbable",IF(AD25=3,"Posible",IF(AD25=4,"Probable",IF(AD25=5,"Casi seguro","")))))</f>
        <v>Improbable</v>
      </c>
      <c r="AF25" s="359">
        <f t="shared" ref="AF25:AF26" si="74">IF(AC25="","",IF(AND(D25="Corrupción",(N25-AC25)&lt;=3),3,IF((N25-AC25)&lt;=1,1,N25-AC25)))</f>
        <v>3</v>
      </c>
      <c r="AG25" s="359" t="str">
        <f t="shared" ref="AG25:AG26" si="75">IF(AF25=1,"Insignificante",IF(AF25=2,"Menor",IF(AF25=3,"Moderado",IF(AF25=4,"Mayor",IF(AF25=5,"Catastrófico","")))))</f>
        <v>Moderado</v>
      </c>
      <c r="AH25" s="376">
        <f t="shared" ref="AH25:AH26" si="76">IF(OR(AD25="",AF25=""),"",AD25*AF25)</f>
        <v>6</v>
      </c>
      <c r="AI25" s="364" t="str">
        <f t="shared" ref="AI25:AI26" si="77">IF(AH25="","",IF(AH25&lt;=2,"BAJA",IF(AH25&lt;=6,"MODERADA",IF(AH25&lt;=12,"ALTA","EXTREMA"))))</f>
        <v>MODERADA</v>
      </c>
      <c r="AJ25" s="374" t="str">
        <f t="shared" ref="AJ25:AJ26" si="78">IF(AI25="","",IF(AI25="Baja","Asumir el Riesgo.",IF(AI25="Moderada","Reducir el Riesgo.",IF(AI25="Alta","Reducir el Riesgo, Evitar, Compartir o Transferir.",IF(AI25="Extrema","Reducir el Riesgo, Evitar o Compartir (Se requiere acción inmediata).","")))))</f>
        <v>Reducir el Riesgo.</v>
      </c>
      <c r="AK25" s="644" t="s">
        <v>507</v>
      </c>
      <c r="AL25" s="645" t="s">
        <v>508</v>
      </c>
      <c r="AM25" s="645" t="s">
        <v>281</v>
      </c>
      <c r="AN25" s="645" t="s">
        <v>468</v>
      </c>
      <c r="AO25" s="646" t="s">
        <v>393</v>
      </c>
    </row>
    <row r="26" spans="1:42" ht="117" customHeight="1" x14ac:dyDescent="0.2">
      <c r="A26" s="145" t="s">
        <v>32</v>
      </c>
      <c r="B26" s="228" t="s">
        <v>274</v>
      </c>
      <c r="C26" s="228" t="s">
        <v>201</v>
      </c>
      <c r="D26" s="224" t="s">
        <v>27</v>
      </c>
      <c r="E26" s="224" t="s">
        <v>290</v>
      </c>
      <c r="F26" s="660"/>
      <c r="G26" s="660"/>
      <c r="H26" s="160" t="s">
        <v>27</v>
      </c>
      <c r="I26" s="358"/>
      <c r="J26" s="356"/>
      <c r="K26" s="353"/>
      <c r="L26" s="359"/>
      <c r="M26" s="354"/>
      <c r="N26" s="359"/>
      <c r="O26" s="363"/>
      <c r="P26" s="364"/>
      <c r="Q26" s="118" t="s">
        <v>509</v>
      </c>
      <c r="R26" s="221" t="str">
        <f>+'[7]Anexo 2 - Controles (Corrup).'!K20</f>
        <v>Fuerte</v>
      </c>
      <c r="S26" s="224" t="s">
        <v>155</v>
      </c>
      <c r="T26" s="221" t="str">
        <f t="shared" si="49"/>
        <v>Fuerte</v>
      </c>
      <c r="U26" s="221">
        <f t="shared" si="50"/>
        <v>100</v>
      </c>
      <c r="V26" s="222" t="str">
        <f t="shared" si="38"/>
        <v>No</v>
      </c>
      <c r="W26" s="125">
        <v>0.5</v>
      </c>
      <c r="X26" s="594"/>
      <c r="Y26" s="359"/>
      <c r="Z26" s="354"/>
      <c r="AA26" s="359"/>
      <c r="AB26" s="354"/>
      <c r="AC26" s="363"/>
      <c r="AD26" s="375"/>
      <c r="AE26" s="359"/>
      <c r="AF26" s="359"/>
      <c r="AG26" s="359"/>
      <c r="AH26" s="376"/>
      <c r="AI26" s="364"/>
      <c r="AJ26" s="374"/>
      <c r="AK26" s="647"/>
      <c r="AL26" s="648"/>
      <c r="AM26" s="648"/>
      <c r="AN26" s="648"/>
      <c r="AO26" s="649"/>
    </row>
    <row r="27" spans="1:42" ht="234.75" customHeight="1" x14ac:dyDescent="0.2">
      <c r="A27" s="145" t="s">
        <v>32</v>
      </c>
      <c r="B27" s="228" t="s">
        <v>49</v>
      </c>
      <c r="C27" s="228" t="s">
        <v>202</v>
      </c>
      <c r="D27" s="224" t="s">
        <v>27</v>
      </c>
      <c r="E27" s="224" t="s">
        <v>356</v>
      </c>
      <c r="F27" s="186" t="s">
        <v>261</v>
      </c>
      <c r="G27" s="186" t="s">
        <v>261</v>
      </c>
      <c r="H27" s="224" t="s">
        <v>27</v>
      </c>
      <c r="I27" s="228" t="s">
        <v>262</v>
      </c>
      <c r="J27" s="229" t="s">
        <v>263</v>
      </c>
      <c r="K27" s="227" t="s">
        <v>29</v>
      </c>
      <c r="L27" s="225">
        <f t="shared" si="34"/>
        <v>2</v>
      </c>
      <c r="M27" s="224" t="s">
        <v>46</v>
      </c>
      <c r="N27" s="225">
        <f t="shared" si="35"/>
        <v>5</v>
      </c>
      <c r="O27" s="226">
        <f t="shared" si="36"/>
        <v>10</v>
      </c>
      <c r="P27" s="216" t="str">
        <f t="shared" si="37"/>
        <v>ALTA</v>
      </c>
      <c r="Q27" s="145" t="s">
        <v>413</v>
      </c>
      <c r="R27" s="225" t="str">
        <f>+'Anexo 2 - Controles (Corrup).'!E189</f>
        <v>Moderado</v>
      </c>
      <c r="S27" s="224" t="s">
        <v>155</v>
      </c>
      <c r="T27" s="225" t="str">
        <f t="shared" si="49"/>
        <v>Moderado</v>
      </c>
      <c r="U27" s="225">
        <f t="shared" si="50"/>
        <v>50</v>
      </c>
      <c r="V27" s="215" t="str">
        <f t="shared" si="38"/>
        <v>Si</v>
      </c>
      <c r="W27" s="125">
        <v>1</v>
      </c>
      <c r="X27" s="225">
        <f t="shared" si="51"/>
        <v>50</v>
      </c>
      <c r="Y27" s="225" t="str">
        <f t="shared" si="39"/>
        <v>Moderado</v>
      </c>
      <c r="Z27" s="224" t="s">
        <v>163</v>
      </c>
      <c r="AA27" s="225">
        <f t="shared" si="40"/>
        <v>1</v>
      </c>
      <c r="AB27" s="224" t="s">
        <v>165</v>
      </c>
      <c r="AC27" s="226">
        <f t="shared" si="41"/>
        <v>0</v>
      </c>
      <c r="AD27" s="213">
        <f t="shared" si="42"/>
        <v>1</v>
      </c>
      <c r="AE27" s="214" t="str">
        <f t="shared" si="43"/>
        <v>Rara vez</v>
      </c>
      <c r="AF27" s="214">
        <f t="shared" si="44"/>
        <v>5</v>
      </c>
      <c r="AG27" s="214" t="str">
        <f t="shared" si="45"/>
        <v>Catastrófico</v>
      </c>
      <c r="AH27" s="215">
        <f t="shared" si="46"/>
        <v>5</v>
      </c>
      <c r="AI27" s="216" t="str">
        <f t="shared" si="47"/>
        <v>MODERADA</v>
      </c>
      <c r="AJ27" s="217" t="str">
        <f t="shared" si="48"/>
        <v>Reducir el Riesgo.</v>
      </c>
      <c r="AK27" s="201" t="s">
        <v>414</v>
      </c>
      <c r="AL27" s="186" t="s">
        <v>394</v>
      </c>
      <c r="AM27" s="186" t="s">
        <v>232</v>
      </c>
      <c r="AN27" s="186" t="s">
        <v>467</v>
      </c>
      <c r="AO27" s="188" t="s">
        <v>395</v>
      </c>
    </row>
    <row r="28" spans="1:42" ht="152.25" customHeight="1" x14ac:dyDescent="0.2">
      <c r="A28" s="145" t="s">
        <v>32</v>
      </c>
      <c r="B28" s="228" t="s">
        <v>48</v>
      </c>
      <c r="C28" s="228" t="s">
        <v>205</v>
      </c>
      <c r="D28" s="224" t="s">
        <v>27</v>
      </c>
      <c r="E28" s="224" t="s">
        <v>212</v>
      </c>
      <c r="F28" s="186" t="s">
        <v>493</v>
      </c>
      <c r="G28" s="186" t="s">
        <v>480</v>
      </c>
      <c r="H28" s="224" t="s">
        <v>27</v>
      </c>
      <c r="I28" s="228" t="s">
        <v>481</v>
      </c>
      <c r="J28" s="229" t="s">
        <v>482</v>
      </c>
      <c r="K28" s="227" t="s">
        <v>22</v>
      </c>
      <c r="L28" s="221">
        <f t="shared" si="34"/>
        <v>1</v>
      </c>
      <c r="M28" s="224" t="s">
        <v>41</v>
      </c>
      <c r="N28" s="221">
        <f t="shared" si="35"/>
        <v>4</v>
      </c>
      <c r="O28" s="223">
        <f t="shared" si="36"/>
        <v>4</v>
      </c>
      <c r="P28" s="219" t="str">
        <f t="shared" si="37"/>
        <v>MODERADA</v>
      </c>
      <c r="Q28" s="145" t="s">
        <v>282</v>
      </c>
      <c r="R28" s="221" t="str">
        <f>+'[3]Anexo 2 - Controles (Corrup).'!E206</f>
        <v>Fuerte</v>
      </c>
      <c r="S28" s="224" t="s">
        <v>155</v>
      </c>
      <c r="T28" s="221" t="str">
        <f t="shared" si="49"/>
        <v>Fuerte</v>
      </c>
      <c r="U28" s="221">
        <f t="shared" si="50"/>
        <v>100</v>
      </c>
      <c r="V28" s="222" t="str">
        <f t="shared" si="38"/>
        <v>No</v>
      </c>
      <c r="W28" s="125">
        <v>1</v>
      </c>
      <c r="X28" s="221">
        <f t="shared" si="51"/>
        <v>100</v>
      </c>
      <c r="Y28" s="221" t="str">
        <f t="shared" si="39"/>
        <v>Fuerte</v>
      </c>
      <c r="Z28" s="224" t="s">
        <v>163</v>
      </c>
      <c r="AA28" s="221">
        <f t="shared" si="40"/>
        <v>2</v>
      </c>
      <c r="AB28" s="224" t="s">
        <v>163</v>
      </c>
      <c r="AC28" s="223">
        <f t="shared" si="41"/>
        <v>2</v>
      </c>
      <c r="AD28" s="220">
        <f t="shared" si="42"/>
        <v>1</v>
      </c>
      <c r="AE28" s="221" t="str">
        <f t="shared" si="43"/>
        <v>Rara vez</v>
      </c>
      <c r="AF28" s="221">
        <f t="shared" si="44"/>
        <v>3</v>
      </c>
      <c r="AG28" s="221" t="str">
        <f t="shared" si="45"/>
        <v>Moderado</v>
      </c>
      <c r="AH28" s="222">
        <f t="shared" si="46"/>
        <v>3</v>
      </c>
      <c r="AI28" s="219" t="str">
        <f t="shared" si="47"/>
        <v>MODERADA</v>
      </c>
      <c r="AJ28" s="218" t="str">
        <f t="shared" si="48"/>
        <v>Reducir el Riesgo.</v>
      </c>
      <c r="AK28" s="201" t="s">
        <v>483</v>
      </c>
      <c r="AL28" s="186" t="s">
        <v>484</v>
      </c>
      <c r="AM28" s="186" t="s">
        <v>454</v>
      </c>
      <c r="AN28" s="186" t="s">
        <v>468</v>
      </c>
      <c r="AO28" s="188" t="s">
        <v>485</v>
      </c>
    </row>
    <row r="29" spans="1:42" ht="148.5" customHeight="1" x14ac:dyDescent="0.2">
      <c r="A29" s="145" t="s">
        <v>32</v>
      </c>
      <c r="B29" s="228" t="s">
        <v>48</v>
      </c>
      <c r="C29" s="228" t="s">
        <v>205</v>
      </c>
      <c r="D29" s="224" t="s">
        <v>27</v>
      </c>
      <c r="E29" s="224" t="s">
        <v>213</v>
      </c>
      <c r="F29" s="186" t="s">
        <v>486</v>
      </c>
      <c r="G29" s="186" t="s">
        <v>487</v>
      </c>
      <c r="H29" s="224" t="s">
        <v>27</v>
      </c>
      <c r="I29" s="228" t="s">
        <v>488</v>
      </c>
      <c r="J29" s="229" t="s">
        <v>453</v>
      </c>
      <c r="K29" s="227" t="s">
        <v>22</v>
      </c>
      <c r="L29" s="221">
        <f t="shared" si="34"/>
        <v>1</v>
      </c>
      <c r="M29" s="224" t="s">
        <v>46</v>
      </c>
      <c r="N29" s="221">
        <f t="shared" si="35"/>
        <v>5</v>
      </c>
      <c r="O29" s="223">
        <f t="shared" si="36"/>
        <v>5</v>
      </c>
      <c r="P29" s="219" t="str">
        <f t="shared" si="37"/>
        <v>MODERADA</v>
      </c>
      <c r="Q29" s="145" t="s">
        <v>489</v>
      </c>
      <c r="R29" s="221" t="str">
        <f>+'[3]Anexo 2 - Controles (Corrup).'!E223</f>
        <v>Fuerte</v>
      </c>
      <c r="S29" s="224" t="s">
        <v>155</v>
      </c>
      <c r="T29" s="221" t="str">
        <f t="shared" si="49"/>
        <v>Fuerte</v>
      </c>
      <c r="U29" s="221">
        <f t="shared" si="50"/>
        <v>100</v>
      </c>
      <c r="V29" s="222" t="str">
        <f t="shared" si="38"/>
        <v>No</v>
      </c>
      <c r="W29" s="125">
        <v>1</v>
      </c>
      <c r="X29" s="221">
        <f t="shared" si="51"/>
        <v>100</v>
      </c>
      <c r="Y29" s="221" t="str">
        <f t="shared" si="39"/>
        <v>Fuerte</v>
      </c>
      <c r="Z29" s="224" t="s">
        <v>163</v>
      </c>
      <c r="AA29" s="221">
        <f t="shared" si="40"/>
        <v>2</v>
      </c>
      <c r="AB29" s="224" t="s">
        <v>163</v>
      </c>
      <c r="AC29" s="223">
        <f t="shared" si="41"/>
        <v>2</v>
      </c>
      <c r="AD29" s="220">
        <f t="shared" si="42"/>
        <v>1</v>
      </c>
      <c r="AE29" s="221" t="str">
        <f t="shared" si="43"/>
        <v>Rara vez</v>
      </c>
      <c r="AF29" s="221">
        <f t="shared" si="44"/>
        <v>3</v>
      </c>
      <c r="AG29" s="221" t="str">
        <f t="shared" si="45"/>
        <v>Moderado</v>
      </c>
      <c r="AH29" s="222">
        <f t="shared" si="46"/>
        <v>3</v>
      </c>
      <c r="AI29" s="219" t="str">
        <f t="shared" si="47"/>
        <v>MODERADA</v>
      </c>
      <c r="AJ29" s="218" t="str">
        <f t="shared" si="48"/>
        <v>Reducir el Riesgo.</v>
      </c>
      <c r="AK29" s="201" t="s">
        <v>490</v>
      </c>
      <c r="AL29" s="186" t="s">
        <v>491</v>
      </c>
      <c r="AM29" s="186" t="s">
        <v>234</v>
      </c>
      <c r="AN29" s="186" t="s">
        <v>468</v>
      </c>
      <c r="AO29" s="188" t="s">
        <v>492</v>
      </c>
    </row>
    <row r="30" spans="1:42" ht="205.5" customHeight="1" x14ac:dyDescent="0.2">
      <c r="A30" s="145" t="s">
        <v>32</v>
      </c>
      <c r="B30" s="228" t="s">
        <v>294</v>
      </c>
      <c r="C30" s="228" t="s">
        <v>203</v>
      </c>
      <c r="D30" s="224" t="s">
        <v>27</v>
      </c>
      <c r="E30" s="224" t="s">
        <v>214</v>
      </c>
      <c r="F30" s="186" t="s">
        <v>219</v>
      </c>
      <c r="G30" s="186" t="s">
        <v>236</v>
      </c>
      <c r="H30" s="224" t="s">
        <v>27</v>
      </c>
      <c r="I30" s="228" t="s">
        <v>222</v>
      </c>
      <c r="J30" s="229" t="s">
        <v>357</v>
      </c>
      <c r="K30" s="227" t="s">
        <v>29</v>
      </c>
      <c r="L30" s="221">
        <f t="shared" si="34"/>
        <v>2</v>
      </c>
      <c r="M30" s="224" t="s">
        <v>46</v>
      </c>
      <c r="N30" s="221">
        <f t="shared" si="35"/>
        <v>5</v>
      </c>
      <c r="O30" s="223">
        <f t="shared" si="36"/>
        <v>10</v>
      </c>
      <c r="P30" s="219" t="str">
        <f t="shared" si="37"/>
        <v>ALTA</v>
      </c>
      <c r="Q30" s="145" t="s">
        <v>494</v>
      </c>
      <c r="R30" s="221" t="str">
        <f>+'[4]Anexo 2 - Controles (Corrup).'!E240</f>
        <v>Moderado</v>
      </c>
      <c r="S30" s="224" t="s">
        <v>155</v>
      </c>
      <c r="T30" s="221" t="str">
        <f t="shared" si="49"/>
        <v>Moderado</v>
      </c>
      <c r="U30" s="221">
        <f t="shared" si="50"/>
        <v>50</v>
      </c>
      <c r="V30" s="222" t="str">
        <f t="shared" si="38"/>
        <v>Si</v>
      </c>
      <c r="W30" s="125">
        <v>1</v>
      </c>
      <c r="X30" s="221">
        <f t="shared" si="51"/>
        <v>50</v>
      </c>
      <c r="Y30" s="221" t="str">
        <f t="shared" si="39"/>
        <v>Moderado</v>
      </c>
      <c r="Z30" s="224" t="s">
        <v>163</v>
      </c>
      <c r="AA30" s="221">
        <f t="shared" si="40"/>
        <v>1</v>
      </c>
      <c r="AB30" s="224" t="s">
        <v>163</v>
      </c>
      <c r="AC30" s="223">
        <f t="shared" si="41"/>
        <v>1</v>
      </c>
      <c r="AD30" s="220">
        <f t="shared" si="42"/>
        <v>1</v>
      </c>
      <c r="AE30" s="221" t="str">
        <f t="shared" si="43"/>
        <v>Rara vez</v>
      </c>
      <c r="AF30" s="221">
        <f t="shared" si="44"/>
        <v>4</v>
      </c>
      <c r="AG30" s="221" t="str">
        <f t="shared" si="45"/>
        <v>Mayor</v>
      </c>
      <c r="AH30" s="222">
        <f t="shared" si="46"/>
        <v>4</v>
      </c>
      <c r="AI30" s="219" t="str">
        <f t="shared" si="47"/>
        <v>MODERADA</v>
      </c>
      <c r="AJ30" s="218" t="str">
        <f t="shared" si="48"/>
        <v>Reducir el Riesgo.</v>
      </c>
      <c r="AK30" s="201" t="s">
        <v>495</v>
      </c>
      <c r="AL30" s="186" t="s">
        <v>496</v>
      </c>
      <c r="AM30" s="186" t="s">
        <v>233</v>
      </c>
      <c r="AN30" s="186" t="s">
        <v>497</v>
      </c>
      <c r="AO30" s="188" t="s">
        <v>498</v>
      </c>
    </row>
    <row r="31" spans="1:42" ht="161.25" customHeight="1" x14ac:dyDescent="0.2">
      <c r="A31" s="145" t="s">
        <v>38</v>
      </c>
      <c r="B31" s="228" t="s">
        <v>53</v>
      </c>
      <c r="C31" s="251" t="s">
        <v>401</v>
      </c>
      <c r="D31" s="224" t="s">
        <v>27</v>
      </c>
      <c r="E31" s="224" t="s">
        <v>215</v>
      </c>
      <c r="F31" s="653" t="s">
        <v>513</v>
      </c>
      <c r="G31" s="653" t="s">
        <v>514</v>
      </c>
      <c r="H31" s="224" t="s">
        <v>27</v>
      </c>
      <c r="I31" s="574" t="s">
        <v>515</v>
      </c>
      <c r="J31" s="661" t="s">
        <v>516</v>
      </c>
      <c r="K31" s="577" t="s">
        <v>35</v>
      </c>
      <c r="L31" s="365">
        <f t="shared" si="34"/>
        <v>3</v>
      </c>
      <c r="M31" s="360" t="s">
        <v>41</v>
      </c>
      <c r="N31" s="365">
        <f t="shared" si="35"/>
        <v>4</v>
      </c>
      <c r="O31" s="368">
        <f t="shared" si="36"/>
        <v>12</v>
      </c>
      <c r="P31" s="371" t="str">
        <f t="shared" si="37"/>
        <v>ALTA</v>
      </c>
      <c r="Q31" s="151" t="s">
        <v>517</v>
      </c>
      <c r="R31" s="221" t="str">
        <f>'Anexo 2 - Controles (Corrup).'!E258</f>
        <v>Fuerte</v>
      </c>
      <c r="S31" s="224" t="s">
        <v>155</v>
      </c>
      <c r="T31" s="221" t="str">
        <f t="shared" si="49"/>
        <v>Fuerte</v>
      </c>
      <c r="U31" s="221">
        <f t="shared" si="50"/>
        <v>100</v>
      </c>
      <c r="V31" s="222" t="str">
        <f t="shared" si="38"/>
        <v>No</v>
      </c>
      <c r="W31" s="127">
        <v>0.25</v>
      </c>
      <c r="X31" s="359">
        <f>(U31*W31)+(U32*W32)+(U33*W33)+(U34*W34)</f>
        <v>100</v>
      </c>
      <c r="Y31" s="359" t="str">
        <f t="shared" si="39"/>
        <v>Fuerte</v>
      </c>
      <c r="Z31" s="354" t="s">
        <v>163</v>
      </c>
      <c r="AA31" s="359">
        <f t="shared" si="40"/>
        <v>2</v>
      </c>
      <c r="AB31" s="354" t="s">
        <v>164</v>
      </c>
      <c r="AC31" s="363">
        <f t="shared" si="41"/>
        <v>0</v>
      </c>
      <c r="AD31" s="375">
        <f t="shared" si="42"/>
        <v>1</v>
      </c>
      <c r="AE31" s="359" t="str">
        <f t="shared" si="43"/>
        <v>Rara vez</v>
      </c>
      <c r="AF31" s="359">
        <f t="shared" si="44"/>
        <v>4</v>
      </c>
      <c r="AG31" s="359" t="str">
        <f t="shared" si="45"/>
        <v>Mayor</v>
      </c>
      <c r="AH31" s="376">
        <f t="shared" si="46"/>
        <v>4</v>
      </c>
      <c r="AI31" s="364" t="str">
        <f t="shared" si="47"/>
        <v>MODERADA</v>
      </c>
      <c r="AJ31" s="374" t="str">
        <f t="shared" si="48"/>
        <v>Reducir el Riesgo.</v>
      </c>
      <c r="AK31" s="138" t="s">
        <v>521</v>
      </c>
      <c r="AL31" s="641" t="s">
        <v>522</v>
      </c>
      <c r="AM31" s="650" t="s">
        <v>361</v>
      </c>
      <c r="AN31" s="650" t="s">
        <v>523</v>
      </c>
      <c r="AO31" s="642" t="s">
        <v>539</v>
      </c>
    </row>
    <row r="32" spans="1:42" ht="116.25" customHeight="1" x14ac:dyDescent="0.2">
      <c r="A32" s="145" t="s">
        <v>38</v>
      </c>
      <c r="B32" s="228" t="s">
        <v>53</v>
      </c>
      <c r="C32" s="251"/>
      <c r="D32" s="224" t="s">
        <v>27</v>
      </c>
      <c r="E32" s="224" t="s">
        <v>215</v>
      </c>
      <c r="F32" s="657"/>
      <c r="G32" s="657"/>
      <c r="H32" s="224" t="s">
        <v>27</v>
      </c>
      <c r="I32" s="662"/>
      <c r="J32" s="663"/>
      <c r="K32" s="614"/>
      <c r="L32" s="366"/>
      <c r="M32" s="361"/>
      <c r="N32" s="366"/>
      <c r="O32" s="369"/>
      <c r="P32" s="372"/>
      <c r="Q32" s="151" t="s">
        <v>518</v>
      </c>
      <c r="R32" s="221" t="str">
        <f>'Anexo 2 - Controles (Corrup).'!K258</f>
        <v>Fuerte</v>
      </c>
      <c r="S32" s="224" t="s">
        <v>155</v>
      </c>
      <c r="T32" s="221" t="str">
        <f t="shared" si="49"/>
        <v>Fuerte</v>
      </c>
      <c r="U32" s="221">
        <f t="shared" si="50"/>
        <v>100</v>
      </c>
      <c r="V32" s="222" t="str">
        <f t="shared" si="38"/>
        <v>No</v>
      </c>
      <c r="W32" s="127">
        <v>0.25</v>
      </c>
      <c r="X32" s="359"/>
      <c r="Y32" s="359"/>
      <c r="Z32" s="354"/>
      <c r="AA32" s="359"/>
      <c r="AB32" s="354"/>
      <c r="AC32" s="363"/>
      <c r="AD32" s="375"/>
      <c r="AE32" s="359"/>
      <c r="AF32" s="359"/>
      <c r="AG32" s="359"/>
      <c r="AH32" s="376"/>
      <c r="AI32" s="364"/>
      <c r="AJ32" s="374"/>
      <c r="AK32" s="138" t="s">
        <v>524</v>
      </c>
      <c r="AL32" s="641" t="s">
        <v>525</v>
      </c>
      <c r="AM32" s="651"/>
      <c r="AN32" s="651"/>
      <c r="AO32" s="642" t="s">
        <v>540</v>
      </c>
    </row>
    <row r="33" spans="1:41" ht="124.5" customHeight="1" x14ac:dyDescent="0.2">
      <c r="A33" s="145" t="s">
        <v>38</v>
      </c>
      <c r="B33" s="228" t="s">
        <v>53</v>
      </c>
      <c r="C33" s="251"/>
      <c r="D33" s="224" t="s">
        <v>27</v>
      </c>
      <c r="E33" s="224" t="s">
        <v>215</v>
      </c>
      <c r="F33" s="657"/>
      <c r="G33" s="657"/>
      <c r="H33" s="224" t="s">
        <v>27</v>
      </c>
      <c r="I33" s="662"/>
      <c r="J33" s="663"/>
      <c r="K33" s="614"/>
      <c r="L33" s="366"/>
      <c r="M33" s="361"/>
      <c r="N33" s="366"/>
      <c r="O33" s="369"/>
      <c r="P33" s="372"/>
      <c r="Q33" s="151" t="s">
        <v>519</v>
      </c>
      <c r="R33" s="221" t="str">
        <f>'Anexo 2 - Controles (Corrup).'!S258</f>
        <v>Fuerte</v>
      </c>
      <c r="S33" s="224" t="s">
        <v>155</v>
      </c>
      <c r="T33" s="221" t="str">
        <f t="shared" si="49"/>
        <v>Fuerte</v>
      </c>
      <c r="U33" s="221">
        <f t="shared" si="50"/>
        <v>100</v>
      </c>
      <c r="V33" s="222" t="str">
        <f t="shared" si="38"/>
        <v>No</v>
      </c>
      <c r="W33" s="127">
        <v>0.25</v>
      </c>
      <c r="X33" s="359"/>
      <c r="Y33" s="359"/>
      <c r="Z33" s="354"/>
      <c r="AA33" s="359"/>
      <c r="AB33" s="354"/>
      <c r="AC33" s="363"/>
      <c r="AD33" s="375"/>
      <c r="AE33" s="359"/>
      <c r="AF33" s="359"/>
      <c r="AG33" s="359"/>
      <c r="AH33" s="376"/>
      <c r="AI33" s="364"/>
      <c r="AJ33" s="374"/>
      <c r="AK33" s="138" t="s">
        <v>526</v>
      </c>
      <c r="AL33" s="641" t="s">
        <v>527</v>
      </c>
      <c r="AM33" s="651"/>
      <c r="AN33" s="651"/>
      <c r="AO33" s="642" t="s">
        <v>541</v>
      </c>
    </row>
    <row r="34" spans="1:41" ht="119.25" customHeight="1" x14ac:dyDescent="0.2">
      <c r="A34" s="145" t="s">
        <v>38</v>
      </c>
      <c r="B34" s="228" t="s">
        <v>53</v>
      </c>
      <c r="C34" s="251"/>
      <c r="D34" s="224" t="s">
        <v>27</v>
      </c>
      <c r="E34" s="224" t="s">
        <v>215</v>
      </c>
      <c r="F34" s="654"/>
      <c r="G34" s="654"/>
      <c r="H34" s="224" t="s">
        <v>27</v>
      </c>
      <c r="I34" s="578"/>
      <c r="J34" s="664"/>
      <c r="K34" s="581"/>
      <c r="L34" s="367"/>
      <c r="M34" s="362"/>
      <c r="N34" s="367"/>
      <c r="O34" s="370"/>
      <c r="P34" s="373"/>
      <c r="Q34" s="151" t="s">
        <v>520</v>
      </c>
      <c r="R34" s="221" t="str">
        <f>'Anexo 2 - Controles (Corrup).'!AA258</f>
        <v>Fuerte</v>
      </c>
      <c r="S34" s="224" t="s">
        <v>155</v>
      </c>
      <c r="T34" s="221" t="str">
        <f t="shared" si="49"/>
        <v>Fuerte</v>
      </c>
      <c r="U34" s="221">
        <f t="shared" si="50"/>
        <v>100</v>
      </c>
      <c r="V34" s="222" t="str">
        <f t="shared" si="38"/>
        <v>No</v>
      </c>
      <c r="W34" s="127">
        <v>0.25</v>
      </c>
      <c r="X34" s="359"/>
      <c r="Y34" s="359"/>
      <c r="Z34" s="354"/>
      <c r="AA34" s="359"/>
      <c r="AB34" s="354"/>
      <c r="AC34" s="363"/>
      <c r="AD34" s="375"/>
      <c r="AE34" s="359"/>
      <c r="AF34" s="359"/>
      <c r="AG34" s="359"/>
      <c r="AH34" s="376"/>
      <c r="AI34" s="364"/>
      <c r="AJ34" s="374"/>
      <c r="AK34" s="138" t="s">
        <v>528</v>
      </c>
      <c r="AL34" s="641" t="s">
        <v>529</v>
      </c>
      <c r="AM34" s="652"/>
      <c r="AN34" s="652"/>
      <c r="AO34" s="642" t="s">
        <v>542</v>
      </c>
    </row>
    <row r="35" spans="1:41" s="140" customFormat="1" ht="11.25" customHeight="1" thickBot="1" x14ac:dyDescent="0.25">
      <c r="A35" s="123"/>
      <c r="B35" s="131"/>
      <c r="C35" s="131"/>
      <c r="D35" s="132"/>
      <c r="E35" s="132"/>
      <c r="F35" s="655"/>
      <c r="G35" s="655"/>
      <c r="H35" s="132"/>
      <c r="I35" s="131"/>
      <c r="J35" s="130"/>
      <c r="K35" s="136"/>
      <c r="L35" s="137" t="str">
        <f t="shared" si="34"/>
        <v/>
      </c>
      <c r="M35" s="132"/>
      <c r="N35" s="137" t="str">
        <f t="shared" si="35"/>
        <v/>
      </c>
      <c r="O35" s="133" t="str">
        <f t="shared" si="36"/>
        <v/>
      </c>
      <c r="P35" s="152" t="str">
        <f t="shared" si="37"/>
        <v/>
      </c>
      <c r="Q35" s="161"/>
      <c r="R35" s="137"/>
      <c r="S35" s="132"/>
      <c r="T35" s="137" t="str">
        <f t="shared" si="49"/>
        <v/>
      </c>
      <c r="U35" s="137" t="str">
        <f t="shared" si="50"/>
        <v/>
      </c>
      <c r="V35" s="124" t="str">
        <f t="shared" si="38"/>
        <v/>
      </c>
      <c r="W35" s="141"/>
      <c r="X35" s="137" t="str">
        <f t="shared" si="51"/>
        <v/>
      </c>
      <c r="Y35" s="137" t="str">
        <f t="shared" si="39"/>
        <v/>
      </c>
      <c r="Z35" s="132"/>
      <c r="AA35" s="137" t="str">
        <f t="shared" si="40"/>
        <v/>
      </c>
      <c r="AB35" s="132"/>
      <c r="AC35" s="133" t="str">
        <f t="shared" si="41"/>
        <v/>
      </c>
      <c r="AD35" s="134" t="str">
        <f t="shared" si="42"/>
        <v/>
      </c>
      <c r="AE35" s="135" t="str">
        <f t="shared" si="43"/>
        <v/>
      </c>
      <c r="AF35" s="135" t="str">
        <f t="shared" si="44"/>
        <v/>
      </c>
      <c r="AG35" s="135" t="str">
        <f t="shared" si="45"/>
        <v/>
      </c>
      <c r="AH35" s="124" t="str">
        <f t="shared" si="46"/>
        <v/>
      </c>
      <c r="AI35" s="152" t="str">
        <f t="shared" si="47"/>
        <v/>
      </c>
      <c r="AJ35" s="163" t="str">
        <f t="shared" si="48"/>
        <v/>
      </c>
      <c r="AK35" s="123"/>
      <c r="AL35" s="131"/>
      <c r="AM35" s="131"/>
      <c r="AN35" s="131"/>
      <c r="AO35" s="130"/>
    </row>
  </sheetData>
  <autoFilter ref="A12:AP35" xr:uid="{00000000-0009-0000-0000-000002000000}"/>
  <mergeCells count="159">
    <mergeCell ref="AO25:AO26"/>
    <mergeCell ref="C31:C34"/>
    <mergeCell ref="F31:F34"/>
    <mergeCell ref="G31:G34"/>
    <mergeCell ref="I31:I34"/>
    <mergeCell ref="J31:J34"/>
    <mergeCell ref="K31:K34"/>
    <mergeCell ref="L31:L34"/>
    <mergeCell ref="M31:M34"/>
    <mergeCell ref="N31:N34"/>
    <mergeCell ref="O31:O34"/>
    <mergeCell ref="P31:P34"/>
    <mergeCell ref="W6:Y6"/>
    <mergeCell ref="W7:Y7"/>
    <mergeCell ref="B8:Q8"/>
    <mergeCell ref="W8:Y8"/>
    <mergeCell ref="Z8:AN8"/>
    <mergeCell ref="AM31:AM34"/>
    <mergeCell ref="AN31:AN34"/>
    <mergeCell ref="AD25:AD26"/>
    <mergeCell ref="AE25:AE26"/>
    <mergeCell ref="AF25:AF26"/>
    <mergeCell ref="AG25:AG26"/>
    <mergeCell ref="AH25:AH26"/>
    <mergeCell ref="AI25:AI26"/>
    <mergeCell ref="AJ25:AJ26"/>
    <mergeCell ref="AJ31:AJ34"/>
    <mergeCell ref="AI31:AI34"/>
    <mergeCell ref="AD31:AD34"/>
    <mergeCell ref="AE31:AE34"/>
    <mergeCell ref="AF31:AF34"/>
    <mergeCell ref="AG31:AG34"/>
    <mergeCell ref="AH31:AH34"/>
    <mergeCell ref="AK25:AK26"/>
    <mergeCell ref="AL25:AL26"/>
    <mergeCell ref="AM25:AM26"/>
    <mergeCell ref="AN25:AN26"/>
    <mergeCell ref="X31:X34"/>
    <mergeCell ref="Z25:Z26"/>
    <mergeCell ref="AA25:AA26"/>
    <mergeCell ref="AB25:AB26"/>
    <mergeCell ref="AC25:AC26"/>
    <mergeCell ref="K20:K22"/>
    <mergeCell ref="L20:L22"/>
    <mergeCell ref="M20:M22"/>
    <mergeCell ref="N20:N22"/>
    <mergeCell ref="AE20:AE22"/>
    <mergeCell ref="F25:F26"/>
    <mergeCell ref="G25:G26"/>
    <mergeCell ref="Y31:Y34"/>
    <mergeCell ref="Z31:Z34"/>
    <mergeCell ref="AA31:AA34"/>
    <mergeCell ref="AB31:AB34"/>
    <mergeCell ref="AC31:AC34"/>
    <mergeCell ref="M23:M24"/>
    <mergeCell ref="N23:N24"/>
    <mergeCell ref="G23:G24"/>
    <mergeCell ref="I23:I24"/>
    <mergeCell ref="J23:J24"/>
    <mergeCell ref="P23:P24"/>
    <mergeCell ref="X25:X26"/>
    <mergeCell ref="Y25:Y26"/>
    <mergeCell ref="K25:K26"/>
    <mergeCell ref="L25:L26"/>
    <mergeCell ref="M25:M26"/>
    <mergeCell ref="N25:N26"/>
    <mergeCell ref="O25:O26"/>
    <mergeCell ref="P25:P26"/>
    <mergeCell ref="J25:J26"/>
    <mergeCell ref="I25:I26"/>
    <mergeCell ref="X23:X24"/>
    <mergeCell ref="Y23:Y24"/>
    <mergeCell ref="J20:J22"/>
    <mergeCell ref="K23:K24"/>
    <mergeCell ref="L23:L24"/>
    <mergeCell ref="AJ23:AJ24"/>
    <mergeCell ref="AE23:AE24"/>
    <mergeCell ref="AF23:AF24"/>
    <mergeCell ref="AG23:AG24"/>
    <mergeCell ref="AH23:AH24"/>
    <mergeCell ref="AI23:AI24"/>
    <mergeCell ref="AJ20:AJ22"/>
    <mergeCell ref="AI20:AI22"/>
    <mergeCell ref="P20:P22"/>
    <mergeCell ref="O20:O22"/>
    <mergeCell ref="O23:O24"/>
    <mergeCell ref="Z20:Z22"/>
    <mergeCell ref="AA20:AA22"/>
    <mergeCell ref="AB20:AB22"/>
    <mergeCell ref="AC20:AC22"/>
    <mergeCell ref="Z23:Z24"/>
    <mergeCell ref="AA23:AA24"/>
    <mergeCell ref="AB23:AB24"/>
    <mergeCell ref="AC23:AC24"/>
    <mergeCell ref="AD23:AD24"/>
    <mergeCell ref="W11:W12"/>
    <mergeCell ref="X11:X12"/>
    <mergeCell ref="X20:X22"/>
    <mergeCell ref="Y20:Y22"/>
    <mergeCell ref="AD20:AD22"/>
    <mergeCell ref="AD11:AH11"/>
    <mergeCell ref="Z11:Z12"/>
    <mergeCell ref="AB11:AB12"/>
    <mergeCell ref="AC11:AC12"/>
    <mergeCell ref="AA11:AA12"/>
    <mergeCell ref="AH20:AH22"/>
    <mergeCell ref="AF20:AF22"/>
    <mergeCell ref="AG20:AG22"/>
    <mergeCell ref="A1:A4"/>
    <mergeCell ref="A11:E11"/>
    <mergeCell ref="F11:F12"/>
    <mergeCell ref="G11:G12"/>
    <mergeCell ref="J11:J12"/>
    <mergeCell ref="H11:H12"/>
    <mergeCell ref="A10:J10"/>
    <mergeCell ref="I11:I12"/>
    <mergeCell ref="B1:P4"/>
    <mergeCell ref="M11:M12"/>
    <mergeCell ref="O11:O12"/>
    <mergeCell ref="K10:P10"/>
    <mergeCell ref="P11:P12"/>
    <mergeCell ref="L11:L12"/>
    <mergeCell ref="N11:N12"/>
    <mergeCell ref="K11:K12"/>
    <mergeCell ref="Q3:U3"/>
    <mergeCell ref="Q4:U4"/>
    <mergeCell ref="AK10:AO10"/>
    <mergeCell ref="AI11:AI12"/>
    <mergeCell ref="AK11:AK12"/>
    <mergeCell ref="AO11:AO12"/>
    <mergeCell ref="AM11:AM12"/>
    <mergeCell ref="AN11:AN12"/>
    <mergeCell ref="AL11:AL12"/>
    <mergeCell ref="AJ11:AJ12"/>
    <mergeCell ref="AO1:AO4"/>
    <mergeCell ref="C23:C24"/>
    <mergeCell ref="C20:C22"/>
    <mergeCell ref="F20:F22"/>
    <mergeCell ref="G20:G22"/>
    <mergeCell ref="I20:I22"/>
    <mergeCell ref="F23:F24"/>
    <mergeCell ref="AM1:AN1"/>
    <mergeCell ref="AM2:AN2"/>
    <mergeCell ref="AM3:AN3"/>
    <mergeCell ref="AM4:AN4"/>
    <mergeCell ref="W1:Y4"/>
    <mergeCell ref="V1:V4"/>
    <mergeCell ref="W10:AJ10"/>
    <mergeCell ref="Y11:Y12"/>
    <mergeCell ref="R11:R12"/>
    <mergeCell ref="Z1:AL4"/>
    <mergeCell ref="Q11:Q12"/>
    <mergeCell ref="T11:T12"/>
    <mergeCell ref="Q1:U1"/>
    <mergeCell ref="Q10:V10"/>
    <mergeCell ref="V11:V12"/>
    <mergeCell ref="S11:S12"/>
    <mergeCell ref="U11:U12"/>
    <mergeCell ref="Q2:U2"/>
  </mergeCells>
  <conditionalFormatting sqref="P16">
    <cfRule type="containsText" dxfId="179" priority="967" operator="containsText" text="ALTA">
      <formula>NOT(ISERROR(SEARCH("ALTA",P16)))</formula>
    </cfRule>
    <cfRule type="containsText" dxfId="178" priority="968" operator="containsText" text="EXTREMA">
      <formula>NOT(ISERROR(SEARCH("EXTREMA",P16)))</formula>
    </cfRule>
    <cfRule type="containsText" dxfId="177" priority="969" operator="containsText" text="ALTA">
      <formula>NOT(ISERROR(SEARCH("ALTA",P16)))</formula>
    </cfRule>
    <cfRule type="containsText" dxfId="176" priority="970" operator="containsText" text="MODERADA">
      <formula>NOT(ISERROR(SEARCH("MODERADA",P16)))</formula>
    </cfRule>
    <cfRule type="containsText" dxfId="175" priority="971" operator="containsText" text="BAJA">
      <formula>NOT(ISERROR(SEARCH("BAJA",P16)))</formula>
    </cfRule>
    <cfRule type="colorScale" priority="972">
      <colorScale>
        <cfvo type="num" val="1"/>
        <cfvo type="num" val="2"/>
        <cfvo type="num" val="5"/>
        <color rgb="FFF8696B"/>
        <color rgb="FFFFEB84"/>
        <color rgb="FF63BE7B"/>
      </colorScale>
    </cfRule>
    <cfRule type="colorScale" priority="973">
      <colorScale>
        <cfvo type="min"/>
        <cfvo type="percentile" val="50"/>
        <cfvo type="max"/>
        <color rgb="FFF8696B"/>
        <color rgb="FFFFEB84"/>
        <color rgb="FF63BE7B"/>
      </colorScale>
    </cfRule>
  </conditionalFormatting>
  <conditionalFormatting sqref="P16">
    <cfRule type="containsText" dxfId="174" priority="974" operator="containsText" text="ALTA">
      <formula>NOT(ISERROR(SEARCH("ALTA",P16)))</formula>
    </cfRule>
    <cfRule type="containsText" dxfId="173" priority="975" operator="containsText" text="EXTREMA">
      <formula>NOT(ISERROR(SEARCH("EXTREMA",P16)))</formula>
    </cfRule>
    <cfRule type="containsText" dxfId="172" priority="976" operator="containsText" text="ALTA">
      <formula>NOT(ISERROR(SEARCH("ALTA",P16)))</formula>
    </cfRule>
    <cfRule type="containsText" dxfId="171" priority="977" operator="containsText" text="MODERADA">
      <formula>NOT(ISERROR(SEARCH("MODERADA",P16)))</formula>
    </cfRule>
    <cfRule type="containsText" dxfId="170" priority="978" operator="containsText" text="BAJA">
      <formula>NOT(ISERROR(SEARCH("BAJA",P16)))</formula>
    </cfRule>
    <cfRule type="colorScale" priority="979">
      <colorScale>
        <cfvo type="num" val="1"/>
        <cfvo type="num" val="2"/>
        <cfvo type="num" val="5"/>
        <color rgb="FFF8696B"/>
        <color rgb="FFFFEB84"/>
        <color rgb="FF63BE7B"/>
      </colorScale>
    </cfRule>
    <cfRule type="colorScale" priority="980">
      <colorScale>
        <cfvo type="min"/>
        <cfvo type="percentile" val="50"/>
        <cfvo type="max"/>
        <color rgb="FFF8696B"/>
        <color rgb="FFFFEB84"/>
        <color rgb="FF63BE7B"/>
      </colorScale>
    </cfRule>
  </conditionalFormatting>
  <conditionalFormatting sqref="AI16">
    <cfRule type="containsText" dxfId="169" priority="981" operator="containsText" text="ALTA">
      <formula>NOT(ISERROR(SEARCH("ALTA",AI16)))</formula>
    </cfRule>
    <cfRule type="containsText" dxfId="168" priority="982" operator="containsText" text="EXTREMA">
      <formula>NOT(ISERROR(SEARCH("EXTREMA",AI16)))</formula>
    </cfRule>
    <cfRule type="containsText" dxfId="167" priority="983" operator="containsText" text="ALTA">
      <formula>NOT(ISERROR(SEARCH("ALTA",AI16)))</formula>
    </cfRule>
    <cfRule type="containsText" dxfId="166" priority="984" operator="containsText" text="MODERADA">
      <formula>NOT(ISERROR(SEARCH("MODERADA",AI16)))</formula>
    </cfRule>
    <cfRule type="containsText" dxfId="165" priority="985" operator="containsText" text="BAJA">
      <formula>NOT(ISERROR(SEARCH("BAJA",AI16)))</formula>
    </cfRule>
    <cfRule type="colorScale" priority="986">
      <colorScale>
        <cfvo type="num" val="1"/>
        <cfvo type="num" val="2"/>
        <cfvo type="num" val="5"/>
        <color rgb="FFF8696B"/>
        <color rgb="FFFFEB84"/>
        <color rgb="FF63BE7B"/>
      </colorScale>
    </cfRule>
    <cfRule type="colorScale" priority="987">
      <colorScale>
        <cfvo type="min"/>
        <cfvo type="percentile" val="50"/>
        <cfvo type="max"/>
        <color rgb="FFF8696B"/>
        <color rgb="FFFFEB84"/>
        <color rgb="FF63BE7B"/>
      </colorScale>
    </cfRule>
  </conditionalFormatting>
  <conditionalFormatting sqref="AI16">
    <cfRule type="containsText" dxfId="164" priority="988" operator="containsText" text="ALTA">
      <formula>NOT(ISERROR(SEARCH("ALTA",AI16)))</formula>
    </cfRule>
    <cfRule type="containsText" dxfId="163" priority="989" operator="containsText" text="EXTREMA">
      <formula>NOT(ISERROR(SEARCH("EXTREMA",AI16)))</formula>
    </cfRule>
    <cfRule type="containsText" dxfId="162" priority="990" operator="containsText" text="ALTA">
      <formula>NOT(ISERROR(SEARCH("ALTA",AI16)))</formula>
    </cfRule>
    <cfRule type="containsText" dxfId="161" priority="991" operator="containsText" text="MODERADA">
      <formula>NOT(ISERROR(SEARCH("MODERADA",AI16)))</formula>
    </cfRule>
    <cfRule type="containsText" dxfId="160" priority="992" operator="containsText" text="BAJA">
      <formula>NOT(ISERROR(SEARCH("BAJA",AI16)))</formula>
    </cfRule>
    <cfRule type="colorScale" priority="993">
      <colorScale>
        <cfvo type="num" val="1"/>
        <cfvo type="num" val="2"/>
        <cfvo type="num" val="5"/>
        <color rgb="FFF8696B"/>
        <color rgb="FFFFEB84"/>
        <color rgb="FF63BE7B"/>
      </colorScale>
    </cfRule>
    <cfRule type="colorScale" priority="994">
      <colorScale>
        <cfvo type="min"/>
        <cfvo type="percentile" val="50"/>
        <cfvo type="max"/>
        <color rgb="FFF8696B"/>
        <color rgb="FFFFEB84"/>
        <color rgb="FF63BE7B"/>
      </colorScale>
    </cfRule>
  </conditionalFormatting>
  <conditionalFormatting sqref="P17:P19 P35 P14:P15 P27">
    <cfRule type="containsText" dxfId="159" priority="1100" operator="containsText" text="ALTA">
      <formula>NOT(ISERROR(SEARCH("ALTA",P14)))</formula>
    </cfRule>
    <cfRule type="containsText" dxfId="158" priority="1101" operator="containsText" text="EXTREMA">
      <formula>NOT(ISERROR(SEARCH("EXTREMA",P14)))</formula>
    </cfRule>
    <cfRule type="containsText" dxfId="157" priority="1102" operator="containsText" text="ALTA">
      <formula>NOT(ISERROR(SEARCH("ALTA",P14)))</formula>
    </cfRule>
    <cfRule type="containsText" dxfId="156" priority="1103" operator="containsText" text="MODERADA">
      <formula>NOT(ISERROR(SEARCH("MODERADA",P14)))</formula>
    </cfRule>
    <cfRule type="containsText" dxfId="155" priority="1104" operator="containsText" text="BAJA">
      <formula>NOT(ISERROR(SEARCH("BAJA",P14)))</formula>
    </cfRule>
    <cfRule type="colorScale" priority="1105">
      <colorScale>
        <cfvo type="num" val="1"/>
        <cfvo type="num" val="2"/>
        <cfvo type="num" val="5"/>
        <color rgb="FFF8696B"/>
        <color rgb="FFFFEB84"/>
        <color rgb="FF63BE7B"/>
      </colorScale>
    </cfRule>
    <cfRule type="colorScale" priority="1106">
      <colorScale>
        <cfvo type="min"/>
        <cfvo type="percentile" val="50"/>
        <cfvo type="max"/>
        <color rgb="FFF8696B"/>
        <color rgb="FFFFEB84"/>
        <color rgb="FF63BE7B"/>
      </colorScale>
    </cfRule>
  </conditionalFormatting>
  <conditionalFormatting sqref="P17:P19 P35 P14:P15 P27">
    <cfRule type="containsText" dxfId="154" priority="1128" operator="containsText" text="ALTA">
      <formula>NOT(ISERROR(SEARCH("ALTA",P14)))</formula>
    </cfRule>
    <cfRule type="containsText" dxfId="153" priority="1129" operator="containsText" text="EXTREMA">
      <formula>NOT(ISERROR(SEARCH("EXTREMA",P14)))</formula>
    </cfRule>
    <cfRule type="containsText" dxfId="152" priority="1130" operator="containsText" text="ALTA">
      <formula>NOT(ISERROR(SEARCH("ALTA",P14)))</formula>
    </cfRule>
    <cfRule type="containsText" dxfId="151" priority="1131" operator="containsText" text="MODERADA">
      <formula>NOT(ISERROR(SEARCH("MODERADA",P14)))</formula>
    </cfRule>
    <cfRule type="containsText" dxfId="150" priority="1132" operator="containsText" text="BAJA">
      <formula>NOT(ISERROR(SEARCH("BAJA",P14)))</formula>
    </cfRule>
    <cfRule type="colorScale" priority="1133">
      <colorScale>
        <cfvo type="num" val="1"/>
        <cfvo type="num" val="2"/>
        <cfvo type="num" val="5"/>
        <color rgb="FFF8696B"/>
        <color rgb="FFFFEB84"/>
        <color rgb="FF63BE7B"/>
      </colorScale>
    </cfRule>
    <cfRule type="colorScale" priority="1134">
      <colorScale>
        <cfvo type="min"/>
        <cfvo type="percentile" val="50"/>
        <cfvo type="max"/>
        <color rgb="FFF8696B"/>
        <color rgb="FFFFEB84"/>
        <color rgb="FF63BE7B"/>
      </colorScale>
    </cfRule>
  </conditionalFormatting>
  <conditionalFormatting sqref="AI17:AI19 AI35 AI14:AI15 AI27">
    <cfRule type="containsText" dxfId="149" priority="1156" operator="containsText" text="ALTA">
      <formula>NOT(ISERROR(SEARCH("ALTA",AI14)))</formula>
    </cfRule>
    <cfRule type="containsText" dxfId="148" priority="1157" operator="containsText" text="EXTREMA">
      <formula>NOT(ISERROR(SEARCH("EXTREMA",AI14)))</formula>
    </cfRule>
    <cfRule type="containsText" dxfId="147" priority="1158" operator="containsText" text="ALTA">
      <formula>NOT(ISERROR(SEARCH("ALTA",AI14)))</formula>
    </cfRule>
    <cfRule type="containsText" dxfId="146" priority="1159" operator="containsText" text="MODERADA">
      <formula>NOT(ISERROR(SEARCH("MODERADA",AI14)))</formula>
    </cfRule>
    <cfRule type="containsText" dxfId="145" priority="1160" operator="containsText" text="BAJA">
      <formula>NOT(ISERROR(SEARCH("BAJA",AI14)))</formula>
    </cfRule>
    <cfRule type="colorScale" priority="1161">
      <colorScale>
        <cfvo type="num" val="1"/>
        <cfvo type="num" val="2"/>
        <cfvo type="num" val="5"/>
        <color rgb="FFF8696B"/>
        <color rgb="FFFFEB84"/>
        <color rgb="FF63BE7B"/>
      </colorScale>
    </cfRule>
    <cfRule type="colorScale" priority="1162">
      <colorScale>
        <cfvo type="min"/>
        <cfvo type="percentile" val="50"/>
        <cfvo type="max"/>
        <color rgb="FFF8696B"/>
        <color rgb="FFFFEB84"/>
        <color rgb="FF63BE7B"/>
      </colorScale>
    </cfRule>
  </conditionalFormatting>
  <conditionalFormatting sqref="AI17:AI19 AI35 AI14:AI15 AI27">
    <cfRule type="containsText" dxfId="144" priority="1184" operator="containsText" text="ALTA">
      <formula>NOT(ISERROR(SEARCH("ALTA",AI14)))</formula>
    </cfRule>
    <cfRule type="containsText" dxfId="143" priority="1185" operator="containsText" text="EXTREMA">
      <formula>NOT(ISERROR(SEARCH("EXTREMA",AI14)))</formula>
    </cfRule>
    <cfRule type="containsText" dxfId="142" priority="1186" operator="containsText" text="ALTA">
      <formula>NOT(ISERROR(SEARCH("ALTA",AI14)))</formula>
    </cfRule>
    <cfRule type="containsText" dxfId="141" priority="1187" operator="containsText" text="MODERADA">
      <formula>NOT(ISERROR(SEARCH("MODERADA",AI14)))</formula>
    </cfRule>
    <cfRule type="containsText" dxfId="140" priority="1188" operator="containsText" text="BAJA">
      <formula>NOT(ISERROR(SEARCH("BAJA",AI14)))</formula>
    </cfRule>
    <cfRule type="colorScale" priority="1189">
      <colorScale>
        <cfvo type="num" val="1"/>
        <cfvo type="num" val="2"/>
        <cfvo type="num" val="5"/>
        <color rgb="FFF8696B"/>
        <color rgb="FFFFEB84"/>
        <color rgb="FF63BE7B"/>
      </colorScale>
    </cfRule>
    <cfRule type="colorScale" priority="1190">
      <colorScale>
        <cfvo type="min"/>
        <cfvo type="percentile" val="50"/>
        <cfvo type="max"/>
        <color rgb="FFF8696B"/>
        <color rgb="FFFFEB84"/>
        <color rgb="FF63BE7B"/>
      </colorScale>
    </cfRule>
  </conditionalFormatting>
  <conditionalFormatting sqref="P13">
    <cfRule type="containsText" dxfId="139" priority="141" operator="containsText" text="ALTA">
      <formula>NOT(ISERROR(SEARCH("ALTA",P13)))</formula>
    </cfRule>
    <cfRule type="containsText" dxfId="138" priority="142" operator="containsText" text="EXTREMA">
      <formula>NOT(ISERROR(SEARCH("EXTREMA",P13)))</formula>
    </cfRule>
    <cfRule type="containsText" dxfId="137" priority="143" operator="containsText" text="ALTA">
      <formula>NOT(ISERROR(SEARCH("ALTA",P13)))</formula>
    </cfRule>
    <cfRule type="containsText" dxfId="136" priority="144" operator="containsText" text="MODERADA">
      <formula>NOT(ISERROR(SEARCH("MODERADA",P13)))</formula>
    </cfRule>
    <cfRule type="containsText" dxfId="135" priority="145" operator="containsText" text="BAJA">
      <formula>NOT(ISERROR(SEARCH("BAJA",P13)))</formula>
    </cfRule>
    <cfRule type="colorScale" priority="146">
      <colorScale>
        <cfvo type="num" val="1"/>
        <cfvo type="num" val="2"/>
        <cfvo type="num" val="5"/>
        <color rgb="FFF8696B"/>
        <color rgb="FFFFEB84"/>
        <color rgb="FF63BE7B"/>
      </colorScale>
    </cfRule>
    <cfRule type="colorScale" priority="147">
      <colorScale>
        <cfvo type="min"/>
        <cfvo type="percentile" val="50"/>
        <cfvo type="max"/>
        <color rgb="FFF8696B"/>
        <color rgb="FFFFEB84"/>
        <color rgb="FF63BE7B"/>
      </colorScale>
    </cfRule>
  </conditionalFormatting>
  <conditionalFormatting sqref="P13">
    <cfRule type="containsText" dxfId="134" priority="148" operator="containsText" text="ALTA">
      <formula>NOT(ISERROR(SEARCH("ALTA",P13)))</formula>
    </cfRule>
    <cfRule type="containsText" dxfId="133" priority="149" operator="containsText" text="EXTREMA">
      <formula>NOT(ISERROR(SEARCH("EXTREMA",P13)))</formula>
    </cfRule>
    <cfRule type="containsText" dxfId="132" priority="150" operator="containsText" text="ALTA">
      <formula>NOT(ISERROR(SEARCH("ALTA",P13)))</formula>
    </cfRule>
    <cfRule type="containsText" dxfId="131" priority="151" operator="containsText" text="MODERADA">
      <formula>NOT(ISERROR(SEARCH("MODERADA",P13)))</formula>
    </cfRule>
    <cfRule type="containsText" dxfId="130" priority="152" operator="containsText" text="BAJA">
      <formula>NOT(ISERROR(SEARCH("BAJA",P13)))</formula>
    </cfRule>
    <cfRule type="colorScale" priority="153">
      <colorScale>
        <cfvo type="num" val="1"/>
        <cfvo type="num" val="2"/>
        <cfvo type="num" val="5"/>
        <color rgb="FFF8696B"/>
        <color rgb="FFFFEB84"/>
        <color rgb="FF63BE7B"/>
      </colorScale>
    </cfRule>
    <cfRule type="colorScale" priority="154">
      <colorScale>
        <cfvo type="min"/>
        <cfvo type="percentile" val="50"/>
        <cfvo type="max"/>
        <color rgb="FFF8696B"/>
        <color rgb="FFFFEB84"/>
        <color rgb="FF63BE7B"/>
      </colorScale>
    </cfRule>
  </conditionalFormatting>
  <conditionalFormatting sqref="AI13">
    <cfRule type="containsText" dxfId="129" priority="155" operator="containsText" text="ALTA">
      <formula>NOT(ISERROR(SEARCH("ALTA",AI13)))</formula>
    </cfRule>
    <cfRule type="containsText" dxfId="128" priority="156" operator="containsText" text="EXTREMA">
      <formula>NOT(ISERROR(SEARCH("EXTREMA",AI13)))</formula>
    </cfRule>
    <cfRule type="containsText" dxfId="127" priority="157" operator="containsText" text="ALTA">
      <formula>NOT(ISERROR(SEARCH("ALTA",AI13)))</formula>
    </cfRule>
    <cfRule type="containsText" dxfId="126" priority="158" operator="containsText" text="MODERADA">
      <formula>NOT(ISERROR(SEARCH("MODERADA",AI13)))</formula>
    </cfRule>
    <cfRule type="containsText" dxfId="125" priority="159" operator="containsText" text="BAJA">
      <formula>NOT(ISERROR(SEARCH("BAJA",AI13)))</formula>
    </cfRule>
    <cfRule type="colorScale" priority="160">
      <colorScale>
        <cfvo type="num" val="1"/>
        <cfvo type="num" val="2"/>
        <cfvo type="num" val="5"/>
        <color rgb="FFF8696B"/>
        <color rgb="FFFFEB84"/>
        <color rgb="FF63BE7B"/>
      </colorScale>
    </cfRule>
    <cfRule type="colorScale" priority="161">
      <colorScale>
        <cfvo type="min"/>
        <cfvo type="percentile" val="50"/>
        <cfvo type="max"/>
        <color rgb="FFF8696B"/>
        <color rgb="FFFFEB84"/>
        <color rgb="FF63BE7B"/>
      </colorScale>
    </cfRule>
  </conditionalFormatting>
  <conditionalFormatting sqref="AI13">
    <cfRule type="containsText" dxfId="124" priority="162" operator="containsText" text="ALTA">
      <formula>NOT(ISERROR(SEARCH("ALTA",AI13)))</formula>
    </cfRule>
    <cfRule type="containsText" dxfId="123" priority="163" operator="containsText" text="EXTREMA">
      <formula>NOT(ISERROR(SEARCH("EXTREMA",AI13)))</formula>
    </cfRule>
    <cfRule type="containsText" dxfId="122" priority="164" operator="containsText" text="ALTA">
      <formula>NOT(ISERROR(SEARCH("ALTA",AI13)))</formula>
    </cfRule>
    <cfRule type="containsText" dxfId="121" priority="165" operator="containsText" text="MODERADA">
      <formula>NOT(ISERROR(SEARCH("MODERADA",AI13)))</formula>
    </cfRule>
    <cfRule type="containsText" dxfId="120" priority="166" operator="containsText" text="BAJA">
      <formula>NOT(ISERROR(SEARCH("BAJA",AI13)))</formula>
    </cfRule>
    <cfRule type="colorScale" priority="167">
      <colorScale>
        <cfvo type="num" val="1"/>
        <cfvo type="num" val="2"/>
        <cfvo type="num" val="5"/>
        <color rgb="FFF8696B"/>
        <color rgb="FFFFEB84"/>
        <color rgb="FF63BE7B"/>
      </colorScale>
    </cfRule>
    <cfRule type="colorScale" priority="168">
      <colorScale>
        <cfvo type="min"/>
        <cfvo type="percentile" val="50"/>
        <cfvo type="max"/>
        <color rgb="FFF8696B"/>
        <color rgb="FFFFEB84"/>
        <color rgb="FF63BE7B"/>
      </colorScale>
    </cfRule>
  </conditionalFormatting>
  <conditionalFormatting sqref="P28:P29">
    <cfRule type="containsText" dxfId="119" priority="113" operator="containsText" text="ALTA">
      <formula>NOT(ISERROR(SEARCH("ALTA",P28)))</formula>
    </cfRule>
    <cfRule type="containsText" dxfId="118" priority="114" operator="containsText" text="EXTREMA">
      <formula>NOT(ISERROR(SEARCH("EXTREMA",P28)))</formula>
    </cfRule>
    <cfRule type="containsText" dxfId="117" priority="115" operator="containsText" text="ALTA">
      <formula>NOT(ISERROR(SEARCH("ALTA",P28)))</formula>
    </cfRule>
    <cfRule type="containsText" dxfId="116" priority="116" operator="containsText" text="MODERADA">
      <formula>NOT(ISERROR(SEARCH("MODERADA",P28)))</formula>
    </cfRule>
    <cfRule type="containsText" dxfId="115" priority="117" operator="containsText" text="BAJA">
      <formula>NOT(ISERROR(SEARCH("BAJA",P28)))</formula>
    </cfRule>
    <cfRule type="colorScale" priority="118">
      <colorScale>
        <cfvo type="num" val="1"/>
        <cfvo type="num" val="2"/>
        <cfvo type="num" val="5"/>
        <color rgb="FFF8696B"/>
        <color rgb="FFFFEB84"/>
        <color rgb="FF63BE7B"/>
      </colorScale>
    </cfRule>
    <cfRule type="colorScale" priority="119">
      <colorScale>
        <cfvo type="min"/>
        <cfvo type="percentile" val="50"/>
        <cfvo type="max"/>
        <color rgb="FFF8696B"/>
        <color rgb="FFFFEB84"/>
        <color rgb="FF63BE7B"/>
      </colorScale>
    </cfRule>
  </conditionalFormatting>
  <conditionalFormatting sqref="P28:P29">
    <cfRule type="containsText" dxfId="114" priority="120" operator="containsText" text="ALTA">
      <formula>NOT(ISERROR(SEARCH("ALTA",P28)))</formula>
    </cfRule>
    <cfRule type="containsText" dxfId="113" priority="121" operator="containsText" text="EXTREMA">
      <formula>NOT(ISERROR(SEARCH("EXTREMA",P28)))</formula>
    </cfRule>
    <cfRule type="containsText" dxfId="112" priority="122" operator="containsText" text="ALTA">
      <formula>NOT(ISERROR(SEARCH("ALTA",P28)))</formula>
    </cfRule>
    <cfRule type="containsText" dxfId="111" priority="123" operator="containsText" text="MODERADA">
      <formula>NOT(ISERROR(SEARCH("MODERADA",P28)))</formula>
    </cfRule>
    <cfRule type="containsText" dxfId="110" priority="124" operator="containsText" text="BAJA">
      <formula>NOT(ISERROR(SEARCH("BAJA",P28)))</formula>
    </cfRule>
    <cfRule type="colorScale" priority="125">
      <colorScale>
        <cfvo type="num" val="1"/>
        <cfvo type="num" val="2"/>
        <cfvo type="num" val="5"/>
        <color rgb="FFF8696B"/>
        <color rgb="FFFFEB84"/>
        <color rgb="FF63BE7B"/>
      </colorScale>
    </cfRule>
    <cfRule type="colorScale" priority="126">
      <colorScale>
        <cfvo type="min"/>
        <cfvo type="percentile" val="50"/>
        <cfvo type="max"/>
        <color rgb="FFF8696B"/>
        <color rgb="FFFFEB84"/>
        <color rgb="FF63BE7B"/>
      </colorScale>
    </cfRule>
  </conditionalFormatting>
  <conditionalFormatting sqref="AI28:AI29">
    <cfRule type="containsText" dxfId="109" priority="127" operator="containsText" text="ALTA">
      <formula>NOT(ISERROR(SEARCH("ALTA",AI28)))</formula>
    </cfRule>
    <cfRule type="containsText" dxfId="108" priority="128" operator="containsText" text="EXTREMA">
      <formula>NOT(ISERROR(SEARCH("EXTREMA",AI28)))</formula>
    </cfRule>
    <cfRule type="containsText" dxfId="107" priority="129" operator="containsText" text="ALTA">
      <formula>NOT(ISERROR(SEARCH("ALTA",AI28)))</formula>
    </cfRule>
    <cfRule type="containsText" dxfId="106" priority="130" operator="containsText" text="MODERADA">
      <formula>NOT(ISERROR(SEARCH("MODERADA",AI28)))</formula>
    </cfRule>
    <cfRule type="containsText" dxfId="105" priority="131" operator="containsText" text="BAJA">
      <formula>NOT(ISERROR(SEARCH("BAJA",AI28)))</formula>
    </cfRule>
    <cfRule type="colorScale" priority="132">
      <colorScale>
        <cfvo type="num" val="1"/>
        <cfvo type="num" val="2"/>
        <cfvo type="num" val="5"/>
        <color rgb="FFF8696B"/>
        <color rgb="FFFFEB84"/>
        <color rgb="FF63BE7B"/>
      </colorScale>
    </cfRule>
    <cfRule type="colorScale" priority="133">
      <colorScale>
        <cfvo type="min"/>
        <cfvo type="percentile" val="50"/>
        <cfvo type="max"/>
        <color rgb="FFF8696B"/>
        <color rgb="FFFFEB84"/>
        <color rgb="FF63BE7B"/>
      </colorScale>
    </cfRule>
  </conditionalFormatting>
  <conditionalFormatting sqref="AI28:AI29">
    <cfRule type="containsText" dxfId="104" priority="134" operator="containsText" text="ALTA">
      <formula>NOT(ISERROR(SEARCH("ALTA",AI28)))</formula>
    </cfRule>
    <cfRule type="containsText" dxfId="103" priority="135" operator="containsText" text="EXTREMA">
      <formula>NOT(ISERROR(SEARCH("EXTREMA",AI28)))</formula>
    </cfRule>
    <cfRule type="containsText" dxfId="102" priority="136" operator="containsText" text="ALTA">
      <formula>NOT(ISERROR(SEARCH("ALTA",AI28)))</formula>
    </cfRule>
    <cfRule type="containsText" dxfId="101" priority="137" operator="containsText" text="MODERADA">
      <formula>NOT(ISERROR(SEARCH("MODERADA",AI28)))</formula>
    </cfRule>
    <cfRule type="containsText" dxfId="100" priority="138" operator="containsText" text="BAJA">
      <formula>NOT(ISERROR(SEARCH("BAJA",AI28)))</formula>
    </cfRule>
    <cfRule type="colorScale" priority="139">
      <colorScale>
        <cfvo type="num" val="1"/>
        <cfvo type="num" val="2"/>
        <cfvo type="num" val="5"/>
        <color rgb="FFF8696B"/>
        <color rgb="FFFFEB84"/>
        <color rgb="FF63BE7B"/>
      </colorScale>
    </cfRule>
    <cfRule type="colorScale" priority="140">
      <colorScale>
        <cfvo type="min"/>
        <cfvo type="percentile" val="50"/>
        <cfvo type="max"/>
        <color rgb="FFF8696B"/>
        <color rgb="FFFFEB84"/>
        <color rgb="FF63BE7B"/>
      </colorScale>
    </cfRule>
  </conditionalFormatting>
  <conditionalFormatting sqref="P30">
    <cfRule type="containsText" dxfId="99" priority="85" operator="containsText" text="ALTA">
      <formula>NOT(ISERROR(SEARCH("ALTA",P30)))</formula>
    </cfRule>
    <cfRule type="containsText" dxfId="98" priority="86" operator="containsText" text="EXTREMA">
      <formula>NOT(ISERROR(SEARCH("EXTREMA",P30)))</formula>
    </cfRule>
    <cfRule type="containsText" dxfId="97" priority="87" operator="containsText" text="ALTA">
      <formula>NOT(ISERROR(SEARCH("ALTA",P30)))</formula>
    </cfRule>
    <cfRule type="containsText" dxfId="96" priority="88" operator="containsText" text="MODERADA">
      <formula>NOT(ISERROR(SEARCH("MODERADA",P30)))</formula>
    </cfRule>
    <cfRule type="containsText" dxfId="95" priority="89" operator="containsText" text="BAJA">
      <formula>NOT(ISERROR(SEARCH("BAJA",P30)))</formula>
    </cfRule>
    <cfRule type="colorScale" priority="90">
      <colorScale>
        <cfvo type="num" val="1"/>
        <cfvo type="num" val="2"/>
        <cfvo type="num" val="5"/>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P30">
    <cfRule type="containsText" dxfId="94" priority="92" operator="containsText" text="ALTA">
      <formula>NOT(ISERROR(SEARCH("ALTA",P30)))</formula>
    </cfRule>
    <cfRule type="containsText" dxfId="93" priority="93" operator="containsText" text="EXTREMA">
      <formula>NOT(ISERROR(SEARCH("EXTREMA",P30)))</formula>
    </cfRule>
    <cfRule type="containsText" dxfId="92" priority="94" operator="containsText" text="ALTA">
      <formula>NOT(ISERROR(SEARCH("ALTA",P30)))</formula>
    </cfRule>
    <cfRule type="containsText" dxfId="91" priority="95" operator="containsText" text="MODERADA">
      <formula>NOT(ISERROR(SEARCH("MODERADA",P30)))</formula>
    </cfRule>
    <cfRule type="containsText" dxfId="90" priority="96" operator="containsText" text="BAJA">
      <formula>NOT(ISERROR(SEARCH("BAJA",P30)))</formula>
    </cfRule>
    <cfRule type="colorScale" priority="97">
      <colorScale>
        <cfvo type="num" val="1"/>
        <cfvo type="num" val="2"/>
        <cfvo type="num" val="5"/>
        <color rgb="FFF8696B"/>
        <color rgb="FFFFEB84"/>
        <color rgb="FF63BE7B"/>
      </colorScale>
    </cfRule>
    <cfRule type="colorScale" priority="98">
      <colorScale>
        <cfvo type="min"/>
        <cfvo type="percentile" val="50"/>
        <cfvo type="max"/>
        <color rgb="FFF8696B"/>
        <color rgb="FFFFEB84"/>
        <color rgb="FF63BE7B"/>
      </colorScale>
    </cfRule>
  </conditionalFormatting>
  <conditionalFormatting sqref="AI30">
    <cfRule type="containsText" dxfId="89" priority="99" operator="containsText" text="ALTA">
      <formula>NOT(ISERROR(SEARCH("ALTA",AI30)))</formula>
    </cfRule>
    <cfRule type="containsText" dxfId="88" priority="100" operator="containsText" text="EXTREMA">
      <formula>NOT(ISERROR(SEARCH("EXTREMA",AI30)))</formula>
    </cfRule>
    <cfRule type="containsText" dxfId="87" priority="101" operator="containsText" text="ALTA">
      <formula>NOT(ISERROR(SEARCH("ALTA",AI30)))</formula>
    </cfRule>
    <cfRule type="containsText" dxfId="86" priority="102" operator="containsText" text="MODERADA">
      <formula>NOT(ISERROR(SEARCH("MODERADA",AI30)))</formula>
    </cfRule>
    <cfRule type="containsText" dxfId="85" priority="103" operator="containsText" text="BAJA">
      <formula>NOT(ISERROR(SEARCH("BAJA",AI30)))</formula>
    </cfRule>
    <cfRule type="colorScale" priority="104">
      <colorScale>
        <cfvo type="num" val="1"/>
        <cfvo type="num" val="2"/>
        <cfvo type="num" val="5"/>
        <color rgb="FFF8696B"/>
        <color rgb="FFFFEB84"/>
        <color rgb="FF63BE7B"/>
      </colorScale>
    </cfRule>
    <cfRule type="colorScale" priority="105">
      <colorScale>
        <cfvo type="min"/>
        <cfvo type="percentile" val="50"/>
        <cfvo type="max"/>
        <color rgb="FFF8696B"/>
        <color rgb="FFFFEB84"/>
        <color rgb="FF63BE7B"/>
      </colorScale>
    </cfRule>
  </conditionalFormatting>
  <conditionalFormatting sqref="AI30">
    <cfRule type="containsText" dxfId="84" priority="106" operator="containsText" text="ALTA">
      <formula>NOT(ISERROR(SEARCH("ALTA",AI30)))</formula>
    </cfRule>
    <cfRule type="containsText" dxfId="83" priority="107" operator="containsText" text="EXTREMA">
      <formula>NOT(ISERROR(SEARCH("EXTREMA",AI30)))</formula>
    </cfRule>
    <cfRule type="containsText" dxfId="82" priority="108" operator="containsText" text="ALTA">
      <formula>NOT(ISERROR(SEARCH("ALTA",AI30)))</formula>
    </cfRule>
    <cfRule type="containsText" dxfId="81" priority="109" operator="containsText" text="MODERADA">
      <formula>NOT(ISERROR(SEARCH("MODERADA",AI30)))</formula>
    </cfRule>
    <cfRule type="containsText" dxfId="80" priority="110" operator="containsText" text="BAJA">
      <formula>NOT(ISERROR(SEARCH("BAJA",AI30)))</formula>
    </cfRule>
    <cfRule type="colorScale" priority="111">
      <colorScale>
        <cfvo type="num" val="1"/>
        <cfvo type="num" val="2"/>
        <cfvo type="num" val="5"/>
        <color rgb="FFF8696B"/>
        <color rgb="FFFFEB84"/>
        <color rgb="FF63BE7B"/>
      </colorScale>
    </cfRule>
    <cfRule type="colorScale" priority="112">
      <colorScale>
        <cfvo type="min"/>
        <cfvo type="percentile" val="50"/>
        <cfvo type="max"/>
        <color rgb="FFF8696B"/>
        <color rgb="FFFFEB84"/>
        <color rgb="FF63BE7B"/>
      </colorScale>
    </cfRule>
  </conditionalFormatting>
  <conditionalFormatting sqref="P23">
    <cfRule type="containsText" dxfId="79" priority="57" operator="containsText" text="ALTA">
      <formula>NOT(ISERROR(SEARCH("ALTA",P23)))</formula>
    </cfRule>
    <cfRule type="containsText" dxfId="78" priority="58" operator="containsText" text="EXTREMA">
      <formula>NOT(ISERROR(SEARCH("EXTREMA",P23)))</formula>
    </cfRule>
    <cfRule type="containsText" dxfId="77" priority="59" operator="containsText" text="ALTA">
      <formula>NOT(ISERROR(SEARCH("ALTA",P23)))</formula>
    </cfRule>
    <cfRule type="containsText" dxfId="76" priority="60" operator="containsText" text="MODERADA">
      <formula>NOT(ISERROR(SEARCH("MODERADA",P23)))</formula>
    </cfRule>
    <cfRule type="containsText" dxfId="75" priority="61" operator="containsText" text="BAJA">
      <formula>NOT(ISERROR(SEARCH("BAJA",P23)))</formula>
    </cfRule>
    <cfRule type="colorScale" priority="62">
      <colorScale>
        <cfvo type="num" val="1"/>
        <cfvo type="num" val="2"/>
        <cfvo type="num" val="5"/>
        <color rgb="FFF8696B"/>
        <color rgb="FFFFEB84"/>
        <color rgb="FF63BE7B"/>
      </colorScale>
    </cfRule>
    <cfRule type="colorScale" priority="63">
      <colorScale>
        <cfvo type="min"/>
        <cfvo type="percentile" val="50"/>
        <cfvo type="max"/>
        <color rgb="FFF8696B"/>
        <color rgb="FFFFEB84"/>
        <color rgb="FF63BE7B"/>
      </colorScale>
    </cfRule>
  </conditionalFormatting>
  <conditionalFormatting sqref="P23">
    <cfRule type="containsText" dxfId="74" priority="64" operator="containsText" text="ALTA">
      <formula>NOT(ISERROR(SEARCH("ALTA",P23)))</formula>
    </cfRule>
    <cfRule type="containsText" dxfId="73" priority="65" operator="containsText" text="EXTREMA">
      <formula>NOT(ISERROR(SEARCH("EXTREMA",P23)))</formula>
    </cfRule>
    <cfRule type="containsText" dxfId="72" priority="66" operator="containsText" text="ALTA">
      <formula>NOT(ISERROR(SEARCH("ALTA",P23)))</formula>
    </cfRule>
    <cfRule type="containsText" dxfId="71" priority="67" operator="containsText" text="MODERADA">
      <formula>NOT(ISERROR(SEARCH("MODERADA",P23)))</formula>
    </cfRule>
    <cfRule type="containsText" dxfId="70" priority="68" operator="containsText" text="BAJA">
      <formula>NOT(ISERROR(SEARCH("BAJA",P23)))</formula>
    </cfRule>
    <cfRule type="colorScale" priority="69">
      <colorScale>
        <cfvo type="num" val="1"/>
        <cfvo type="num" val="2"/>
        <cfvo type="num" val="5"/>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AI23">
    <cfRule type="containsText" dxfId="69" priority="71" operator="containsText" text="ALTA">
      <formula>NOT(ISERROR(SEARCH("ALTA",AI23)))</formula>
    </cfRule>
    <cfRule type="containsText" dxfId="68" priority="72" operator="containsText" text="EXTREMA">
      <formula>NOT(ISERROR(SEARCH("EXTREMA",AI23)))</formula>
    </cfRule>
    <cfRule type="containsText" dxfId="67" priority="73" operator="containsText" text="ALTA">
      <formula>NOT(ISERROR(SEARCH("ALTA",AI23)))</formula>
    </cfRule>
    <cfRule type="containsText" dxfId="66" priority="74" operator="containsText" text="MODERADA">
      <formula>NOT(ISERROR(SEARCH("MODERADA",AI23)))</formula>
    </cfRule>
    <cfRule type="containsText" dxfId="65" priority="75" operator="containsText" text="BAJA">
      <formula>NOT(ISERROR(SEARCH("BAJA",AI23)))</formula>
    </cfRule>
    <cfRule type="colorScale" priority="76">
      <colorScale>
        <cfvo type="num" val="1"/>
        <cfvo type="num" val="2"/>
        <cfvo type="num" val="5"/>
        <color rgb="FFF8696B"/>
        <color rgb="FFFFEB84"/>
        <color rgb="FF63BE7B"/>
      </colorScale>
    </cfRule>
    <cfRule type="colorScale" priority="77">
      <colorScale>
        <cfvo type="min"/>
        <cfvo type="percentile" val="50"/>
        <cfvo type="max"/>
        <color rgb="FFF8696B"/>
        <color rgb="FFFFEB84"/>
        <color rgb="FF63BE7B"/>
      </colorScale>
    </cfRule>
  </conditionalFormatting>
  <conditionalFormatting sqref="AI23">
    <cfRule type="containsText" dxfId="64" priority="78" operator="containsText" text="ALTA">
      <formula>NOT(ISERROR(SEARCH("ALTA",AI23)))</formula>
    </cfRule>
    <cfRule type="containsText" dxfId="63" priority="79" operator="containsText" text="EXTREMA">
      <formula>NOT(ISERROR(SEARCH("EXTREMA",AI23)))</formula>
    </cfRule>
    <cfRule type="containsText" dxfId="62" priority="80" operator="containsText" text="ALTA">
      <formula>NOT(ISERROR(SEARCH("ALTA",AI23)))</formula>
    </cfRule>
    <cfRule type="containsText" dxfId="61" priority="81" operator="containsText" text="MODERADA">
      <formula>NOT(ISERROR(SEARCH("MODERADA",AI23)))</formula>
    </cfRule>
    <cfRule type="containsText" dxfId="60" priority="82" operator="containsText" text="BAJA">
      <formula>NOT(ISERROR(SEARCH("BAJA",AI23)))</formula>
    </cfRule>
    <cfRule type="colorScale" priority="83">
      <colorScale>
        <cfvo type="num" val="1"/>
        <cfvo type="num" val="2"/>
        <cfvo type="num" val="5"/>
        <color rgb="FFF8696B"/>
        <color rgb="FFFFEB84"/>
        <color rgb="FF63BE7B"/>
      </colorScale>
    </cfRule>
    <cfRule type="colorScale" priority="84">
      <colorScale>
        <cfvo type="min"/>
        <cfvo type="percentile" val="50"/>
        <cfvo type="max"/>
        <color rgb="FFF8696B"/>
        <color rgb="FFFFEB84"/>
        <color rgb="FF63BE7B"/>
      </colorScale>
    </cfRule>
  </conditionalFormatting>
  <conditionalFormatting sqref="P20">
    <cfRule type="containsText" dxfId="59" priority="29" operator="containsText" text="ALTA">
      <formula>NOT(ISERROR(SEARCH("ALTA",P20)))</formula>
    </cfRule>
    <cfRule type="containsText" dxfId="58" priority="30" operator="containsText" text="EXTREMA">
      <formula>NOT(ISERROR(SEARCH("EXTREMA",P20)))</formula>
    </cfRule>
    <cfRule type="containsText" dxfId="57" priority="31" operator="containsText" text="ALTA">
      <formula>NOT(ISERROR(SEARCH("ALTA",P20)))</formula>
    </cfRule>
    <cfRule type="containsText" dxfId="56" priority="32" operator="containsText" text="MODERADA">
      <formula>NOT(ISERROR(SEARCH("MODERADA",P20)))</formula>
    </cfRule>
    <cfRule type="containsText" dxfId="55" priority="33" operator="containsText" text="BAJA">
      <formula>NOT(ISERROR(SEARCH("BAJA",P20)))</formula>
    </cfRule>
    <cfRule type="colorScale" priority="34">
      <colorScale>
        <cfvo type="num" val="1"/>
        <cfvo type="num" val="2"/>
        <cfvo type="num" val="5"/>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P20">
    <cfRule type="containsText" dxfId="54" priority="36" operator="containsText" text="ALTA">
      <formula>NOT(ISERROR(SEARCH("ALTA",P20)))</formula>
    </cfRule>
    <cfRule type="containsText" dxfId="53" priority="37" operator="containsText" text="EXTREMA">
      <formula>NOT(ISERROR(SEARCH("EXTREMA",P20)))</formula>
    </cfRule>
    <cfRule type="containsText" dxfId="52" priority="38" operator="containsText" text="ALTA">
      <formula>NOT(ISERROR(SEARCH("ALTA",P20)))</formula>
    </cfRule>
    <cfRule type="containsText" dxfId="51" priority="39" operator="containsText" text="MODERADA">
      <formula>NOT(ISERROR(SEARCH("MODERADA",P20)))</formula>
    </cfRule>
    <cfRule type="containsText" dxfId="50" priority="40" operator="containsText" text="BAJA">
      <formula>NOT(ISERROR(SEARCH("BAJA",P20)))</formula>
    </cfRule>
    <cfRule type="colorScale" priority="41">
      <colorScale>
        <cfvo type="num" val="1"/>
        <cfvo type="num" val="2"/>
        <cfvo type="num" val="5"/>
        <color rgb="FFF8696B"/>
        <color rgb="FFFFEB84"/>
        <color rgb="FF63BE7B"/>
      </colorScale>
    </cfRule>
    <cfRule type="colorScale" priority="42">
      <colorScale>
        <cfvo type="min"/>
        <cfvo type="percentile" val="50"/>
        <cfvo type="max"/>
        <color rgb="FFF8696B"/>
        <color rgb="FFFFEB84"/>
        <color rgb="FF63BE7B"/>
      </colorScale>
    </cfRule>
  </conditionalFormatting>
  <conditionalFormatting sqref="AI20">
    <cfRule type="containsText" dxfId="49" priority="43" operator="containsText" text="ALTA">
      <formula>NOT(ISERROR(SEARCH("ALTA",AI20)))</formula>
    </cfRule>
    <cfRule type="containsText" dxfId="48" priority="44" operator="containsText" text="EXTREMA">
      <formula>NOT(ISERROR(SEARCH("EXTREMA",AI20)))</formula>
    </cfRule>
    <cfRule type="containsText" dxfId="47" priority="45" operator="containsText" text="ALTA">
      <formula>NOT(ISERROR(SEARCH("ALTA",AI20)))</formula>
    </cfRule>
    <cfRule type="containsText" dxfId="46" priority="46" operator="containsText" text="MODERADA">
      <formula>NOT(ISERROR(SEARCH("MODERADA",AI20)))</formula>
    </cfRule>
    <cfRule type="containsText" dxfId="45" priority="47" operator="containsText" text="BAJA">
      <formula>NOT(ISERROR(SEARCH("BAJA",AI20)))</formula>
    </cfRule>
    <cfRule type="colorScale" priority="48">
      <colorScale>
        <cfvo type="num" val="1"/>
        <cfvo type="num" val="2"/>
        <cfvo type="num" val="5"/>
        <color rgb="FFF8696B"/>
        <color rgb="FFFFEB84"/>
        <color rgb="FF63BE7B"/>
      </colorScale>
    </cfRule>
    <cfRule type="colorScale" priority="49">
      <colorScale>
        <cfvo type="min"/>
        <cfvo type="percentile" val="50"/>
        <cfvo type="max"/>
        <color rgb="FFF8696B"/>
        <color rgb="FFFFEB84"/>
        <color rgb="FF63BE7B"/>
      </colorScale>
    </cfRule>
  </conditionalFormatting>
  <conditionalFormatting sqref="AI20">
    <cfRule type="containsText" dxfId="44" priority="50" operator="containsText" text="ALTA">
      <formula>NOT(ISERROR(SEARCH("ALTA",AI20)))</formula>
    </cfRule>
    <cfRule type="containsText" dxfId="43" priority="51" operator="containsText" text="EXTREMA">
      <formula>NOT(ISERROR(SEARCH("EXTREMA",AI20)))</formula>
    </cfRule>
    <cfRule type="containsText" dxfId="42" priority="52" operator="containsText" text="ALTA">
      <formula>NOT(ISERROR(SEARCH("ALTA",AI20)))</formula>
    </cfRule>
    <cfRule type="containsText" dxfId="41" priority="53" operator="containsText" text="MODERADA">
      <formula>NOT(ISERROR(SEARCH("MODERADA",AI20)))</formula>
    </cfRule>
    <cfRule type="containsText" dxfId="40" priority="54" operator="containsText" text="BAJA">
      <formula>NOT(ISERROR(SEARCH("BAJA",AI20)))</formula>
    </cfRule>
    <cfRule type="colorScale" priority="55">
      <colorScale>
        <cfvo type="num" val="1"/>
        <cfvo type="num" val="2"/>
        <cfvo type="num" val="5"/>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P25">
    <cfRule type="containsText" dxfId="39" priority="1" operator="containsText" text="ALTA">
      <formula>NOT(ISERROR(SEARCH("ALTA",P25)))</formula>
    </cfRule>
    <cfRule type="containsText" dxfId="38" priority="2" operator="containsText" text="EXTREMA">
      <formula>NOT(ISERROR(SEARCH("EXTREMA",P25)))</formula>
    </cfRule>
    <cfRule type="containsText" dxfId="37" priority="3" operator="containsText" text="ALTA">
      <formula>NOT(ISERROR(SEARCH("ALTA",P25)))</formula>
    </cfRule>
    <cfRule type="containsText" dxfId="36" priority="4" operator="containsText" text="MODERADA">
      <formula>NOT(ISERROR(SEARCH("MODERADA",P25)))</formula>
    </cfRule>
    <cfRule type="containsText" dxfId="35" priority="5" operator="containsText" text="BAJA">
      <formula>NOT(ISERROR(SEARCH("BAJA",P25)))</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P25">
    <cfRule type="containsText" dxfId="34" priority="8" operator="containsText" text="ALTA">
      <formula>NOT(ISERROR(SEARCH("ALTA",P25)))</formula>
    </cfRule>
    <cfRule type="containsText" dxfId="33" priority="9" operator="containsText" text="EXTREMA">
      <formula>NOT(ISERROR(SEARCH("EXTREMA",P25)))</formula>
    </cfRule>
    <cfRule type="containsText" dxfId="32" priority="10" operator="containsText" text="ALTA">
      <formula>NOT(ISERROR(SEARCH("ALTA",P25)))</formula>
    </cfRule>
    <cfRule type="containsText" dxfId="31" priority="11" operator="containsText" text="MODERADA">
      <formula>NOT(ISERROR(SEARCH("MODERADA",P25)))</formula>
    </cfRule>
    <cfRule type="containsText" dxfId="30" priority="12" operator="containsText" text="BAJA">
      <formula>NOT(ISERROR(SEARCH("BAJA",P25)))</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I25">
    <cfRule type="containsText" dxfId="29" priority="15" operator="containsText" text="ALTA">
      <formula>NOT(ISERROR(SEARCH("ALTA",AI25)))</formula>
    </cfRule>
    <cfRule type="containsText" dxfId="28" priority="16" operator="containsText" text="EXTREMA">
      <formula>NOT(ISERROR(SEARCH("EXTREMA",AI25)))</formula>
    </cfRule>
    <cfRule type="containsText" dxfId="27" priority="17" operator="containsText" text="ALTA">
      <formula>NOT(ISERROR(SEARCH("ALTA",AI25)))</formula>
    </cfRule>
    <cfRule type="containsText" dxfId="26" priority="18" operator="containsText" text="MODERADA">
      <formula>NOT(ISERROR(SEARCH("MODERADA",AI25)))</formula>
    </cfRule>
    <cfRule type="containsText" dxfId="25" priority="19" operator="containsText" text="BAJA">
      <formula>NOT(ISERROR(SEARCH("BAJA",AI25)))</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I25">
    <cfRule type="containsText" dxfId="24" priority="22" operator="containsText" text="ALTA">
      <formula>NOT(ISERROR(SEARCH("ALTA",AI25)))</formula>
    </cfRule>
    <cfRule type="containsText" dxfId="23" priority="23" operator="containsText" text="EXTREMA">
      <formula>NOT(ISERROR(SEARCH("EXTREMA",AI25)))</formula>
    </cfRule>
    <cfRule type="containsText" dxfId="22" priority="24" operator="containsText" text="ALTA">
      <formula>NOT(ISERROR(SEARCH("ALTA",AI25)))</formula>
    </cfRule>
    <cfRule type="containsText" dxfId="21" priority="25" operator="containsText" text="MODERADA">
      <formula>NOT(ISERROR(SEARCH("MODERADA",AI25)))</formula>
    </cfRule>
    <cfRule type="containsText" dxfId="20" priority="26" operator="containsText" text="BAJA">
      <formula>NOT(ISERROR(SEARCH("BAJA",AI25)))</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P31">
    <cfRule type="containsText" dxfId="19" priority="1275" operator="containsText" text="ALTA">
      <formula>NOT(ISERROR(SEARCH("ALTA",P31)))</formula>
    </cfRule>
    <cfRule type="containsText" dxfId="18" priority="1276" operator="containsText" text="EXTREMA">
      <formula>NOT(ISERROR(SEARCH("EXTREMA",P31)))</formula>
    </cfRule>
    <cfRule type="containsText" dxfId="17" priority="1277" operator="containsText" text="ALTA">
      <formula>NOT(ISERROR(SEARCH("ALTA",P31)))</formula>
    </cfRule>
    <cfRule type="containsText" dxfId="16" priority="1278" operator="containsText" text="MODERADA">
      <formula>NOT(ISERROR(SEARCH("MODERADA",P31)))</formula>
    </cfRule>
    <cfRule type="containsText" dxfId="15" priority="1279" operator="containsText" text="BAJA">
      <formula>NOT(ISERROR(SEARCH("BAJA",P31)))</formula>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P31">
    <cfRule type="containsText" dxfId="14" priority="1282" operator="containsText" text="ALTA">
      <formula>NOT(ISERROR(SEARCH("ALTA",P31)))</formula>
    </cfRule>
    <cfRule type="containsText" dxfId="13" priority="1283" operator="containsText" text="EXTREMA">
      <formula>NOT(ISERROR(SEARCH("EXTREMA",P31)))</formula>
    </cfRule>
    <cfRule type="containsText" dxfId="12" priority="1284" operator="containsText" text="ALTA">
      <formula>NOT(ISERROR(SEARCH("ALTA",P31)))</formula>
    </cfRule>
    <cfRule type="containsText" dxfId="11" priority="1285" operator="containsText" text="MODERADA">
      <formula>NOT(ISERROR(SEARCH("MODERADA",P31)))</formula>
    </cfRule>
    <cfRule type="containsText" dxfId="10" priority="1286" operator="containsText" text="BAJA">
      <formula>NOT(ISERROR(SEARCH("BAJA",P31)))</formula>
    </cfRule>
    <cfRule type="colorScale" priority="1287">
      <colorScale>
        <cfvo type="num" val="1"/>
        <cfvo type="num" val="2"/>
        <cfvo type="num" val="5"/>
        <color rgb="FFF8696B"/>
        <color rgb="FFFFEB84"/>
        <color rgb="FF63BE7B"/>
      </colorScale>
    </cfRule>
    <cfRule type="colorScale" priority="1288">
      <colorScale>
        <cfvo type="min"/>
        <cfvo type="percentile" val="50"/>
        <cfvo type="max"/>
        <color rgb="FFF8696B"/>
        <color rgb="FFFFEB84"/>
        <color rgb="FF63BE7B"/>
      </colorScale>
    </cfRule>
  </conditionalFormatting>
  <conditionalFormatting sqref="AI31">
    <cfRule type="containsText" dxfId="9" priority="1289" operator="containsText" text="ALTA">
      <formula>NOT(ISERROR(SEARCH("ALTA",AI31)))</formula>
    </cfRule>
    <cfRule type="containsText" dxfId="8" priority="1290" operator="containsText" text="EXTREMA">
      <formula>NOT(ISERROR(SEARCH("EXTREMA",AI31)))</formula>
    </cfRule>
    <cfRule type="containsText" dxfId="7" priority="1291" operator="containsText" text="ALTA">
      <formula>NOT(ISERROR(SEARCH("ALTA",AI31)))</formula>
    </cfRule>
    <cfRule type="containsText" dxfId="6" priority="1292" operator="containsText" text="MODERADA">
      <formula>NOT(ISERROR(SEARCH("MODERADA",AI31)))</formula>
    </cfRule>
    <cfRule type="containsText" dxfId="5" priority="1293" operator="containsText" text="BAJA">
      <formula>NOT(ISERROR(SEARCH("BAJA",AI31)))</formula>
    </cfRule>
    <cfRule type="colorScale" priority="1294">
      <colorScale>
        <cfvo type="num" val="1"/>
        <cfvo type="num" val="2"/>
        <cfvo type="num" val="5"/>
        <color rgb="FFF8696B"/>
        <color rgb="FFFFEB84"/>
        <color rgb="FF63BE7B"/>
      </colorScale>
    </cfRule>
    <cfRule type="colorScale" priority="1295">
      <colorScale>
        <cfvo type="min"/>
        <cfvo type="percentile" val="50"/>
        <cfvo type="max"/>
        <color rgb="FFF8696B"/>
        <color rgb="FFFFEB84"/>
        <color rgb="FF63BE7B"/>
      </colorScale>
    </cfRule>
  </conditionalFormatting>
  <conditionalFormatting sqref="AI31">
    <cfRule type="containsText" dxfId="4" priority="1296" operator="containsText" text="ALTA">
      <formula>NOT(ISERROR(SEARCH("ALTA",AI31)))</formula>
    </cfRule>
    <cfRule type="containsText" dxfId="3" priority="1297" operator="containsText" text="EXTREMA">
      <formula>NOT(ISERROR(SEARCH("EXTREMA",AI31)))</formula>
    </cfRule>
    <cfRule type="containsText" dxfId="2" priority="1298" operator="containsText" text="ALTA">
      <formula>NOT(ISERROR(SEARCH("ALTA",AI31)))</formula>
    </cfRule>
    <cfRule type="containsText" dxfId="1" priority="1299" operator="containsText" text="MODERADA">
      <formula>NOT(ISERROR(SEARCH("MODERADA",AI31)))</formula>
    </cfRule>
    <cfRule type="containsText" dxfId="0" priority="1300" operator="containsText" text="BAJA">
      <formula>NOT(ISERROR(SEARCH("BAJA",AI31)))</formula>
    </cfRule>
    <cfRule type="colorScale" priority="1301">
      <colorScale>
        <cfvo type="num" val="1"/>
        <cfvo type="num" val="2"/>
        <cfvo type="num" val="5"/>
        <color rgb="FFF8696B"/>
        <color rgb="FFFFEB84"/>
        <color rgb="FF63BE7B"/>
      </colorScale>
    </cfRule>
    <cfRule type="colorScale" priority="1302">
      <colorScale>
        <cfvo type="min"/>
        <cfvo type="percentile" val="50"/>
        <cfvo type="max"/>
        <color rgb="FFF8696B"/>
        <color rgb="FFFFEB84"/>
        <color rgb="FF63BE7B"/>
      </colorScale>
    </cfRule>
  </conditionalFormatting>
  <dataValidations count="10">
    <dataValidation type="list" allowBlank="1" showInputMessage="1" showErrorMessage="1" sqref="H13:H24 H27:H35" xr:uid="{00000000-0002-0000-0200-000003000000}">
      <formula1>Tipo_Impacto</formula1>
    </dataValidation>
    <dataValidation type="list" allowBlank="1" showInputMessage="1" showErrorMessage="1" sqref="K35 K27:K31 K13:K20 K23 K25" xr:uid="{00000000-0002-0000-0200-000004000000}">
      <formula1>Frecuencia</formula1>
    </dataValidation>
    <dataValidation type="list" allowBlank="1" showInputMessage="1" showErrorMessage="1" sqref="M35 M27:M31 M13:M20 M23 M25" xr:uid="{00000000-0002-0000-0200-000005000000}">
      <formula1>Impacto</formula1>
    </dataValidation>
    <dataValidation type="list" allowBlank="1" showInputMessage="1" showErrorMessage="1" sqref="Z35 Z27:Z31 Z13:Z20 Z23 Z25" xr:uid="{00000000-0002-0000-0200-000007000000}">
      <formula1>P_8</formula1>
    </dataValidation>
    <dataValidation type="list" allowBlank="1" showInputMessage="1" showErrorMessage="1" sqref="AB35 AB27:AB31 AB13:AB20 AB23 AB25" xr:uid="{00000000-0002-0000-0200-000008000000}">
      <formula1>P_9</formula1>
    </dataValidation>
    <dataValidation type="list" allowBlank="1" showErrorMessage="1" sqref="H25:H26" xr:uid="{8B1EDFEA-8A5C-4D05-B6A0-EA430123899A}">
      <formula1>Tipo_Impacto</formula1>
    </dataValidation>
    <dataValidation type="list" allowBlank="1" showInputMessage="1" showErrorMessage="1" sqref="A13:A35" xr:uid="{00000000-0002-0000-0200-000000000000}">
      <formula1>Macroprocesos</formula1>
    </dataValidation>
    <dataValidation type="list" allowBlank="1" showInputMessage="1" showErrorMessage="1" sqref="B13:B35" xr:uid="{00000000-0002-0000-0200-000001000000}">
      <formula1>Procesos</formula1>
    </dataValidation>
    <dataValidation type="list" allowBlank="1" showInputMessage="1" showErrorMessage="1" sqref="D13:D35" xr:uid="{00000000-0002-0000-0200-000002000000}">
      <formula1>Tipología</formula1>
    </dataValidation>
    <dataValidation type="list" allowBlank="1" showInputMessage="1" showErrorMessage="1" sqref="S13:S35" xr:uid="{00000000-0002-0000-0200-000006000000}">
      <formula1>Ejecución</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zoomScale="80" zoomScaleNormal="80" workbookViewId="0">
      <pane xSplit="2" ySplit="7" topLeftCell="C11" activePane="bottomRight" state="frozen"/>
      <selection sqref="A1:A4"/>
      <selection pane="topRight" sqref="A1:A4"/>
      <selection pane="bottomLeft" sqref="A1:A4"/>
      <selection pane="bottomRight" activeCell="A7" sqref="A7"/>
    </sheetView>
  </sheetViews>
  <sheetFormatPr baseColWidth="10" defaultRowHeight="15" x14ac:dyDescent="0.25"/>
  <cols>
    <col min="1" max="1" width="6.5703125" customWidth="1"/>
    <col min="2" max="2" width="63" customWidth="1"/>
    <col min="3" max="12" width="15.5703125" customWidth="1"/>
    <col min="13" max="13" width="16.140625" style="164" customWidth="1"/>
    <col min="14" max="16" width="15.5703125" customWidth="1"/>
    <col min="17" max="17" width="15.7109375" customWidth="1"/>
  </cols>
  <sheetData>
    <row r="1" spans="1:17" ht="15.75" thickBot="1" x14ac:dyDescent="0.3"/>
    <row r="2" spans="1:17" ht="55.5" customHeight="1" thickBot="1" x14ac:dyDescent="0.3">
      <c r="A2" s="384" t="s">
        <v>182</v>
      </c>
      <c r="B2" s="385"/>
      <c r="C2" s="385"/>
      <c r="D2" s="385"/>
      <c r="E2" s="385"/>
      <c r="F2" s="385"/>
      <c r="G2" s="385"/>
      <c r="H2" s="385"/>
      <c r="I2" s="385"/>
      <c r="J2" s="385"/>
      <c r="K2" s="385"/>
      <c r="L2" s="385"/>
      <c r="M2" s="385"/>
      <c r="N2" s="385"/>
      <c r="O2" s="385"/>
      <c r="P2" s="385"/>
      <c r="Q2" s="386"/>
    </row>
    <row r="3" spans="1:17" ht="15.75" thickBot="1" x14ac:dyDescent="0.3"/>
    <row r="4" spans="1:17" x14ac:dyDescent="0.25">
      <c r="B4" s="616" t="s">
        <v>151</v>
      </c>
      <c r="C4" s="69">
        <f>COUNTIF(C8:C26,"SI")</f>
        <v>9</v>
      </c>
      <c r="D4" s="70">
        <f>COUNTIF(D8:D26,"SI")</f>
        <v>7</v>
      </c>
      <c r="E4" s="70">
        <f t="shared" ref="E4:P4" si="0">COUNTIF(E8:E26,"SI")</f>
        <v>7</v>
      </c>
      <c r="F4" s="70">
        <f t="shared" si="0"/>
        <v>8</v>
      </c>
      <c r="G4" s="70">
        <f t="shared" si="0"/>
        <v>11</v>
      </c>
      <c r="H4" s="70">
        <f t="shared" si="0"/>
        <v>10</v>
      </c>
      <c r="I4" s="70">
        <f t="shared" si="0"/>
        <v>10</v>
      </c>
      <c r="J4" s="70">
        <f t="shared" si="0"/>
        <v>11</v>
      </c>
      <c r="K4" s="70">
        <f t="shared" si="0"/>
        <v>10</v>
      </c>
      <c r="L4" s="70">
        <f t="shared" si="0"/>
        <v>11</v>
      </c>
      <c r="M4" s="165">
        <f t="shared" si="0"/>
        <v>16</v>
      </c>
      <c r="N4" s="70">
        <f t="shared" si="0"/>
        <v>11</v>
      </c>
      <c r="O4" s="70">
        <f t="shared" si="0"/>
        <v>12</v>
      </c>
      <c r="P4" s="70">
        <f t="shared" si="0"/>
        <v>12</v>
      </c>
      <c r="Q4" s="54">
        <f>COUNTIF(Q8:Q26,"SI")</f>
        <v>10</v>
      </c>
    </row>
    <row r="5" spans="1:17" ht="15.75" thickBot="1" x14ac:dyDescent="0.3">
      <c r="B5" s="617" t="s">
        <v>14</v>
      </c>
      <c r="C5" s="71" t="str">
        <f>IF(C4=0,"-",IF(C4&lt;=5,"Moderado",IF(C4&lt;=11,"Mayor",IF(C4&lt;=19,"Catastrófico"))))</f>
        <v>Mayor</v>
      </c>
      <c r="D5" s="72" t="str">
        <f>IF(D4=0,"-",IF(D4&lt;=5,"Moderado",IF(D4&lt;=11,"Mayor",IF(D4&lt;=19,"Catastrófico"))))</f>
        <v>Mayor</v>
      </c>
      <c r="E5" s="72" t="str">
        <f t="shared" ref="E5:P5" si="1">IF(E4=0,"-",IF(E4&lt;=5,"Moderado",IF(E4&lt;=11,"Mayor",IF(E4&lt;=19,"Catastrófico"))))</f>
        <v>Mayor</v>
      </c>
      <c r="F5" s="72" t="str">
        <f t="shared" si="1"/>
        <v>Mayor</v>
      </c>
      <c r="G5" s="72" t="str">
        <f t="shared" si="1"/>
        <v>Mayor</v>
      </c>
      <c r="H5" s="72" t="str">
        <f t="shared" si="1"/>
        <v>Mayor</v>
      </c>
      <c r="I5" s="72" t="str">
        <f t="shared" si="1"/>
        <v>Mayor</v>
      </c>
      <c r="J5" s="72" t="str">
        <f t="shared" si="1"/>
        <v>Mayor</v>
      </c>
      <c r="K5" s="72" t="str">
        <f t="shared" si="1"/>
        <v>Mayor</v>
      </c>
      <c r="L5" s="72" t="str">
        <f t="shared" si="1"/>
        <v>Mayor</v>
      </c>
      <c r="M5" s="166" t="str">
        <f t="shared" si="1"/>
        <v>Catastrófico</v>
      </c>
      <c r="N5" s="72" t="str">
        <f t="shared" si="1"/>
        <v>Mayor</v>
      </c>
      <c r="O5" s="72" t="str">
        <f t="shared" si="1"/>
        <v>Catastrófico</v>
      </c>
      <c r="P5" s="72" t="str">
        <f t="shared" si="1"/>
        <v>Catastrófico</v>
      </c>
      <c r="Q5" s="55" t="str">
        <f>IF(Q4=0,"-",IF(Q4&lt;=5,"Moderado",IF(Q4&lt;=11,"Mayor",IF(Q4&lt;=19,"Catastrófico"))))</f>
        <v>Mayor</v>
      </c>
    </row>
    <row r="6" spans="1:17" ht="15.75" thickBot="1" x14ac:dyDescent="0.3">
      <c r="C6" s="53"/>
      <c r="D6" s="53"/>
      <c r="Q6" s="169"/>
    </row>
    <row r="7" spans="1:17" ht="22.5" customHeight="1" thickBot="1" x14ac:dyDescent="0.3">
      <c r="A7" s="122"/>
      <c r="B7" s="122"/>
      <c r="C7" s="73" t="s">
        <v>206</v>
      </c>
      <c r="D7" s="74" t="s">
        <v>318</v>
      </c>
      <c r="E7" s="74" t="s">
        <v>207</v>
      </c>
      <c r="F7" s="74" t="s">
        <v>208</v>
      </c>
      <c r="G7" s="74" t="s">
        <v>209</v>
      </c>
      <c r="H7" s="74" t="s">
        <v>210</v>
      </c>
      <c r="I7" s="74" t="s">
        <v>211</v>
      </c>
      <c r="J7" s="74" t="s">
        <v>288</v>
      </c>
      <c r="K7" s="74" t="s">
        <v>289</v>
      </c>
      <c r="L7" s="74" t="s">
        <v>290</v>
      </c>
      <c r="M7" s="167" t="s">
        <v>356</v>
      </c>
      <c r="N7" s="74" t="s">
        <v>212</v>
      </c>
      <c r="O7" s="74" t="s">
        <v>213</v>
      </c>
      <c r="P7" s="74" t="s">
        <v>214</v>
      </c>
      <c r="Q7" s="75" t="s">
        <v>215</v>
      </c>
    </row>
    <row r="8" spans="1:17" x14ac:dyDescent="0.25">
      <c r="A8" s="175">
        <v>1</v>
      </c>
      <c r="B8" s="178" t="s">
        <v>133</v>
      </c>
      <c r="C8" s="170" t="s">
        <v>23</v>
      </c>
      <c r="D8" s="171" t="s">
        <v>23</v>
      </c>
      <c r="E8" s="172" t="s">
        <v>23</v>
      </c>
      <c r="F8" s="172" t="s">
        <v>23</v>
      </c>
      <c r="G8" s="172" t="s">
        <v>23</v>
      </c>
      <c r="H8" s="172" t="s">
        <v>23</v>
      </c>
      <c r="I8" s="171" t="s">
        <v>23</v>
      </c>
      <c r="J8" s="172" t="s">
        <v>23</v>
      </c>
      <c r="K8" s="172" t="s">
        <v>23</v>
      </c>
      <c r="L8" s="173" t="s">
        <v>23</v>
      </c>
      <c r="M8" s="174" t="s">
        <v>23</v>
      </c>
      <c r="N8" s="174" t="s">
        <v>23</v>
      </c>
      <c r="O8" s="174" t="s">
        <v>23</v>
      </c>
      <c r="P8" s="172" t="s">
        <v>23</v>
      </c>
      <c r="Q8" s="615" t="s">
        <v>23</v>
      </c>
    </row>
    <row r="9" spans="1:17" x14ac:dyDescent="0.25">
      <c r="A9" s="176">
        <v>2</v>
      </c>
      <c r="B9" s="179" t="s">
        <v>134</v>
      </c>
      <c r="C9" s="107" t="s">
        <v>23</v>
      </c>
      <c r="D9" s="67" t="s">
        <v>30</v>
      </c>
      <c r="E9" s="109" t="s">
        <v>23</v>
      </c>
      <c r="F9" s="109" t="s">
        <v>23</v>
      </c>
      <c r="G9" s="109" t="s">
        <v>23</v>
      </c>
      <c r="H9" s="109" t="s">
        <v>23</v>
      </c>
      <c r="I9" s="67" t="s">
        <v>23</v>
      </c>
      <c r="J9" s="109" t="s">
        <v>23</v>
      </c>
      <c r="K9" s="109" t="s">
        <v>23</v>
      </c>
      <c r="L9" s="120" t="s">
        <v>23</v>
      </c>
      <c r="M9" s="66" t="s">
        <v>23</v>
      </c>
      <c r="N9" s="66" t="s">
        <v>23</v>
      </c>
      <c r="O9" s="66" t="s">
        <v>23</v>
      </c>
      <c r="P9" s="109" t="s">
        <v>23</v>
      </c>
      <c r="Q9" s="112" t="s">
        <v>23</v>
      </c>
    </row>
    <row r="10" spans="1:17" x14ac:dyDescent="0.25">
      <c r="A10" s="176">
        <v>3</v>
      </c>
      <c r="B10" s="179" t="s">
        <v>135</v>
      </c>
      <c r="C10" s="107" t="s">
        <v>30</v>
      </c>
      <c r="D10" s="67" t="s">
        <v>23</v>
      </c>
      <c r="E10" s="109" t="s">
        <v>30</v>
      </c>
      <c r="F10" s="109" t="s">
        <v>23</v>
      </c>
      <c r="G10" s="109" t="s">
        <v>23</v>
      </c>
      <c r="H10" s="109" t="s">
        <v>226</v>
      </c>
      <c r="I10" s="67" t="s">
        <v>226</v>
      </c>
      <c r="J10" s="109" t="s">
        <v>23</v>
      </c>
      <c r="K10" s="109" t="s">
        <v>23</v>
      </c>
      <c r="L10" s="120" t="s">
        <v>30</v>
      </c>
      <c r="M10" s="66" t="s">
        <v>23</v>
      </c>
      <c r="N10" s="66" t="s">
        <v>23</v>
      </c>
      <c r="O10" s="66" t="s">
        <v>23</v>
      </c>
      <c r="P10" s="109" t="s">
        <v>23</v>
      </c>
      <c r="Q10" s="112" t="s">
        <v>30</v>
      </c>
    </row>
    <row r="11" spans="1:17" ht="25.5" x14ac:dyDescent="0.25">
      <c r="A11" s="176">
        <v>4</v>
      </c>
      <c r="B11" s="179" t="s">
        <v>136</v>
      </c>
      <c r="C11" s="107" t="s">
        <v>30</v>
      </c>
      <c r="D11" s="67" t="s">
        <v>30</v>
      </c>
      <c r="E11" s="109" t="s">
        <v>30</v>
      </c>
      <c r="F11" s="109" t="s">
        <v>30</v>
      </c>
      <c r="G11" s="109" t="s">
        <v>23</v>
      </c>
      <c r="H11" s="109" t="s">
        <v>30</v>
      </c>
      <c r="I11" s="67" t="s">
        <v>30</v>
      </c>
      <c r="J11" s="109" t="s">
        <v>30</v>
      </c>
      <c r="K11" s="109" t="s">
        <v>30</v>
      </c>
      <c r="L11" s="120" t="s">
        <v>30</v>
      </c>
      <c r="M11" s="66" t="s">
        <v>30</v>
      </c>
      <c r="N11" s="66" t="s">
        <v>30</v>
      </c>
      <c r="O11" s="66" t="s">
        <v>30</v>
      </c>
      <c r="P11" s="109" t="s">
        <v>30</v>
      </c>
      <c r="Q11" s="112" t="s">
        <v>30</v>
      </c>
    </row>
    <row r="12" spans="1:17" x14ac:dyDescent="0.25">
      <c r="A12" s="176">
        <v>5</v>
      </c>
      <c r="B12" s="179" t="s">
        <v>137</v>
      </c>
      <c r="C12" s="107" t="s">
        <v>23</v>
      </c>
      <c r="D12" s="67" t="s">
        <v>23</v>
      </c>
      <c r="E12" s="109" t="s">
        <v>23</v>
      </c>
      <c r="F12" s="109" t="s">
        <v>23</v>
      </c>
      <c r="G12" s="109" t="s">
        <v>23</v>
      </c>
      <c r="H12" s="109" t="s">
        <v>23</v>
      </c>
      <c r="I12" s="67" t="s">
        <v>23</v>
      </c>
      <c r="J12" s="109" t="s">
        <v>30</v>
      </c>
      <c r="K12" s="109" t="s">
        <v>23</v>
      </c>
      <c r="L12" s="120" t="s">
        <v>23</v>
      </c>
      <c r="M12" s="66" t="s">
        <v>23</v>
      </c>
      <c r="N12" s="66" t="s">
        <v>23</v>
      </c>
      <c r="O12" s="66" t="s">
        <v>23</v>
      </c>
      <c r="P12" s="109" t="s">
        <v>23</v>
      </c>
      <c r="Q12" s="112" t="s">
        <v>23</v>
      </c>
    </row>
    <row r="13" spans="1:17" x14ac:dyDescent="0.25">
      <c r="A13" s="176">
        <v>6</v>
      </c>
      <c r="B13" s="179" t="s">
        <v>138</v>
      </c>
      <c r="C13" s="107" t="s">
        <v>30</v>
      </c>
      <c r="D13" s="67" t="s">
        <v>30</v>
      </c>
      <c r="E13" s="109" t="s">
        <v>30</v>
      </c>
      <c r="F13" s="109" t="s">
        <v>23</v>
      </c>
      <c r="G13" s="109" t="s">
        <v>23</v>
      </c>
      <c r="H13" s="109" t="s">
        <v>23</v>
      </c>
      <c r="I13" s="67" t="s">
        <v>23</v>
      </c>
      <c r="J13" s="109" t="s">
        <v>23</v>
      </c>
      <c r="K13" s="109" t="s">
        <v>23</v>
      </c>
      <c r="L13" s="120" t="s">
        <v>23</v>
      </c>
      <c r="M13" s="66" t="s">
        <v>23</v>
      </c>
      <c r="N13" s="66" t="s">
        <v>23</v>
      </c>
      <c r="O13" s="66" t="s">
        <v>23</v>
      </c>
      <c r="P13" s="109" t="s">
        <v>23</v>
      </c>
      <c r="Q13" s="112" t="s">
        <v>23</v>
      </c>
    </row>
    <row r="14" spans="1:17" x14ac:dyDescent="0.25">
      <c r="A14" s="176">
        <v>7</v>
      </c>
      <c r="B14" s="179" t="s">
        <v>139</v>
      </c>
      <c r="C14" s="107" t="s">
        <v>30</v>
      </c>
      <c r="D14" s="67" t="s">
        <v>30</v>
      </c>
      <c r="E14" s="109" t="s">
        <v>23</v>
      </c>
      <c r="F14" s="109" t="s">
        <v>30</v>
      </c>
      <c r="G14" s="109" t="s">
        <v>23</v>
      </c>
      <c r="H14" s="109" t="s">
        <v>23</v>
      </c>
      <c r="I14" s="67" t="s">
        <v>23</v>
      </c>
      <c r="J14" s="109" t="s">
        <v>23</v>
      </c>
      <c r="K14" s="109" t="s">
        <v>30</v>
      </c>
      <c r="L14" s="120" t="s">
        <v>23</v>
      </c>
      <c r="M14" s="66" t="s">
        <v>23</v>
      </c>
      <c r="N14" s="66" t="s">
        <v>23</v>
      </c>
      <c r="O14" s="66" t="s">
        <v>23</v>
      </c>
      <c r="P14" s="109" t="s">
        <v>23</v>
      </c>
      <c r="Q14" s="112" t="s">
        <v>23</v>
      </c>
    </row>
    <row r="15" spans="1:17" ht="26.25" customHeight="1" x14ac:dyDescent="0.25">
      <c r="A15" s="176">
        <v>8</v>
      </c>
      <c r="B15" s="179" t="s">
        <v>152</v>
      </c>
      <c r="C15" s="107" t="s">
        <v>30</v>
      </c>
      <c r="D15" s="67" t="s">
        <v>30</v>
      </c>
      <c r="E15" s="109" t="s">
        <v>30</v>
      </c>
      <c r="F15" s="109" t="s">
        <v>30</v>
      </c>
      <c r="G15" s="109" t="s">
        <v>30</v>
      </c>
      <c r="H15" s="109" t="s">
        <v>30</v>
      </c>
      <c r="I15" s="67" t="s">
        <v>30</v>
      </c>
      <c r="J15" s="109" t="s">
        <v>30</v>
      </c>
      <c r="K15" s="109" t="s">
        <v>30</v>
      </c>
      <c r="L15" s="120" t="s">
        <v>30</v>
      </c>
      <c r="M15" s="66" t="s">
        <v>23</v>
      </c>
      <c r="N15" s="66" t="s">
        <v>30</v>
      </c>
      <c r="O15" s="66" t="s">
        <v>30</v>
      </c>
      <c r="P15" s="109" t="s">
        <v>30</v>
      </c>
      <c r="Q15" s="112" t="s">
        <v>30</v>
      </c>
    </row>
    <row r="16" spans="1:17" x14ac:dyDescent="0.25">
      <c r="A16" s="176">
        <v>9</v>
      </c>
      <c r="B16" s="179" t="s">
        <v>140</v>
      </c>
      <c r="C16" s="107" t="s">
        <v>23</v>
      </c>
      <c r="D16" s="67" t="s">
        <v>30</v>
      </c>
      <c r="E16" s="109" t="s">
        <v>30</v>
      </c>
      <c r="F16" s="109" t="s">
        <v>30</v>
      </c>
      <c r="G16" s="109" t="s">
        <v>30</v>
      </c>
      <c r="H16" s="109" t="s">
        <v>30</v>
      </c>
      <c r="I16" s="67" t="s">
        <v>30</v>
      </c>
      <c r="J16" s="109" t="s">
        <v>23</v>
      </c>
      <c r="K16" s="109" t="s">
        <v>30</v>
      </c>
      <c r="L16" s="120" t="s">
        <v>23</v>
      </c>
      <c r="M16" s="66" t="s">
        <v>23</v>
      </c>
      <c r="N16" s="66" t="s">
        <v>30</v>
      </c>
      <c r="O16" s="66" t="s">
        <v>23</v>
      </c>
      <c r="P16" s="109" t="s">
        <v>23</v>
      </c>
      <c r="Q16" s="112" t="s">
        <v>30</v>
      </c>
    </row>
    <row r="17" spans="1:17" ht="25.5" x14ac:dyDescent="0.25">
      <c r="A17" s="176">
        <v>10</v>
      </c>
      <c r="B17" s="179" t="s">
        <v>141</v>
      </c>
      <c r="C17" s="107" t="s">
        <v>23</v>
      </c>
      <c r="D17" s="67" t="s">
        <v>23</v>
      </c>
      <c r="E17" s="109" t="s">
        <v>23</v>
      </c>
      <c r="F17" s="109" t="s">
        <v>23</v>
      </c>
      <c r="G17" s="109" t="s">
        <v>23</v>
      </c>
      <c r="H17" s="109" t="s">
        <v>23</v>
      </c>
      <c r="I17" s="67" t="s">
        <v>23</v>
      </c>
      <c r="J17" s="109" t="s">
        <v>23</v>
      </c>
      <c r="K17" s="109" t="s">
        <v>23</v>
      </c>
      <c r="L17" s="120" t="s">
        <v>23</v>
      </c>
      <c r="M17" s="66" t="s">
        <v>23</v>
      </c>
      <c r="N17" s="66" t="s">
        <v>23</v>
      </c>
      <c r="O17" s="66" t="s">
        <v>23</v>
      </c>
      <c r="P17" s="109" t="s">
        <v>23</v>
      </c>
      <c r="Q17" s="112" t="s">
        <v>23</v>
      </c>
    </row>
    <row r="18" spans="1:17" x14ac:dyDescent="0.25">
      <c r="A18" s="176">
        <v>11</v>
      </c>
      <c r="B18" s="179" t="s">
        <v>142</v>
      </c>
      <c r="C18" s="107" t="s">
        <v>23</v>
      </c>
      <c r="D18" s="67" t="s">
        <v>23</v>
      </c>
      <c r="E18" s="109" t="s">
        <v>23</v>
      </c>
      <c r="F18" s="109" t="s">
        <v>23</v>
      </c>
      <c r="G18" s="109" t="s">
        <v>30</v>
      </c>
      <c r="H18" s="109" t="s">
        <v>23</v>
      </c>
      <c r="I18" s="67" t="s">
        <v>23</v>
      </c>
      <c r="J18" s="109" t="s">
        <v>23</v>
      </c>
      <c r="K18" s="109" t="s">
        <v>23</v>
      </c>
      <c r="L18" s="120" t="s">
        <v>23</v>
      </c>
      <c r="M18" s="66" t="s">
        <v>23</v>
      </c>
      <c r="N18" s="66" t="s">
        <v>23</v>
      </c>
      <c r="O18" s="66" t="s">
        <v>23</v>
      </c>
      <c r="P18" s="109" t="s">
        <v>23</v>
      </c>
      <c r="Q18" s="112" t="s">
        <v>23</v>
      </c>
    </row>
    <row r="19" spans="1:17" x14ac:dyDescent="0.25">
      <c r="A19" s="176">
        <v>12</v>
      </c>
      <c r="B19" s="179" t="s">
        <v>143</v>
      </c>
      <c r="C19" s="107" t="s">
        <v>23</v>
      </c>
      <c r="D19" s="67" t="s">
        <v>23</v>
      </c>
      <c r="E19" s="109" t="s">
        <v>23</v>
      </c>
      <c r="F19" s="109" t="s">
        <v>23</v>
      </c>
      <c r="G19" s="109" t="s">
        <v>23</v>
      </c>
      <c r="H19" s="109" t="s">
        <v>23</v>
      </c>
      <c r="I19" s="67" t="s">
        <v>23</v>
      </c>
      <c r="J19" s="109" t="s">
        <v>23</v>
      </c>
      <c r="K19" s="109" t="s">
        <v>23</v>
      </c>
      <c r="L19" s="120" t="s">
        <v>23</v>
      </c>
      <c r="M19" s="66" t="s">
        <v>23</v>
      </c>
      <c r="N19" s="66" t="s">
        <v>23</v>
      </c>
      <c r="O19" s="66" t="s">
        <v>23</v>
      </c>
      <c r="P19" s="109" t="s">
        <v>23</v>
      </c>
      <c r="Q19" s="112" t="s">
        <v>23</v>
      </c>
    </row>
    <row r="20" spans="1:17" x14ac:dyDescent="0.25">
      <c r="A20" s="176">
        <v>13</v>
      </c>
      <c r="B20" s="179" t="s">
        <v>144</v>
      </c>
      <c r="C20" s="107" t="s">
        <v>23</v>
      </c>
      <c r="D20" s="67" t="s">
        <v>30</v>
      </c>
      <c r="E20" s="109" t="s">
        <v>30</v>
      </c>
      <c r="F20" s="109" t="s">
        <v>30</v>
      </c>
      <c r="G20" s="109" t="s">
        <v>23</v>
      </c>
      <c r="H20" s="109" t="s">
        <v>23</v>
      </c>
      <c r="I20" s="67" t="s">
        <v>23</v>
      </c>
      <c r="J20" s="109" t="s">
        <v>23</v>
      </c>
      <c r="K20" s="109" t="s">
        <v>23</v>
      </c>
      <c r="L20" s="120" t="s">
        <v>23</v>
      </c>
      <c r="M20" s="66" t="s">
        <v>23</v>
      </c>
      <c r="N20" s="66" t="s">
        <v>23</v>
      </c>
      <c r="O20" s="66" t="s">
        <v>23</v>
      </c>
      <c r="P20" s="109" t="s">
        <v>23</v>
      </c>
      <c r="Q20" s="112" t="s">
        <v>23</v>
      </c>
    </row>
    <row r="21" spans="1:17" x14ac:dyDescent="0.25">
      <c r="A21" s="176">
        <v>14</v>
      </c>
      <c r="B21" s="179" t="s">
        <v>145</v>
      </c>
      <c r="C21" s="107" t="s">
        <v>30</v>
      </c>
      <c r="D21" s="67" t="s">
        <v>23</v>
      </c>
      <c r="E21" s="109" t="s">
        <v>30</v>
      </c>
      <c r="F21" s="109" t="s">
        <v>30</v>
      </c>
      <c r="G21" s="109" t="s">
        <v>23</v>
      </c>
      <c r="H21" s="109" t="s">
        <v>23</v>
      </c>
      <c r="I21" s="67" t="s">
        <v>23</v>
      </c>
      <c r="J21" s="109" t="s">
        <v>23</v>
      </c>
      <c r="K21" s="109" t="s">
        <v>23</v>
      </c>
      <c r="L21" s="120" t="s">
        <v>23</v>
      </c>
      <c r="M21" s="66" t="s">
        <v>23</v>
      </c>
      <c r="N21" s="66" t="s">
        <v>23</v>
      </c>
      <c r="O21" s="66" t="s">
        <v>23</v>
      </c>
      <c r="P21" s="109" t="s">
        <v>23</v>
      </c>
      <c r="Q21" s="112" t="s">
        <v>23</v>
      </c>
    </row>
    <row r="22" spans="1:17" x14ac:dyDescent="0.25">
      <c r="A22" s="176">
        <v>15</v>
      </c>
      <c r="B22" s="179" t="s">
        <v>146</v>
      </c>
      <c r="C22" s="107" t="s">
        <v>23</v>
      </c>
      <c r="D22" s="67" t="s">
        <v>30</v>
      </c>
      <c r="E22" s="109" t="s">
        <v>30</v>
      </c>
      <c r="F22" s="109" t="s">
        <v>30</v>
      </c>
      <c r="G22" s="109" t="s">
        <v>30</v>
      </c>
      <c r="H22" s="109" t="s">
        <v>30</v>
      </c>
      <c r="I22" s="67" t="s">
        <v>30</v>
      </c>
      <c r="J22" s="109" t="s">
        <v>30</v>
      </c>
      <c r="K22" s="109" t="s">
        <v>30</v>
      </c>
      <c r="L22" s="120" t="s">
        <v>30</v>
      </c>
      <c r="M22" s="66" t="s">
        <v>23</v>
      </c>
      <c r="N22" s="66" t="s">
        <v>30</v>
      </c>
      <c r="O22" s="66" t="s">
        <v>30</v>
      </c>
      <c r="P22" s="109" t="s">
        <v>30</v>
      </c>
      <c r="Q22" s="112" t="s">
        <v>30</v>
      </c>
    </row>
    <row r="23" spans="1:17" x14ac:dyDescent="0.25">
      <c r="A23" s="176">
        <v>16</v>
      </c>
      <c r="B23" s="179" t="s">
        <v>147</v>
      </c>
      <c r="C23" s="107" t="s">
        <v>30</v>
      </c>
      <c r="D23" s="67" t="s">
        <v>30</v>
      </c>
      <c r="E23" s="109" t="s">
        <v>30</v>
      </c>
      <c r="F23" s="109" t="s">
        <v>30</v>
      </c>
      <c r="G23" s="109" t="s">
        <v>30</v>
      </c>
      <c r="H23" s="109" t="s">
        <v>30</v>
      </c>
      <c r="I23" s="67" t="s">
        <v>30</v>
      </c>
      <c r="J23" s="109" t="s">
        <v>30</v>
      </c>
      <c r="K23" s="109" t="s">
        <v>30</v>
      </c>
      <c r="L23" s="120" t="s">
        <v>30</v>
      </c>
      <c r="M23" s="66" t="s">
        <v>30</v>
      </c>
      <c r="N23" s="66" t="s">
        <v>30</v>
      </c>
      <c r="O23" s="66" t="s">
        <v>30</v>
      </c>
      <c r="P23" s="109" t="s">
        <v>30</v>
      </c>
      <c r="Q23" s="112" t="s">
        <v>30</v>
      </c>
    </row>
    <row r="24" spans="1:17" x14ac:dyDescent="0.25">
      <c r="A24" s="176">
        <v>17</v>
      </c>
      <c r="B24" s="179" t="s">
        <v>148</v>
      </c>
      <c r="C24" s="107" t="s">
        <v>30</v>
      </c>
      <c r="D24" s="67" t="s">
        <v>30</v>
      </c>
      <c r="E24" s="109" t="s">
        <v>30</v>
      </c>
      <c r="F24" s="109" t="s">
        <v>30</v>
      </c>
      <c r="G24" s="109" t="s">
        <v>30</v>
      </c>
      <c r="H24" s="109" t="s">
        <v>30</v>
      </c>
      <c r="I24" s="67" t="s">
        <v>30</v>
      </c>
      <c r="J24" s="109" t="s">
        <v>30</v>
      </c>
      <c r="K24" s="109" t="s">
        <v>30</v>
      </c>
      <c r="L24" s="120" t="s">
        <v>30</v>
      </c>
      <c r="M24" s="66" t="s">
        <v>23</v>
      </c>
      <c r="N24" s="66" t="s">
        <v>30</v>
      </c>
      <c r="O24" s="66" t="s">
        <v>30</v>
      </c>
      <c r="P24" s="109" t="s">
        <v>30</v>
      </c>
      <c r="Q24" s="112" t="s">
        <v>30</v>
      </c>
    </row>
    <row r="25" spans="1:17" x14ac:dyDescent="0.25">
      <c r="A25" s="176">
        <v>18</v>
      </c>
      <c r="B25" s="179" t="s">
        <v>149</v>
      </c>
      <c r="C25" s="107" t="s">
        <v>30</v>
      </c>
      <c r="D25" s="67" t="s">
        <v>30</v>
      </c>
      <c r="E25" s="109" t="s">
        <v>30</v>
      </c>
      <c r="F25" s="109" t="s">
        <v>30</v>
      </c>
      <c r="G25" s="109" t="s">
        <v>30</v>
      </c>
      <c r="H25" s="109" t="s">
        <v>30</v>
      </c>
      <c r="I25" s="67" t="s">
        <v>30</v>
      </c>
      <c r="J25" s="109" t="s">
        <v>30</v>
      </c>
      <c r="K25" s="109" t="s">
        <v>30</v>
      </c>
      <c r="L25" s="120" t="s">
        <v>30</v>
      </c>
      <c r="M25" s="66" t="s">
        <v>23</v>
      </c>
      <c r="N25" s="66" t="s">
        <v>30</v>
      </c>
      <c r="O25" s="66" t="s">
        <v>30</v>
      </c>
      <c r="P25" s="109" t="s">
        <v>30</v>
      </c>
      <c r="Q25" s="112" t="s">
        <v>30</v>
      </c>
    </row>
    <row r="26" spans="1:17" ht="15.75" thickBot="1" x14ac:dyDescent="0.3">
      <c r="A26" s="177">
        <v>19</v>
      </c>
      <c r="B26" s="180" t="s">
        <v>150</v>
      </c>
      <c r="C26" s="108" t="s">
        <v>30</v>
      </c>
      <c r="D26" s="110" t="s">
        <v>30</v>
      </c>
      <c r="E26" s="110" t="s">
        <v>30</v>
      </c>
      <c r="F26" s="110" t="s">
        <v>30</v>
      </c>
      <c r="G26" s="110" t="s">
        <v>30</v>
      </c>
      <c r="H26" s="110" t="s">
        <v>30</v>
      </c>
      <c r="I26" s="110" t="s">
        <v>30</v>
      </c>
      <c r="J26" s="110" t="s">
        <v>30</v>
      </c>
      <c r="K26" s="110" t="s">
        <v>30</v>
      </c>
      <c r="L26" s="121" t="s">
        <v>30</v>
      </c>
      <c r="M26" s="68" t="s">
        <v>30</v>
      </c>
      <c r="N26" s="68" t="s">
        <v>30</v>
      </c>
      <c r="O26" s="68" t="s">
        <v>30</v>
      </c>
      <c r="P26" s="110" t="s">
        <v>30</v>
      </c>
      <c r="Q26" s="113" t="s">
        <v>30</v>
      </c>
    </row>
  </sheetData>
  <mergeCells count="1">
    <mergeCell ref="A2:Q2"/>
  </mergeCells>
  <phoneticPr fontId="24" type="noConversion"/>
  <dataValidations count="2">
    <dataValidation type="list" allowBlank="1" showInputMessage="1" showErrorMessage="1" sqref="E8:E26 J8:K26 P8:Q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58"/>
  <sheetViews>
    <sheetView zoomScale="85" zoomScaleNormal="85" workbookViewId="0">
      <pane ySplit="2" topLeftCell="A250" activePane="bottomLeft" state="frozen"/>
      <selection sqref="A1:A4"/>
      <selection pane="bottomLeft" activeCell="D258" sqref="D258"/>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6" width="13.5703125" style="28" customWidth="1"/>
    <col min="27" max="28" width="17.7109375" style="28" customWidth="1"/>
    <col min="29" max="34" width="13.5703125" style="28" customWidth="1"/>
    <col min="35" max="16384" width="11.42578125" style="28"/>
  </cols>
  <sheetData>
    <row r="1" spans="1:12" ht="10.5" customHeight="1" thickBot="1" x14ac:dyDescent="0.25"/>
    <row r="2" spans="1:12" ht="54" customHeight="1" thickBot="1" x14ac:dyDescent="0.25">
      <c r="A2" s="467" t="s">
        <v>383</v>
      </c>
      <c r="B2" s="468"/>
      <c r="C2" s="468"/>
      <c r="D2" s="468"/>
      <c r="E2" s="468"/>
      <c r="F2" s="468"/>
      <c r="G2" s="468"/>
      <c r="H2" s="468"/>
      <c r="I2" s="468"/>
      <c r="J2" s="468"/>
      <c r="K2" s="468"/>
      <c r="L2" s="469"/>
    </row>
    <row r="3" spans="1:12" ht="10.5" customHeight="1" thickBot="1" x14ac:dyDescent="0.25"/>
    <row r="4" spans="1:12" ht="30" customHeight="1" thickBot="1" x14ac:dyDescent="0.25">
      <c r="A4" s="58" t="str">
        <f>+Matriz!E13</f>
        <v>EPLE-RC-001</v>
      </c>
      <c r="B4" s="405" t="str">
        <f>+Matriz!F13</f>
        <v>Reportes de avances manipulados e inconsistentes respecto a la ejecución real de presupuesto y de metas en los proyectos de inversión  de la Entidad, a favor de un tercero.</v>
      </c>
      <c r="C4" s="406"/>
      <c r="D4" s="406"/>
      <c r="E4" s="406"/>
      <c r="F4" s="406"/>
      <c r="G4" s="406"/>
      <c r="H4" s="406"/>
      <c r="I4" s="406"/>
      <c r="J4" s="406"/>
      <c r="K4" s="406"/>
      <c r="L4" s="407"/>
    </row>
    <row r="5" spans="1:12" ht="10.5" customHeight="1" thickBot="1" x14ac:dyDescent="0.25"/>
    <row r="6" spans="1:12" ht="16.5" customHeight="1" thickBot="1" x14ac:dyDescent="0.25">
      <c r="B6" s="408" t="s">
        <v>158</v>
      </c>
      <c r="C6" s="409"/>
      <c r="D6" s="419"/>
      <c r="E6" s="470" t="s">
        <v>124</v>
      </c>
      <c r="F6" s="471"/>
      <c r="G6" s="471"/>
      <c r="H6" s="471"/>
      <c r="I6" s="471"/>
      <c r="J6" s="471"/>
      <c r="K6" s="471"/>
      <c r="L6" s="472"/>
    </row>
    <row r="7" spans="1:12" ht="91.5" customHeight="1" thickBot="1" x14ac:dyDescent="0.25">
      <c r="B7" s="410"/>
      <c r="C7" s="411"/>
      <c r="D7" s="420"/>
      <c r="E7" s="473" t="str">
        <f>+Matriz!Q13</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474"/>
      <c r="G7" s="474"/>
      <c r="H7" s="474"/>
      <c r="I7" s="474"/>
      <c r="J7" s="474"/>
      <c r="K7" s="474"/>
      <c r="L7" s="475"/>
    </row>
    <row r="8" spans="1:12" ht="15" x14ac:dyDescent="0.25">
      <c r="B8" s="444" t="s">
        <v>125</v>
      </c>
      <c r="C8" s="446" t="s">
        <v>126</v>
      </c>
      <c r="D8" s="447"/>
      <c r="E8" s="450" t="s">
        <v>120</v>
      </c>
      <c r="F8" s="451"/>
      <c r="G8" s="458" t="s">
        <v>71</v>
      </c>
      <c r="H8" s="459"/>
      <c r="I8" s="459"/>
      <c r="J8" s="459"/>
      <c r="K8" s="459"/>
      <c r="L8" s="460"/>
    </row>
    <row r="9" spans="1:12" ht="15" thickBot="1" x14ac:dyDescent="0.25">
      <c r="B9" s="445"/>
      <c r="C9" s="448"/>
      <c r="D9" s="449"/>
      <c r="E9" s="56" t="s">
        <v>121</v>
      </c>
      <c r="F9" s="57" t="s">
        <v>122</v>
      </c>
      <c r="G9" s="436"/>
      <c r="H9" s="437"/>
      <c r="I9" s="437"/>
      <c r="J9" s="437"/>
      <c r="K9" s="437"/>
      <c r="L9" s="438"/>
    </row>
    <row r="10" spans="1:12" ht="30" customHeight="1" x14ac:dyDescent="0.2">
      <c r="B10" s="414" t="s">
        <v>127</v>
      </c>
      <c r="C10" s="46" t="s">
        <v>98</v>
      </c>
      <c r="D10" s="50" t="s">
        <v>87</v>
      </c>
      <c r="E10" s="44" t="s">
        <v>105</v>
      </c>
      <c r="F10" s="196">
        <f>IF(E10="Asignado",15,IF(E10="No asignado",0,""))</f>
        <v>15</v>
      </c>
      <c r="G10" s="485" t="s">
        <v>398</v>
      </c>
      <c r="H10" s="486"/>
      <c r="I10" s="486"/>
      <c r="J10" s="486"/>
      <c r="K10" s="486"/>
      <c r="L10" s="487"/>
    </row>
    <row r="11" spans="1:12" ht="30" customHeight="1" x14ac:dyDescent="0.2">
      <c r="B11" s="415"/>
      <c r="C11" s="37" t="s">
        <v>99</v>
      </c>
      <c r="D11" s="51" t="s">
        <v>91</v>
      </c>
      <c r="E11" s="39" t="s">
        <v>107</v>
      </c>
      <c r="F11" s="191">
        <f>IF(E11="Adecuado",15,IF(E11="Inadecuado",0,""))</f>
        <v>15</v>
      </c>
      <c r="G11" s="488"/>
      <c r="H11" s="489"/>
      <c r="I11" s="489"/>
      <c r="J11" s="489"/>
      <c r="K11" s="489"/>
      <c r="L11" s="490"/>
    </row>
    <row r="12" spans="1:12" ht="30" customHeight="1" x14ac:dyDescent="0.2">
      <c r="B12" s="59" t="s">
        <v>128</v>
      </c>
      <c r="C12" s="37" t="s">
        <v>100</v>
      </c>
      <c r="D12" s="51" t="s">
        <v>92</v>
      </c>
      <c r="E12" s="39" t="s">
        <v>109</v>
      </c>
      <c r="F12" s="191">
        <f>IF(E12="Oportuna",15,IF(E12="Inoportuna",0,""))</f>
        <v>15</v>
      </c>
      <c r="G12" s="476" t="s">
        <v>396</v>
      </c>
      <c r="H12" s="477"/>
      <c r="I12" s="477"/>
      <c r="J12" s="477"/>
      <c r="K12" s="477"/>
      <c r="L12" s="478"/>
    </row>
    <row r="13" spans="1:12" ht="45" customHeight="1" x14ac:dyDescent="0.2">
      <c r="B13" s="59" t="s">
        <v>129</v>
      </c>
      <c r="C13" s="37" t="s">
        <v>101</v>
      </c>
      <c r="D13" s="51" t="s">
        <v>93</v>
      </c>
      <c r="E13" s="41" t="s">
        <v>111</v>
      </c>
      <c r="F13" s="191">
        <f>IF(E13="Prevenir o detectar",15,IF(E13="No es control",0,""))</f>
        <v>15</v>
      </c>
      <c r="G13" s="476" t="s">
        <v>247</v>
      </c>
      <c r="H13" s="477"/>
      <c r="I13" s="477"/>
      <c r="J13" s="477"/>
      <c r="K13" s="477"/>
      <c r="L13" s="478"/>
    </row>
    <row r="14" spans="1:12" ht="30" customHeight="1" x14ac:dyDescent="0.2">
      <c r="B14" s="60" t="s">
        <v>131</v>
      </c>
      <c r="C14" s="37" t="s">
        <v>102</v>
      </c>
      <c r="D14" s="51" t="s">
        <v>94</v>
      </c>
      <c r="E14" s="39" t="s">
        <v>113</v>
      </c>
      <c r="F14" s="191">
        <f>IF(E14="Confiable",15,IF(E14="No confiable",0,""))</f>
        <v>15</v>
      </c>
      <c r="G14" s="479" t="s">
        <v>248</v>
      </c>
      <c r="H14" s="480"/>
      <c r="I14" s="480"/>
      <c r="J14" s="480"/>
      <c r="K14" s="480"/>
      <c r="L14" s="481"/>
    </row>
    <row r="15" spans="1:12" ht="45" customHeight="1" x14ac:dyDescent="0.2">
      <c r="B15" s="60" t="s">
        <v>132</v>
      </c>
      <c r="C15" s="37" t="s">
        <v>103</v>
      </c>
      <c r="D15" s="51" t="s">
        <v>95</v>
      </c>
      <c r="E15" s="41" t="s">
        <v>115</v>
      </c>
      <c r="F15" s="191">
        <f>IF(E15="Se investigan y resuelven oportunamente",15,IF(E15="No se investigan y resuelven oportunamente",0,""))</f>
        <v>15</v>
      </c>
      <c r="G15" s="479" t="s">
        <v>249</v>
      </c>
      <c r="H15" s="480"/>
      <c r="I15" s="480"/>
      <c r="J15" s="480"/>
      <c r="K15" s="480"/>
      <c r="L15" s="481"/>
    </row>
    <row r="16" spans="1:12" ht="35.25" customHeight="1" thickBot="1" x14ac:dyDescent="0.25">
      <c r="B16" s="61" t="s">
        <v>130</v>
      </c>
      <c r="C16" s="47" t="s">
        <v>104</v>
      </c>
      <c r="D16" s="52" t="s">
        <v>96</v>
      </c>
      <c r="E16" s="42" t="s">
        <v>117</v>
      </c>
      <c r="F16" s="194">
        <f>IF(E16="Completa",10,IF(E16="Incompleta",5,IF(E16="No existe",0,"")))</f>
        <v>10</v>
      </c>
      <c r="G16" s="482" t="s">
        <v>397</v>
      </c>
      <c r="H16" s="483"/>
      <c r="I16" s="483"/>
      <c r="J16" s="483"/>
      <c r="K16" s="483"/>
      <c r="L16" s="484"/>
    </row>
    <row r="17" spans="1:12" ht="7.5" customHeight="1" thickBot="1" x14ac:dyDescent="0.25">
      <c r="D17" s="38"/>
      <c r="G17" s="82"/>
      <c r="H17" s="82"/>
      <c r="I17" s="82"/>
      <c r="J17" s="82"/>
      <c r="K17" s="82"/>
      <c r="L17" s="82"/>
    </row>
    <row r="18" spans="1:12" x14ac:dyDescent="0.2">
      <c r="D18" s="48" t="s">
        <v>97</v>
      </c>
      <c r="E18" s="412">
        <f>IF(SUM(F10:F16)=0,"-",SUM(F10:F16))</f>
        <v>100</v>
      </c>
      <c r="F18" s="413"/>
      <c r="G18" s="83"/>
      <c r="H18" s="83"/>
      <c r="I18" s="83"/>
      <c r="J18" s="83"/>
      <c r="K18" s="83"/>
      <c r="L18" s="83"/>
    </row>
    <row r="19" spans="1:12" ht="15" thickBot="1" x14ac:dyDescent="0.25">
      <c r="D19" s="49" t="s">
        <v>123</v>
      </c>
      <c r="E19" s="394" t="str">
        <f>IF(E18&lt;=74,"Débil",IF(E18&lt;=89,"Moderado",IF(E18&lt;=100,"Fuerte","")))</f>
        <v>Fuerte</v>
      </c>
      <c r="F19" s="395"/>
      <c r="G19" s="83"/>
      <c r="H19" s="83"/>
      <c r="I19" s="83"/>
      <c r="J19" s="83"/>
      <c r="K19" s="83"/>
      <c r="L19" s="83"/>
    </row>
    <row r="20" spans="1:12" ht="15" thickBot="1" x14ac:dyDescent="0.25"/>
    <row r="21" spans="1:12" ht="30" customHeight="1" thickBot="1" x14ac:dyDescent="0.25">
      <c r="A21" s="116" t="str">
        <f>+Matriz!E14</f>
        <v>EGCM-RC-001</v>
      </c>
      <c r="B21" s="405" t="str">
        <f>+Matriz!F14</f>
        <v>Difusión intencional de información atendiendo a intereses particulares internos y/o externos.</v>
      </c>
      <c r="C21" s="406"/>
      <c r="D21" s="406"/>
      <c r="E21" s="406"/>
      <c r="F21" s="406"/>
      <c r="G21" s="406"/>
      <c r="H21" s="406"/>
      <c r="I21" s="406"/>
      <c r="J21" s="406"/>
      <c r="K21" s="406"/>
      <c r="L21" s="407"/>
    </row>
    <row r="22" spans="1:12" ht="15" thickBot="1" x14ac:dyDescent="0.25"/>
    <row r="23" spans="1:12" ht="15.75" customHeight="1" x14ac:dyDescent="0.2">
      <c r="B23" s="408" t="s">
        <v>158</v>
      </c>
      <c r="C23" s="409"/>
      <c r="D23" s="419"/>
      <c r="E23" s="421" t="s">
        <v>124</v>
      </c>
      <c r="F23" s="422"/>
      <c r="G23" s="422"/>
      <c r="H23" s="422"/>
      <c r="I23" s="422"/>
      <c r="J23" s="422"/>
      <c r="K23" s="422"/>
      <c r="L23" s="423"/>
    </row>
    <row r="24" spans="1:12" ht="27" customHeight="1" thickBot="1" x14ac:dyDescent="0.25">
      <c r="B24" s="410"/>
      <c r="C24" s="411"/>
      <c r="D24" s="420"/>
      <c r="E24" s="424" t="str">
        <f>+Matriz!Q14</f>
        <v xml:space="preserve">Aplicar una ruta de revisión del contenido a publica o difundir por parte de la Coordinación de Prensa y Comunicaciones. </v>
      </c>
      <c r="F24" s="425"/>
      <c r="G24" s="425"/>
      <c r="H24" s="425"/>
      <c r="I24" s="425"/>
      <c r="J24" s="425"/>
      <c r="K24" s="425"/>
      <c r="L24" s="426"/>
    </row>
    <row r="25" spans="1:12" ht="15" x14ac:dyDescent="0.25">
      <c r="B25" s="427" t="s">
        <v>125</v>
      </c>
      <c r="C25" s="429" t="s">
        <v>126</v>
      </c>
      <c r="D25" s="419"/>
      <c r="E25" s="431" t="s">
        <v>120</v>
      </c>
      <c r="F25" s="432"/>
      <c r="G25" s="433" t="s">
        <v>71</v>
      </c>
      <c r="H25" s="434"/>
      <c r="I25" s="434"/>
      <c r="J25" s="434"/>
      <c r="K25" s="434"/>
      <c r="L25" s="435"/>
    </row>
    <row r="26" spans="1:12" ht="15" customHeight="1" thickBot="1" x14ac:dyDescent="0.25">
      <c r="B26" s="428"/>
      <c r="C26" s="430"/>
      <c r="D26" s="420"/>
      <c r="E26" s="56" t="s">
        <v>121</v>
      </c>
      <c r="F26" s="57" t="s">
        <v>122</v>
      </c>
      <c r="G26" s="436"/>
      <c r="H26" s="437"/>
      <c r="I26" s="437"/>
      <c r="J26" s="437"/>
      <c r="K26" s="437"/>
      <c r="L26" s="438"/>
    </row>
    <row r="27" spans="1:12" ht="49.5" customHeight="1" x14ac:dyDescent="0.2">
      <c r="B27" s="439" t="s">
        <v>127</v>
      </c>
      <c r="C27" s="103" t="s">
        <v>98</v>
      </c>
      <c r="D27" s="105" t="s">
        <v>87</v>
      </c>
      <c r="E27" s="44" t="s">
        <v>105</v>
      </c>
      <c r="F27" s="45">
        <f>IF(E27="Asignado",15,IF(E27="No asignado",0,""))</f>
        <v>15</v>
      </c>
      <c r="G27" s="416" t="s">
        <v>322</v>
      </c>
      <c r="H27" s="417"/>
      <c r="I27" s="417"/>
      <c r="J27" s="417"/>
      <c r="K27" s="417"/>
      <c r="L27" s="418"/>
    </row>
    <row r="28" spans="1:12" ht="30.75" customHeight="1" x14ac:dyDescent="0.2">
      <c r="B28" s="440"/>
      <c r="C28" s="37" t="s">
        <v>99</v>
      </c>
      <c r="D28" s="51" t="s">
        <v>91</v>
      </c>
      <c r="E28" s="39" t="s">
        <v>107</v>
      </c>
      <c r="F28" s="40">
        <f>IF(E28="Adecuado",15,IF(E28="Inadecuado",0,""))</f>
        <v>15</v>
      </c>
      <c r="G28" s="396" t="s">
        <v>323</v>
      </c>
      <c r="H28" s="397"/>
      <c r="I28" s="397"/>
      <c r="J28" s="397"/>
      <c r="K28" s="397"/>
      <c r="L28" s="398"/>
    </row>
    <row r="29" spans="1:12" ht="31.5" customHeight="1" x14ac:dyDescent="0.2">
      <c r="B29" s="102" t="s">
        <v>128</v>
      </c>
      <c r="C29" s="37" t="s">
        <v>100</v>
      </c>
      <c r="D29" s="51" t="s">
        <v>92</v>
      </c>
      <c r="E29" s="39" t="s">
        <v>109</v>
      </c>
      <c r="F29" s="40">
        <f>IF(E29="Oportuna",15,IF(E29="Inoportuna",0,""))</f>
        <v>15</v>
      </c>
      <c r="G29" s="396" t="s">
        <v>324</v>
      </c>
      <c r="H29" s="397"/>
      <c r="I29" s="397"/>
      <c r="J29" s="397"/>
      <c r="K29" s="397"/>
      <c r="L29" s="398"/>
    </row>
    <row r="30" spans="1:12" ht="38.25" customHeight="1" x14ac:dyDescent="0.2">
      <c r="B30" s="102" t="s">
        <v>129</v>
      </c>
      <c r="C30" s="37" t="s">
        <v>101</v>
      </c>
      <c r="D30" s="51" t="s">
        <v>93</v>
      </c>
      <c r="E30" s="41" t="s">
        <v>111</v>
      </c>
      <c r="F30" s="40">
        <f>IF(E30="Prevenir o detectar",15,IF(E30="No es control",0,""))</f>
        <v>15</v>
      </c>
      <c r="G30" s="396" t="s">
        <v>325</v>
      </c>
      <c r="H30" s="397"/>
      <c r="I30" s="397"/>
      <c r="J30" s="397"/>
      <c r="K30" s="397"/>
      <c r="L30" s="398"/>
    </row>
    <row r="31" spans="1:12" ht="30" customHeight="1" x14ac:dyDescent="0.2">
      <c r="B31" s="106" t="s">
        <v>131</v>
      </c>
      <c r="C31" s="37" t="s">
        <v>102</v>
      </c>
      <c r="D31" s="51" t="s">
        <v>94</v>
      </c>
      <c r="E31" s="39" t="s">
        <v>113</v>
      </c>
      <c r="F31" s="40">
        <f>IF(E31="Confiable",15,IF(E31="No confiable",0,""))</f>
        <v>15</v>
      </c>
      <c r="G31" s="396" t="s">
        <v>326</v>
      </c>
      <c r="H31" s="397"/>
      <c r="I31" s="397"/>
      <c r="J31" s="397"/>
      <c r="K31" s="397"/>
      <c r="L31" s="398"/>
    </row>
    <row r="32" spans="1:12" ht="38.25" customHeight="1" x14ac:dyDescent="0.2">
      <c r="B32" s="106" t="s">
        <v>132</v>
      </c>
      <c r="C32" s="37" t="s">
        <v>103</v>
      </c>
      <c r="D32" s="51" t="s">
        <v>95</v>
      </c>
      <c r="E32" s="41" t="s">
        <v>115</v>
      </c>
      <c r="F32" s="40">
        <f>IF(E32="Se investigan y resuelven oportunamente",15,IF(E32="No se investigan y resuelven oportunamente",0,""))</f>
        <v>15</v>
      </c>
      <c r="G32" s="396" t="s">
        <v>444</v>
      </c>
      <c r="H32" s="397"/>
      <c r="I32" s="397"/>
      <c r="J32" s="397"/>
      <c r="K32" s="397"/>
      <c r="L32" s="398"/>
    </row>
    <row r="33" spans="1:28" ht="36.75" customHeight="1" thickBot="1" x14ac:dyDescent="0.25">
      <c r="B33" s="61" t="s">
        <v>130</v>
      </c>
      <c r="C33" s="104" t="s">
        <v>104</v>
      </c>
      <c r="D33" s="52" t="s">
        <v>96</v>
      </c>
      <c r="E33" s="42" t="s">
        <v>117</v>
      </c>
      <c r="F33" s="43">
        <f>IF(E33="Completa",10,IF(E33="Incompleta",5,IF(E33="No existe",0,"")))</f>
        <v>10</v>
      </c>
      <c r="G33" s="387" t="s">
        <v>327</v>
      </c>
      <c r="H33" s="388"/>
      <c r="I33" s="388"/>
      <c r="J33" s="388"/>
      <c r="K33" s="388"/>
      <c r="L33" s="389"/>
    </row>
    <row r="34" spans="1:28" ht="15" thickBot="1" x14ac:dyDescent="0.25">
      <c r="D34" s="38"/>
    </row>
    <row r="35" spans="1:28" x14ac:dyDescent="0.2">
      <c r="D35" s="114" t="s">
        <v>97</v>
      </c>
      <c r="E35" s="390">
        <f>IF(SUM(F27:F33)=0,"-",SUM(F27:F33))</f>
        <v>100</v>
      </c>
      <c r="F35" s="391"/>
      <c r="G35" s="111"/>
      <c r="H35" s="111"/>
      <c r="I35" s="111"/>
      <c r="J35" s="111"/>
      <c r="K35" s="111"/>
      <c r="L35" s="111"/>
    </row>
    <row r="36" spans="1:28" ht="15" thickBot="1" x14ac:dyDescent="0.25">
      <c r="D36" s="115" t="s">
        <v>123</v>
      </c>
      <c r="E36" s="392" t="str">
        <f>IF(E35&lt;=74,"Débil",IF(E35&lt;=89,"Moderado",IF(E35&lt;=100,"Fuerte","")))</f>
        <v>Fuerte</v>
      </c>
      <c r="F36" s="393"/>
      <c r="G36" s="111"/>
      <c r="H36" s="111"/>
      <c r="I36" s="111"/>
      <c r="J36" s="111"/>
      <c r="K36" s="111"/>
      <c r="L36" s="111"/>
    </row>
    <row r="37" spans="1:28" ht="15" thickBot="1" x14ac:dyDescent="0.25"/>
    <row r="38" spans="1:28" ht="30" customHeight="1" thickBot="1" x14ac:dyDescent="0.25">
      <c r="A38" s="58" t="str">
        <f>+Matriz!E15</f>
        <v>MPTV-RC-001</v>
      </c>
      <c r="B38" s="405" t="str">
        <f>+Matriz!F15</f>
        <v>Posibilidad de realizar una administración inadecuada  de los recursos asignados para la producción de contenidos con el fin obtener beneficio propio o para favorecer un tercero</v>
      </c>
      <c r="C38" s="406"/>
      <c r="D38" s="406"/>
      <c r="E38" s="406"/>
      <c r="F38" s="406"/>
      <c r="G38" s="406"/>
      <c r="H38" s="406"/>
      <c r="I38" s="406"/>
      <c r="J38" s="406"/>
      <c r="K38" s="406"/>
      <c r="L38" s="407"/>
    </row>
    <row r="39" spans="1:28" ht="15" thickBot="1" x14ac:dyDescent="0.25"/>
    <row r="40" spans="1:28" ht="15.75" customHeight="1" x14ac:dyDescent="0.2">
      <c r="B40" s="408" t="s">
        <v>158</v>
      </c>
      <c r="C40" s="409"/>
      <c r="D40" s="409"/>
      <c r="E40" s="452" t="s">
        <v>124</v>
      </c>
      <c r="F40" s="453"/>
      <c r="G40" s="453"/>
      <c r="H40" s="453"/>
      <c r="I40" s="453"/>
      <c r="J40" s="453"/>
      <c r="K40" s="453"/>
      <c r="L40" s="454"/>
      <c r="M40" s="210"/>
      <c r="N40" s="210"/>
      <c r="O40" s="210"/>
      <c r="P40" s="210"/>
      <c r="Q40" s="210"/>
      <c r="R40" s="210"/>
      <c r="S40" s="210"/>
      <c r="T40" s="210"/>
      <c r="U40" s="210"/>
      <c r="V40" s="210"/>
      <c r="W40" s="210"/>
      <c r="X40" s="210"/>
      <c r="Y40" s="210"/>
      <c r="Z40" s="210"/>
      <c r="AA40" s="210"/>
      <c r="AB40" s="210"/>
    </row>
    <row r="41" spans="1:28" ht="48.75" customHeight="1" thickBot="1" x14ac:dyDescent="0.25">
      <c r="B41" s="410"/>
      <c r="C41" s="411"/>
      <c r="D41" s="411"/>
      <c r="E41" s="455" t="str">
        <f>+Matriz!Q15</f>
        <v>1. AGJC-CN-MN-001 Manual de contratacion que se encuentre vigente.
3. MPTV-PD-006 Presentación de iniciativas - banco de proyectos audiovisuales y digitales</v>
      </c>
      <c r="F41" s="456"/>
      <c r="G41" s="456"/>
      <c r="H41" s="456"/>
      <c r="I41" s="456"/>
      <c r="J41" s="456"/>
      <c r="K41" s="456"/>
      <c r="L41" s="457"/>
      <c r="M41" s="211"/>
      <c r="N41" s="211"/>
      <c r="O41" s="211"/>
      <c r="P41" s="211"/>
      <c r="Q41" s="211"/>
      <c r="R41" s="211"/>
      <c r="S41" s="211"/>
      <c r="T41" s="211"/>
      <c r="U41" s="211"/>
      <c r="V41" s="211"/>
      <c r="W41" s="211"/>
      <c r="X41" s="211"/>
      <c r="Y41" s="211"/>
      <c r="Z41" s="211"/>
      <c r="AA41" s="211"/>
      <c r="AB41" s="211"/>
    </row>
    <row r="42" spans="1:28" ht="15" x14ac:dyDescent="0.25">
      <c r="B42" s="444" t="s">
        <v>125</v>
      </c>
      <c r="C42" s="446" t="s">
        <v>126</v>
      </c>
      <c r="D42" s="447"/>
      <c r="E42" s="450" t="s">
        <v>120</v>
      </c>
      <c r="F42" s="451"/>
      <c r="G42" s="458" t="s">
        <v>71</v>
      </c>
      <c r="H42" s="459"/>
      <c r="I42" s="459"/>
      <c r="J42" s="459"/>
      <c r="K42" s="459"/>
      <c r="L42" s="460"/>
      <c r="M42" s="208"/>
      <c r="N42" s="208"/>
      <c r="O42" s="209"/>
      <c r="P42" s="209"/>
      <c r="Q42" s="209"/>
      <c r="R42" s="209"/>
      <c r="S42" s="209"/>
      <c r="T42" s="209"/>
      <c r="U42" s="208"/>
      <c r="V42" s="208"/>
      <c r="W42" s="209"/>
      <c r="X42" s="209"/>
      <c r="Y42" s="209"/>
      <c r="Z42" s="209"/>
      <c r="AA42" s="209"/>
      <c r="AB42" s="209"/>
    </row>
    <row r="43" spans="1:28" ht="15" customHeight="1" thickBot="1" x14ac:dyDescent="0.25">
      <c r="B43" s="445"/>
      <c r="C43" s="448"/>
      <c r="D43" s="449"/>
      <c r="E43" s="197" t="s">
        <v>121</v>
      </c>
      <c r="F43" s="198" t="s">
        <v>122</v>
      </c>
      <c r="G43" s="436"/>
      <c r="H43" s="437"/>
      <c r="I43" s="437"/>
      <c r="J43" s="437"/>
      <c r="K43" s="437"/>
      <c r="L43" s="438"/>
      <c r="M43" s="189"/>
      <c r="N43" s="189"/>
      <c r="O43" s="209"/>
      <c r="P43" s="209"/>
      <c r="Q43" s="209"/>
      <c r="R43" s="209"/>
      <c r="S43" s="209"/>
      <c r="T43" s="209"/>
      <c r="U43" s="189"/>
      <c r="V43" s="189"/>
      <c r="W43" s="209"/>
      <c r="X43" s="209"/>
      <c r="Y43" s="209"/>
      <c r="Z43" s="209"/>
      <c r="AA43" s="209"/>
      <c r="AB43" s="209"/>
    </row>
    <row r="44" spans="1:28" ht="36.75" customHeight="1" x14ac:dyDescent="0.2">
      <c r="B44" s="414" t="s">
        <v>127</v>
      </c>
      <c r="C44" s="97" t="s">
        <v>98</v>
      </c>
      <c r="D44" s="101" t="s">
        <v>87</v>
      </c>
      <c r="E44" s="195" t="s">
        <v>105</v>
      </c>
      <c r="F44" s="550">
        <f>IF(E44="Asignado",15,IF(E44="No asignado",0,""))</f>
        <v>15</v>
      </c>
      <c r="G44" s="551" t="s">
        <v>377</v>
      </c>
      <c r="H44" s="552"/>
      <c r="I44" s="552"/>
      <c r="J44" s="552"/>
      <c r="K44" s="552"/>
      <c r="L44" s="553"/>
      <c r="M44" s="202"/>
      <c r="N44" s="203"/>
      <c r="O44" s="207"/>
      <c r="P44" s="207"/>
      <c r="Q44" s="207"/>
      <c r="R44" s="207"/>
      <c r="S44" s="207"/>
      <c r="T44" s="207"/>
      <c r="U44" s="202"/>
      <c r="V44" s="203"/>
      <c r="W44" s="205"/>
      <c r="X44" s="206"/>
      <c r="Y44" s="206"/>
      <c r="Z44" s="206"/>
      <c r="AA44" s="206"/>
      <c r="AB44" s="206"/>
    </row>
    <row r="45" spans="1:28" ht="41.25" customHeight="1" x14ac:dyDescent="0.2">
      <c r="B45" s="415"/>
      <c r="C45" s="37" t="s">
        <v>99</v>
      </c>
      <c r="D45" s="51" t="s">
        <v>91</v>
      </c>
      <c r="E45" s="190" t="s">
        <v>107</v>
      </c>
      <c r="F45" s="554">
        <f>IF(E45="Adecuado",15,IF(E45="Inadecuado",0,""))</f>
        <v>15</v>
      </c>
      <c r="G45" s="505" t="s">
        <v>378</v>
      </c>
      <c r="H45" s="506"/>
      <c r="I45" s="506"/>
      <c r="J45" s="506"/>
      <c r="K45" s="506"/>
      <c r="L45" s="507"/>
      <c r="M45" s="202"/>
      <c r="N45" s="203"/>
      <c r="O45" s="207"/>
      <c r="P45" s="207"/>
      <c r="Q45" s="207"/>
      <c r="R45" s="207"/>
      <c r="S45" s="207"/>
      <c r="T45" s="207"/>
      <c r="U45" s="202"/>
      <c r="V45" s="203"/>
      <c r="W45" s="205"/>
      <c r="X45" s="206"/>
      <c r="Y45" s="206"/>
      <c r="Z45" s="206"/>
      <c r="AA45" s="206"/>
      <c r="AB45" s="206"/>
    </row>
    <row r="46" spans="1:28" ht="41.25" customHeight="1" x14ac:dyDescent="0.2">
      <c r="B46" s="99" t="s">
        <v>128</v>
      </c>
      <c r="C46" s="37" t="s">
        <v>100</v>
      </c>
      <c r="D46" s="51" t="s">
        <v>92</v>
      </c>
      <c r="E46" s="190" t="s">
        <v>109</v>
      </c>
      <c r="F46" s="554">
        <f>IF(E46="Oportuna",15,IF(E46="Inoportuna",0,""))</f>
        <v>15</v>
      </c>
      <c r="G46" s="505" t="s">
        <v>379</v>
      </c>
      <c r="H46" s="506"/>
      <c r="I46" s="506"/>
      <c r="J46" s="506"/>
      <c r="K46" s="506"/>
      <c r="L46" s="507"/>
      <c r="M46" s="202"/>
      <c r="N46" s="203"/>
      <c r="O46" s="207"/>
      <c r="P46" s="207"/>
      <c r="Q46" s="207"/>
      <c r="R46" s="207"/>
      <c r="S46" s="207"/>
      <c r="T46" s="207"/>
      <c r="U46" s="202"/>
      <c r="V46" s="203"/>
      <c r="W46" s="205"/>
      <c r="X46" s="205"/>
      <c r="Y46" s="205"/>
      <c r="Z46" s="205"/>
      <c r="AA46" s="205"/>
      <c r="AB46" s="205"/>
    </row>
    <row r="47" spans="1:28" ht="41.25" customHeight="1" x14ac:dyDescent="0.2">
      <c r="B47" s="99" t="s">
        <v>129</v>
      </c>
      <c r="C47" s="37" t="s">
        <v>101</v>
      </c>
      <c r="D47" s="51" t="s">
        <v>93</v>
      </c>
      <c r="E47" s="192" t="s">
        <v>111</v>
      </c>
      <c r="F47" s="554">
        <f>IF(E47="Prevenir o detectar",15,IF(E47="No es control",0,""))</f>
        <v>15</v>
      </c>
      <c r="G47" s="505" t="s">
        <v>308</v>
      </c>
      <c r="H47" s="506"/>
      <c r="I47" s="506"/>
      <c r="J47" s="506"/>
      <c r="K47" s="506"/>
      <c r="L47" s="507"/>
      <c r="M47" s="204"/>
      <c r="N47" s="203"/>
      <c r="O47" s="207"/>
      <c r="P47" s="207"/>
      <c r="Q47" s="207"/>
      <c r="R47" s="207"/>
      <c r="S47" s="207"/>
      <c r="T47" s="207"/>
      <c r="U47" s="204"/>
      <c r="V47" s="203"/>
      <c r="W47" s="205"/>
      <c r="X47" s="205"/>
      <c r="Y47" s="205"/>
      <c r="Z47" s="205"/>
      <c r="AA47" s="205"/>
      <c r="AB47" s="205"/>
    </row>
    <row r="48" spans="1:28" ht="53.25" customHeight="1" x14ac:dyDescent="0.2">
      <c r="B48" s="100" t="s">
        <v>131</v>
      </c>
      <c r="C48" s="37" t="s">
        <v>102</v>
      </c>
      <c r="D48" s="51" t="s">
        <v>94</v>
      </c>
      <c r="E48" s="190" t="s">
        <v>113</v>
      </c>
      <c r="F48" s="554">
        <f>IF(E48="Confiable",15,IF(E48="No confiable",0,""))</f>
        <v>15</v>
      </c>
      <c r="G48" s="505" t="s">
        <v>380</v>
      </c>
      <c r="H48" s="506"/>
      <c r="I48" s="506"/>
      <c r="J48" s="506"/>
      <c r="K48" s="506"/>
      <c r="L48" s="507"/>
      <c r="M48" s="202"/>
      <c r="N48" s="203"/>
      <c r="O48" s="207"/>
      <c r="P48" s="207"/>
      <c r="Q48" s="207"/>
      <c r="R48" s="207"/>
      <c r="S48" s="207"/>
      <c r="T48" s="207"/>
      <c r="U48" s="202"/>
      <c r="V48" s="203"/>
      <c r="W48" s="207"/>
      <c r="X48" s="207"/>
      <c r="Y48" s="207"/>
      <c r="Z48" s="207"/>
      <c r="AA48" s="207"/>
      <c r="AB48" s="207"/>
    </row>
    <row r="49" spans="1:28" ht="72.75" customHeight="1" x14ac:dyDescent="0.2">
      <c r="B49" s="100" t="s">
        <v>132</v>
      </c>
      <c r="C49" s="37" t="s">
        <v>103</v>
      </c>
      <c r="D49" s="51" t="s">
        <v>95</v>
      </c>
      <c r="E49" s="192" t="s">
        <v>115</v>
      </c>
      <c r="F49" s="554">
        <f>IF(E49="Se investigan y resuelven oportunamente",15,IF(E49="No se investigan y resuelven oportunamente",0,""))</f>
        <v>15</v>
      </c>
      <c r="G49" s="505" t="s">
        <v>476</v>
      </c>
      <c r="H49" s="506"/>
      <c r="I49" s="506"/>
      <c r="J49" s="506"/>
      <c r="K49" s="506"/>
      <c r="L49" s="507"/>
      <c r="M49" s="204"/>
      <c r="N49" s="203"/>
      <c r="O49" s="207"/>
      <c r="P49" s="207"/>
      <c r="Q49" s="207"/>
      <c r="R49" s="207"/>
      <c r="S49" s="207"/>
      <c r="T49" s="207"/>
      <c r="U49" s="204"/>
      <c r="V49" s="203"/>
      <c r="W49" s="207"/>
      <c r="X49" s="207"/>
      <c r="Y49" s="207"/>
      <c r="Z49" s="207"/>
      <c r="AA49" s="207"/>
      <c r="AB49" s="207"/>
    </row>
    <row r="50" spans="1:28" ht="54.75" customHeight="1" thickBot="1" x14ac:dyDescent="0.25">
      <c r="B50" s="61" t="s">
        <v>130</v>
      </c>
      <c r="C50" s="98" t="s">
        <v>104</v>
      </c>
      <c r="D50" s="52" t="s">
        <v>96</v>
      </c>
      <c r="E50" s="193" t="s">
        <v>117</v>
      </c>
      <c r="F50" s="555">
        <f>IF(E50="Completa",10,IF(E50="Incompleta",5,IF(E50="No existe",0,"")))</f>
        <v>10</v>
      </c>
      <c r="G50" s="511" t="s">
        <v>309</v>
      </c>
      <c r="H50" s="512"/>
      <c r="I50" s="512"/>
      <c r="J50" s="512"/>
      <c r="K50" s="512"/>
      <c r="L50" s="513"/>
      <c r="M50" s="202"/>
      <c r="N50" s="203"/>
      <c r="O50" s="207"/>
      <c r="P50" s="207"/>
      <c r="Q50" s="207"/>
      <c r="R50" s="207"/>
      <c r="S50" s="207"/>
      <c r="T50" s="207"/>
      <c r="U50" s="202"/>
      <c r="V50" s="203"/>
      <c r="W50" s="207"/>
      <c r="X50" s="207"/>
      <c r="Y50" s="207"/>
      <c r="Z50" s="207"/>
      <c r="AA50" s="207"/>
      <c r="AB50" s="207"/>
    </row>
    <row r="51" spans="1:28" ht="15" thickBot="1" x14ac:dyDescent="0.25">
      <c r="D51" s="38"/>
      <c r="G51" s="82"/>
      <c r="H51" s="82"/>
      <c r="I51" s="82"/>
      <c r="J51" s="82"/>
      <c r="K51" s="82"/>
      <c r="L51" s="82"/>
      <c r="M51" s="199"/>
      <c r="N51" s="199"/>
      <c r="O51" s="199"/>
      <c r="P51" s="199"/>
      <c r="Q51" s="199"/>
      <c r="R51" s="199"/>
      <c r="S51" s="199"/>
      <c r="T51" s="199"/>
      <c r="U51" s="199"/>
      <c r="V51" s="199"/>
      <c r="W51" s="199"/>
      <c r="X51" s="199"/>
      <c r="Y51" s="199"/>
      <c r="Z51" s="199"/>
      <c r="AA51" s="199"/>
      <c r="AB51" s="199"/>
    </row>
    <row r="52" spans="1:28" x14ac:dyDescent="0.2">
      <c r="D52" s="48" t="s">
        <v>97</v>
      </c>
      <c r="E52" s="412">
        <f>IF(SUM(F44:F50)=0,"-",SUM(F44:F50))</f>
        <v>100</v>
      </c>
      <c r="F52" s="413"/>
      <c r="G52" s="83"/>
      <c r="H52" s="83"/>
      <c r="I52" s="83"/>
      <c r="J52" s="83"/>
      <c r="K52" s="83"/>
      <c r="L52" s="83"/>
      <c r="M52" s="200"/>
      <c r="N52" s="200"/>
      <c r="O52" s="199"/>
      <c r="P52" s="199"/>
      <c r="Q52" s="199"/>
      <c r="R52" s="199"/>
      <c r="S52" s="199"/>
      <c r="T52" s="199"/>
      <c r="U52" s="200"/>
      <c r="V52" s="200"/>
      <c r="W52" s="199"/>
      <c r="X52" s="199"/>
      <c r="Y52" s="199"/>
      <c r="Z52" s="199"/>
      <c r="AA52" s="199"/>
      <c r="AB52" s="199"/>
    </row>
    <row r="53" spans="1:28" ht="15" thickBot="1" x14ac:dyDescent="0.25">
      <c r="D53" s="49" t="s">
        <v>123</v>
      </c>
      <c r="E53" s="394" t="str">
        <f>IF(E52&lt;=74,"Débil",IF(E52&lt;=89,"Moderado",IF(E52&lt;=100,"Fuerte","")))</f>
        <v>Fuerte</v>
      </c>
      <c r="F53" s="395"/>
      <c r="G53" s="83"/>
      <c r="H53" s="83"/>
      <c r="I53" s="83"/>
      <c r="J53" s="83"/>
      <c r="K53" s="83"/>
      <c r="L53" s="83"/>
      <c r="M53" s="200"/>
      <c r="N53" s="200"/>
      <c r="O53" s="199"/>
      <c r="P53" s="199"/>
      <c r="Q53" s="199"/>
      <c r="R53" s="199"/>
      <c r="S53" s="199"/>
      <c r="T53" s="199"/>
      <c r="U53" s="200"/>
      <c r="V53" s="200"/>
      <c r="W53" s="199"/>
      <c r="X53" s="199"/>
      <c r="Y53" s="199"/>
      <c r="Z53" s="199"/>
      <c r="AA53" s="199"/>
      <c r="AB53" s="199"/>
    </row>
    <row r="54" spans="1:28" ht="15" thickBot="1" x14ac:dyDescent="0.25"/>
    <row r="55" spans="1:28" ht="30" customHeight="1" thickBot="1" x14ac:dyDescent="0.25">
      <c r="A55" s="58" t="str">
        <f>+Matriz!E16</f>
        <v>MDCC-RC-001</v>
      </c>
      <c r="B55" s="405" t="str">
        <f>+Matriz!F16</f>
        <v>Favorecer a un tercero (persona, cliente o entidad) a través de la programación para la emisión de contenidos que no están asociados a la misionalidad de Capital o a un convenio o contrato suscrito por el canal</v>
      </c>
      <c r="C55" s="406"/>
      <c r="D55" s="406"/>
      <c r="E55" s="406"/>
      <c r="F55" s="406"/>
      <c r="G55" s="406"/>
      <c r="H55" s="406"/>
      <c r="I55" s="406"/>
      <c r="J55" s="406"/>
      <c r="K55" s="406"/>
      <c r="L55" s="407"/>
    </row>
    <row r="56" spans="1:28" ht="15" thickBot="1" x14ac:dyDescent="0.25">
      <c r="M56" s="199"/>
      <c r="N56" s="199"/>
      <c r="O56" s="199"/>
      <c r="P56" s="199"/>
      <c r="Q56" s="199"/>
      <c r="R56" s="199"/>
      <c r="S56" s="199"/>
      <c r="T56" s="199"/>
    </row>
    <row r="57" spans="1:28" ht="15.75" customHeight="1" thickBot="1" x14ac:dyDescent="0.25">
      <c r="B57" s="408" t="s">
        <v>158</v>
      </c>
      <c r="C57" s="409"/>
      <c r="D57" s="409"/>
      <c r="E57" s="402" t="s">
        <v>124</v>
      </c>
      <c r="F57" s="403"/>
      <c r="G57" s="403"/>
      <c r="H57" s="403"/>
      <c r="I57" s="403"/>
      <c r="J57" s="403"/>
      <c r="K57" s="403"/>
      <c r="L57" s="404"/>
      <c r="M57" s="613"/>
      <c r="N57" s="210"/>
      <c r="O57" s="210"/>
      <c r="P57" s="210"/>
      <c r="Q57" s="210"/>
      <c r="R57" s="210"/>
      <c r="S57" s="210"/>
      <c r="T57" s="210"/>
    </row>
    <row r="58" spans="1:28" ht="45.75" customHeight="1" thickBot="1" x14ac:dyDescent="0.25">
      <c r="B58" s="410"/>
      <c r="C58" s="411"/>
      <c r="D58" s="411"/>
      <c r="E58" s="461" t="str">
        <f>+Matriz!Q16</f>
        <v xml:space="preserve">Continuidad  de emisión diaria, parrilla de programación y bitácora de emisión.
MDCC-PD-002 Gestión de programación para el servicio de televisión </v>
      </c>
      <c r="F58" s="462"/>
      <c r="G58" s="462"/>
      <c r="H58" s="462"/>
      <c r="I58" s="462"/>
      <c r="J58" s="462"/>
      <c r="K58" s="462"/>
      <c r="L58" s="463"/>
      <c r="M58" s="211"/>
      <c r="N58" s="211"/>
      <c r="O58" s="211"/>
      <c r="P58" s="211"/>
      <c r="Q58" s="211"/>
      <c r="R58" s="211"/>
      <c r="S58" s="211"/>
      <c r="T58" s="211"/>
    </row>
    <row r="59" spans="1:28" ht="15" x14ac:dyDescent="0.25">
      <c r="B59" s="444" t="s">
        <v>125</v>
      </c>
      <c r="C59" s="446" t="s">
        <v>126</v>
      </c>
      <c r="D59" s="447"/>
      <c r="E59" s="450" t="s">
        <v>120</v>
      </c>
      <c r="F59" s="451"/>
      <c r="G59" s="458" t="s">
        <v>71</v>
      </c>
      <c r="H59" s="459"/>
      <c r="I59" s="459"/>
      <c r="J59" s="459"/>
      <c r="K59" s="459"/>
      <c r="L59" s="460"/>
      <c r="M59" s="208"/>
      <c r="N59" s="208"/>
      <c r="O59" s="209"/>
      <c r="P59" s="209"/>
      <c r="Q59" s="209"/>
      <c r="R59" s="209"/>
      <c r="S59" s="209"/>
      <c r="T59" s="209"/>
    </row>
    <row r="60" spans="1:28" ht="15" customHeight="1" thickBot="1" x14ac:dyDescent="0.25">
      <c r="B60" s="445"/>
      <c r="C60" s="448"/>
      <c r="D60" s="449"/>
      <c r="E60" s="197" t="s">
        <v>121</v>
      </c>
      <c r="F60" s="198" t="s">
        <v>122</v>
      </c>
      <c r="G60" s="436"/>
      <c r="H60" s="437"/>
      <c r="I60" s="437"/>
      <c r="J60" s="437"/>
      <c r="K60" s="437"/>
      <c r="L60" s="438"/>
      <c r="M60" s="189"/>
      <c r="N60" s="189"/>
      <c r="O60" s="209"/>
      <c r="P60" s="209"/>
      <c r="Q60" s="209"/>
      <c r="R60" s="209"/>
      <c r="S60" s="209"/>
      <c r="T60" s="209"/>
    </row>
    <row r="61" spans="1:28" ht="36" customHeight="1" x14ac:dyDescent="0.2">
      <c r="B61" s="414" t="s">
        <v>127</v>
      </c>
      <c r="C61" s="84" t="s">
        <v>98</v>
      </c>
      <c r="D61" s="50" t="s">
        <v>87</v>
      </c>
      <c r="E61" s="195" t="s">
        <v>105</v>
      </c>
      <c r="F61" s="196">
        <f>IF(E61="Asignado",15,IF(E61="No asignado",0,""))</f>
        <v>15</v>
      </c>
      <c r="G61" s="556" t="s">
        <v>258</v>
      </c>
      <c r="H61" s="557"/>
      <c r="I61" s="557"/>
      <c r="J61" s="557"/>
      <c r="K61" s="557"/>
      <c r="L61" s="558"/>
      <c r="M61" s="202"/>
      <c r="N61" s="203"/>
      <c r="O61" s="207"/>
      <c r="P61" s="207"/>
      <c r="Q61" s="207"/>
      <c r="R61" s="207"/>
      <c r="S61" s="207"/>
      <c r="T61" s="207"/>
    </row>
    <row r="62" spans="1:28" ht="36" customHeight="1" x14ac:dyDescent="0.2">
      <c r="B62" s="415"/>
      <c r="C62" s="37" t="s">
        <v>99</v>
      </c>
      <c r="D62" s="51" t="s">
        <v>91</v>
      </c>
      <c r="E62" s="190" t="s">
        <v>107</v>
      </c>
      <c r="F62" s="191">
        <f>IF(E62="Adecuado",15,IF(E62="Inadecuado",0,""))</f>
        <v>15</v>
      </c>
      <c r="G62" s="559" t="s">
        <v>311</v>
      </c>
      <c r="H62" s="560"/>
      <c r="I62" s="560"/>
      <c r="J62" s="560"/>
      <c r="K62" s="560"/>
      <c r="L62" s="561"/>
      <c r="M62" s="202"/>
      <c r="N62" s="203"/>
      <c r="O62" s="207"/>
      <c r="P62" s="207"/>
      <c r="Q62" s="207"/>
      <c r="R62" s="207"/>
      <c r="S62" s="207"/>
      <c r="T62" s="207"/>
    </row>
    <row r="63" spans="1:28" ht="36" customHeight="1" x14ac:dyDescent="0.2">
      <c r="B63" s="86" t="s">
        <v>128</v>
      </c>
      <c r="C63" s="37" t="s">
        <v>100</v>
      </c>
      <c r="D63" s="51" t="s">
        <v>92</v>
      </c>
      <c r="E63" s="190" t="s">
        <v>109</v>
      </c>
      <c r="F63" s="191">
        <f>IF(E63="Oportuna",15,IF(E63="Inoportuna",0,""))</f>
        <v>15</v>
      </c>
      <c r="G63" s="559" t="s">
        <v>460</v>
      </c>
      <c r="H63" s="560"/>
      <c r="I63" s="560"/>
      <c r="J63" s="560"/>
      <c r="K63" s="560"/>
      <c r="L63" s="561"/>
      <c r="M63" s="202"/>
      <c r="N63" s="203"/>
      <c r="O63" s="207"/>
      <c r="P63" s="207"/>
      <c r="Q63" s="207"/>
      <c r="R63" s="207"/>
      <c r="S63" s="207"/>
      <c r="T63" s="207"/>
    </row>
    <row r="64" spans="1:28" ht="45.75" customHeight="1" x14ac:dyDescent="0.2">
      <c r="B64" s="86" t="s">
        <v>129</v>
      </c>
      <c r="C64" s="37" t="s">
        <v>101</v>
      </c>
      <c r="D64" s="51" t="s">
        <v>93</v>
      </c>
      <c r="E64" s="192" t="s">
        <v>111</v>
      </c>
      <c r="F64" s="191">
        <f>IF(E64="Prevenir o detectar",15,IF(E64="No es control",0,""))</f>
        <v>15</v>
      </c>
      <c r="G64" s="559" t="s">
        <v>312</v>
      </c>
      <c r="H64" s="560"/>
      <c r="I64" s="560"/>
      <c r="J64" s="560"/>
      <c r="K64" s="560"/>
      <c r="L64" s="561"/>
      <c r="M64" s="204"/>
      <c r="N64" s="203"/>
      <c r="O64" s="207"/>
      <c r="P64" s="207"/>
      <c r="Q64" s="207"/>
      <c r="R64" s="207"/>
      <c r="S64" s="207"/>
      <c r="T64" s="207"/>
    </row>
    <row r="65" spans="1:20" ht="36" customHeight="1" x14ac:dyDescent="0.2">
      <c r="B65" s="60" t="s">
        <v>131</v>
      </c>
      <c r="C65" s="37" t="s">
        <v>102</v>
      </c>
      <c r="D65" s="51" t="s">
        <v>94</v>
      </c>
      <c r="E65" s="190" t="s">
        <v>113</v>
      </c>
      <c r="F65" s="191">
        <f>IF(E65="Confiable",15,IF(E65="No confiable",0,""))</f>
        <v>15</v>
      </c>
      <c r="G65" s="562" t="s">
        <v>461</v>
      </c>
      <c r="H65" s="563"/>
      <c r="I65" s="563"/>
      <c r="J65" s="563"/>
      <c r="K65" s="563"/>
      <c r="L65" s="564"/>
      <c r="M65" s="202"/>
      <c r="N65" s="203"/>
      <c r="O65" s="207"/>
      <c r="P65" s="207"/>
      <c r="Q65" s="207"/>
      <c r="R65" s="207"/>
      <c r="S65" s="207"/>
      <c r="T65" s="207"/>
    </row>
    <row r="66" spans="1:20" ht="76.5" customHeight="1" x14ac:dyDescent="0.2">
      <c r="B66" s="60" t="s">
        <v>132</v>
      </c>
      <c r="C66" s="37" t="s">
        <v>103</v>
      </c>
      <c r="D66" s="51" t="s">
        <v>95</v>
      </c>
      <c r="E66" s="192" t="s">
        <v>115</v>
      </c>
      <c r="F66" s="191">
        <f>IF(E66="Se investigan y resuelven oportunamente",15,IF(E66="No se investigan y resuelven oportunamente",0,""))</f>
        <v>15</v>
      </c>
      <c r="G66" s="562" t="s">
        <v>477</v>
      </c>
      <c r="H66" s="563"/>
      <c r="I66" s="563"/>
      <c r="J66" s="563"/>
      <c r="K66" s="563"/>
      <c r="L66" s="564"/>
      <c r="M66" s="204"/>
      <c r="N66" s="203"/>
      <c r="O66" s="207"/>
      <c r="P66" s="207"/>
      <c r="Q66" s="207"/>
      <c r="R66" s="207"/>
      <c r="S66" s="207"/>
      <c r="T66" s="207"/>
    </row>
    <row r="67" spans="1:20" ht="81.75" customHeight="1" thickBot="1" x14ac:dyDescent="0.25">
      <c r="B67" s="61" t="s">
        <v>130</v>
      </c>
      <c r="C67" s="85" t="s">
        <v>104</v>
      </c>
      <c r="D67" s="52" t="s">
        <v>96</v>
      </c>
      <c r="E67" s="193" t="s">
        <v>117</v>
      </c>
      <c r="F67" s="194">
        <f>IF(E67="Completa",10,IF(E67="Incompleta",5,IF(E67="No existe",0,"")))</f>
        <v>10</v>
      </c>
      <c r="G67" s="565" t="s">
        <v>478</v>
      </c>
      <c r="H67" s="566"/>
      <c r="I67" s="566"/>
      <c r="J67" s="566"/>
      <c r="K67" s="566"/>
      <c r="L67" s="567"/>
      <c r="M67" s="202"/>
      <c r="N67" s="203"/>
      <c r="O67" s="200"/>
      <c r="P67" s="200"/>
      <c r="Q67" s="200"/>
      <c r="R67" s="200"/>
      <c r="S67" s="200"/>
      <c r="T67" s="200"/>
    </row>
    <row r="68" spans="1:20" ht="15" thickBot="1" x14ac:dyDescent="0.25">
      <c r="D68" s="38"/>
      <c r="G68" s="82"/>
      <c r="H68" s="82"/>
      <c r="I68" s="82"/>
      <c r="J68" s="82"/>
      <c r="K68" s="82"/>
      <c r="L68" s="82"/>
      <c r="M68" s="199"/>
      <c r="N68" s="199"/>
      <c r="O68" s="199"/>
      <c r="P68" s="199"/>
      <c r="Q68" s="199"/>
      <c r="R68" s="199"/>
      <c r="S68" s="199"/>
      <c r="T68" s="199"/>
    </row>
    <row r="69" spans="1:20" x14ac:dyDescent="0.2">
      <c r="D69" s="48" t="s">
        <v>97</v>
      </c>
      <c r="E69" s="412">
        <f>IF(SUM(F61:F67)=0,"-",SUM(F61:F67))</f>
        <v>100</v>
      </c>
      <c r="F69" s="413"/>
      <c r="G69" s="83"/>
      <c r="H69" s="83"/>
      <c r="I69" s="83"/>
      <c r="J69" s="83"/>
      <c r="K69" s="83"/>
      <c r="L69" s="83"/>
      <c r="M69" s="200"/>
      <c r="N69" s="200"/>
      <c r="O69" s="200"/>
      <c r="P69" s="200"/>
      <c r="Q69" s="200"/>
      <c r="R69" s="200"/>
      <c r="S69" s="200"/>
      <c r="T69" s="200"/>
    </row>
    <row r="70" spans="1:20" ht="15" thickBot="1" x14ac:dyDescent="0.25">
      <c r="D70" s="49" t="s">
        <v>123</v>
      </c>
      <c r="E70" s="394" t="str">
        <f>IF(E69&lt;=74,"Débil",IF(E69&lt;=89,"Moderado",IF(E69&lt;=100,"Fuerte","")))</f>
        <v>Fuerte</v>
      </c>
      <c r="F70" s="395"/>
      <c r="G70" s="83"/>
      <c r="H70" s="83"/>
      <c r="I70" s="83"/>
      <c r="J70" s="83"/>
      <c r="K70" s="83"/>
      <c r="L70" s="83"/>
      <c r="M70" s="200"/>
      <c r="N70" s="200"/>
      <c r="O70" s="200"/>
      <c r="P70" s="200"/>
      <c r="Q70" s="200"/>
      <c r="R70" s="200"/>
      <c r="S70" s="200"/>
      <c r="T70" s="200"/>
    </row>
    <row r="71" spans="1:20" ht="15" thickBot="1" x14ac:dyDescent="0.25"/>
    <row r="72" spans="1:20" ht="30" customHeight="1" thickBot="1" x14ac:dyDescent="0.25">
      <c r="A72" s="58" t="str">
        <f>+Matriz!E17</f>
        <v>MECN-RC-001</v>
      </c>
      <c r="B72" s="405" t="str">
        <f>+Matriz!F17</f>
        <v>Manipulación de la información precontractual para la adquisición de equipos y servicios asociados al proceso.</v>
      </c>
      <c r="C72" s="406"/>
      <c r="D72" s="406"/>
      <c r="E72" s="406"/>
      <c r="F72" s="406"/>
      <c r="G72" s="406"/>
      <c r="H72" s="406"/>
      <c r="I72" s="406"/>
      <c r="J72" s="406"/>
      <c r="K72" s="406"/>
      <c r="L72" s="407"/>
    </row>
    <row r="73" spans="1:20" ht="15" thickBot="1" x14ac:dyDescent="0.25"/>
    <row r="74" spans="1:20" ht="15.75" customHeight="1" x14ac:dyDescent="0.2">
      <c r="B74" s="408" t="s">
        <v>158</v>
      </c>
      <c r="C74" s="409"/>
      <c r="D74" s="409"/>
      <c r="E74" s="452" t="s">
        <v>124</v>
      </c>
      <c r="F74" s="453"/>
      <c r="G74" s="453"/>
      <c r="H74" s="453"/>
      <c r="I74" s="453"/>
      <c r="J74" s="453"/>
      <c r="K74" s="453"/>
      <c r="L74" s="454"/>
    </row>
    <row r="75" spans="1:20" ht="30" customHeight="1" thickBot="1" x14ac:dyDescent="0.25">
      <c r="B75" s="410"/>
      <c r="C75" s="411"/>
      <c r="D75" s="411"/>
      <c r="E75" s="455" t="str">
        <f>+Matriz!Q17</f>
        <v>AGJC-CN-MN-001 Manual de contratación que se encuentre vigente</v>
      </c>
      <c r="F75" s="456"/>
      <c r="G75" s="456"/>
      <c r="H75" s="456"/>
      <c r="I75" s="456"/>
      <c r="J75" s="456"/>
      <c r="K75" s="456"/>
      <c r="L75" s="457"/>
    </row>
    <row r="76" spans="1:20" ht="15" x14ac:dyDescent="0.25">
      <c r="B76" s="444" t="s">
        <v>125</v>
      </c>
      <c r="C76" s="446" t="s">
        <v>126</v>
      </c>
      <c r="D76" s="447"/>
      <c r="E76" s="450" t="s">
        <v>120</v>
      </c>
      <c r="F76" s="451"/>
      <c r="G76" s="458" t="s">
        <v>71</v>
      </c>
      <c r="H76" s="459"/>
      <c r="I76" s="459"/>
      <c r="J76" s="459"/>
      <c r="K76" s="459"/>
      <c r="L76" s="460"/>
    </row>
    <row r="77" spans="1:20" ht="15" thickBot="1" x14ac:dyDescent="0.25">
      <c r="B77" s="445"/>
      <c r="C77" s="448"/>
      <c r="D77" s="449"/>
      <c r="E77" s="56" t="s">
        <v>121</v>
      </c>
      <c r="F77" s="57" t="s">
        <v>122</v>
      </c>
      <c r="G77" s="436"/>
      <c r="H77" s="437"/>
      <c r="I77" s="437"/>
      <c r="J77" s="437"/>
      <c r="K77" s="437"/>
      <c r="L77" s="438"/>
    </row>
    <row r="78" spans="1:20" ht="35.25" customHeight="1" x14ac:dyDescent="0.2">
      <c r="B78" s="414" t="s">
        <v>127</v>
      </c>
      <c r="C78" s="97" t="s">
        <v>98</v>
      </c>
      <c r="D78" s="101" t="s">
        <v>87</v>
      </c>
      <c r="E78" s="44" t="s">
        <v>105</v>
      </c>
      <c r="F78" s="550">
        <f>IF(E78="Asignado",15,IF(E78="No asignado",0,""))</f>
        <v>15</v>
      </c>
      <c r="G78" s="502" t="s">
        <v>315</v>
      </c>
      <c r="H78" s="503"/>
      <c r="I78" s="503"/>
      <c r="J78" s="503"/>
      <c r="K78" s="503"/>
      <c r="L78" s="504"/>
    </row>
    <row r="79" spans="1:20" ht="30.75" customHeight="1" x14ac:dyDescent="0.2">
      <c r="B79" s="415"/>
      <c r="C79" s="37" t="s">
        <v>99</v>
      </c>
      <c r="D79" s="51" t="s">
        <v>91</v>
      </c>
      <c r="E79" s="39" t="s">
        <v>107</v>
      </c>
      <c r="F79" s="554">
        <f>IF(E79="Adecuado",15,IF(E79="Inadecuado",0,""))</f>
        <v>15</v>
      </c>
      <c r="G79" s="505" t="s">
        <v>410</v>
      </c>
      <c r="H79" s="506"/>
      <c r="I79" s="506"/>
      <c r="J79" s="506"/>
      <c r="K79" s="506"/>
      <c r="L79" s="507"/>
    </row>
    <row r="80" spans="1:20" ht="31.5" customHeight="1" x14ac:dyDescent="0.2">
      <c r="B80" s="99" t="s">
        <v>128</v>
      </c>
      <c r="C80" s="37" t="s">
        <v>100</v>
      </c>
      <c r="D80" s="51" t="s">
        <v>92</v>
      </c>
      <c r="E80" s="39" t="s">
        <v>109</v>
      </c>
      <c r="F80" s="554">
        <f>IF(E80="Oportuna",15,IF(E80="Inoportuna",0,""))</f>
        <v>15</v>
      </c>
      <c r="G80" s="505" t="s">
        <v>479</v>
      </c>
      <c r="H80" s="506"/>
      <c r="I80" s="506"/>
      <c r="J80" s="506"/>
      <c r="K80" s="506"/>
      <c r="L80" s="507"/>
    </row>
    <row r="81" spans="1:12" ht="38.25" customHeight="1" x14ac:dyDescent="0.2">
      <c r="B81" s="99" t="s">
        <v>129</v>
      </c>
      <c r="C81" s="37" t="s">
        <v>101</v>
      </c>
      <c r="D81" s="51" t="s">
        <v>93</v>
      </c>
      <c r="E81" s="41" t="s">
        <v>111</v>
      </c>
      <c r="F81" s="554">
        <f>IF(E81="Prevenir o detectar",15,IF(E81="No es control",0,""))</f>
        <v>15</v>
      </c>
      <c r="G81" s="505" t="s">
        <v>316</v>
      </c>
      <c r="H81" s="506"/>
      <c r="I81" s="506"/>
      <c r="J81" s="506"/>
      <c r="K81" s="506"/>
      <c r="L81" s="507"/>
    </row>
    <row r="82" spans="1:12" ht="39.75" customHeight="1" x14ac:dyDescent="0.2">
      <c r="B82" s="100" t="s">
        <v>131</v>
      </c>
      <c r="C82" s="37" t="s">
        <v>102</v>
      </c>
      <c r="D82" s="51" t="s">
        <v>94</v>
      </c>
      <c r="E82" s="39" t="s">
        <v>113</v>
      </c>
      <c r="F82" s="554">
        <f>IF(E82="Confiable",15,IF(E82="No confiable",0,""))</f>
        <v>15</v>
      </c>
      <c r="G82" s="508" t="s">
        <v>411</v>
      </c>
      <c r="H82" s="509"/>
      <c r="I82" s="509"/>
      <c r="J82" s="509"/>
      <c r="K82" s="509"/>
      <c r="L82" s="510"/>
    </row>
    <row r="83" spans="1:12" ht="46.5" customHeight="1" x14ac:dyDescent="0.2">
      <c r="B83" s="100" t="s">
        <v>132</v>
      </c>
      <c r="C83" s="37" t="s">
        <v>103</v>
      </c>
      <c r="D83" s="51" t="s">
        <v>95</v>
      </c>
      <c r="E83" s="41" t="s">
        <v>115</v>
      </c>
      <c r="F83" s="554">
        <f>IF(E83="Se investigan y resuelven oportunamente",15,IF(E83="No se investigan y resuelven oportunamente",0,""))</f>
        <v>15</v>
      </c>
      <c r="G83" s="508" t="s">
        <v>317</v>
      </c>
      <c r="H83" s="509"/>
      <c r="I83" s="509"/>
      <c r="J83" s="509"/>
      <c r="K83" s="509"/>
      <c r="L83" s="510"/>
    </row>
    <row r="84" spans="1:12" ht="93" customHeight="1" thickBot="1" x14ac:dyDescent="0.25">
      <c r="B84" s="61" t="s">
        <v>130</v>
      </c>
      <c r="C84" s="98" t="s">
        <v>104</v>
      </c>
      <c r="D84" s="52" t="s">
        <v>96</v>
      </c>
      <c r="E84" s="42" t="s">
        <v>117</v>
      </c>
      <c r="F84" s="555">
        <f>IF(E84="Completa",10,IF(E84="Incompleta",5,IF(E84="No existe",0,"")))</f>
        <v>10</v>
      </c>
      <c r="G84" s="511" t="s">
        <v>412</v>
      </c>
      <c r="H84" s="512"/>
      <c r="I84" s="512"/>
      <c r="J84" s="512"/>
      <c r="K84" s="512"/>
      <c r="L84" s="513"/>
    </row>
    <row r="85" spans="1:12" ht="15" thickBot="1" x14ac:dyDescent="0.25">
      <c r="D85" s="38"/>
      <c r="G85" s="82"/>
      <c r="H85" s="82"/>
      <c r="I85" s="82"/>
      <c r="J85" s="82"/>
      <c r="K85" s="82"/>
      <c r="L85" s="82"/>
    </row>
    <row r="86" spans="1:12" x14ac:dyDescent="0.2">
      <c r="D86" s="48" t="s">
        <v>97</v>
      </c>
      <c r="E86" s="412">
        <f>IF(SUM(F78:F84)=0,"-",SUM(F78:F84))</f>
        <v>100</v>
      </c>
      <c r="F86" s="413"/>
      <c r="G86" s="83"/>
      <c r="H86" s="83"/>
      <c r="I86" s="83"/>
      <c r="J86" s="83"/>
      <c r="K86" s="83"/>
      <c r="L86" s="83"/>
    </row>
    <row r="87" spans="1:12" ht="15" thickBot="1" x14ac:dyDescent="0.25">
      <c r="D87" s="49" t="s">
        <v>123</v>
      </c>
      <c r="E87" s="394" t="str">
        <f>IF(E86&lt;=74,"Débil",IF(E86&lt;=89,"Moderado",IF(E86&lt;=100,"Fuerte","")))</f>
        <v>Fuerte</v>
      </c>
      <c r="F87" s="395"/>
      <c r="G87" s="83"/>
      <c r="H87" s="83"/>
      <c r="I87" s="83"/>
      <c r="J87" s="83"/>
      <c r="K87" s="83"/>
      <c r="L87" s="83"/>
    </row>
    <row r="88" spans="1:12" ht="15" thickBot="1" x14ac:dyDescent="0.25"/>
    <row r="89" spans="1:12" ht="30" customHeight="1" thickBot="1" x14ac:dyDescent="0.25">
      <c r="A89" s="58" t="str">
        <f>+Matriz!E18</f>
        <v>MCOM-RC-001</v>
      </c>
      <c r="B89" s="405" t="str">
        <f>+Matriz!F18</f>
        <v>Obtención de comisiones u otro tipo de ventajas con los clientes, favoreciendo intereses particulares en las líneas de proyectos estratégicos y en detrimento de la rentabilidad de Capital.</v>
      </c>
      <c r="C89" s="406"/>
      <c r="D89" s="406"/>
      <c r="E89" s="406"/>
      <c r="F89" s="406"/>
      <c r="G89" s="406"/>
      <c r="H89" s="406"/>
      <c r="I89" s="406"/>
      <c r="J89" s="406"/>
      <c r="K89" s="406"/>
      <c r="L89" s="407"/>
    </row>
    <row r="90" spans="1:12" ht="15" thickBot="1" x14ac:dyDescent="0.25"/>
    <row r="91" spans="1:12" ht="15.75" customHeight="1" x14ac:dyDescent="0.2">
      <c r="B91" s="408" t="s">
        <v>158</v>
      </c>
      <c r="C91" s="409"/>
      <c r="D91" s="409"/>
      <c r="E91" s="452" t="s">
        <v>124</v>
      </c>
      <c r="F91" s="453"/>
      <c r="G91" s="453"/>
      <c r="H91" s="453"/>
      <c r="I91" s="453"/>
      <c r="J91" s="453"/>
      <c r="K91" s="453"/>
      <c r="L91" s="454"/>
    </row>
    <row r="92" spans="1:12" ht="65.25" customHeight="1" thickBot="1" x14ac:dyDescent="0.25">
      <c r="B92" s="410"/>
      <c r="C92" s="411"/>
      <c r="D92" s="411"/>
      <c r="E92" s="455" t="str">
        <f>+Matriz!Q18</f>
        <v>*MCOM-PD-002 Gestión proyectos y negocios estratégicos
*Resolución de tarifas (en donde se establecen las autorización de descuentos)
*MCOM-FT-014 Cotización sector público y privado y/o contratos - ofertas comerciales y presupuesto</v>
      </c>
      <c r="F92" s="456"/>
      <c r="G92" s="456"/>
      <c r="H92" s="456"/>
      <c r="I92" s="456"/>
      <c r="J92" s="456"/>
      <c r="K92" s="456"/>
      <c r="L92" s="457"/>
    </row>
    <row r="93" spans="1:12" ht="15" x14ac:dyDescent="0.25">
      <c r="B93" s="444" t="s">
        <v>125</v>
      </c>
      <c r="C93" s="446" t="s">
        <v>126</v>
      </c>
      <c r="D93" s="447"/>
      <c r="E93" s="450" t="s">
        <v>120</v>
      </c>
      <c r="F93" s="451"/>
      <c r="G93" s="458" t="s">
        <v>71</v>
      </c>
      <c r="H93" s="459"/>
      <c r="I93" s="459"/>
      <c r="J93" s="459"/>
      <c r="K93" s="459"/>
      <c r="L93" s="460"/>
    </row>
    <row r="94" spans="1:12" ht="15" thickBot="1" x14ac:dyDescent="0.25">
      <c r="B94" s="445"/>
      <c r="C94" s="448"/>
      <c r="D94" s="449"/>
      <c r="E94" s="56" t="s">
        <v>121</v>
      </c>
      <c r="F94" s="57" t="s">
        <v>122</v>
      </c>
      <c r="G94" s="436"/>
      <c r="H94" s="437"/>
      <c r="I94" s="437"/>
      <c r="J94" s="437"/>
      <c r="K94" s="437"/>
      <c r="L94" s="438"/>
    </row>
    <row r="95" spans="1:12" ht="39.75" customHeight="1" x14ac:dyDescent="0.2">
      <c r="B95" s="414" t="s">
        <v>127</v>
      </c>
      <c r="C95" s="97" t="s">
        <v>98</v>
      </c>
      <c r="D95" s="101" t="s">
        <v>87</v>
      </c>
      <c r="E95" s="44" t="s">
        <v>105</v>
      </c>
      <c r="F95" s="550">
        <f>IF(E95="Asignado",15,IF(E95="No asignado",0,""))</f>
        <v>15</v>
      </c>
      <c r="G95" s="568" t="s">
        <v>432</v>
      </c>
      <c r="H95" s="569"/>
      <c r="I95" s="569"/>
      <c r="J95" s="569"/>
      <c r="K95" s="569"/>
      <c r="L95" s="570"/>
    </row>
    <row r="96" spans="1:12" ht="30.75" customHeight="1" x14ac:dyDescent="0.2">
      <c r="B96" s="415"/>
      <c r="C96" s="37" t="s">
        <v>99</v>
      </c>
      <c r="D96" s="51" t="s">
        <v>91</v>
      </c>
      <c r="E96" s="39" t="s">
        <v>107</v>
      </c>
      <c r="F96" s="554">
        <f>IF(E96="Adecuado",15,IF(E96="Inadecuado",0,""))</f>
        <v>15</v>
      </c>
      <c r="G96" s="559" t="s">
        <v>433</v>
      </c>
      <c r="H96" s="560"/>
      <c r="I96" s="560"/>
      <c r="J96" s="560"/>
      <c r="K96" s="560"/>
      <c r="L96" s="561"/>
    </row>
    <row r="97" spans="1:12" ht="31.5" customHeight="1" x14ac:dyDescent="0.2">
      <c r="B97" s="99" t="s">
        <v>128</v>
      </c>
      <c r="C97" s="37" t="s">
        <v>100</v>
      </c>
      <c r="D97" s="51" t="s">
        <v>92</v>
      </c>
      <c r="E97" s="39" t="s">
        <v>109</v>
      </c>
      <c r="F97" s="554">
        <f>IF(E97="Oportuna",15,IF(E97="Inoportuna",0,""))</f>
        <v>15</v>
      </c>
      <c r="G97" s="559" t="s">
        <v>434</v>
      </c>
      <c r="H97" s="560"/>
      <c r="I97" s="560"/>
      <c r="J97" s="560"/>
      <c r="K97" s="560"/>
      <c r="L97" s="561"/>
    </row>
    <row r="98" spans="1:12" ht="38.25" customHeight="1" x14ac:dyDescent="0.2">
      <c r="B98" s="99" t="s">
        <v>129</v>
      </c>
      <c r="C98" s="37" t="s">
        <v>101</v>
      </c>
      <c r="D98" s="51" t="s">
        <v>93</v>
      </c>
      <c r="E98" s="41" t="s">
        <v>111</v>
      </c>
      <c r="F98" s="554">
        <f>IF(E98="Prevenir o detectar",15,IF(E98="No es control",0,""))</f>
        <v>15</v>
      </c>
      <c r="G98" s="559" t="s">
        <v>435</v>
      </c>
      <c r="H98" s="560"/>
      <c r="I98" s="560"/>
      <c r="J98" s="560"/>
      <c r="K98" s="560"/>
      <c r="L98" s="561"/>
    </row>
    <row r="99" spans="1:12" ht="83.25" customHeight="1" x14ac:dyDescent="0.2">
      <c r="B99" s="100" t="s">
        <v>131</v>
      </c>
      <c r="C99" s="37" t="s">
        <v>102</v>
      </c>
      <c r="D99" s="51" t="s">
        <v>94</v>
      </c>
      <c r="E99" s="39" t="s">
        <v>113</v>
      </c>
      <c r="F99" s="554">
        <f>IF(E99="Confiable",15,IF(E99="No confiable",0,""))</f>
        <v>15</v>
      </c>
      <c r="G99" s="559" t="s">
        <v>436</v>
      </c>
      <c r="H99" s="560"/>
      <c r="I99" s="560"/>
      <c r="J99" s="560"/>
      <c r="K99" s="560"/>
      <c r="L99" s="561"/>
    </row>
    <row r="100" spans="1:12" ht="119.25" customHeight="1" x14ac:dyDescent="0.2">
      <c r="B100" s="100" t="s">
        <v>132</v>
      </c>
      <c r="C100" s="37" t="s">
        <v>103</v>
      </c>
      <c r="D100" s="51" t="s">
        <v>95</v>
      </c>
      <c r="E100" s="41" t="s">
        <v>115</v>
      </c>
      <c r="F100" s="554">
        <f>IF(E100="Se investigan y resuelven oportunamente",15,IF(E100="No se investigan y resuelven oportunamente",0,""))</f>
        <v>15</v>
      </c>
      <c r="G100" s="559" t="s">
        <v>437</v>
      </c>
      <c r="H100" s="560"/>
      <c r="I100" s="560"/>
      <c r="J100" s="560"/>
      <c r="K100" s="560"/>
      <c r="L100" s="561"/>
    </row>
    <row r="101" spans="1:12" ht="36.75" customHeight="1" thickBot="1" x14ac:dyDescent="0.25">
      <c r="B101" s="61" t="s">
        <v>130</v>
      </c>
      <c r="C101" s="98" t="s">
        <v>104</v>
      </c>
      <c r="D101" s="52" t="s">
        <v>96</v>
      </c>
      <c r="E101" s="42" t="s">
        <v>117</v>
      </c>
      <c r="F101" s="555">
        <f>IF(E101="Completa",10,IF(E101="Incompleta",5,IF(E101="No existe",0,"")))</f>
        <v>10</v>
      </c>
      <c r="G101" s="571" t="s">
        <v>438</v>
      </c>
      <c r="H101" s="572"/>
      <c r="I101" s="572"/>
      <c r="J101" s="572"/>
      <c r="K101" s="572"/>
      <c r="L101" s="573"/>
    </row>
    <row r="102" spans="1:12" ht="15" thickBot="1" x14ac:dyDescent="0.25">
      <c r="D102" s="38"/>
      <c r="G102" s="82"/>
      <c r="H102" s="82"/>
      <c r="I102" s="82"/>
      <c r="J102" s="82"/>
      <c r="K102" s="82"/>
      <c r="L102" s="82"/>
    </row>
    <row r="103" spans="1:12" x14ac:dyDescent="0.2">
      <c r="D103" s="48" t="s">
        <v>97</v>
      </c>
      <c r="E103" s="412">
        <f>IF(SUM(F95:F101)=0,"-",SUM(F95:F101))</f>
        <v>100</v>
      </c>
      <c r="F103" s="413"/>
      <c r="G103" s="83"/>
      <c r="H103" s="83"/>
      <c r="I103" s="83"/>
      <c r="J103" s="83"/>
      <c r="K103" s="83"/>
      <c r="L103" s="83"/>
    </row>
    <row r="104" spans="1:12" ht="15" thickBot="1" x14ac:dyDescent="0.25">
      <c r="D104" s="49" t="s">
        <v>123</v>
      </c>
      <c r="E104" s="394" t="str">
        <f>IF(E103&lt;=74,"Débil",IF(E103&lt;=89,"Moderado",IF(E103&lt;=100,"Fuerte","")))</f>
        <v>Fuerte</v>
      </c>
      <c r="F104" s="395"/>
      <c r="G104" s="83"/>
      <c r="H104" s="83"/>
      <c r="I104" s="83"/>
      <c r="J104" s="83"/>
      <c r="K104" s="83"/>
      <c r="L104" s="83"/>
    </row>
    <row r="105" spans="1:12" ht="15" thickBot="1" x14ac:dyDescent="0.25"/>
    <row r="106" spans="1:12" ht="30" customHeight="1" thickBot="1" x14ac:dyDescent="0.25">
      <c r="A106" s="58" t="str">
        <f>+Matriz!E19</f>
        <v>AGTH-RC-001</v>
      </c>
      <c r="B106" s="405" t="str">
        <f>+Matriz!F19</f>
        <v>Interés de vincular a una persona sin el cumplimiento de la totalidad de requisitos, por influencia externa o por presión de un tercero.</v>
      </c>
      <c r="C106" s="406"/>
      <c r="D106" s="406"/>
      <c r="E106" s="406"/>
      <c r="F106" s="406"/>
      <c r="G106" s="406"/>
      <c r="H106" s="406"/>
      <c r="I106" s="406"/>
      <c r="J106" s="406"/>
      <c r="K106" s="406"/>
      <c r="L106" s="407"/>
    </row>
    <row r="107" spans="1:12" ht="15" thickBot="1" x14ac:dyDescent="0.25"/>
    <row r="108" spans="1:12" ht="15.75" customHeight="1" x14ac:dyDescent="0.2">
      <c r="B108" s="408" t="s">
        <v>158</v>
      </c>
      <c r="C108" s="409"/>
      <c r="D108" s="409"/>
      <c r="E108" s="452" t="s">
        <v>124</v>
      </c>
      <c r="F108" s="453"/>
      <c r="G108" s="453"/>
      <c r="H108" s="453"/>
      <c r="I108" s="453"/>
      <c r="J108" s="453"/>
      <c r="K108" s="453"/>
      <c r="L108" s="454"/>
    </row>
    <row r="109" spans="1:12" ht="73.5" customHeight="1" thickBot="1" x14ac:dyDescent="0.25">
      <c r="B109" s="410"/>
      <c r="C109" s="411"/>
      <c r="D109" s="411"/>
      <c r="E109" s="499" t="str">
        <f>+Matriz!Q19</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500"/>
      <c r="G109" s="500"/>
      <c r="H109" s="500"/>
      <c r="I109" s="500"/>
      <c r="J109" s="500"/>
      <c r="K109" s="500"/>
      <c r="L109" s="501"/>
    </row>
    <row r="110" spans="1:12" ht="15" x14ac:dyDescent="0.25">
      <c r="B110" s="444" t="s">
        <v>125</v>
      </c>
      <c r="C110" s="446" t="s">
        <v>126</v>
      </c>
      <c r="D110" s="447"/>
      <c r="E110" s="450" t="s">
        <v>120</v>
      </c>
      <c r="F110" s="451"/>
      <c r="G110" s="458" t="s">
        <v>71</v>
      </c>
      <c r="H110" s="459"/>
      <c r="I110" s="459"/>
      <c r="J110" s="459"/>
      <c r="K110" s="459"/>
      <c r="L110" s="460"/>
    </row>
    <row r="111" spans="1:12" ht="15" thickBot="1" x14ac:dyDescent="0.25">
      <c r="B111" s="445"/>
      <c r="C111" s="448"/>
      <c r="D111" s="449"/>
      <c r="E111" s="56" t="s">
        <v>121</v>
      </c>
      <c r="F111" s="57" t="s">
        <v>122</v>
      </c>
      <c r="G111" s="436"/>
      <c r="H111" s="437"/>
      <c r="I111" s="437"/>
      <c r="J111" s="437"/>
      <c r="K111" s="437"/>
      <c r="L111" s="438"/>
    </row>
    <row r="112" spans="1:12" ht="23.25" customHeight="1" x14ac:dyDescent="0.2">
      <c r="B112" s="414" t="s">
        <v>127</v>
      </c>
      <c r="C112" s="80" t="s">
        <v>98</v>
      </c>
      <c r="D112" s="50" t="s">
        <v>87</v>
      </c>
      <c r="E112" s="44" t="s">
        <v>105</v>
      </c>
      <c r="F112" s="45">
        <f>IF(E112="Asignado",15,IF(E112="No asignado",0,""))</f>
        <v>15</v>
      </c>
      <c r="G112" s="464" t="s">
        <v>241</v>
      </c>
      <c r="H112" s="465"/>
      <c r="I112" s="465"/>
      <c r="J112" s="465"/>
      <c r="K112" s="465"/>
      <c r="L112" s="466"/>
    </row>
    <row r="113" spans="1:26" ht="41.25" customHeight="1" x14ac:dyDescent="0.2">
      <c r="B113" s="415"/>
      <c r="C113" s="37" t="s">
        <v>99</v>
      </c>
      <c r="D113" s="51" t="s">
        <v>91</v>
      </c>
      <c r="E113" s="39" t="s">
        <v>107</v>
      </c>
      <c r="F113" s="40">
        <f>IF(E113="Adecuado",15,IF(E113="Inadecuado",0,""))</f>
        <v>15</v>
      </c>
      <c r="G113" s="396" t="s">
        <v>242</v>
      </c>
      <c r="H113" s="397"/>
      <c r="I113" s="397"/>
      <c r="J113" s="397"/>
      <c r="K113" s="397"/>
      <c r="L113" s="398"/>
    </row>
    <row r="114" spans="1:26" ht="41.25" customHeight="1" x14ac:dyDescent="0.2">
      <c r="B114" s="79" t="s">
        <v>128</v>
      </c>
      <c r="C114" s="37" t="s">
        <v>100</v>
      </c>
      <c r="D114" s="51" t="s">
        <v>92</v>
      </c>
      <c r="E114" s="39" t="s">
        <v>109</v>
      </c>
      <c r="F114" s="40">
        <f>IF(E114="Oportuna",15,IF(E114="Inoportuna",0,""))</f>
        <v>15</v>
      </c>
      <c r="G114" s="396" t="s">
        <v>243</v>
      </c>
      <c r="H114" s="397"/>
      <c r="I114" s="397"/>
      <c r="J114" s="397"/>
      <c r="K114" s="397"/>
      <c r="L114" s="398"/>
    </row>
    <row r="115" spans="1:26" ht="41.25" customHeight="1" x14ac:dyDescent="0.2">
      <c r="B115" s="79" t="s">
        <v>129</v>
      </c>
      <c r="C115" s="37" t="s">
        <v>101</v>
      </c>
      <c r="D115" s="51" t="s">
        <v>93</v>
      </c>
      <c r="E115" s="41" t="s">
        <v>111</v>
      </c>
      <c r="F115" s="40">
        <f>IF(E115="Prevenir o detectar",15,IF(E115="No es control",0,""))</f>
        <v>15</v>
      </c>
      <c r="G115" s="396" t="s">
        <v>244</v>
      </c>
      <c r="H115" s="397"/>
      <c r="I115" s="397"/>
      <c r="J115" s="397"/>
      <c r="K115" s="397"/>
      <c r="L115" s="398"/>
    </row>
    <row r="116" spans="1:26" ht="41.25" customHeight="1" x14ac:dyDescent="0.2">
      <c r="B116" s="60" t="s">
        <v>131</v>
      </c>
      <c r="C116" s="37" t="s">
        <v>102</v>
      </c>
      <c r="D116" s="51" t="s">
        <v>94</v>
      </c>
      <c r="E116" s="39" t="s">
        <v>113</v>
      </c>
      <c r="F116" s="40">
        <f>IF(E116="Confiable",15,IF(E116="No confiable",0,""))</f>
        <v>15</v>
      </c>
      <c r="G116" s="441" t="s">
        <v>246</v>
      </c>
      <c r="H116" s="442"/>
      <c r="I116" s="442"/>
      <c r="J116" s="442"/>
      <c r="K116" s="442"/>
      <c r="L116" s="443"/>
    </row>
    <row r="117" spans="1:26" ht="41.25" customHeight="1" x14ac:dyDescent="0.2">
      <c r="B117" s="60" t="s">
        <v>132</v>
      </c>
      <c r="C117" s="37" t="s">
        <v>103</v>
      </c>
      <c r="D117" s="51" t="s">
        <v>95</v>
      </c>
      <c r="E117" s="41" t="s">
        <v>115</v>
      </c>
      <c r="F117" s="40">
        <f>IF(E117="Se investigan y resuelven oportunamente",15,IF(E117="No se investigan y resuelven oportunamente",0,""))</f>
        <v>15</v>
      </c>
      <c r="G117" s="441" t="s">
        <v>295</v>
      </c>
      <c r="H117" s="442"/>
      <c r="I117" s="442"/>
      <c r="J117" s="442"/>
      <c r="K117" s="442"/>
      <c r="L117" s="443"/>
    </row>
    <row r="118" spans="1:26" ht="41.25" customHeight="1" thickBot="1" x14ac:dyDescent="0.25">
      <c r="B118" s="61" t="s">
        <v>130</v>
      </c>
      <c r="C118" s="81" t="s">
        <v>104</v>
      </c>
      <c r="D118" s="52" t="s">
        <v>96</v>
      </c>
      <c r="E118" s="42" t="s">
        <v>117</v>
      </c>
      <c r="F118" s="43">
        <f>IF(E118="Completa",10,IF(E118="Incompleta",5,IF(E118="No existe",0,"")))</f>
        <v>10</v>
      </c>
      <c r="G118" s="399" t="s">
        <v>245</v>
      </c>
      <c r="H118" s="400"/>
      <c r="I118" s="400"/>
      <c r="J118" s="400"/>
      <c r="K118" s="400"/>
      <c r="L118" s="401"/>
    </row>
    <row r="119" spans="1:26" ht="15" thickBot="1" x14ac:dyDescent="0.25">
      <c r="D119" s="38"/>
      <c r="G119" s="82"/>
      <c r="H119" s="82"/>
      <c r="I119" s="82"/>
      <c r="J119" s="82"/>
      <c r="K119" s="82"/>
      <c r="L119" s="82"/>
    </row>
    <row r="120" spans="1:26" x14ac:dyDescent="0.2">
      <c r="D120" s="48" t="s">
        <v>97</v>
      </c>
      <c r="E120" s="412">
        <f>IF(SUM(F112:F118)=0,"-",SUM(F112:F118))</f>
        <v>100</v>
      </c>
      <c r="F120" s="413"/>
      <c r="G120" s="83"/>
      <c r="H120" s="83"/>
      <c r="I120" s="83"/>
      <c r="J120" s="83"/>
      <c r="K120" s="83"/>
      <c r="L120" s="83"/>
    </row>
    <row r="121" spans="1:26" ht="15" thickBot="1" x14ac:dyDescent="0.25">
      <c r="D121" s="49" t="s">
        <v>123</v>
      </c>
      <c r="E121" s="394" t="str">
        <f>IF(E120&lt;=74,"Débil",IF(E120&lt;=89,"Moderado",IF(E120&lt;=100,"Fuerte","")))</f>
        <v>Fuerte</v>
      </c>
      <c r="F121" s="395"/>
      <c r="G121" s="83"/>
      <c r="H121" s="83"/>
      <c r="I121" s="83"/>
      <c r="J121" s="83"/>
      <c r="K121" s="83"/>
      <c r="L121" s="83"/>
    </row>
    <row r="122" spans="1:26" ht="15" thickBot="1" x14ac:dyDescent="0.25"/>
    <row r="123" spans="1:26" ht="33" customHeight="1" thickBot="1" x14ac:dyDescent="0.25">
      <c r="A123" s="58" t="str">
        <f>+Matriz!E20</f>
        <v>AGRI-SA-RC-001</v>
      </c>
      <c r="B123" s="405" t="str">
        <f>+Matriz!F20</f>
        <v>Apropiarse de manera particular de los elementos y/o bienes destinados para el desarrollo las actividades institucionales.</v>
      </c>
      <c r="C123" s="406"/>
      <c r="D123" s="406"/>
      <c r="E123" s="406"/>
      <c r="F123" s="406"/>
      <c r="G123" s="406"/>
      <c r="H123" s="406"/>
      <c r="I123" s="406"/>
      <c r="J123" s="406"/>
      <c r="K123" s="406"/>
      <c r="L123" s="407"/>
      <c r="M123" s="96"/>
    </row>
    <row r="124" spans="1:26" ht="10.5" customHeight="1" thickBot="1" x14ac:dyDescent="0.25"/>
    <row r="125" spans="1:26" ht="16.5" customHeight="1" thickBot="1" x14ac:dyDescent="0.25">
      <c r="B125" s="408" t="s">
        <v>158</v>
      </c>
      <c r="C125" s="409"/>
      <c r="D125" s="419"/>
      <c r="E125" s="470" t="s">
        <v>124</v>
      </c>
      <c r="F125" s="471"/>
      <c r="G125" s="471"/>
      <c r="H125" s="471"/>
      <c r="I125" s="471"/>
      <c r="J125" s="472"/>
      <c r="K125" s="470" t="s">
        <v>254</v>
      </c>
      <c r="L125" s="471"/>
      <c r="M125" s="471"/>
      <c r="N125" s="471"/>
      <c r="O125" s="471"/>
      <c r="P125" s="471"/>
      <c r="Q125" s="471"/>
      <c r="R125" s="472"/>
      <c r="S125" s="470" t="s">
        <v>270</v>
      </c>
      <c r="T125" s="471"/>
      <c r="U125" s="471"/>
      <c r="V125" s="471"/>
      <c r="W125" s="471"/>
      <c r="X125" s="471"/>
      <c r="Y125" s="471"/>
      <c r="Z125" s="472"/>
    </row>
    <row r="126" spans="1:26" ht="63.75" customHeight="1" thickBot="1" x14ac:dyDescent="0.25">
      <c r="B126" s="410"/>
      <c r="C126" s="411"/>
      <c r="D126" s="420"/>
      <c r="E126" s="473" t="str">
        <f>+Matriz!Q20</f>
        <v>Ejecutar procedimiento: AGRI-SA-PD-008 SALIDA DE ELEMENTOS DEL ALMACÉN
Puntos de Control: 2,3,6,7 y 8</v>
      </c>
      <c r="F126" s="474"/>
      <c r="G126" s="474"/>
      <c r="H126" s="474"/>
      <c r="I126" s="474"/>
      <c r="J126" s="475"/>
      <c r="K126" s="473" t="str">
        <f>+Matriz!Q21</f>
        <v>Ejecutar el procedimiento AGRI-SA-PD-010 TOMA FÍSICA DE INVENTARIOS 
Puntos de control: 3,6, 7 y 9</v>
      </c>
      <c r="L126" s="474"/>
      <c r="M126" s="474"/>
      <c r="N126" s="474"/>
      <c r="O126" s="474"/>
      <c r="P126" s="474"/>
      <c r="Q126" s="474"/>
      <c r="R126" s="475"/>
      <c r="S126" s="473" t="str">
        <f>+Matriz!Q22</f>
        <v>Sistema de seguridad física y tecnológica para la custodia de los bienes de la entidad. (Contrato de vigilancia).
1. Personal capacitado
2. Cámaras de monitoreo en HD
3. Sistema de comunicación.</v>
      </c>
      <c r="T126" s="474"/>
      <c r="U126" s="474"/>
      <c r="V126" s="474"/>
      <c r="W126" s="474"/>
      <c r="X126" s="474"/>
      <c r="Y126" s="474"/>
      <c r="Z126" s="475"/>
    </row>
    <row r="127" spans="1:26" ht="15" x14ac:dyDescent="0.25">
      <c r="B127" s="444" t="s">
        <v>125</v>
      </c>
      <c r="C127" s="446" t="s">
        <v>126</v>
      </c>
      <c r="D127" s="447"/>
      <c r="E127" s="491" t="s">
        <v>120</v>
      </c>
      <c r="F127" s="492"/>
      <c r="G127" s="523" t="s">
        <v>71</v>
      </c>
      <c r="H127" s="524"/>
      <c r="I127" s="524"/>
      <c r="J127" s="525"/>
      <c r="K127" s="529" t="s">
        <v>120</v>
      </c>
      <c r="L127" s="451"/>
      <c r="M127" s="452" t="s">
        <v>71</v>
      </c>
      <c r="N127" s="453"/>
      <c r="O127" s="453"/>
      <c r="P127" s="453"/>
      <c r="Q127" s="453"/>
      <c r="R127" s="454"/>
      <c r="S127" s="450" t="s">
        <v>120</v>
      </c>
      <c r="T127" s="451"/>
      <c r="U127" s="452" t="s">
        <v>71</v>
      </c>
      <c r="V127" s="453"/>
      <c r="W127" s="453"/>
      <c r="X127" s="453"/>
      <c r="Y127" s="453"/>
      <c r="Z127" s="454"/>
    </row>
    <row r="128" spans="1:26" ht="15.75" customHeight="1" thickBot="1" x14ac:dyDescent="0.25">
      <c r="B128" s="445"/>
      <c r="C128" s="448"/>
      <c r="D128" s="449"/>
      <c r="E128" s="197" t="s">
        <v>121</v>
      </c>
      <c r="F128" s="198" t="s">
        <v>122</v>
      </c>
      <c r="G128" s="526"/>
      <c r="H128" s="527"/>
      <c r="I128" s="527"/>
      <c r="J128" s="528"/>
      <c r="K128" s="117" t="s">
        <v>121</v>
      </c>
      <c r="L128" s="198" t="s">
        <v>122</v>
      </c>
      <c r="M128" s="496"/>
      <c r="N128" s="497"/>
      <c r="O128" s="497"/>
      <c r="P128" s="497"/>
      <c r="Q128" s="497"/>
      <c r="R128" s="498"/>
      <c r="S128" s="197" t="s">
        <v>121</v>
      </c>
      <c r="T128" s="198" t="s">
        <v>122</v>
      </c>
      <c r="U128" s="496"/>
      <c r="V128" s="497"/>
      <c r="W128" s="497"/>
      <c r="X128" s="497"/>
      <c r="Y128" s="497"/>
      <c r="Z128" s="498"/>
    </row>
    <row r="129" spans="1:26" ht="39.75" customHeight="1" x14ac:dyDescent="0.2">
      <c r="B129" s="414" t="s">
        <v>127</v>
      </c>
      <c r="C129" s="232" t="s">
        <v>98</v>
      </c>
      <c r="D129" s="105" t="s">
        <v>87</v>
      </c>
      <c r="E129" s="195" t="s">
        <v>105</v>
      </c>
      <c r="F129" s="87">
        <f>IF(E129="Asignado",15,IF(E129="No asignado",0,""))</f>
        <v>15</v>
      </c>
      <c r="G129" s="591" t="s">
        <v>300</v>
      </c>
      <c r="H129" s="583"/>
      <c r="I129" s="583"/>
      <c r="J129" s="584"/>
      <c r="K129" s="88" t="s">
        <v>105</v>
      </c>
      <c r="L129" s="87">
        <f t="shared" ref="L129" si="0">IF(K129="Asignado",15,IF(K129="No asignado",0,""))</f>
        <v>15</v>
      </c>
      <c r="M129" s="582" t="s">
        <v>337</v>
      </c>
      <c r="N129" s="583"/>
      <c r="O129" s="583"/>
      <c r="P129" s="583"/>
      <c r="Q129" s="583"/>
      <c r="R129" s="584"/>
      <c r="S129" s="88" t="s">
        <v>105</v>
      </c>
      <c r="T129" s="87">
        <f t="shared" ref="T129" si="1">IF(S129="Asignado",15,IF(S129="No asignado",0,""))</f>
        <v>15</v>
      </c>
      <c r="U129" s="582" t="s">
        <v>272</v>
      </c>
      <c r="V129" s="583"/>
      <c r="W129" s="583"/>
      <c r="X129" s="583"/>
      <c r="Y129" s="583"/>
      <c r="Z129" s="584"/>
    </row>
    <row r="130" spans="1:26" ht="39.75" customHeight="1" x14ac:dyDescent="0.2">
      <c r="B130" s="415"/>
      <c r="C130" s="37" t="s">
        <v>99</v>
      </c>
      <c r="D130" s="51" t="s">
        <v>91</v>
      </c>
      <c r="E130" s="190" t="s">
        <v>107</v>
      </c>
      <c r="F130" s="89">
        <f>IF(E130="Adecuado",15,IF(E130="Inadecuado",0,""))</f>
        <v>15</v>
      </c>
      <c r="G130" s="592" t="s">
        <v>331</v>
      </c>
      <c r="H130" s="586"/>
      <c r="I130" s="586"/>
      <c r="J130" s="587"/>
      <c r="K130" s="90" t="s">
        <v>107</v>
      </c>
      <c r="L130" s="89">
        <f t="shared" ref="L130" si="2">IF(K130="Adecuado",15,IF(K130="Inadecuado",0,""))</f>
        <v>15</v>
      </c>
      <c r="M130" s="585" t="s">
        <v>337</v>
      </c>
      <c r="N130" s="586"/>
      <c r="O130" s="586"/>
      <c r="P130" s="586"/>
      <c r="Q130" s="586"/>
      <c r="R130" s="587"/>
      <c r="S130" s="90" t="s">
        <v>107</v>
      </c>
      <c r="T130" s="89">
        <f t="shared" ref="T130" si="3">IF(S130="Adecuado",15,IF(S130="Inadecuado",0,""))</f>
        <v>15</v>
      </c>
      <c r="U130" s="585" t="s">
        <v>272</v>
      </c>
      <c r="V130" s="586"/>
      <c r="W130" s="586"/>
      <c r="X130" s="586"/>
      <c r="Y130" s="586"/>
      <c r="Z130" s="587"/>
    </row>
    <row r="131" spans="1:26" ht="39.75" customHeight="1" x14ac:dyDescent="0.2">
      <c r="B131" s="234" t="s">
        <v>128</v>
      </c>
      <c r="C131" s="37" t="s">
        <v>100</v>
      </c>
      <c r="D131" s="51" t="s">
        <v>92</v>
      </c>
      <c r="E131" s="190" t="s">
        <v>109</v>
      </c>
      <c r="F131" s="89">
        <f>IF(E131="Oportuna",15,IF(E131="Inoportuna",0,""))</f>
        <v>15</v>
      </c>
      <c r="G131" s="592" t="s">
        <v>332</v>
      </c>
      <c r="H131" s="586"/>
      <c r="I131" s="586"/>
      <c r="J131" s="587"/>
      <c r="K131" s="90" t="s">
        <v>109</v>
      </c>
      <c r="L131" s="89">
        <f t="shared" ref="L131" si="4">IF(K131="Oportuna",15,IF(K131="Inoportuna",0,""))</f>
        <v>15</v>
      </c>
      <c r="M131" s="585" t="s">
        <v>338</v>
      </c>
      <c r="N131" s="586"/>
      <c r="O131" s="586"/>
      <c r="P131" s="586"/>
      <c r="Q131" s="586"/>
      <c r="R131" s="587"/>
      <c r="S131" s="90" t="s">
        <v>109</v>
      </c>
      <c r="T131" s="89">
        <f t="shared" ref="T131" si="5">IF(S131="Oportuna",15,IF(S131="Inoportuna",0,""))</f>
        <v>15</v>
      </c>
      <c r="U131" s="585" t="s">
        <v>342</v>
      </c>
      <c r="V131" s="586"/>
      <c r="W131" s="586"/>
      <c r="X131" s="586"/>
      <c r="Y131" s="586"/>
      <c r="Z131" s="587"/>
    </row>
    <row r="132" spans="1:26" ht="39.75" customHeight="1" x14ac:dyDescent="0.2">
      <c r="B132" s="234" t="s">
        <v>129</v>
      </c>
      <c r="C132" s="37" t="s">
        <v>101</v>
      </c>
      <c r="D132" s="51" t="s">
        <v>93</v>
      </c>
      <c r="E132" s="192" t="s">
        <v>111</v>
      </c>
      <c r="F132" s="89">
        <f>IF(E132="Prevenir o detectar",15,IF(E132="No es control",0,""))</f>
        <v>15</v>
      </c>
      <c r="G132" s="592" t="s">
        <v>333</v>
      </c>
      <c r="H132" s="586"/>
      <c r="I132" s="586"/>
      <c r="J132" s="587"/>
      <c r="K132" s="91" t="s">
        <v>111</v>
      </c>
      <c r="L132" s="89">
        <f t="shared" ref="L132" si="6">IF(K132="Prevenir o detectar",15,IF(K132="No es control",0,""))</f>
        <v>15</v>
      </c>
      <c r="M132" s="585" t="s">
        <v>301</v>
      </c>
      <c r="N132" s="586"/>
      <c r="O132" s="586"/>
      <c r="P132" s="586"/>
      <c r="Q132" s="586"/>
      <c r="R132" s="587"/>
      <c r="S132" s="91" t="s">
        <v>112</v>
      </c>
      <c r="T132" s="89">
        <f t="shared" ref="T132" si="7">IF(S132="Prevenir o detectar",15,IF(S132="No es control",0,""))</f>
        <v>0</v>
      </c>
      <c r="U132" s="585" t="s">
        <v>343</v>
      </c>
      <c r="V132" s="586"/>
      <c r="W132" s="586"/>
      <c r="X132" s="586"/>
      <c r="Y132" s="586"/>
      <c r="Z132" s="587"/>
    </row>
    <row r="133" spans="1:26" ht="39.75" customHeight="1" x14ac:dyDescent="0.2">
      <c r="B133" s="106" t="s">
        <v>131</v>
      </c>
      <c r="C133" s="37" t="s">
        <v>102</v>
      </c>
      <c r="D133" s="51" t="s">
        <v>94</v>
      </c>
      <c r="E133" s="190" t="s">
        <v>113</v>
      </c>
      <c r="F133" s="89">
        <f>IF(E133="Confiable",15,IF(E133="No confiable",0,""))</f>
        <v>15</v>
      </c>
      <c r="G133" s="592" t="s">
        <v>334</v>
      </c>
      <c r="H133" s="586"/>
      <c r="I133" s="586"/>
      <c r="J133" s="587"/>
      <c r="K133" s="90" t="s">
        <v>113</v>
      </c>
      <c r="L133" s="89">
        <f t="shared" ref="L133" si="8">IF(K133="Confiable",15,IF(K133="No confiable",0,""))</f>
        <v>15</v>
      </c>
      <c r="M133" s="585" t="s">
        <v>339</v>
      </c>
      <c r="N133" s="586"/>
      <c r="O133" s="586"/>
      <c r="P133" s="586"/>
      <c r="Q133" s="586"/>
      <c r="R133" s="587"/>
      <c r="S133" s="90" t="s">
        <v>113</v>
      </c>
      <c r="T133" s="89">
        <f t="shared" ref="T133" si="9">IF(S133="Confiable",15,IF(S133="No confiable",0,""))</f>
        <v>15</v>
      </c>
      <c r="U133" s="585" t="s">
        <v>273</v>
      </c>
      <c r="V133" s="586"/>
      <c r="W133" s="586"/>
      <c r="X133" s="586"/>
      <c r="Y133" s="586"/>
      <c r="Z133" s="587"/>
    </row>
    <row r="134" spans="1:26" ht="39.75" customHeight="1" x14ac:dyDescent="0.2">
      <c r="B134" s="106" t="s">
        <v>132</v>
      </c>
      <c r="C134" s="37" t="s">
        <v>103</v>
      </c>
      <c r="D134" s="51" t="s">
        <v>95</v>
      </c>
      <c r="E134" s="192" t="s">
        <v>115</v>
      </c>
      <c r="F134" s="89">
        <f>IF(E134="Se investigan y resuelven oportunamente",15,IF(E134="No se investigan y resuelven oportunamente",0,""))</f>
        <v>15</v>
      </c>
      <c r="G134" s="592" t="s">
        <v>335</v>
      </c>
      <c r="H134" s="586"/>
      <c r="I134" s="586"/>
      <c r="J134" s="587"/>
      <c r="K134" s="91" t="s">
        <v>115</v>
      </c>
      <c r="L134" s="89">
        <f t="shared" ref="L134" si="10">IF(K134="Se investigan y resuelven oportunamente",15,IF(K134="No se investigan y resuelven oportunamente",0,""))</f>
        <v>15</v>
      </c>
      <c r="M134" s="585" t="s">
        <v>340</v>
      </c>
      <c r="N134" s="586"/>
      <c r="O134" s="586"/>
      <c r="P134" s="586"/>
      <c r="Q134" s="586"/>
      <c r="R134" s="587"/>
      <c r="S134" s="91" t="s">
        <v>115</v>
      </c>
      <c r="T134" s="89">
        <f t="shared" ref="T134" si="11">IF(S134="Se investigan y resuelven oportunamente",15,IF(S134="No se investigan y resuelven oportunamente",0,""))</f>
        <v>15</v>
      </c>
      <c r="U134" s="585" t="s">
        <v>344</v>
      </c>
      <c r="V134" s="586"/>
      <c r="W134" s="586"/>
      <c r="X134" s="586"/>
      <c r="Y134" s="586"/>
      <c r="Z134" s="587"/>
    </row>
    <row r="135" spans="1:26" ht="39.75" customHeight="1" thickBot="1" x14ac:dyDescent="0.25">
      <c r="B135" s="61" t="s">
        <v>130</v>
      </c>
      <c r="C135" s="233" t="s">
        <v>104</v>
      </c>
      <c r="D135" s="52" t="s">
        <v>96</v>
      </c>
      <c r="E135" s="193" t="s">
        <v>117</v>
      </c>
      <c r="F135" s="92">
        <f>IF(E135="Completa",10,IF(E135="Incompleta",5,IF(E135="No existe",0,"")))</f>
        <v>10</v>
      </c>
      <c r="G135" s="593" t="s">
        <v>336</v>
      </c>
      <c r="H135" s="589"/>
      <c r="I135" s="589"/>
      <c r="J135" s="590"/>
      <c r="K135" s="93" t="s">
        <v>117</v>
      </c>
      <c r="L135" s="92">
        <f t="shared" ref="L135" si="12">IF(K135="Completa",10,IF(K135="Incompleta",5,IF(K135="No existe",0,"")))</f>
        <v>10</v>
      </c>
      <c r="M135" s="588" t="s">
        <v>341</v>
      </c>
      <c r="N135" s="589"/>
      <c r="O135" s="589"/>
      <c r="P135" s="589"/>
      <c r="Q135" s="589"/>
      <c r="R135" s="590"/>
      <c r="S135" s="93" t="s">
        <v>117</v>
      </c>
      <c r="T135" s="92">
        <f t="shared" ref="T135" si="13">IF(S135="Completa",10,IF(S135="Incompleta",5,IF(S135="No existe",0,"")))</f>
        <v>10</v>
      </c>
      <c r="U135" s="588" t="s">
        <v>420</v>
      </c>
      <c r="V135" s="589"/>
      <c r="W135" s="589"/>
      <c r="X135" s="589"/>
      <c r="Y135" s="589"/>
      <c r="Z135" s="590"/>
    </row>
    <row r="136" spans="1:26" ht="7.5" customHeight="1" thickBot="1" x14ac:dyDescent="0.25">
      <c r="D136" s="38"/>
      <c r="K136" s="94"/>
      <c r="L136" s="95"/>
      <c r="S136" s="94"/>
      <c r="T136" s="95"/>
    </row>
    <row r="137" spans="1:26" x14ac:dyDescent="0.2">
      <c r="D137" s="114" t="s">
        <v>97</v>
      </c>
      <c r="E137" s="412">
        <f>IF(SUM(F129:F135)=0,"-",SUM(F129:F135))</f>
        <v>100</v>
      </c>
      <c r="F137" s="413"/>
      <c r="G137" s="542"/>
      <c r="J137" s="111"/>
      <c r="K137" s="412">
        <f t="shared" ref="K137" si="14">IF(SUM(L129:L135)=0,"-",SUM(L129:L135))</f>
        <v>100</v>
      </c>
      <c r="L137" s="413"/>
      <c r="M137" s="111"/>
      <c r="S137" s="412">
        <f t="shared" ref="S137" si="15">IF(SUM(T129:T135)=0,"-",SUM(T129:T135))</f>
        <v>85</v>
      </c>
      <c r="T137" s="413"/>
      <c r="U137" s="111"/>
    </row>
    <row r="138" spans="1:26" ht="15.75" customHeight="1" thickBot="1" x14ac:dyDescent="0.25">
      <c r="D138" s="115" t="s">
        <v>123</v>
      </c>
      <c r="E138" s="394" t="str">
        <f>IF(E137&lt;=74,"Débil",IF(E137&lt;=89,"Moderado",IF(E137&lt;=100,"Fuerte","")))</f>
        <v>Fuerte</v>
      </c>
      <c r="F138" s="395"/>
      <c r="G138" s="542"/>
      <c r="J138" s="111"/>
      <c r="K138" s="394" t="str">
        <f t="shared" ref="K138" si="16">IF(K137&lt;=74,"Débil",IF(K137&lt;=89,"Moderado",IF(K137&lt;=100,"Fuerte","")))</f>
        <v>Fuerte</v>
      </c>
      <c r="L138" s="395"/>
      <c r="M138" s="111"/>
      <c r="S138" s="394" t="str">
        <f t="shared" ref="S138" si="17">IF(S137&lt;=74,"Débil",IF(S137&lt;=89,"Moderado",IF(S137&lt;=100,"Fuerte","")))</f>
        <v>Moderado</v>
      </c>
      <c r="T138" s="395"/>
      <c r="U138" s="111"/>
    </row>
    <row r="139" spans="1:26" ht="15" thickBot="1" x14ac:dyDescent="0.25"/>
    <row r="140" spans="1:26" ht="33" customHeight="1" thickBot="1" x14ac:dyDescent="0.25">
      <c r="A140" s="58" t="str">
        <f>+Matriz!E23</f>
        <v>AGRI-SI-RC-001</v>
      </c>
      <c r="B140" s="405" t="str">
        <f>+Matriz!F23</f>
        <v>Favorecimiento de un tercero en el proceso de contratación de equipos y servicios relacionados del área</v>
      </c>
      <c r="C140" s="406"/>
      <c r="D140" s="406"/>
      <c r="E140" s="406"/>
      <c r="F140" s="406"/>
      <c r="G140" s="406"/>
      <c r="H140" s="406"/>
      <c r="I140" s="406"/>
      <c r="J140" s="406"/>
      <c r="K140" s="406"/>
      <c r="L140" s="407"/>
      <c r="M140" s="96"/>
    </row>
    <row r="141" spans="1:26" ht="10.5" customHeight="1" thickBot="1" x14ac:dyDescent="0.25"/>
    <row r="142" spans="1:26" ht="16.5" customHeight="1" thickBot="1" x14ac:dyDescent="0.25">
      <c r="B142" s="408" t="s">
        <v>158</v>
      </c>
      <c r="C142" s="409"/>
      <c r="D142" s="419"/>
      <c r="E142" s="470" t="s">
        <v>124</v>
      </c>
      <c r="F142" s="471"/>
      <c r="G142" s="471"/>
      <c r="H142" s="471"/>
      <c r="I142" s="471"/>
      <c r="J142" s="471"/>
      <c r="K142" s="518" t="s">
        <v>254</v>
      </c>
      <c r="L142" s="519"/>
      <c r="M142" s="519"/>
      <c r="N142" s="519"/>
      <c r="O142" s="519"/>
      <c r="P142" s="519"/>
      <c r="Q142" s="519"/>
      <c r="R142" s="520"/>
    </row>
    <row r="143" spans="1:26" ht="57.75" customHeight="1" thickBot="1" x14ac:dyDescent="0.25">
      <c r="B143" s="410"/>
      <c r="C143" s="411"/>
      <c r="D143" s="420"/>
      <c r="E143" s="521" t="str">
        <f>+Matriz!Q23</f>
        <v>Revisar que los anexos técnicos contengan información detallada de acuerdo a los bienes y/o servicios que se vayan a contratar y evidencien la pluralidad del mercado.</v>
      </c>
      <c r="F143" s="522"/>
      <c r="G143" s="522"/>
      <c r="H143" s="522"/>
      <c r="I143" s="522"/>
      <c r="J143" s="522"/>
      <c r="K143" s="493" t="str">
        <f>+Matriz!Q24</f>
        <v>Comparar lo valores históricos de la contratación de bienes y servicios con las condiciones actuales del mercado y las referencias de entidades estatales.</v>
      </c>
      <c r="L143" s="494"/>
      <c r="M143" s="494"/>
      <c r="N143" s="494"/>
      <c r="O143" s="494"/>
      <c r="P143" s="494"/>
      <c r="Q143" s="494"/>
      <c r="R143" s="495"/>
    </row>
    <row r="144" spans="1:26" ht="15" x14ac:dyDescent="0.25">
      <c r="B144" s="444" t="s">
        <v>125</v>
      </c>
      <c r="C144" s="446" t="s">
        <v>126</v>
      </c>
      <c r="D144" s="447"/>
      <c r="E144" s="491" t="s">
        <v>120</v>
      </c>
      <c r="F144" s="492"/>
      <c r="G144" s="523" t="s">
        <v>71</v>
      </c>
      <c r="H144" s="524"/>
      <c r="I144" s="524"/>
      <c r="J144" s="525"/>
      <c r="K144" s="450" t="s">
        <v>120</v>
      </c>
      <c r="L144" s="451"/>
      <c r="M144" s="452" t="s">
        <v>71</v>
      </c>
      <c r="N144" s="453"/>
      <c r="O144" s="453"/>
      <c r="P144" s="453"/>
      <c r="Q144" s="453"/>
      <c r="R144" s="454"/>
    </row>
    <row r="145" spans="1:18" ht="15.75" customHeight="1" thickBot="1" x14ac:dyDescent="0.25">
      <c r="B145" s="445"/>
      <c r="C145" s="448"/>
      <c r="D145" s="449"/>
      <c r="E145" s="56" t="s">
        <v>121</v>
      </c>
      <c r="F145" s="57" t="s">
        <v>122</v>
      </c>
      <c r="G145" s="526"/>
      <c r="H145" s="527"/>
      <c r="I145" s="527"/>
      <c r="J145" s="528"/>
      <c r="K145" s="56" t="s">
        <v>121</v>
      </c>
      <c r="L145" s="57" t="s">
        <v>122</v>
      </c>
      <c r="M145" s="496"/>
      <c r="N145" s="497"/>
      <c r="O145" s="497"/>
      <c r="P145" s="497"/>
      <c r="Q145" s="497"/>
      <c r="R145" s="498"/>
    </row>
    <row r="146" spans="1:18" ht="30" customHeight="1" x14ac:dyDescent="0.2">
      <c r="B146" s="414" t="s">
        <v>127</v>
      </c>
      <c r="C146" s="84" t="s">
        <v>98</v>
      </c>
      <c r="D146" s="50" t="s">
        <v>87</v>
      </c>
      <c r="E146" s="195" t="s">
        <v>105</v>
      </c>
      <c r="F146" s="87">
        <f>IF(E146="Asignado",15,IF(E146="No asignado",0,""))</f>
        <v>15</v>
      </c>
      <c r="G146" s="582" t="s">
        <v>345</v>
      </c>
      <c r="H146" s="583"/>
      <c r="I146" s="583"/>
      <c r="J146" s="584"/>
      <c r="K146" s="88" t="s">
        <v>105</v>
      </c>
      <c r="L146" s="87">
        <f t="shared" ref="L146" si="18">IF(K146="Asignado",15,IF(K146="No asignado",0,""))</f>
        <v>15</v>
      </c>
      <c r="M146" s="582" t="s">
        <v>350</v>
      </c>
      <c r="N146" s="583"/>
      <c r="O146" s="583"/>
      <c r="P146" s="583"/>
      <c r="Q146" s="583"/>
      <c r="R146" s="584"/>
    </row>
    <row r="147" spans="1:18" ht="53.25" customHeight="1" x14ac:dyDescent="0.2">
      <c r="B147" s="415"/>
      <c r="C147" s="37" t="s">
        <v>99</v>
      </c>
      <c r="D147" s="51" t="s">
        <v>91</v>
      </c>
      <c r="E147" s="190" t="s">
        <v>107</v>
      </c>
      <c r="F147" s="89">
        <f>IF(E147="Adecuado",15,IF(E147="Inadecuado",0,""))</f>
        <v>15</v>
      </c>
      <c r="G147" s="585" t="s">
        <v>346</v>
      </c>
      <c r="H147" s="586"/>
      <c r="I147" s="586"/>
      <c r="J147" s="587"/>
      <c r="K147" s="90" t="s">
        <v>107</v>
      </c>
      <c r="L147" s="89">
        <f t="shared" ref="L147" si="19">IF(K147="Adecuado",15,IF(K147="Inadecuado",0,""))</f>
        <v>15</v>
      </c>
      <c r="M147" s="585" t="s">
        <v>423</v>
      </c>
      <c r="N147" s="586"/>
      <c r="O147" s="586"/>
      <c r="P147" s="586"/>
      <c r="Q147" s="586"/>
      <c r="R147" s="587"/>
    </row>
    <row r="148" spans="1:18" ht="30" customHeight="1" x14ac:dyDescent="0.2">
      <c r="B148" s="86" t="s">
        <v>128</v>
      </c>
      <c r="C148" s="37" t="s">
        <v>100</v>
      </c>
      <c r="D148" s="51" t="s">
        <v>92</v>
      </c>
      <c r="E148" s="190" t="s">
        <v>109</v>
      </c>
      <c r="F148" s="89">
        <f>IF(E148="Oportuna",15,IF(E148="Inoportuna",0,""))</f>
        <v>15</v>
      </c>
      <c r="G148" s="585" t="s">
        <v>347</v>
      </c>
      <c r="H148" s="586"/>
      <c r="I148" s="586"/>
      <c r="J148" s="587"/>
      <c r="K148" s="90" t="s">
        <v>109</v>
      </c>
      <c r="L148" s="89">
        <f t="shared" ref="L148" si="20">IF(K148="Oportuna",15,IF(K148="Inoportuna",0,""))</f>
        <v>15</v>
      </c>
      <c r="M148" s="585" t="s">
        <v>255</v>
      </c>
      <c r="N148" s="586"/>
      <c r="O148" s="586"/>
      <c r="P148" s="586"/>
      <c r="Q148" s="586"/>
      <c r="R148" s="587"/>
    </row>
    <row r="149" spans="1:18" ht="45" customHeight="1" x14ac:dyDescent="0.2">
      <c r="B149" s="86" t="s">
        <v>129</v>
      </c>
      <c r="C149" s="37" t="s">
        <v>101</v>
      </c>
      <c r="D149" s="51" t="s">
        <v>93</v>
      </c>
      <c r="E149" s="192" t="s">
        <v>111</v>
      </c>
      <c r="F149" s="89">
        <f>IF(E149="Prevenir o detectar",15,IF(E149="No es control",0,""))</f>
        <v>15</v>
      </c>
      <c r="G149" s="585" t="s">
        <v>348</v>
      </c>
      <c r="H149" s="586"/>
      <c r="I149" s="586"/>
      <c r="J149" s="587"/>
      <c r="K149" s="91" t="s">
        <v>111</v>
      </c>
      <c r="L149" s="89">
        <f t="shared" ref="L149" si="21">IF(K149="Prevenir o detectar",15,IF(K149="No es control",0,""))</f>
        <v>15</v>
      </c>
      <c r="M149" s="585" t="s">
        <v>351</v>
      </c>
      <c r="N149" s="586"/>
      <c r="O149" s="586"/>
      <c r="P149" s="586"/>
      <c r="Q149" s="586"/>
      <c r="R149" s="587"/>
    </row>
    <row r="150" spans="1:18" ht="30" customHeight="1" x14ac:dyDescent="0.2">
      <c r="B150" s="60" t="s">
        <v>131</v>
      </c>
      <c r="C150" s="37" t="s">
        <v>102</v>
      </c>
      <c r="D150" s="51" t="s">
        <v>94</v>
      </c>
      <c r="E150" s="190" t="s">
        <v>113</v>
      </c>
      <c r="F150" s="89">
        <f>IF(E150="Confiable",15,IF(E150="No confiable",0,""))</f>
        <v>15</v>
      </c>
      <c r="G150" s="585" t="s">
        <v>296</v>
      </c>
      <c r="H150" s="586"/>
      <c r="I150" s="586"/>
      <c r="J150" s="587"/>
      <c r="K150" s="90" t="s">
        <v>113</v>
      </c>
      <c r="L150" s="89">
        <f t="shared" ref="L150" si="22">IF(K150="Confiable",15,IF(K150="No confiable",0,""))</f>
        <v>15</v>
      </c>
      <c r="M150" s="585" t="s">
        <v>256</v>
      </c>
      <c r="N150" s="586"/>
      <c r="O150" s="586"/>
      <c r="P150" s="586"/>
      <c r="Q150" s="586"/>
      <c r="R150" s="587"/>
    </row>
    <row r="151" spans="1:18" ht="45" customHeight="1" x14ac:dyDescent="0.2">
      <c r="B151" s="60" t="s">
        <v>132</v>
      </c>
      <c r="C151" s="37" t="s">
        <v>103</v>
      </c>
      <c r="D151" s="51" t="s">
        <v>95</v>
      </c>
      <c r="E151" s="192" t="s">
        <v>115</v>
      </c>
      <c r="F151" s="89">
        <f>IF(E151="Se investigan y resuelven oportunamente",15,IF(E151="No se investigan y resuelven oportunamente",0,""))</f>
        <v>15</v>
      </c>
      <c r="G151" s="585" t="s">
        <v>297</v>
      </c>
      <c r="H151" s="586"/>
      <c r="I151" s="586"/>
      <c r="J151" s="587"/>
      <c r="K151" s="91" t="s">
        <v>115</v>
      </c>
      <c r="L151" s="89">
        <f t="shared" ref="L151" si="23">IF(K151="Se investigan y resuelven oportunamente",15,IF(K151="No se investigan y resuelven oportunamente",0,""))</f>
        <v>15</v>
      </c>
      <c r="M151" s="585" t="s">
        <v>257</v>
      </c>
      <c r="N151" s="586"/>
      <c r="O151" s="586"/>
      <c r="P151" s="586"/>
      <c r="Q151" s="586"/>
      <c r="R151" s="587"/>
    </row>
    <row r="152" spans="1:18" ht="30" customHeight="1" thickBot="1" x14ac:dyDescent="0.25">
      <c r="B152" s="61" t="s">
        <v>130</v>
      </c>
      <c r="C152" s="85" t="s">
        <v>104</v>
      </c>
      <c r="D152" s="52" t="s">
        <v>96</v>
      </c>
      <c r="E152" s="193" t="s">
        <v>117</v>
      </c>
      <c r="F152" s="92">
        <f>IF(E152="Completa",10,IF(E152="Incompleta",5,IF(E152="No existe",0,"")))</f>
        <v>10</v>
      </c>
      <c r="G152" s="588" t="s">
        <v>349</v>
      </c>
      <c r="H152" s="589"/>
      <c r="I152" s="589"/>
      <c r="J152" s="590"/>
      <c r="K152" s="93" t="s">
        <v>117</v>
      </c>
      <c r="L152" s="92">
        <f t="shared" ref="L152" si="24">IF(K152="Completa",10,IF(K152="Incompleta",5,IF(K152="No existe",0,"")))</f>
        <v>10</v>
      </c>
      <c r="M152" s="588" t="s">
        <v>349</v>
      </c>
      <c r="N152" s="589"/>
      <c r="O152" s="589"/>
      <c r="P152" s="589"/>
      <c r="Q152" s="589"/>
      <c r="R152" s="590"/>
    </row>
    <row r="153" spans="1:18" ht="7.5" customHeight="1" thickBot="1" x14ac:dyDescent="0.25">
      <c r="D153" s="38"/>
      <c r="J153" s="82"/>
      <c r="K153" s="94"/>
      <c r="L153" s="95"/>
      <c r="M153" s="82"/>
    </row>
    <row r="154" spans="1:18" x14ac:dyDescent="0.2">
      <c r="D154" s="48" t="s">
        <v>97</v>
      </c>
      <c r="E154" s="412">
        <f>IF(SUM(F146:F152)=0,"-",SUM(F146:F152))</f>
        <v>100</v>
      </c>
      <c r="F154" s="413"/>
      <c r="G154" s="517"/>
      <c r="J154" s="83"/>
      <c r="K154" s="412">
        <f t="shared" ref="K154" si="25">IF(SUM(L146:L152)=0,"-",SUM(L146:L152))</f>
        <v>100</v>
      </c>
      <c r="L154" s="413"/>
      <c r="M154" s="83"/>
    </row>
    <row r="155" spans="1:18" ht="15.75" customHeight="1" thickBot="1" x14ac:dyDescent="0.25">
      <c r="D155" s="49" t="s">
        <v>123</v>
      </c>
      <c r="E155" s="394" t="str">
        <f>IF(E154&lt;=74,"Débil",IF(E154&lt;=89,"Moderado",IF(E154&lt;=100,"Fuerte","")))</f>
        <v>Fuerte</v>
      </c>
      <c r="F155" s="395"/>
      <c r="G155" s="517"/>
      <c r="J155" s="83"/>
      <c r="K155" s="394" t="str">
        <f t="shared" ref="K155" si="26">IF(K154&lt;=74,"Débil",IF(K154&lt;=89,"Moderado",IF(K154&lt;=100,"Fuerte","")))</f>
        <v>Fuerte</v>
      </c>
      <c r="L155" s="395"/>
      <c r="M155" s="83"/>
    </row>
    <row r="156" spans="1:18" ht="15" thickBot="1" x14ac:dyDescent="0.25"/>
    <row r="157" spans="1:18" ht="33" customHeight="1" thickBot="1" x14ac:dyDescent="0.25">
      <c r="A157" s="58" t="str">
        <f>+Matriz!E25</f>
        <v>AGRI-GD-RC-001</v>
      </c>
      <c r="B157" s="405" t="str">
        <f>+Matriz!F25</f>
        <v xml:space="preserve">Manipulación de la información para beneficio de un tercero </v>
      </c>
      <c r="C157" s="406"/>
      <c r="D157" s="406"/>
      <c r="E157" s="406"/>
      <c r="F157" s="406"/>
      <c r="G157" s="406"/>
      <c r="H157" s="406"/>
      <c r="I157" s="406"/>
      <c r="J157" s="406"/>
      <c r="K157" s="406"/>
      <c r="L157" s="407"/>
      <c r="M157" s="96"/>
    </row>
    <row r="158" spans="1:18" ht="10.5" customHeight="1" thickBot="1" x14ac:dyDescent="0.25"/>
    <row r="159" spans="1:18" ht="16.5" customHeight="1" thickBot="1" x14ac:dyDescent="0.25">
      <c r="B159" s="408" t="s">
        <v>158</v>
      </c>
      <c r="C159" s="409"/>
      <c r="D159" s="419"/>
      <c r="E159" s="470" t="s">
        <v>124</v>
      </c>
      <c r="F159" s="471"/>
      <c r="G159" s="471"/>
      <c r="H159" s="471"/>
      <c r="I159" s="471"/>
      <c r="J159" s="471"/>
      <c r="K159" s="518" t="s">
        <v>254</v>
      </c>
      <c r="L159" s="519"/>
      <c r="M159" s="519"/>
      <c r="N159" s="519"/>
      <c r="O159" s="519"/>
      <c r="P159" s="519"/>
      <c r="Q159" s="519"/>
      <c r="R159" s="520"/>
    </row>
    <row r="160" spans="1:18" ht="24.75" customHeight="1" thickBot="1" x14ac:dyDescent="0.25">
      <c r="B160" s="410"/>
      <c r="C160" s="411"/>
      <c r="D160" s="420"/>
      <c r="E160" s="521" t="str">
        <f>+Matriz!Q25</f>
        <v>Control al préstamo y consulta de los documentos físicos</v>
      </c>
      <c r="F160" s="522"/>
      <c r="G160" s="522"/>
      <c r="H160" s="522"/>
      <c r="I160" s="522"/>
      <c r="J160" s="522"/>
      <c r="K160" s="493" t="str">
        <f>+Matriz!Q26</f>
        <v>Control al préstamo y consulta de los documentos electronicos y/o Digitales</v>
      </c>
      <c r="L160" s="494"/>
      <c r="M160" s="494"/>
      <c r="N160" s="494"/>
      <c r="O160" s="494"/>
      <c r="P160" s="494"/>
      <c r="Q160" s="494"/>
      <c r="R160" s="495"/>
    </row>
    <row r="161" spans="1:18" ht="15" x14ac:dyDescent="0.25">
      <c r="B161" s="444" t="s">
        <v>125</v>
      </c>
      <c r="C161" s="446" t="s">
        <v>126</v>
      </c>
      <c r="D161" s="447"/>
      <c r="E161" s="491" t="s">
        <v>120</v>
      </c>
      <c r="F161" s="530"/>
      <c r="G161" s="523" t="s">
        <v>71</v>
      </c>
      <c r="H161" s="524"/>
      <c r="I161" s="524"/>
      <c r="J161" s="525"/>
      <c r="K161" s="529" t="s">
        <v>120</v>
      </c>
      <c r="L161" s="451"/>
      <c r="M161" s="452" t="s">
        <v>71</v>
      </c>
      <c r="N161" s="453"/>
      <c r="O161" s="453"/>
      <c r="P161" s="453"/>
      <c r="Q161" s="453"/>
      <c r="R161" s="454"/>
    </row>
    <row r="162" spans="1:18" ht="15.75" customHeight="1" thickBot="1" x14ac:dyDescent="0.25">
      <c r="B162" s="445"/>
      <c r="C162" s="448"/>
      <c r="D162" s="449"/>
      <c r="E162" s="197" t="s">
        <v>121</v>
      </c>
      <c r="F162" s="119" t="s">
        <v>122</v>
      </c>
      <c r="G162" s="526"/>
      <c r="H162" s="527"/>
      <c r="I162" s="527"/>
      <c r="J162" s="528"/>
      <c r="K162" s="117" t="s">
        <v>121</v>
      </c>
      <c r="L162" s="198" t="s">
        <v>122</v>
      </c>
      <c r="M162" s="496"/>
      <c r="N162" s="497"/>
      <c r="O162" s="497"/>
      <c r="P162" s="497"/>
      <c r="Q162" s="497"/>
      <c r="R162" s="498"/>
    </row>
    <row r="163" spans="1:18" ht="48" customHeight="1" x14ac:dyDescent="0.2">
      <c r="B163" s="414" t="s">
        <v>127</v>
      </c>
      <c r="C163" s="232" t="s">
        <v>98</v>
      </c>
      <c r="D163" s="105" t="s">
        <v>87</v>
      </c>
      <c r="E163" s="195" t="s">
        <v>105</v>
      </c>
      <c r="F163" s="87">
        <f>IF(E163="Asignado",15,IF(E163="No asignado",0,""))</f>
        <v>15</v>
      </c>
      <c r="G163" s="595" t="s">
        <v>355</v>
      </c>
      <c r="H163" s="596"/>
      <c r="I163" s="596"/>
      <c r="J163" s="597"/>
      <c r="K163" s="88" t="s">
        <v>105</v>
      </c>
      <c r="L163" s="87">
        <f t="shared" ref="L163" si="27">IF(K163="Asignado",15,IF(K163="No asignado",0,""))</f>
        <v>15</v>
      </c>
      <c r="M163" s="598" t="s">
        <v>355</v>
      </c>
      <c r="N163" s="599"/>
      <c r="O163" s="599"/>
      <c r="P163" s="599"/>
      <c r="Q163" s="599"/>
      <c r="R163" s="600"/>
    </row>
    <row r="164" spans="1:18" ht="30" customHeight="1" x14ac:dyDescent="0.2">
      <c r="B164" s="415"/>
      <c r="C164" s="37" t="s">
        <v>99</v>
      </c>
      <c r="D164" s="51" t="s">
        <v>91</v>
      </c>
      <c r="E164" s="190" t="s">
        <v>107</v>
      </c>
      <c r="F164" s="89">
        <f>IF(E164="Adecuado",15,IF(E164="Inadecuado",0,""))</f>
        <v>15</v>
      </c>
      <c r="G164" s="601" t="s">
        <v>407</v>
      </c>
      <c r="H164" s="602"/>
      <c r="I164" s="602"/>
      <c r="J164" s="603"/>
      <c r="K164" s="90" t="s">
        <v>107</v>
      </c>
      <c r="L164" s="89">
        <f t="shared" ref="L164" si="28">IF(K164="Adecuado",15,IF(K164="Inadecuado",0,""))</f>
        <v>15</v>
      </c>
      <c r="M164" s="604" t="s">
        <v>407</v>
      </c>
      <c r="N164" s="605"/>
      <c r="O164" s="605"/>
      <c r="P164" s="605"/>
      <c r="Q164" s="605"/>
      <c r="R164" s="606"/>
    </row>
    <row r="165" spans="1:18" ht="30" customHeight="1" x14ac:dyDescent="0.2">
      <c r="B165" s="234" t="s">
        <v>128</v>
      </c>
      <c r="C165" s="37" t="s">
        <v>100</v>
      </c>
      <c r="D165" s="51" t="s">
        <v>92</v>
      </c>
      <c r="E165" s="190" t="s">
        <v>109</v>
      </c>
      <c r="F165" s="89">
        <f>IF(E165="Oportuna",15,IF(E165="Inoportuna",0,""))</f>
        <v>15</v>
      </c>
      <c r="G165" s="601" t="s">
        <v>275</v>
      </c>
      <c r="H165" s="602"/>
      <c r="I165" s="602"/>
      <c r="J165" s="603"/>
      <c r="K165" s="90" t="s">
        <v>109</v>
      </c>
      <c r="L165" s="89">
        <f t="shared" ref="L165" si="29">IF(K165="Oportuna",15,IF(K165="Inoportuna",0,""))</f>
        <v>15</v>
      </c>
      <c r="M165" s="604" t="s">
        <v>275</v>
      </c>
      <c r="N165" s="605"/>
      <c r="O165" s="605"/>
      <c r="P165" s="605"/>
      <c r="Q165" s="605"/>
      <c r="R165" s="606"/>
    </row>
    <row r="166" spans="1:18" ht="45" customHeight="1" x14ac:dyDescent="0.2">
      <c r="B166" s="234" t="s">
        <v>129</v>
      </c>
      <c r="C166" s="37" t="s">
        <v>101</v>
      </c>
      <c r="D166" s="51" t="s">
        <v>93</v>
      </c>
      <c r="E166" s="192" t="s">
        <v>111</v>
      </c>
      <c r="F166" s="89">
        <f>IF(E166="Prevenir o detectar",15,IF(E166="No es control",0,""))</f>
        <v>15</v>
      </c>
      <c r="G166" s="601" t="s">
        <v>276</v>
      </c>
      <c r="H166" s="602"/>
      <c r="I166" s="602"/>
      <c r="J166" s="603"/>
      <c r="K166" s="91" t="s">
        <v>111</v>
      </c>
      <c r="L166" s="89">
        <f t="shared" ref="L166" si="30">IF(K166="Prevenir o detectar",15,IF(K166="No es control",0,""))</f>
        <v>15</v>
      </c>
      <c r="M166" s="604" t="s">
        <v>276</v>
      </c>
      <c r="N166" s="605"/>
      <c r="O166" s="605"/>
      <c r="P166" s="605"/>
      <c r="Q166" s="605"/>
      <c r="R166" s="606"/>
    </row>
    <row r="167" spans="1:18" ht="30" customHeight="1" x14ac:dyDescent="0.2">
      <c r="B167" s="106" t="s">
        <v>131</v>
      </c>
      <c r="C167" s="37" t="s">
        <v>102</v>
      </c>
      <c r="D167" s="51" t="s">
        <v>94</v>
      </c>
      <c r="E167" s="190" t="s">
        <v>113</v>
      </c>
      <c r="F167" s="89">
        <f>IF(E167="Confiable",15,IF(E167="No confiable",0,""))</f>
        <v>15</v>
      </c>
      <c r="G167" s="601" t="s">
        <v>277</v>
      </c>
      <c r="H167" s="602"/>
      <c r="I167" s="602"/>
      <c r="J167" s="603"/>
      <c r="K167" s="90" t="s">
        <v>113</v>
      </c>
      <c r="L167" s="89">
        <f t="shared" ref="L167" si="31">IF(K167="Confiable",15,IF(K167="No confiable",0,""))</f>
        <v>15</v>
      </c>
      <c r="M167" s="604" t="s">
        <v>279</v>
      </c>
      <c r="N167" s="605"/>
      <c r="O167" s="605"/>
      <c r="P167" s="605"/>
      <c r="Q167" s="605"/>
      <c r="R167" s="606"/>
    </row>
    <row r="168" spans="1:18" ht="45" customHeight="1" x14ac:dyDescent="0.2">
      <c r="B168" s="106" t="s">
        <v>132</v>
      </c>
      <c r="C168" s="37" t="s">
        <v>103</v>
      </c>
      <c r="D168" s="51" t="s">
        <v>95</v>
      </c>
      <c r="E168" s="192" t="s">
        <v>116</v>
      </c>
      <c r="F168" s="89">
        <f>IF(E168="Se investigan y resuelven oportunamente",15,IF(E168="No se investigan y resuelven oportunamente",0,""))</f>
        <v>0</v>
      </c>
      <c r="G168" s="601" t="s">
        <v>278</v>
      </c>
      <c r="H168" s="602"/>
      <c r="I168" s="602"/>
      <c r="J168" s="603"/>
      <c r="K168" s="91" t="s">
        <v>115</v>
      </c>
      <c r="L168" s="89">
        <f t="shared" ref="L168" si="32">IF(K168="Se investigan y resuelven oportunamente",15,IF(K168="No se investigan y resuelven oportunamente",0,""))</f>
        <v>15</v>
      </c>
      <c r="M168" s="604" t="s">
        <v>354</v>
      </c>
      <c r="N168" s="605"/>
      <c r="O168" s="605"/>
      <c r="P168" s="605"/>
      <c r="Q168" s="605"/>
      <c r="R168" s="606"/>
    </row>
    <row r="169" spans="1:18" ht="30" customHeight="1" thickBot="1" x14ac:dyDescent="0.25">
      <c r="B169" s="61" t="s">
        <v>130</v>
      </c>
      <c r="C169" s="233" t="s">
        <v>104</v>
      </c>
      <c r="D169" s="52" t="s">
        <v>96</v>
      </c>
      <c r="E169" s="193" t="s">
        <v>117</v>
      </c>
      <c r="F169" s="92">
        <f>IF(E169="Completa",10,IF(E169="Incompleta",5,IF(E169="No existe",0,"")))</f>
        <v>10</v>
      </c>
      <c r="G169" s="607" t="s">
        <v>302</v>
      </c>
      <c r="H169" s="608"/>
      <c r="I169" s="608"/>
      <c r="J169" s="609"/>
      <c r="K169" s="93" t="s">
        <v>117</v>
      </c>
      <c r="L169" s="92">
        <f t="shared" ref="L169" si="33">IF(K169="Completa",10,IF(K169="Incompleta",5,IF(K169="No existe",0,"")))</f>
        <v>10</v>
      </c>
      <c r="M169" s="610" t="s">
        <v>280</v>
      </c>
      <c r="N169" s="611"/>
      <c r="O169" s="611"/>
      <c r="P169" s="611"/>
      <c r="Q169" s="611"/>
      <c r="R169" s="612"/>
    </row>
    <row r="170" spans="1:18" ht="7.5" customHeight="1" thickBot="1" x14ac:dyDescent="0.25">
      <c r="D170" s="38"/>
      <c r="K170" s="94"/>
      <c r="L170" s="95"/>
    </row>
    <row r="171" spans="1:18" x14ac:dyDescent="0.2">
      <c r="D171" s="114" t="s">
        <v>97</v>
      </c>
      <c r="E171" s="412">
        <f>IF(SUM(F163:F169)=0,"-",SUM(F163:F169))</f>
        <v>85</v>
      </c>
      <c r="F171" s="413"/>
      <c r="G171" s="542"/>
      <c r="J171" s="111"/>
      <c r="K171" s="412">
        <f t="shared" ref="K171" si="34">IF(SUM(L163:L169)=0,"-",SUM(L163:L169))</f>
        <v>100</v>
      </c>
      <c r="L171" s="413"/>
      <c r="M171" s="111"/>
    </row>
    <row r="172" spans="1:18" ht="15.75" customHeight="1" thickBot="1" x14ac:dyDescent="0.25">
      <c r="D172" s="115" t="s">
        <v>123</v>
      </c>
      <c r="E172" s="394" t="str">
        <f>IF(E171&lt;=74,"Débil",IF(E171&lt;=89,"Moderado",IF(E171&lt;=100,"Fuerte","")))</f>
        <v>Moderado</v>
      </c>
      <c r="F172" s="395"/>
      <c r="G172" s="542"/>
      <c r="J172" s="111"/>
      <c r="K172" s="394" t="str">
        <f t="shared" ref="K172" si="35">IF(K171&lt;=74,"Débil",IF(K171&lt;=89,"Moderado",IF(K171&lt;=100,"Fuerte","")))</f>
        <v>Fuerte</v>
      </c>
      <c r="L172" s="395"/>
      <c r="M172" s="111"/>
    </row>
    <row r="173" spans="1:18" ht="15" thickBot="1" x14ac:dyDescent="0.25"/>
    <row r="174" spans="1:18" ht="30" customHeight="1" thickBot="1" x14ac:dyDescent="0.25">
      <c r="A174" s="116" t="str">
        <f>+Matriz!E27</f>
        <v>AGJC-RC-001</v>
      </c>
      <c r="B174" s="514" t="str">
        <f>+Matriz!F27</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515"/>
      <c r="D174" s="515"/>
      <c r="E174" s="515"/>
      <c r="F174" s="515"/>
      <c r="G174" s="515"/>
      <c r="H174" s="515"/>
      <c r="I174" s="515"/>
      <c r="J174" s="515"/>
      <c r="K174" s="515"/>
      <c r="L174" s="516"/>
    </row>
    <row r="175" spans="1:18" ht="15" thickBot="1" x14ac:dyDescent="0.25"/>
    <row r="176" spans="1:18" ht="15.75" customHeight="1" x14ac:dyDescent="0.2">
      <c r="B176" s="408" t="s">
        <v>158</v>
      </c>
      <c r="C176" s="409"/>
      <c r="D176" s="409"/>
      <c r="E176" s="452" t="s">
        <v>124</v>
      </c>
      <c r="F176" s="453"/>
      <c r="G176" s="453"/>
      <c r="H176" s="453"/>
      <c r="I176" s="453"/>
      <c r="J176" s="453"/>
      <c r="K176" s="453"/>
      <c r="L176" s="454"/>
    </row>
    <row r="177" spans="1:12" ht="139.5" customHeight="1" thickBot="1" x14ac:dyDescent="0.25">
      <c r="B177" s="410"/>
      <c r="C177" s="411"/>
      <c r="D177" s="411"/>
      <c r="E177" s="499" t="str">
        <f>+Matriz!Q27</f>
        <v>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v>
      </c>
      <c r="F177" s="500"/>
      <c r="G177" s="500"/>
      <c r="H177" s="500"/>
      <c r="I177" s="500"/>
      <c r="J177" s="500"/>
      <c r="K177" s="500"/>
      <c r="L177" s="501"/>
    </row>
    <row r="178" spans="1:12" ht="15" x14ac:dyDescent="0.25">
      <c r="B178" s="444" t="s">
        <v>125</v>
      </c>
      <c r="C178" s="446" t="s">
        <v>126</v>
      </c>
      <c r="D178" s="447"/>
      <c r="E178" s="450" t="s">
        <v>120</v>
      </c>
      <c r="F178" s="451"/>
      <c r="G178" s="458" t="s">
        <v>71</v>
      </c>
      <c r="H178" s="459"/>
      <c r="I178" s="459"/>
      <c r="J178" s="459"/>
      <c r="K178" s="459"/>
      <c r="L178" s="460"/>
    </row>
    <row r="179" spans="1:12" ht="15" thickBot="1" x14ac:dyDescent="0.25">
      <c r="B179" s="445"/>
      <c r="C179" s="448"/>
      <c r="D179" s="449"/>
      <c r="E179" s="56" t="s">
        <v>121</v>
      </c>
      <c r="F179" s="57" t="s">
        <v>122</v>
      </c>
      <c r="G179" s="436"/>
      <c r="H179" s="437"/>
      <c r="I179" s="437"/>
      <c r="J179" s="437"/>
      <c r="K179" s="437"/>
      <c r="L179" s="438"/>
    </row>
    <row r="180" spans="1:12" ht="49.5" customHeight="1" x14ac:dyDescent="0.2">
      <c r="B180" s="414" t="s">
        <v>127</v>
      </c>
      <c r="C180" s="97" t="s">
        <v>98</v>
      </c>
      <c r="D180" s="101" t="s">
        <v>87</v>
      </c>
      <c r="E180" s="44" t="s">
        <v>105</v>
      </c>
      <c r="F180" s="45">
        <f>IF(E180="Asignado",15,IF(E180="No asignado",0,""))</f>
        <v>15</v>
      </c>
      <c r="G180" s="464" t="s">
        <v>264</v>
      </c>
      <c r="H180" s="465"/>
      <c r="I180" s="465"/>
      <c r="J180" s="465"/>
      <c r="K180" s="465"/>
      <c r="L180" s="466"/>
    </row>
    <row r="181" spans="1:12" ht="30.75" customHeight="1" x14ac:dyDescent="0.2">
      <c r="B181" s="415"/>
      <c r="C181" s="37" t="s">
        <v>99</v>
      </c>
      <c r="D181" s="51" t="s">
        <v>91</v>
      </c>
      <c r="E181" s="39" t="s">
        <v>107</v>
      </c>
      <c r="F181" s="40">
        <f>IF(E181="Adecuado",15,IF(E181="Inadecuado",0,""))</f>
        <v>15</v>
      </c>
      <c r="G181" s="396" t="s">
        <v>265</v>
      </c>
      <c r="H181" s="397"/>
      <c r="I181" s="397"/>
      <c r="J181" s="397"/>
      <c r="K181" s="397"/>
      <c r="L181" s="398"/>
    </row>
    <row r="182" spans="1:12" ht="31.5" customHeight="1" x14ac:dyDescent="0.2">
      <c r="B182" s="99" t="s">
        <v>128</v>
      </c>
      <c r="C182" s="37" t="s">
        <v>100</v>
      </c>
      <c r="D182" s="51" t="s">
        <v>92</v>
      </c>
      <c r="E182" s="39" t="s">
        <v>109</v>
      </c>
      <c r="F182" s="40">
        <f>IF(E182="Oportuna",15,IF(E182="Inoportuna",0,""))</f>
        <v>15</v>
      </c>
      <c r="G182" s="396" t="s">
        <v>298</v>
      </c>
      <c r="H182" s="397"/>
      <c r="I182" s="397"/>
      <c r="J182" s="397"/>
      <c r="K182" s="397"/>
      <c r="L182" s="398"/>
    </row>
    <row r="183" spans="1:12" ht="68.25" customHeight="1" x14ac:dyDescent="0.2">
      <c r="B183" s="99" t="s">
        <v>129</v>
      </c>
      <c r="C183" s="37" t="s">
        <v>101</v>
      </c>
      <c r="D183" s="51" t="s">
        <v>93</v>
      </c>
      <c r="E183" s="41" t="s">
        <v>112</v>
      </c>
      <c r="F183" s="40">
        <f>IF(E183="Prevenir o detectar",15,IF(E183="No es control",0,""))</f>
        <v>0</v>
      </c>
      <c r="G183" s="396" t="s">
        <v>266</v>
      </c>
      <c r="H183" s="397"/>
      <c r="I183" s="397"/>
      <c r="J183" s="397"/>
      <c r="K183" s="397"/>
      <c r="L183" s="398"/>
    </row>
    <row r="184" spans="1:12" ht="30" customHeight="1" x14ac:dyDescent="0.2">
      <c r="B184" s="100" t="s">
        <v>131</v>
      </c>
      <c r="C184" s="37" t="s">
        <v>102</v>
      </c>
      <c r="D184" s="51" t="s">
        <v>94</v>
      </c>
      <c r="E184" s="39" t="s">
        <v>113</v>
      </c>
      <c r="F184" s="40">
        <f>IF(E184="Confiable",15,IF(E184="No confiable",0,""))</f>
        <v>15</v>
      </c>
      <c r="G184" s="441" t="s">
        <v>299</v>
      </c>
      <c r="H184" s="442"/>
      <c r="I184" s="442"/>
      <c r="J184" s="442"/>
      <c r="K184" s="442"/>
      <c r="L184" s="443"/>
    </row>
    <row r="185" spans="1:12" ht="38.25" x14ac:dyDescent="0.2">
      <c r="B185" s="100" t="s">
        <v>132</v>
      </c>
      <c r="C185" s="37" t="s">
        <v>103</v>
      </c>
      <c r="D185" s="51" t="s">
        <v>95</v>
      </c>
      <c r="E185" s="41" t="s">
        <v>115</v>
      </c>
      <c r="F185" s="40">
        <f>IF(E185="Se investigan y resuelven oportunamente",15,IF(E185="No se investigan y resuelven oportunamente",0,""))</f>
        <v>15</v>
      </c>
      <c r="G185" s="441" t="s">
        <v>267</v>
      </c>
      <c r="H185" s="442"/>
      <c r="I185" s="442"/>
      <c r="J185" s="442"/>
      <c r="K185" s="442"/>
      <c r="L185" s="443"/>
    </row>
    <row r="186" spans="1:12" ht="36.75" customHeight="1" thickBot="1" x14ac:dyDescent="0.25">
      <c r="B186" s="61" t="s">
        <v>130</v>
      </c>
      <c r="C186" s="98" t="s">
        <v>104</v>
      </c>
      <c r="D186" s="52" t="s">
        <v>96</v>
      </c>
      <c r="E186" s="42" t="s">
        <v>117</v>
      </c>
      <c r="F186" s="43">
        <f>IF(E186="Completa",10,IF(E186="Incompleta",5,IF(E186="No existe",0,"")))</f>
        <v>10</v>
      </c>
      <c r="G186" s="387" t="s">
        <v>268</v>
      </c>
      <c r="H186" s="388"/>
      <c r="I186" s="388"/>
      <c r="J186" s="388"/>
      <c r="K186" s="388"/>
      <c r="L186" s="389"/>
    </row>
    <row r="187" spans="1:12" ht="15" thickBot="1" x14ac:dyDescent="0.25">
      <c r="D187" s="38"/>
      <c r="G187" s="82"/>
      <c r="H187" s="82"/>
      <c r="I187" s="82"/>
      <c r="J187" s="82"/>
      <c r="K187" s="82"/>
      <c r="L187" s="82"/>
    </row>
    <row r="188" spans="1:12" x14ac:dyDescent="0.2">
      <c r="D188" s="48" t="s">
        <v>97</v>
      </c>
      <c r="E188" s="412">
        <f>IF(SUM(F180:F186)=0,"-",SUM(F180:F186))</f>
        <v>85</v>
      </c>
      <c r="F188" s="413"/>
      <c r="G188" s="83"/>
      <c r="H188" s="83"/>
      <c r="I188" s="83"/>
      <c r="J188" s="83"/>
      <c r="K188" s="83"/>
      <c r="L188" s="83"/>
    </row>
    <row r="189" spans="1:12" ht="15" thickBot="1" x14ac:dyDescent="0.25">
      <c r="D189" s="49" t="s">
        <v>123</v>
      </c>
      <c r="E189" s="394" t="str">
        <f>IF(E188&lt;=74,"Débil",IF(E188&lt;=89,"Moderado",IF(E188&lt;=100,"Fuerte","")))</f>
        <v>Moderado</v>
      </c>
      <c r="F189" s="395"/>
      <c r="G189" s="83"/>
      <c r="H189" s="83"/>
      <c r="I189" s="83"/>
      <c r="J189" s="83"/>
      <c r="K189" s="83"/>
      <c r="L189" s="83"/>
    </row>
    <row r="190" spans="1:12" ht="15" thickBot="1" x14ac:dyDescent="0.25"/>
    <row r="191" spans="1:12" ht="30" customHeight="1" thickBot="1" x14ac:dyDescent="0.25">
      <c r="A191" s="58" t="str">
        <f>+Matriz!E28</f>
        <v>AGFF-RC-001</v>
      </c>
      <c r="B191" s="514" t="str">
        <f>+Matriz!F28</f>
        <v>Posibilidad de recibir o solicitar cualquier dávida o beneficio a cambio de agilizar el trámite de una cuenta.</v>
      </c>
      <c r="C191" s="515"/>
      <c r="D191" s="515"/>
      <c r="E191" s="515"/>
      <c r="F191" s="515"/>
      <c r="G191" s="515"/>
      <c r="H191" s="515"/>
      <c r="I191" s="515"/>
      <c r="J191" s="515"/>
      <c r="K191" s="515"/>
      <c r="L191" s="516"/>
    </row>
    <row r="192" spans="1:12" ht="15" thickBot="1" x14ac:dyDescent="0.25"/>
    <row r="193" spans="1:12" ht="15.75" customHeight="1" x14ac:dyDescent="0.2">
      <c r="B193" s="408" t="s">
        <v>158</v>
      </c>
      <c r="C193" s="409"/>
      <c r="D193" s="409"/>
      <c r="E193" s="452" t="s">
        <v>124</v>
      </c>
      <c r="F193" s="453"/>
      <c r="G193" s="453"/>
      <c r="H193" s="453"/>
      <c r="I193" s="453"/>
      <c r="J193" s="453"/>
      <c r="K193" s="453"/>
      <c r="L193" s="454"/>
    </row>
    <row r="194" spans="1:12" ht="36.75" customHeight="1" thickBot="1" x14ac:dyDescent="0.25">
      <c r="B194" s="410"/>
      <c r="C194" s="411"/>
      <c r="D194" s="411"/>
      <c r="E194" s="455" t="str">
        <f>+Matriz!Q28</f>
        <v>Aplicar procedimiento: AGFF-PD-010 LIQUIDACIÓN ÓRDENES DE PAGO 
Puntos de control: 11, 12.</v>
      </c>
      <c r="F194" s="456"/>
      <c r="G194" s="456"/>
      <c r="H194" s="456"/>
      <c r="I194" s="456"/>
      <c r="J194" s="456"/>
      <c r="K194" s="456"/>
      <c r="L194" s="457"/>
    </row>
    <row r="195" spans="1:12" ht="15" x14ac:dyDescent="0.25">
      <c r="B195" s="444" t="s">
        <v>125</v>
      </c>
      <c r="C195" s="446" t="s">
        <v>126</v>
      </c>
      <c r="D195" s="447"/>
      <c r="E195" s="450" t="s">
        <v>120</v>
      </c>
      <c r="F195" s="451"/>
      <c r="G195" s="458" t="s">
        <v>71</v>
      </c>
      <c r="H195" s="459"/>
      <c r="I195" s="459"/>
      <c r="J195" s="459"/>
      <c r="K195" s="459"/>
      <c r="L195" s="460"/>
    </row>
    <row r="196" spans="1:12" ht="15" thickBot="1" x14ac:dyDescent="0.25">
      <c r="B196" s="445"/>
      <c r="C196" s="448"/>
      <c r="D196" s="449"/>
      <c r="E196" s="56" t="s">
        <v>121</v>
      </c>
      <c r="F196" s="57" t="s">
        <v>122</v>
      </c>
      <c r="G196" s="436"/>
      <c r="H196" s="437"/>
      <c r="I196" s="437"/>
      <c r="J196" s="437"/>
      <c r="K196" s="437"/>
      <c r="L196" s="438"/>
    </row>
    <row r="197" spans="1:12" ht="49.5" customHeight="1" x14ac:dyDescent="0.2">
      <c r="B197" s="414" t="s">
        <v>127</v>
      </c>
      <c r="C197" s="97" t="s">
        <v>98</v>
      </c>
      <c r="D197" s="101" t="s">
        <v>87</v>
      </c>
      <c r="E197" s="44" t="s">
        <v>105</v>
      </c>
      <c r="F197" s="196">
        <f>IF(E197="Asignado",15,IF(E197="No asignado",0,""))</f>
        <v>15</v>
      </c>
      <c r="G197" s="416" t="s">
        <v>283</v>
      </c>
      <c r="H197" s="417"/>
      <c r="I197" s="417"/>
      <c r="J197" s="417"/>
      <c r="K197" s="417"/>
      <c r="L197" s="418"/>
    </row>
    <row r="198" spans="1:12" ht="30.75" customHeight="1" x14ac:dyDescent="0.2">
      <c r="B198" s="415"/>
      <c r="C198" s="37" t="s">
        <v>99</v>
      </c>
      <c r="D198" s="51" t="s">
        <v>91</v>
      </c>
      <c r="E198" s="39" t="s">
        <v>107</v>
      </c>
      <c r="F198" s="191">
        <f>IF(E198="Adecuado",15,IF(E198="Inadecuado",0,""))</f>
        <v>15</v>
      </c>
      <c r="G198" s="396" t="s">
        <v>284</v>
      </c>
      <c r="H198" s="397"/>
      <c r="I198" s="397"/>
      <c r="J198" s="397"/>
      <c r="K198" s="397"/>
      <c r="L198" s="398"/>
    </row>
    <row r="199" spans="1:12" ht="47.25" customHeight="1" x14ac:dyDescent="0.2">
      <c r="B199" s="99" t="s">
        <v>128</v>
      </c>
      <c r="C199" s="37" t="s">
        <v>100</v>
      </c>
      <c r="D199" s="51" t="s">
        <v>92</v>
      </c>
      <c r="E199" s="39" t="s">
        <v>109</v>
      </c>
      <c r="F199" s="191">
        <f>IF(E199="Oportuna",15,IF(E199="Inoportuna",0,""))</f>
        <v>15</v>
      </c>
      <c r="G199" s="396" t="s">
        <v>303</v>
      </c>
      <c r="H199" s="397"/>
      <c r="I199" s="397"/>
      <c r="J199" s="397"/>
      <c r="K199" s="397"/>
      <c r="L199" s="398"/>
    </row>
    <row r="200" spans="1:12" ht="42" customHeight="1" x14ac:dyDescent="0.2">
      <c r="B200" s="99" t="s">
        <v>129</v>
      </c>
      <c r="C200" s="37" t="s">
        <v>101</v>
      </c>
      <c r="D200" s="51" t="s">
        <v>93</v>
      </c>
      <c r="E200" s="41" t="s">
        <v>111</v>
      </c>
      <c r="F200" s="191">
        <f>IF(E200="Prevenir o detectar",15,IF(E200="No es control",0,""))</f>
        <v>15</v>
      </c>
      <c r="G200" s="396" t="s">
        <v>304</v>
      </c>
      <c r="H200" s="397"/>
      <c r="I200" s="397"/>
      <c r="J200" s="397"/>
      <c r="K200" s="397"/>
      <c r="L200" s="398"/>
    </row>
    <row r="201" spans="1:12" ht="45" customHeight="1" x14ac:dyDescent="0.2">
      <c r="B201" s="100" t="s">
        <v>131</v>
      </c>
      <c r="C201" s="37" t="s">
        <v>102</v>
      </c>
      <c r="D201" s="51" t="s">
        <v>94</v>
      </c>
      <c r="E201" s="39" t="s">
        <v>113</v>
      </c>
      <c r="F201" s="191">
        <f>IF(E201="Confiable",15,IF(E201="No confiable",0,""))</f>
        <v>15</v>
      </c>
      <c r="G201" s="396" t="s">
        <v>285</v>
      </c>
      <c r="H201" s="397"/>
      <c r="I201" s="397"/>
      <c r="J201" s="397"/>
      <c r="K201" s="397"/>
      <c r="L201" s="398"/>
    </row>
    <row r="202" spans="1:12" ht="45" customHeight="1" x14ac:dyDescent="0.2">
      <c r="B202" s="100" t="s">
        <v>132</v>
      </c>
      <c r="C202" s="37" t="s">
        <v>103</v>
      </c>
      <c r="D202" s="51" t="s">
        <v>95</v>
      </c>
      <c r="E202" s="41" t="s">
        <v>115</v>
      </c>
      <c r="F202" s="191">
        <f>IF(E202="Se investigan y resuelven oportunamente",15,IF(E202="No se investigan y resuelven oportunamente",0,""))</f>
        <v>15</v>
      </c>
      <c r="G202" s="396" t="s">
        <v>286</v>
      </c>
      <c r="H202" s="397"/>
      <c r="I202" s="397"/>
      <c r="J202" s="397"/>
      <c r="K202" s="397"/>
      <c r="L202" s="398"/>
    </row>
    <row r="203" spans="1:12" ht="36.75" customHeight="1" thickBot="1" x14ac:dyDescent="0.25">
      <c r="B203" s="61" t="s">
        <v>130</v>
      </c>
      <c r="C203" s="98" t="s">
        <v>104</v>
      </c>
      <c r="D203" s="52" t="s">
        <v>96</v>
      </c>
      <c r="E203" s="42" t="s">
        <v>117</v>
      </c>
      <c r="F203" s="194">
        <f>IF(E203="Completa",10,IF(E203="Incompleta",5,IF(E203="No existe",0,"")))</f>
        <v>10</v>
      </c>
      <c r="G203" s="387" t="s">
        <v>287</v>
      </c>
      <c r="H203" s="388"/>
      <c r="I203" s="388"/>
      <c r="J203" s="388"/>
      <c r="K203" s="388"/>
      <c r="L203" s="389"/>
    </row>
    <row r="204" spans="1:12" ht="15" thickBot="1" x14ac:dyDescent="0.25">
      <c r="D204" s="38"/>
      <c r="G204" s="82"/>
      <c r="H204" s="82"/>
      <c r="I204" s="82"/>
      <c r="J204" s="82"/>
      <c r="K204" s="82"/>
      <c r="L204" s="82"/>
    </row>
    <row r="205" spans="1:12" x14ac:dyDescent="0.2">
      <c r="D205" s="48" t="s">
        <v>97</v>
      </c>
      <c r="E205" s="412">
        <f>IF(SUM(F197:F203)=0,"-",SUM(F197:F203))</f>
        <v>100</v>
      </c>
      <c r="F205" s="413"/>
      <c r="G205" s="83"/>
      <c r="H205" s="83"/>
      <c r="I205" s="83"/>
      <c r="J205" s="83"/>
      <c r="K205" s="83"/>
      <c r="L205" s="83"/>
    </row>
    <row r="206" spans="1:12" ht="15" thickBot="1" x14ac:dyDescent="0.25">
      <c r="D206" s="49" t="s">
        <v>123</v>
      </c>
      <c r="E206" s="394" t="str">
        <f>IF(E205&lt;=74,"Débil",IF(E205&lt;=89,"Moderado",IF(E205&lt;=100,"Fuerte","")))</f>
        <v>Fuerte</v>
      </c>
      <c r="F206" s="395"/>
      <c r="G206" s="83"/>
      <c r="H206" s="83"/>
      <c r="I206" s="83"/>
      <c r="J206" s="83"/>
      <c r="K206" s="83"/>
      <c r="L206" s="83"/>
    </row>
    <row r="207" spans="1:12" ht="15" thickBot="1" x14ac:dyDescent="0.25"/>
    <row r="208" spans="1:12" ht="30" customHeight="1" thickBot="1" x14ac:dyDescent="0.25">
      <c r="A208" s="58" t="str">
        <f>+Matriz!E29</f>
        <v>AGFF-RC-002</v>
      </c>
      <c r="B208" s="514" t="str">
        <f>+Matriz!F29</f>
        <v>Registrar operaciones no ciertas con el fin de beneficiar a un tercero.</v>
      </c>
      <c r="C208" s="515"/>
      <c r="D208" s="515"/>
      <c r="E208" s="515"/>
      <c r="F208" s="515"/>
      <c r="G208" s="515"/>
      <c r="H208" s="515"/>
      <c r="I208" s="515"/>
      <c r="J208" s="515"/>
      <c r="K208" s="515"/>
      <c r="L208" s="516"/>
    </row>
    <row r="209" spans="2:12" ht="15" thickBot="1" x14ac:dyDescent="0.25"/>
    <row r="210" spans="2:12" ht="15.75" customHeight="1" x14ac:dyDescent="0.2">
      <c r="B210" s="408" t="s">
        <v>158</v>
      </c>
      <c r="C210" s="409"/>
      <c r="D210" s="409"/>
      <c r="E210" s="452" t="s">
        <v>124</v>
      </c>
      <c r="F210" s="453"/>
      <c r="G210" s="453"/>
      <c r="H210" s="453"/>
      <c r="I210" s="453"/>
      <c r="J210" s="453"/>
      <c r="K210" s="453"/>
      <c r="L210" s="454"/>
    </row>
    <row r="211" spans="2:12" ht="69.75" customHeight="1" thickBot="1" x14ac:dyDescent="0.25">
      <c r="B211" s="410"/>
      <c r="C211" s="411"/>
      <c r="D211" s="411"/>
      <c r="E211" s="455" t="str">
        <f>+Matriz!Q29</f>
        <v xml:space="preserve">1. Aplicar procedimiento: AGFF-PD-010 LIQUIDACIÓN ÓRDENES DE PAGO 
Puntos de control: 1, 2, 4,5 8,9, 
2. Política Financiera </v>
      </c>
      <c r="F211" s="456"/>
      <c r="G211" s="456"/>
      <c r="H211" s="456"/>
      <c r="I211" s="456"/>
      <c r="J211" s="456"/>
      <c r="K211" s="456"/>
      <c r="L211" s="457"/>
    </row>
    <row r="212" spans="2:12" ht="15" x14ac:dyDescent="0.25">
      <c r="B212" s="444" t="s">
        <v>125</v>
      </c>
      <c r="C212" s="446" t="s">
        <v>126</v>
      </c>
      <c r="D212" s="447"/>
      <c r="E212" s="450" t="s">
        <v>120</v>
      </c>
      <c r="F212" s="451"/>
      <c r="G212" s="458" t="s">
        <v>71</v>
      </c>
      <c r="H212" s="459"/>
      <c r="I212" s="459"/>
      <c r="J212" s="459"/>
      <c r="K212" s="459"/>
      <c r="L212" s="460"/>
    </row>
    <row r="213" spans="2:12" ht="15" thickBot="1" x14ac:dyDescent="0.25">
      <c r="B213" s="445"/>
      <c r="C213" s="448"/>
      <c r="D213" s="449"/>
      <c r="E213" s="56" t="s">
        <v>121</v>
      </c>
      <c r="F213" s="57" t="s">
        <v>122</v>
      </c>
      <c r="G213" s="436"/>
      <c r="H213" s="437"/>
      <c r="I213" s="437"/>
      <c r="J213" s="437"/>
      <c r="K213" s="437"/>
      <c r="L213" s="438"/>
    </row>
    <row r="214" spans="2:12" ht="49.5" customHeight="1" x14ac:dyDescent="0.2">
      <c r="B214" s="414" t="s">
        <v>127</v>
      </c>
      <c r="C214" s="97" t="s">
        <v>98</v>
      </c>
      <c r="D214" s="101" t="s">
        <v>87</v>
      </c>
      <c r="E214" s="195" t="s">
        <v>105</v>
      </c>
      <c r="F214" s="196">
        <f>IF(E214="Asignado",15,IF(E214="No asignado",0,""))</f>
        <v>15</v>
      </c>
      <c r="G214" s="464" t="s">
        <v>283</v>
      </c>
      <c r="H214" s="465"/>
      <c r="I214" s="465"/>
      <c r="J214" s="465"/>
      <c r="K214" s="465"/>
      <c r="L214" s="466"/>
    </row>
    <row r="215" spans="2:12" ht="36" customHeight="1" x14ac:dyDescent="0.2">
      <c r="B215" s="415"/>
      <c r="C215" s="37" t="s">
        <v>99</v>
      </c>
      <c r="D215" s="51" t="s">
        <v>91</v>
      </c>
      <c r="E215" s="190" t="s">
        <v>107</v>
      </c>
      <c r="F215" s="191">
        <f>IF(E215="Adecuado",15,IF(E215="Inadecuado",0,""))</f>
        <v>15</v>
      </c>
      <c r="G215" s="396" t="s">
        <v>284</v>
      </c>
      <c r="H215" s="397"/>
      <c r="I215" s="397"/>
      <c r="J215" s="397"/>
      <c r="K215" s="397"/>
      <c r="L215" s="398"/>
    </row>
    <row r="216" spans="2:12" ht="53.25" customHeight="1" x14ac:dyDescent="0.2">
      <c r="B216" s="99" t="s">
        <v>128</v>
      </c>
      <c r="C216" s="37" t="s">
        <v>100</v>
      </c>
      <c r="D216" s="51" t="s">
        <v>92</v>
      </c>
      <c r="E216" s="190" t="s">
        <v>109</v>
      </c>
      <c r="F216" s="191">
        <f>IF(E216="Oportuna",15,IF(E216="Inoportuna",0,""))</f>
        <v>15</v>
      </c>
      <c r="G216" s="396" t="s">
        <v>303</v>
      </c>
      <c r="H216" s="397"/>
      <c r="I216" s="397"/>
      <c r="J216" s="397"/>
      <c r="K216" s="397"/>
      <c r="L216" s="398"/>
    </row>
    <row r="217" spans="2:12" ht="49.5" customHeight="1" x14ac:dyDescent="0.2">
      <c r="B217" s="99" t="s">
        <v>129</v>
      </c>
      <c r="C217" s="37" t="s">
        <v>101</v>
      </c>
      <c r="D217" s="51" t="s">
        <v>93</v>
      </c>
      <c r="E217" s="192" t="s">
        <v>111</v>
      </c>
      <c r="F217" s="191">
        <f>IF(E217="Prevenir o detectar",15,IF(E217="No es control",0,""))</f>
        <v>15</v>
      </c>
      <c r="G217" s="396" t="s">
        <v>304</v>
      </c>
      <c r="H217" s="397"/>
      <c r="I217" s="397"/>
      <c r="J217" s="397"/>
      <c r="K217" s="397"/>
      <c r="L217" s="398"/>
    </row>
    <row r="218" spans="2:12" ht="45" customHeight="1" x14ac:dyDescent="0.2">
      <c r="B218" s="100" t="s">
        <v>131</v>
      </c>
      <c r="C218" s="37" t="s">
        <v>102</v>
      </c>
      <c r="D218" s="51" t="s">
        <v>94</v>
      </c>
      <c r="E218" s="190" t="s">
        <v>113</v>
      </c>
      <c r="F218" s="191">
        <f>IF(E218="Confiable",15,IF(E218="No confiable",0,""))</f>
        <v>15</v>
      </c>
      <c r="G218" s="441" t="s">
        <v>285</v>
      </c>
      <c r="H218" s="442"/>
      <c r="I218" s="442"/>
      <c r="J218" s="442"/>
      <c r="K218" s="442"/>
      <c r="L218" s="443"/>
    </row>
    <row r="219" spans="2:12" ht="45" customHeight="1" x14ac:dyDescent="0.2">
      <c r="B219" s="100" t="s">
        <v>132</v>
      </c>
      <c r="C219" s="37" t="s">
        <v>103</v>
      </c>
      <c r="D219" s="51" t="s">
        <v>95</v>
      </c>
      <c r="E219" s="192" t="s">
        <v>115</v>
      </c>
      <c r="F219" s="191">
        <f>IF(E219="Se investigan y resuelven oportunamente",15,IF(E219="No se investigan y resuelven oportunamente",0,""))</f>
        <v>15</v>
      </c>
      <c r="G219" s="441" t="s">
        <v>286</v>
      </c>
      <c r="H219" s="442"/>
      <c r="I219" s="442"/>
      <c r="J219" s="442"/>
      <c r="K219" s="442"/>
      <c r="L219" s="443"/>
    </row>
    <row r="220" spans="2:12" ht="36.75" customHeight="1" thickBot="1" x14ac:dyDescent="0.25">
      <c r="B220" s="61" t="s">
        <v>130</v>
      </c>
      <c r="C220" s="98" t="s">
        <v>104</v>
      </c>
      <c r="D220" s="52" t="s">
        <v>96</v>
      </c>
      <c r="E220" s="193" t="s">
        <v>117</v>
      </c>
      <c r="F220" s="194">
        <f>IF(E220="Completa",10,IF(E220="Incompleta",5,IF(E220="No existe",0,"")))</f>
        <v>10</v>
      </c>
      <c r="G220" s="387" t="s">
        <v>287</v>
      </c>
      <c r="H220" s="388"/>
      <c r="I220" s="388"/>
      <c r="J220" s="388"/>
      <c r="K220" s="388"/>
      <c r="L220" s="389"/>
    </row>
    <row r="221" spans="2:12" ht="15" thickBot="1" x14ac:dyDescent="0.25">
      <c r="D221" s="38"/>
      <c r="G221" s="82"/>
      <c r="H221" s="82"/>
      <c r="I221" s="82"/>
      <c r="J221" s="82"/>
      <c r="K221" s="82"/>
      <c r="L221" s="82"/>
    </row>
    <row r="222" spans="2:12" x14ac:dyDescent="0.2">
      <c r="D222" s="48" t="s">
        <v>97</v>
      </c>
      <c r="E222" s="412">
        <f>IF(SUM(F214:F220)=0,"-",SUM(F214:F220))</f>
        <v>100</v>
      </c>
      <c r="F222" s="413"/>
      <c r="G222" s="83"/>
      <c r="H222" s="83"/>
      <c r="I222" s="83"/>
      <c r="J222" s="83"/>
      <c r="K222" s="83"/>
      <c r="L222" s="83"/>
    </row>
    <row r="223" spans="2:12" ht="15" thickBot="1" x14ac:dyDescent="0.25">
      <c r="D223" s="49" t="s">
        <v>123</v>
      </c>
      <c r="E223" s="394" t="str">
        <f>IF(E222&lt;=74,"Débil",IF(E222&lt;=89,"Moderado",IF(E222&lt;=100,"Fuerte","")))</f>
        <v>Fuerte</v>
      </c>
      <c r="F223" s="395"/>
      <c r="G223" s="83"/>
      <c r="H223" s="83"/>
      <c r="I223" s="83"/>
      <c r="J223" s="83"/>
      <c r="K223" s="83"/>
      <c r="L223" s="83"/>
    </row>
    <row r="224" spans="2:12" ht="15" thickBot="1" x14ac:dyDescent="0.25"/>
    <row r="225" spans="1:12" ht="30" customHeight="1" thickBot="1" x14ac:dyDescent="0.25">
      <c r="A225" s="58" t="str">
        <f>+Matriz!E30</f>
        <v>AAUT-RC-001</v>
      </c>
      <c r="B225" s="405" t="str">
        <f>+Matriz!F30</f>
        <v>Facilitar copias de material audiovisual sin el debido procedimiento a cambio de beneficios económicos personales dados por parte de terceros</v>
      </c>
      <c r="C225" s="406"/>
      <c r="D225" s="406"/>
      <c r="E225" s="406"/>
      <c r="F225" s="406"/>
      <c r="G225" s="406"/>
      <c r="H225" s="406"/>
      <c r="I225" s="406"/>
      <c r="J225" s="406"/>
      <c r="K225" s="406"/>
      <c r="L225" s="407"/>
    </row>
    <row r="226" spans="1:12" ht="10.5" customHeight="1" thickBot="1" x14ac:dyDescent="0.25"/>
    <row r="227" spans="1:12" ht="16.5" customHeight="1" x14ac:dyDescent="0.2">
      <c r="B227" s="408" t="s">
        <v>158</v>
      </c>
      <c r="C227" s="409"/>
      <c r="D227" s="409"/>
      <c r="E227" s="452" t="s">
        <v>124</v>
      </c>
      <c r="F227" s="453"/>
      <c r="G227" s="453"/>
      <c r="H227" s="453"/>
      <c r="I227" s="453"/>
      <c r="J227" s="453"/>
      <c r="K227" s="453"/>
      <c r="L227" s="454"/>
    </row>
    <row r="228" spans="1:12" ht="54.75" customHeight="1" thickBot="1" x14ac:dyDescent="0.25">
      <c r="B228" s="410"/>
      <c r="C228" s="411"/>
      <c r="D228" s="411"/>
      <c r="E228" s="455" t="str">
        <f>+Matriz!Q30</f>
        <v>Ejecutar procedimiento: AAUT-PD-001 ATENCIÓN Y RESPUESTA A REQUERIMIENTOS DE LA CIUDADANÍA - Punto de Control actividad 3</v>
      </c>
      <c r="F228" s="456"/>
      <c r="G228" s="456"/>
      <c r="H228" s="456"/>
      <c r="I228" s="456"/>
      <c r="J228" s="456"/>
      <c r="K228" s="456"/>
      <c r="L228" s="457"/>
    </row>
    <row r="229" spans="1:12" ht="15" x14ac:dyDescent="0.25">
      <c r="B229" s="444" t="s">
        <v>125</v>
      </c>
      <c r="C229" s="446" t="s">
        <v>126</v>
      </c>
      <c r="D229" s="447"/>
      <c r="E229" s="450" t="s">
        <v>120</v>
      </c>
      <c r="F229" s="451"/>
      <c r="G229" s="458" t="s">
        <v>71</v>
      </c>
      <c r="H229" s="459"/>
      <c r="I229" s="459"/>
      <c r="J229" s="459"/>
      <c r="K229" s="459"/>
      <c r="L229" s="460"/>
    </row>
    <row r="230" spans="1:12" ht="15" thickBot="1" x14ac:dyDescent="0.25">
      <c r="B230" s="445"/>
      <c r="C230" s="448"/>
      <c r="D230" s="449"/>
      <c r="E230" s="56" t="s">
        <v>121</v>
      </c>
      <c r="F230" s="57" t="s">
        <v>122</v>
      </c>
      <c r="G230" s="436"/>
      <c r="H230" s="437"/>
      <c r="I230" s="437"/>
      <c r="J230" s="437"/>
      <c r="K230" s="437"/>
      <c r="L230" s="438"/>
    </row>
    <row r="231" spans="1:12" ht="30" customHeight="1" x14ac:dyDescent="0.2">
      <c r="B231" s="414" t="s">
        <v>127</v>
      </c>
      <c r="C231" s="77" t="s">
        <v>98</v>
      </c>
      <c r="D231" s="50" t="s">
        <v>87</v>
      </c>
      <c r="E231" s="44" t="s">
        <v>105</v>
      </c>
      <c r="F231" s="196">
        <f>IF(E231="Asignado",15,IF(E231="No asignado",0,""))</f>
        <v>15</v>
      </c>
      <c r="G231" s="534" t="s">
        <v>358</v>
      </c>
      <c r="H231" s="535"/>
      <c r="I231" s="535"/>
      <c r="J231" s="535"/>
      <c r="K231" s="535"/>
      <c r="L231" s="536"/>
    </row>
    <row r="232" spans="1:12" ht="30" customHeight="1" x14ac:dyDescent="0.2">
      <c r="B232" s="415"/>
      <c r="C232" s="37" t="s">
        <v>99</v>
      </c>
      <c r="D232" s="51" t="s">
        <v>91</v>
      </c>
      <c r="E232" s="39" t="s">
        <v>107</v>
      </c>
      <c r="F232" s="191">
        <f>IF(E232="Adecuado",15,IF(E232="Inadecuado",0,""))</f>
        <v>15</v>
      </c>
      <c r="G232" s="479"/>
      <c r="H232" s="480"/>
      <c r="I232" s="480"/>
      <c r="J232" s="480"/>
      <c r="K232" s="480"/>
      <c r="L232" s="481"/>
    </row>
    <row r="233" spans="1:12" ht="30" customHeight="1" x14ac:dyDescent="0.2">
      <c r="B233" s="76" t="s">
        <v>128</v>
      </c>
      <c r="C233" s="37" t="s">
        <v>100</v>
      </c>
      <c r="D233" s="51" t="s">
        <v>92</v>
      </c>
      <c r="E233" s="39" t="s">
        <v>109</v>
      </c>
      <c r="F233" s="191">
        <f>IF(E233="Oportuna",15,IF(E233="Inoportuna",0,""))</f>
        <v>15</v>
      </c>
      <c r="G233" s="479" t="s">
        <v>359</v>
      </c>
      <c r="H233" s="480"/>
      <c r="I233" s="480"/>
      <c r="J233" s="480"/>
      <c r="K233" s="480"/>
      <c r="L233" s="481"/>
    </row>
    <row r="234" spans="1:12" ht="45" customHeight="1" x14ac:dyDescent="0.2">
      <c r="B234" s="76" t="s">
        <v>129</v>
      </c>
      <c r="C234" s="37" t="s">
        <v>101</v>
      </c>
      <c r="D234" s="51" t="s">
        <v>93</v>
      </c>
      <c r="E234" s="41" t="s">
        <v>111</v>
      </c>
      <c r="F234" s="191">
        <f>IF(E234="Prevenir o detectar",15,IF(E234="No es control",0,""))</f>
        <v>15</v>
      </c>
      <c r="G234" s="479" t="s">
        <v>237</v>
      </c>
      <c r="H234" s="480"/>
      <c r="I234" s="480"/>
      <c r="J234" s="480"/>
      <c r="K234" s="480"/>
      <c r="L234" s="481"/>
    </row>
    <row r="235" spans="1:12" ht="30" customHeight="1" x14ac:dyDescent="0.2">
      <c r="B235" s="60" t="s">
        <v>131</v>
      </c>
      <c r="C235" s="37" t="s">
        <v>102</v>
      </c>
      <c r="D235" s="51" t="s">
        <v>94</v>
      </c>
      <c r="E235" s="39" t="s">
        <v>113</v>
      </c>
      <c r="F235" s="191">
        <f>IF(E235="Confiable",15,IF(E235="No confiable",0,""))</f>
        <v>15</v>
      </c>
      <c r="G235" s="537" t="s">
        <v>238</v>
      </c>
      <c r="H235" s="538"/>
      <c r="I235" s="538"/>
      <c r="J235" s="538"/>
      <c r="K235" s="538"/>
      <c r="L235" s="539"/>
    </row>
    <row r="236" spans="1:12" ht="45" customHeight="1" x14ac:dyDescent="0.2">
      <c r="B236" s="60" t="s">
        <v>132</v>
      </c>
      <c r="C236" s="37" t="s">
        <v>103</v>
      </c>
      <c r="D236" s="51" t="s">
        <v>95</v>
      </c>
      <c r="E236" s="41" t="s">
        <v>116</v>
      </c>
      <c r="F236" s="191">
        <f>IF(E236="Se investigan y resuelven oportunamente",15,IF(E236="No se investigan y resuelven oportunamente",0,""))</f>
        <v>0</v>
      </c>
      <c r="G236" s="479" t="s">
        <v>239</v>
      </c>
      <c r="H236" s="480"/>
      <c r="I236" s="480"/>
      <c r="J236" s="480"/>
      <c r="K236" s="480"/>
      <c r="L236" s="481"/>
    </row>
    <row r="237" spans="1:12" ht="30" customHeight="1" thickBot="1" x14ac:dyDescent="0.25">
      <c r="B237" s="61" t="s">
        <v>130</v>
      </c>
      <c r="C237" s="78" t="s">
        <v>104</v>
      </c>
      <c r="D237" s="52" t="s">
        <v>96</v>
      </c>
      <c r="E237" s="42" t="s">
        <v>117</v>
      </c>
      <c r="F237" s="194">
        <f>IF(E237="Completa",10,IF(E237="Incompleta",5,IF(E237="No existe",0,"")))</f>
        <v>10</v>
      </c>
      <c r="G237" s="531" t="s">
        <v>360</v>
      </c>
      <c r="H237" s="532"/>
      <c r="I237" s="532"/>
      <c r="J237" s="532"/>
      <c r="K237" s="532"/>
      <c r="L237" s="533"/>
    </row>
    <row r="238" spans="1:12" ht="7.5" customHeight="1" thickBot="1" x14ac:dyDescent="0.25">
      <c r="D238" s="38"/>
      <c r="G238" s="82"/>
      <c r="H238" s="82"/>
      <c r="I238" s="82"/>
      <c r="J238" s="82"/>
      <c r="K238" s="82"/>
      <c r="L238" s="82"/>
    </row>
    <row r="239" spans="1:12" x14ac:dyDescent="0.2">
      <c r="D239" s="48" t="s">
        <v>97</v>
      </c>
      <c r="E239" s="412">
        <f>IF(SUM(F231:F237)=0,"-",SUM(F231:F237))</f>
        <v>85</v>
      </c>
      <c r="F239" s="413"/>
      <c r="G239" s="83"/>
      <c r="H239" s="83"/>
      <c r="I239" s="83"/>
      <c r="J239" s="83"/>
      <c r="K239" s="83"/>
      <c r="L239" s="83"/>
    </row>
    <row r="240" spans="1:12" ht="15" thickBot="1" x14ac:dyDescent="0.25">
      <c r="D240" s="49" t="s">
        <v>123</v>
      </c>
      <c r="E240" s="394" t="str">
        <f>IF(E239&lt;=74,"Débil",IF(E239&lt;=89,"Moderado",IF(E239&lt;=100,"Fuerte","")))</f>
        <v>Moderado</v>
      </c>
      <c r="F240" s="395"/>
      <c r="G240" s="83"/>
      <c r="H240" s="83"/>
      <c r="I240" s="83"/>
      <c r="J240" s="83"/>
      <c r="K240" s="83"/>
      <c r="L240" s="83"/>
    </row>
    <row r="242" spans="1:34" ht="15" thickBot="1" x14ac:dyDescent="0.25"/>
    <row r="243" spans="1:34" ht="33" customHeight="1" thickBot="1" x14ac:dyDescent="0.25">
      <c r="A243" s="58" t="str">
        <f>Matriz!E31</f>
        <v>CCSE-RC-001</v>
      </c>
      <c r="B243" s="405" t="str">
        <f>Matriz!F31</f>
        <v>Posibilidad de recibir y/o solicitar dádivas o beneficios a nombre propio o de terceros, omitiendo observaciones detectadas, en los informes de resultados o usando inadecuadamente la información a la que se tiene acceso.</v>
      </c>
      <c r="C243" s="406"/>
      <c r="D243" s="406"/>
      <c r="E243" s="406"/>
      <c r="F243" s="406"/>
      <c r="G243" s="406"/>
      <c r="H243" s="406"/>
      <c r="I243" s="406"/>
      <c r="J243" s="406"/>
      <c r="K243" s="406"/>
      <c r="L243" s="407"/>
      <c r="M243" s="168"/>
    </row>
    <row r="244" spans="1:34" ht="10.5" customHeight="1" thickBot="1" x14ac:dyDescent="0.25"/>
    <row r="245" spans="1:34" ht="16.5" customHeight="1" thickBot="1" x14ac:dyDescent="0.25">
      <c r="B245" s="408" t="s">
        <v>158</v>
      </c>
      <c r="C245" s="409"/>
      <c r="D245" s="419"/>
      <c r="E245" s="470" t="s">
        <v>124</v>
      </c>
      <c r="F245" s="471"/>
      <c r="G245" s="471"/>
      <c r="H245" s="471"/>
      <c r="I245" s="471"/>
      <c r="J245" s="471"/>
      <c r="K245" s="518" t="s">
        <v>254</v>
      </c>
      <c r="L245" s="519"/>
      <c r="M245" s="519"/>
      <c r="N245" s="519"/>
      <c r="O245" s="519"/>
      <c r="P245" s="519"/>
      <c r="Q245" s="519"/>
      <c r="R245" s="520"/>
      <c r="S245" s="518" t="s">
        <v>270</v>
      </c>
      <c r="T245" s="519"/>
      <c r="U245" s="519"/>
      <c r="V245" s="519"/>
      <c r="W245" s="519"/>
      <c r="X245" s="519"/>
      <c r="Y245" s="519"/>
      <c r="Z245" s="520"/>
      <c r="AA245" s="470" t="s">
        <v>271</v>
      </c>
      <c r="AB245" s="471"/>
      <c r="AC245" s="471"/>
      <c r="AD245" s="471"/>
      <c r="AE245" s="471"/>
      <c r="AF245" s="471"/>
      <c r="AG245" s="471"/>
      <c r="AH245" s="472"/>
    </row>
    <row r="246" spans="1:34" ht="65.25" customHeight="1" thickBot="1" x14ac:dyDescent="0.25">
      <c r="B246" s="410"/>
      <c r="C246" s="411"/>
      <c r="D246" s="420"/>
      <c r="E246" s="521" t="str">
        <f>Matriz!Q31</f>
        <v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v>
      </c>
      <c r="F246" s="540"/>
      <c r="G246" s="540"/>
      <c r="H246" s="540"/>
      <c r="I246" s="540"/>
      <c r="J246" s="540"/>
      <c r="K246" s="493" t="str">
        <f>Matriz!Q32</f>
        <v>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v>
      </c>
      <c r="L246" s="494"/>
      <c r="M246" s="494"/>
      <c r="N246" s="494"/>
      <c r="O246" s="494"/>
      <c r="P246" s="494"/>
      <c r="Q246" s="494"/>
      <c r="R246" s="495"/>
      <c r="S246" s="493" t="str">
        <f>Matriz!Q33</f>
        <v>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v>
      </c>
      <c r="T246" s="494"/>
      <c r="U246" s="494"/>
      <c r="V246" s="494"/>
      <c r="W246" s="494"/>
      <c r="X246" s="494"/>
      <c r="Y246" s="494"/>
      <c r="Z246" s="495"/>
      <c r="AA246" s="521" t="str">
        <f>Matriz!Q34</f>
        <v>Los profesionales de la Oficina de Control Interno suscriben sus contratos de prestación de servicios, incluida la cláusula de confidencialidad y uso de la información.</v>
      </c>
      <c r="AB246" s="522"/>
      <c r="AC246" s="522"/>
      <c r="AD246" s="522"/>
      <c r="AE246" s="522"/>
      <c r="AF246" s="522"/>
      <c r="AG246" s="522"/>
      <c r="AH246" s="543"/>
    </row>
    <row r="247" spans="1:34" ht="15" x14ac:dyDescent="0.25">
      <c r="B247" s="444" t="s">
        <v>125</v>
      </c>
      <c r="C247" s="446" t="s">
        <v>126</v>
      </c>
      <c r="D247" s="447"/>
      <c r="E247" s="491" t="s">
        <v>120</v>
      </c>
      <c r="F247" s="530"/>
      <c r="G247" s="523" t="s">
        <v>71</v>
      </c>
      <c r="H247" s="524"/>
      <c r="I247" s="524"/>
      <c r="J247" s="525"/>
      <c r="K247" s="529" t="s">
        <v>120</v>
      </c>
      <c r="L247" s="541"/>
      <c r="M247" s="452" t="s">
        <v>71</v>
      </c>
      <c r="N247" s="453"/>
      <c r="O247" s="453"/>
      <c r="P247" s="453"/>
      <c r="Q247" s="453"/>
      <c r="R247" s="454"/>
      <c r="S247" s="450" t="s">
        <v>120</v>
      </c>
      <c r="T247" s="541"/>
      <c r="U247" s="452" t="s">
        <v>71</v>
      </c>
      <c r="V247" s="453"/>
      <c r="W247" s="453"/>
      <c r="X247" s="453"/>
      <c r="Y247" s="453"/>
      <c r="Z247" s="454"/>
      <c r="AA247" s="491" t="s">
        <v>120</v>
      </c>
      <c r="AB247" s="530"/>
      <c r="AC247" s="523" t="s">
        <v>71</v>
      </c>
      <c r="AD247" s="524"/>
      <c r="AE247" s="524"/>
      <c r="AF247" s="524"/>
      <c r="AG247" s="524"/>
      <c r="AH247" s="525"/>
    </row>
    <row r="248" spans="1:34" ht="15.75" customHeight="1" thickBot="1" x14ac:dyDescent="0.25">
      <c r="B248" s="445"/>
      <c r="C248" s="448"/>
      <c r="D248" s="449"/>
      <c r="E248" s="197" t="s">
        <v>121</v>
      </c>
      <c r="F248" s="119" t="s">
        <v>122</v>
      </c>
      <c r="G248" s="526"/>
      <c r="H248" s="527"/>
      <c r="I248" s="527"/>
      <c r="J248" s="528"/>
      <c r="K248" s="117" t="s">
        <v>121</v>
      </c>
      <c r="L248" s="119" t="s">
        <v>122</v>
      </c>
      <c r="M248" s="496"/>
      <c r="N248" s="497"/>
      <c r="O248" s="497"/>
      <c r="P248" s="497"/>
      <c r="Q248" s="497"/>
      <c r="R248" s="498"/>
      <c r="S248" s="197" t="s">
        <v>121</v>
      </c>
      <c r="T248" s="119" t="s">
        <v>122</v>
      </c>
      <c r="U248" s="496"/>
      <c r="V248" s="497"/>
      <c r="W248" s="497"/>
      <c r="X248" s="497"/>
      <c r="Y248" s="497"/>
      <c r="Z248" s="498"/>
      <c r="AA248" s="197" t="s">
        <v>121</v>
      </c>
      <c r="AB248" s="119" t="s">
        <v>122</v>
      </c>
      <c r="AC248" s="526"/>
      <c r="AD248" s="527"/>
      <c r="AE248" s="527"/>
      <c r="AF248" s="527"/>
      <c r="AG248" s="527"/>
      <c r="AH248" s="528"/>
    </row>
    <row r="249" spans="1:34" ht="30" customHeight="1" x14ac:dyDescent="0.2">
      <c r="B249" s="414" t="s">
        <v>127</v>
      </c>
      <c r="C249" s="232" t="s">
        <v>98</v>
      </c>
      <c r="D249" s="105" t="s">
        <v>87</v>
      </c>
      <c r="E249" s="195" t="s">
        <v>105</v>
      </c>
      <c r="F249" s="87">
        <f>IF(E249="Asignado",15,IF(E249="No asignado",0,""))</f>
        <v>15</v>
      </c>
      <c r="G249" s="618" t="s">
        <v>362</v>
      </c>
      <c r="H249" s="619"/>
      <c r="I249" s="619"/>
      <c r="J249" s="620"/>
      <c r="K249" s="88" t="s">
        <v>105</v>
      </c>
      <c r="L249" s="87">
        <f t="shared" ref="L249" si="36">IF(K249="Asignado",15,IF(K249="No asignado",0,""))</f>
        <v>15</v>
      </c>
      <c r="M249" s="618" t="s">
        <v>530</v>
      </c>
      <c r="N249" s="619"/>
      <c r="O249" s="619"/>
      <c r="P249" s="619"/>
      <c r="Q249" s="619"/>
      <c r="R249" s="620"/>
      <c r="S249" s="195" t="s">
        <v>105</v>
      </c>
      <c r="T249" s="87">
        <f t="shared" ref="T249" si="37">IF(S249="Asignado",15,IF(S249="No asignado",0,""))</f>
        <v>15</v>
      </c>
      <c r="U249" s="618" t="s">
        <v>531</v>
      </c>
      <c r="V249" s="619"/>
      <c r="W249" s="619"/>
      <c r="X249" s="619"/>
      <c r="Y249" s="619"/>
      <c r="Z249" s="620"/>
      <c r="AA249" s="195" t="s">
        <v>105</v>
      </c>
      <c r="AB249" s="87">
        <f>IF(AA249="Asignado",15,IF(AA249="No asignado",0,""))</f>
        <v>15</v>
      </c>
      <c r="AC249" s="621" t="s">
        <v>402</v>
      </c>
      <c r="AD249" s="622"/>
      <c r="AE249" s="622"/>
      <c r="AF249" s="622"/>
      <c r="AG249" s="622"/>
      <c r="AH249" s="623"/>
    </row>
    <row r="250" spans="1:34" ht="30" customHeight="1" x14ac:dyDescent="0.2">
      <c r="B250" s="415"/>
      <c r="C250" s="37" t="s">
        <v>99</v>
      </c>
      <c r="D250" s="51" t="s">
        <v>91</v>
      </c>
      <c r="E250" s="190" t="s">
        <v>107</v>
      </c>
      <c r="F250" s="89">
        <f>IF(E250="Adecuado",15,IF(E250="Inadecuado",0,""))</f>
        <v>15</v>
      </c>
      <c r="G250" s="624" t="s">
        <v>363</v>
      </c>
      <c r="H250" s="625"/>
      <c r="I250" s="625"/>
      <c r="J250" s="626"/>
      <c r="K250" s="90" t="s">
        <v>107</v>
      </c>
      <c r="L250" s="89">
        <f t="shared" ref="L250" si="38">IF(K250="Adecuado",15,IF(K250="Inadecuado",0,""))</f>
        <v>15</v>
      </c>
      <c r="M250" s="624" t="s">
        <v>532</v>
      </c>
      <c r="N250" s="625"/>
      <c r="O250" s="625"/>
      <c r="P250" s="625"/>
      <c r="Q250" s="625"/>
      <c r="R250" s="626"/>
      <c r="S250" s="190" t="s">
        <v>107</v>
      </c>
      <c r="T250" s="89">
        <f t="shared" ref="T250" si="39">IF(S250="Adecuado",15,IF(S250="Inadecuado",0,""))</f>
        <v>15</v>
      </c>
      <c r="U250" s="624" t="s">
        <v>370</v>
      </c>
      <c r="V250" s="625"/>
      <c r="W250" s="625"/>
      <c r="X250" s="625"/>
      <c r="Y250" s="625"/>
      <c r="Z250" s="626"/>
      <c r="AA250" s="190" t="s">
        <v>107</v>
      </c>
      <c r="AB250" s="89">
        <f>IF(AA250="Adecuado",15,IF(AA250="Inadecuado",0,""))</f>
        <v>15</v>
      </c>
      <c r="AC250" s="627" t="s">
        <v>533</v>
      </c>
      <c r="AD250" s="628"/>
      <c r="AE250" s="628"/>
      <c r="AF250" s="628"/>
      <c r="AG250" s="628"/>
      <c r="AH250" s="629"/>
    </row>
    <row r="251" spans="1:34" ht="30" customHeight="1" x14ac:dyDescent="0.2">
      <c r="B251" s="234" t="s">
        <v>128</v>
      </c>
      <c r="C251" s="37" t="s">
        <v>100</v>
      </c>
      <c r="D251" s="51" t="s">
        <v>92</v>
      </c>
      <c r="E251" s="190" t="s">
        <v>109</v>
      </c>
      <c r="F251" s="89">
        <f>IF(E251="Oportuna",15,IF(E251="Inoportuna",0,""))</f>
        <v>15</v>
      </c>
      <c r="G251" s="624" t="s">
        <v>364</v>
      </c>
      <c r="H251" s="625"/>
      <c r="I251" s="625"/>
      <c r="J251" s="626"/>
      <c r="K251" s="90" t="s">
        <v>109</v>
      </c>
      <c r="L251" s="89">
        <f t="shared" ref="L251" si="40">IF(K251="Oportuna",15,IF(K251="Inoportuna",0,""))</f>
        <v>15</v>
      </c>
      <c r="M251" s="624" t="s">
        <v>534</v>
      </c>
      <c r="N251" s="625"/>
      <c r="O251" s="625"/>
      <c r="P251" s="625"/>
      <c r="Q251" s="625"/>
      <c r="R251" s="626"/>
      <c r="S251" s="190" t="s">
        <v>109</v>
      </c>
      <c r="T251" s="89">
        <f t="shared" ref="T251" si="41">IF(S251="Oportuna",15,IF(S251="Inoportuna",0,""))</f>
        <v>15</v>
      </c>
      <c r="U251" s="624" t="s">
        <v>371</v>
      </c>
      <c r="V251" s="625"/>
      <c r="W251" s="625"/>
      <c r="X251" s="625"/>
      <c r="Y251" s="625"/>
      <c r="Z251" s="626"/>
      <c r="AA251" s="190" t="s">
        <v>109</v>
      </c>
      <c r="AB251" s="89">
        <f>IF(AA251="Oportuna",15,IF(AA251="Inoportuna",0,""))</f>
        <v>15</v>
      </c>
      <c r="AC251" s="627" t="s">
        <v>403</v>
      </c>
      <c r="AD251" s="628"/>
      <c r="AE251" s="628"/>
      <c r="AF251" s="628"/>
      <c r="AG251" s="628"/>
      <c r="AH251" s="629"/>
    </row>
    <row r="252" spans="1:34" ht="45" customHeight="1" x14ac:dyDescent="0.2">
      <c r="B252" s="234" t="s">
        <v>129</v>
      </c>
      <c r="C252" s="37" t="s">
        <v>101</v>
      </c>
      <c r="D252" s="51" t="s">
        <v>93</v>
      </c>
      <c r="E252" s="192" t="s">
        <v>111</v>
      </c>
      <c r="F252" s="89">
        <f>IF(E252="Prevenir o detectar",15,IF(E252="No es control",0,""))</f>
        <v>15</v>
      </c>
      <c r="G252" s="624" t="s">
        <v>365</v>
      </c>
      <c r="H252" s="625"/>
      <c r="I252" s="625"/>
      <c r="J252" s="626"/>
      <c r="K252" s="91" t="s">
        <v>111</v>
      </c>
      <c r="L252" s="89">
        <f t="shared" ref="L252" si="42">IF(K252="Prevenir o detectar",15,IF(K252="No es control",0,""))</f>
        <v>15</v>
      </c>
      <c r="M252" s="624" t="s">
        <v>535</v>
      </c>
      <c r="N252" s="625"/>
      <c r="O252" s="625"/>
      <c r="P252" s="625"/>
      <c r="Q252" s="625"/>
      <c r="R252" s="626"/>
      <c r="S252" s="192" t="s">
        <v>111</v>
      </c>
      <c r="T252" s="89">
        <f t="shared" ref="T252" si="43">IF(S252="Prevenir o detectar",15,IF(S252="No es control",0,""))</f>
        <v>15</v>
      </c>
      <c r="U252" s="624" t="s">
        <v>372</v>
      </c>
      <c r="V252" s="625"/>
      <c r="W252" s="625"/>
      <c r="X252" s="625"/>
      <c r="Y252" s="625"/>
      <c r="Z252" s="626"/>
      <c r="AA252" s="192" t="s">
        <v>111</v>
      </c>
      <c r="AB252" s="89">
        <f>IF(AA252="Prevenir o detectar",15,IF(AA252="No es control",0,""))</f>
        <v>15</v>
      </c>
      <c r="AC252" s="627" t="s">
        <v>404</v>
      </c>
      <c r="AD252" s="628"/>
      <c r="AE252" s="628"/>
      <c r="AF252" s="628"/>
      <c r="AG252" s="628"/>
      <c r="AH252" s="629"/>
    </row>
    <row r="253" spans="1:34" ht="30" customHeight="1" x14ac:dyDescent="0.2">
      <c r="B253" s="106" t="s">
        <v>131</v>
      </c>
      <c r="C253" s="37" t="s">
        <v>102</v>
      </c>
      <c r="D253" s="51" t="s">
        <v>94</v>
      </c>
      <c r="E253" s="190" t="s">
        <v>113</v>
      </c>
      <c r="F253" s="89">
        <f>IF(E253="Confiable",15,IF(E253="No confiable",0,""))</f>
        <v>15</v>
      </c>
      <c r="G253" s="624" t="s">
        <v>366</v>
      </c>
      <c r="H253" s="625"/>
      <c r="I253" s="625"/>
      <c r="J253" s="626"/>
      <c r="K253" s="90" t="s">
        <v>113</v>
      </c>
      <c r="L253" s="89">
        <f t="shared" ref="L253" si="44">IF(K253="Confiable",15,IF(K253="No confiable",0,""))</f>
        <v>15</v>
      </c>
      <c r="M253" s="624" t="s">
        <v>536</v>
      </c>
      <c r="N253" s="625"/>
      <c r="O253" s="625"/>
      <c r="P253" s="625"/>
      <c r="Q253" s="625"/>
      <c r="R253" s="626"/>
      <c r="S253" s="190" t="s">
        <v>113</v>
      </c>
      <c r="T253" s="89">
        <f t="shared" ref="T253" si="45">IF(S253="Confiable",15,IF(S253="No confiable",0,""))</f>
        <v>15</v>
      </c>
      <c r="U253" s="624" t="s">
        <v>373</v>
      </c>
      <c r="V253" s="625"/>
      <c r="W253" s="625"/>
      <c r="X253" s="625"/>
      <c r="Y253" s="625"/>
      <c r="Z253" s="626"/>
      <c r="AA253" s="190" t="s">
        <v>113</v>
      </c>
      <c r="AB253" s="89">
        <f>IF(AA253="Confiable",15,IF(AA253="No confiable",0,""))</f>
        <v>15</v>
      </c>
      <c r="AC253" s="627" t="s">
        <v>405</v>
      </c>
      <c r="AD253" s="628"/>
      <c r="AE253" s="628"/>
      <c r="AF253" s="628"/>
      <c r="AG253" s="628"/>
      <c r="AH253" s="629"/>
    </row>
    <row r="254" spans="1:34" ht="45" customHeight="1" x14ac:dyDescent="0.2">
      <c r="B254" s="106" t="s">
        <v>132</v>
      </c>
      <c r="C254" s="37" t="s">
        <v>103</v>
      </c>
      <c r="D254" s="51" t="s">
        <v>95</v>
      </c>
      <c r="E254" s="192" t="s">
        <v>115</v>
      </c>
      <c r="F254" s="89">
        <f>IF(E254="Se investigan y resuelven oportunamente",15,IF(E254="No se investigan y resuelven oportunamente",0,""))</f>
        <v>15</v>
      </c>
      <c r="G254" s="624" t="s">
        <v>367</v>
      </c>
      <c r="H254" s="625"/>
      <c r="I254" s="625"/>
      <c r="J254" s="626"/>
      <c r="K254" s="91" t="s">
        <v>115</v>
      </c>
      <c r="L254" s="89">
        <f t="shared" ref="L254" si="46">IF(K254="Se investigan y resuelven oportunamente",15,IF(K254="No se investigan y resuelven oportunamente",0,""))</f>
        <v>15</v>
      </c>
      <c r="M254" s="624" t="s">
        <v>369</v>
      </c>
      <c r="N254" s="625"/>
      <c r="O254" s="625"/>
      <c r="P254" s="625"/>
      <c r="Q254" s="625"/>
      <c r="R254" s="626"/>
      <c r="S254" s="192" t="s">
        <v>115</v>
      </c>
      <c r="T254" s="89">
        <f t="shared" ref="T254" si="47">IF(S254="Se investigan y resuelven oportunamente",15,IF(S254="No se investigan y resuelven oportunamente",0,""))</f>
        <v>15</v>
      </c>
      <c r="U254" s="624" t="s">
        <v>374</v>
      </c>
      <c r="V254" s="625"/>
      <c r="W254" s="625"/>
      <c r="X254" s="625"/>
      <c r="Y254" s="625"/>
      <c r="Z254" s="626"/>
      <c r="AA254" s="192" t="s">
        <v>115</v>
      </c>
      <c r="AB254" s="89">
        <f>IF(AA254="Se investigan y resuelven oportunamente",15,IF(AA254="No se investigan y resuelven oportunamente",0,""))</f>
        <v>15</v>
      </c>
      <c r="AC254" s="627" t="s">
        <v>537</v>
      </c>
      <c r="AD254" s="628"/>
      <c r="AE254" s="628"/>
      <c r="AF254" s="628"/>
      <c r="AG254" s="628"/>
      <c r="AH254" s="629"/>
    </row>
    <row r="255" spans="1:34" ht="30" customHeight="1" thickBot="1" x14ac:dyDescent="0.25">
      <c r="B255" s="61" t="s">
        <v>130</v>
      </c>
      <c r="C255" s="233" t="s">
        <v>104</v>
      </c>
      <c r="D255" s="52" t="s">
        <v>96</v>
      </c>
      <c r="E255" s="193" t="s">
        <v>117</v>
      </c>
      <c r="F255" s="92">
        <f>IF(E255="Completa",10,IF(E255="Incompleta",5,IF(E255="No existe",0,"")))</f>
        <v>10</v>
      </c>
      <c r="G255" s="630" t="s">
        <v>368</v>
      </c>
      <c r="H255" s="631"/>
      <c r="I255" s="631"/>
      <c r="J255" s="632"/>
      <c r="K255" s="93" t="s">
        <v>117</v>
      </c>
      <c r="L255" s="92">
        <f t="shared" ref="L255" si="48">IF(K255="Completa",10,IF(K255="Incompleta",5,IF(K255="No existe",0,"")))</f>
        <v>10</v>
      </c>
      <c r="M255" s="630" t="s">
        <v>538</v>
      </c>
      <c r="N255" s="631"/>
      <c r="O255" s="631"/>
      <c r="P255" s="631"/>
      <c r="Q255" s="631"/>
      <c r="R255" s="632"/>
      <c r="S255" s="193" t="s">
        <v>117</v>
      </c>
      <c r="T255" s="92">
        <f t="shared" ref="T255" si="49">IF(S255="Completa",10,IF(S255="Incompleta",5,IF(S255="No existe",0,"")))</f>
        <v>10</v>
      </c>
      <c r="U255" s="630" t="s">
        <v>375</v>
      </c>
      <c r="V255" s="631"/>
      <c r="W255" s="631"/>
      <c r="X255" s="631"/>
      <c r="Y255" s="631"/>
      <c r="Z255" s="632"/>
      <c r="AA255" s="193" t="s">
        <v>117</v>
      </c>
      <c r="AB255" s="92">
        <f>IF(AA255="Completa",10,IF(AA255="Incompleta",5,IF(AA255="No existe",0,"")))</f>
        <v>10</v>
      </c>
      <c r="AC255" s="633" t="s">
        <v>406</v>
      </c>
      <c r="AD255" s="634"/>
      <c r="AE255" s="634"/>
      <c r="AF255" s="634"/>
      <c r="AG255" s="634"/>
      <c r="AH255" s="635"/>
    </row>
    <row r="256" spans="1:34" ht="7.5" customHeight="1" thickBot="1" x14ac:dyDescent="0.25">
      <c r="D256" s="38"/>
      <c r="K256" s="94"/>
      <c r="L256" s="95"/>
      <c r="S256" s="94"/>
      <c r="T256" s="95"/>
    </row>
    <row r="257" spans="4:34" x14ac:dyDescent="0.2">
      <c r="D257" s="114" t="s">
        <v>97</v>
      </c>
      <c r="E257" s="412">
        <f>IF(SUM(F249:F255)=0,"-",SUM(F249:F255))</f>
        <v>100</v>
      </c>
      <c r="F257" s="413"/>
      <c r="G257" s="542"/>
      <c r="J257" s="111"/>
      <c r="K257" s="412">
        <f t="shared" ref="K257" si="50">IF(SUM(L249:L255)=0,"-",SUM(L249:L255))</f>
        <v>100</v>
      </c>
      <c r="L257" s="413"/>
      <c r="M257" s="111"/>
      <c r="S257" s="412">
        <f t="shared" ref="S257" si="51">IF(SUM(T249:T255)=0,"-",SUM(T249:T255))</f>
        <v>100</v>
      </c>
      <c r="T257" s="413"/>
      <c r="U257" s="111"/>
      <c r="AA257" s="412">
        <f>IF(SUM(AB249:AB255)=0,"-",SUM(AB249:AB255))</f>
        <v>100</v>
      </c>
      <c r="AB257" s="413"/>
      <c r="AC257" s="542"/>
      <c r="AH257" s="111"/>
    </row>
    <row r="258" spans="4:34" ht="15.75" customHeight="1" thickBot="1" x14ac:dyDescent="0.25">
      <c r="D258" s="115" t="s">
        <v>123</v>
      </c>
      <c r="E258" s="394" t="str">
        <f>IF(E257&lt;=74,"Débil",IF(E257&lt;=89,"Moderado",IF(E257&lt;=100,"Fuerte","")))</f>
        <v>Fuerte</v>
      </c>
      <c r="F258" s="395"/>
      <c r="G258" s="542"/>
      <c r="J258" s="111"/>
      <c r="K258" s="394" t="str">
        <f t="shared" ref="K258" si="52">IF(K257&lt;=74,"Débil",IF(K257&lt;=89,"Moderado",IF(K257&lt;=100,"Fuerte","")))</f>
        <v>Fuerte</v>
      </c>
      <c r="L258" s="395"/>
      <c r="M258" s="111"/>
      <c r="S258" s="394" t="str">
        <f t="shared" ref="S258" si="53">IF(S257&lt;=74,"Débil",IF(S257&lt;=89,"Moderado",IF(S257&lt;=100,"Fuerte","")))</f>
        <v>Fuerte</v>
      </c>
      <c r="T258" s="395"/>
      <c r="U258" s="111"/>
      <c r="AA258" s="394" t="str">
        <f>IF(AA257&lt;=74,"Débil",IF(AA257&lt;=89,"Moderado",IF(AA257&lt;=100,"Fuerte","")))</f>
        <v>Fuerte</v>
      </c>
      <c r="AB258" s="395"/>
      <c r="AC258" s="542"/>
      <c r="AH258" s="111"/>
    </row>
  </sheetData>
  <dataConsolidate/>
  <mergeCells count="365">
    <mergeCell ref="B243:L243"/>
    <mergeCell ref="B245:D246"/>
    <mergeCell ref="E245:J245"/>
    <mergeCell ref="K245:R245"/>
    <mergeCell ref="G255:J255"/>
    <mergeCell ref="M255:R255"/>
    <mergeCell ref="U255:Z255"/>
    <mergeCell ref="E257:F257"/>
    <mergeCell ref="G257:G258"/>
    <mergeCell ref="K257:L257"/>
    <mergeCell ref="S257:T257"/>
    <mergeCell ref="E258:F258"/>
    <mergeCell ref="K258:L258"/>
    <mergeCell ref="S258:T258"/>
    <mergeCell ref="G252:J252"/>
    <mergeCell ref="M252:R252"/>
    <mergeCell ref="U252:Z252"/>
    <mergeCell ref="G253:J253"/>
    <mergeCell ref="M253:R253"/>
    <mergeCell ref="AC255:AH255"/>
    <mergeCell ref="AA257:AB257"/>
    <mergeCell ref="AC257:AC258"/>
    <mergeCell ref="AA258:AB258"/>
    <mergeCell ref="AC252:AH252"/>
    <mergeCell ref="AC253:AH253"/>
    <mergeCell ref="AC254:AH254"/>
    <mergeCell ref="AC249:AH249"/>
    <mergeCell ref="AC250:AH250"/>
    <mergeCell ref="AC251:AH251"/>
    <mergeCell ref="AA245:AH245"/>
    <mergeCell ref="AA246:AH246"/>
    <mergeCell ref="AA247:AB247"/>
    <mergeCell ref="AC247:AH248"/>
    <mergeCell ref="U253:Z253"/>
    <mergeCell ref="G254:J254"/>
    <mergeCell ref="M254:R254"/>
    <mergeCell ref="U254:Z254"/>
    <mergeCell ref="B249:B250"/>
    <mergeCell ref="G249:J249"/>
    <mergeCell ref="M249:R249"/>
    <mergeCell ref="U249:Z249"/>
    <mergeCell ref="G250:J250"/>
    <mergeCell ref="M250:R250"/>
    <mergeCell ref="U250:Z250"/>
    <mergeCell ref="G251:J251"/>
    <mergeCell ref="M251:R251"/>
    <mergeCell ref="U251:Z251"/>
    <mergeCell ref="S245:Z245"/>
    <mergeCell ref="E246:J246"/>
    <mergeCell ref="K246:R246"/>
    <mergeCell ref="S246:Z246"/>
    <mergeCell ref="B247:B248"/>
    <mergeCell ref="C247:D248"/>
    <mergeCell ref="E247:F247"/>
    <mergeCell ref="G247:J248"/>
    <mergeCell ref="K247:L247"/>
    <mergeCell ref="M247:R248"/>
    <mergeCell ref="S247:T247"/>
    <mergeCell ref="U247:Z248"/>
    <mergeCell ref="G218:L218"/>
    <mergeCell ref="G219:L219"/>
    <mergeCell ref="G220:L220"/>
    <mergeCell ref="E222:F222"/>
    <mergeCell ref="E223:F223"/>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G229:L230"/>
    <mergeCell ref="B212:B213"/>
    <mergeCell ref="C212:D213"/>
    <mergeCell ref="E212:F212"/>
    <mergeCell ref="G212:L213"/>
    <mergeCell ref="B214:B215"/>
    <mergeCell ref="G214:L214"/>
    <mergeCell ref="G215:L215"/>
    <mergeCell ref="G216:L216"/>
    <mergeCell ref="G217:L217"/>
    <mergeCell ref="G199:L199"/>
    <mergeCell ref="G200:L200"/>
    <mergeCell ref="G201:L201"/>
    <mergeCell ref="G202:L202"/>
    <mergeCell ref="G203:L203"/>
    <mergeCell ref="E205:F205"/>
    <mergeCell ref="E206:F206"/>
    <mergeCell ref="B208:L208"/>
    <mergeCell ref="B210:D211"/>
    <mergeCell ref="E210:L210"/>
    <mergeCell ref="E211:L211"/>
    <mergeCell ref="B191:L191"/>
    <mergeCell ref="B193:D194"/>
    <mergeCell ref="E193:L193"/>
    <mergeCell ref="E194:L194"/>
    <mergeCell ref="B195:B196"/>
    <mergeCell ref="C195:D196"/>
    <mergeCell ref="E195:F195"/>
    <mergeCell ref="G195:L196"/>
    <mergeCell ref="B197:B198"/>
    <mergeCell ref="G197:L197"/>
    <mergeCell ref="G198:L198"/>
    <mergeCell ref="G168:J168"/>
    <mergeCell ref="M168:R168"/>
    <mergeCell ref="G169:J169"/>
    <mergeCell ref="M169:R169"/>
    <mergeCell ref="E171:F171"/>
    <mergeCell ref="G171:G172"/>
    <mergeCell ref="K171:L171"/>
    <mergeCell ref="E172:F172"/>
    <mergeCell ref="K172:L172"/>
    <mergeCell ref="G163:J163"/>
    <mergeCell ref="M163:R163"/>
    <mergeCell ref="G164:J164"/>
    <mergeCell ref="M164:R164"/>
    <mergeCell ref="G165:J165"/>
    <mergeCell ref="M165:R165"/>
    <mergeCell ref="G166:J166"/>
    <mergeCell ref="M166:R166"/>
    <mergeCell ref="G167:J167"/>
    <mergeCell ref="M167:R167"/>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S125:Z125"/>
    <mergeCell ref="S126:Z126"/>
    <mergeCell ref="S127:T127"/>
    <mergeCell ref="U127:Z128"/>
    <mergeCell ref="U129:Z129"/>
    <mergeCell ref="U130:Z130"/>
    <mergeCell ref="U131:Z131"/>
    <mergeCell ref="U132:Z132"/>
    <mergeCell ref="U133:Z133"/>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93:B94"/>
    <mergeCell ref="C93:D94"/>
    <mergeCell ref="E93:F93"/>
    <mergeCell ref="G93:L94"/>
    <mergeCell ref="B95:B96"/>
    <mergeCell ref="G95:L95"/>
    <mergeCell ref="G96:L96"/>
    <mergeCell ref="G97:L97"/>
    <mergeCell ref="G98:L98"/>
    <mergeCell ref="G80:L80"/>
    <mergeCell ref="G81:L81"/>
    <mergeCell ref="G82:L82"/>
    <mergeCell ref="G83:L83"/>
    <mergeCell ref="G84:L84"/>
    <mergeCell ref="E86:F86"/>
    <mergeCell ref="E87:F87"/>
    <mergeCell ref="B89:L89"/>
    <mergeCell ref="B91:D92"/>
    <mergeCell ref="E91:L91"/>
    <mergeCell ref="E92:L92"/>
    <mergeCell ref="B72:L72"/>
    <mergeCell ref="B74:D75"/>
    <mergeCell ref="E74:L74"/>
    <mergeCell ref="E75:L75"/>
    <mergeCell ref="B76:B77"/>
    <mergeCell ref="C76:D77"/>
    <mergeCell ref="E76:F76"/>
    <mergeCell ref="G76:L77"/>
    <mergeCell ref="B78:B79"/>
    <mergeCell ref="G78:L78"/>
    <mergeCell ref="G79:L79"/>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B6:D7"/>
    <mergeCell ref="E144:F144"/>
    <mergeCell ref="K144:L144"/>
    <mergeCell ref="K143:R143"/>
    <mergeCell ref="G184:L184"/>
    <mergeCell ref="G185:L185"/>
    <mergeCell ref="G186:L186"/>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B59:B60"/>
    <mergeCell ref="C59:D60"/>
    <mergeCell ref="E59:F59"/>
    <mergeCell ref="G59:L60"/>
    <mergeCell ref="B61:B62"/>
    <mergeCell ref="G61:L61"/>
    <mergeCell ref="E19:F19"/>
    <mergeCell ref="G29:L29"/>
    <mergeCell ref="G30:L30"/>
    <mergeCell ref="G31:L31"/>
    <mergeCell ref="G32:L32"/>
    <mergeCell ref="B21:L21"/>
    <mergeCell ref="B23:D24"/>
    <mergeCell ref="E23:L23"/>
    <mergeCell ref="E24:L24"/>
    <mergeCell ref="B25:B26"/>
    <mergeCell ref="C25:D26"/>
    <mergeCell ref="E25:F25"/>
    <mergeCell ref="G25:L26"/>
    <mergeCell ref="B27:B28"/>
    <mergeCell ref="G27:L27"/>
    <mergeCell ref="G28:L28"/>
    <mergeCell ref="G33:L33"/>
    <mergeCell ref="E35:F35"/>
    <mergeCell ref="E36:F36"/>
    <mergeCell ref="E70:F70"/>
    <mergeCell ref="G48:L48"/>
    <mergeCell ref="G49:L49"/>
    <mergeCell ref="G50:L50"/>
    <mergeCell ref="G67:L67"/>
    <mergeCell ref="B38:L38"/>
    <mergeCell ref="B40:D41"/>
    <mergeCell ref="E52:F52"/>
    <mergeCell ref="E53:F53"/>
    <mergeCell ref="B44:B45"/>
    <mergeCell ref="G44:L44"/>
    <mergeCell ref="G45:L45"/>
    <mergeCell ref="G46:L46"/>
    <mergeCell ref="G47:L47"/>
    <mergeCell ref="G62:L62"/>
  </mergeCells>
  <dataValidations count="7">
    <dataValidation type="list" allowBlank="1" showInputMessage="1" showErrorMessage="1" sqref="E10 E112 E231 E214 K146 E61 E44 E78 E95 E180 E146 K129 S129 E197 M44 U44 M61 E27 E163 E129 K163 E249 K249 S249 AA249" xr:uid="{00000000-0002-0000-0400-000000000000}">
      <formula1>P_1</formula1>
    </dataValidation>
    <dataValidation type="list" allowBlank="1" showInputMessage="1" showErrorMessage="1" sqref="E11 E113 E232 E215 K147 E62 E45 E79 E96 E181 E147 K130 S130 E198 M45 U45 M62 E28 E164 E130 K164 E250 K250 S250 AA250" xr:uid="{00000000-0002-0000-0400-000001000000}">
      <formula1>P_2</formula1>
    </dataValidation>
    <dataValidation type="list" allowBlank="1" showInputMessage="1" showErrorMessage="1" sqref="E12 E114 E233 E216 K148 E63 E46 E80 E97 E182 E148 K131 S131 E199 M46 U46 M63 E29 E165 E131 K165 E251 K251 S251 AA251" xr:uid="{00000000-0002-0000-0400-000002000000}">
      <formula1>P_3</formula1>
    </dataValidation>
    <dataValidation type="list" allowBlank="1" showInputMessage="1" showErrorMessage="1" sqref="E13 E115 E234 E217 K149 E64 E47 E81 E98 E183 E149 K132 S132 E200 M47 U47 M64 E30 E166 E132 K166 E252 K252 S252 AA252" xr:uid="{00000000-0002-0000-0400-000003000000}">
      <formula1>P_4</formula1>
    </dataValidation>
    <dataValidation type="list" allowBlank="1" showInputMessage="1" showErrorMessage="1" sqref="E14 E116 E235 E218 K150 E65 E48 E82 E99 E184 E150 K133 S133 E201 M48 U48 M65 E31 E167 E133 K167 E253 K253 S253 AA253" xr:uid="{00000000-0002-0000-0400-000004000000}">
      <formula1>P_5</formula1>
    </dataValidation>
    <dataValidation type="list" allowBlank="1" showInputMessage="1" showErrorMessage="1" sqref="E16 E118 E237 E220 K152 E67 E50 E84 E101 E186 E152 K135 S135 E203 M50 U50 M67 E33 E169 E135 K169 E255 K255 S255 AA255" xr:uid="{00000000-0002-0000-0400-000005000000}">
      <formula1>P_7</formula1>
    </dataValidation>
    <dataValidation type="list" allowBlank="1" showInputMessage="1" showErrorMessage="1" sqref="E15 E117 E236 E219 K151 E66 E49 E83 E100 E185 E151 K134 S134 E202 M49 U49 M66 E32 E168 E134 K168 E254 K254 S254 AA254" xr:uid="{00000000-0002-0000-04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Mapa</vt:lpstr>
      <vt:lpstr>Listas</vt:lpstr>
      <vt:lpstr>Matriz</vt:lpstr>
      <vt:lpstr>Anexo 1 - Impacto (RC)</vt:lpstr>
      <vt:lpstr>Anexo 2 - Controles (Corrup).</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2020-07-31T22:09:21Z</cp:lastPrinted>
  <dcterms:created xsi:type="dcterms:W3CDTF">2020-01-13T19:31:31Z</dcterms:created>
  <dcterms:modified xsi:type="dcterms:W3CDTF">2022-01-31T21:49:33Z</dcterms:modified>
</cp:coreProperties>
</file>