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Julio\Desktop\Planeación 2022\PIGA\INFORMES\SDA\I SEMESTRE\SEGUIM. P.A.I\"/>
    </mc:Choice>
  </mc:AlternateContent>
  <xr:revisionPtr revIDLastSave="0" documentId="13_ncr:1_{EBD13849-1197-47D0-9958-EEDE6192ED80}" xr6:coauthVersionLast="47" xr6:coauthVersionMax="47" xr10:uidLastSave="{00000000-0000-0000-0000-000000000000}"/>
  <bookViews>
    <workbookView xWindow="-120" yWindow="-120" windowWidth="20730" windowHeight="11160" xr2:uid="{00000000-000D-0000-FFFF-FFFF00000000}"/>
  </bookViews>
  <sheets>
    <sheet name="SEGUIMIENTO PLAN DE ACCION 242" sheetId="1" r:id="rId1"/>
  </sheets>
  <definedNames>
    <definedName name="_xlnm._FilterDatabase" localSheetId="0" hidden="1">'SEGUIMIENTO PLAN DE ACCION 242'!$C$10:$Z$33</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U32" i="1" l="1"/>
  <c r="T32" i="1"/>
  <c r="P33" i="1"/>
  <c r="P32" i="1"/>
  <c r="P31" i="1"/>
  <c r="N33" i="1"/>
  <c r="N32" i="1"/>
  <c r="M33" i="1"/>
  <c r="M32" i="1"/>
  <c r="N31" i="1"/>
  <c r="M31" i="1"/>
  <c r="U30" i="1"/>
  <c r="P30" i="1"/>
  <c r="M30" i="1"/>
  <c r="U29" i="1"/>
  <c r="P29" i="1"/>
  <c r="N29" i="1"/>
  <c r="M29" i="1"/>
  <c r="U28" i="1"/>
  <c r="T28" i="1"/>
  <c r="U27" i="1"/>
  <c r="U26" i="1"/>
  <c r="T26" i="1"/>
  <c r="U25" i="1"/>
  <c r="T25" i="1"/>
  <c r="U24" i="1"/>
  <c r="T24" i="1"/>
  <c r="U23" i="1"/>
  <c r="T23" i="1"/>
  <c r="P28" i="1"/>
  <c r="P27" i="1"/>
  <c r="P26" i="1"/>
  <c r="P25" i="1"/>
  <c r="P24" i="1"/>
  <c r="P23" i="1"/>
  <c r="N28" i="1"/>
  <c r="M28" i="1"/>
  <c r="N27" i="1"/>
  <c r="M27" i="1"/>
  <c r="N26" i="1"/>
  <c r="M26" i="1"/>
  <c r="N25" i="1" l="1"/>
  <c r="N24" i="1"/>
  <c r="N23" i="1"/>
  <c r="M25" i="1"/>
  <c r="M24" i="1"/>
  <c r="M23" i="1"/>
  <c r="U22" i="1"/>
  <c r="U21" i="1"/>
  <c r="U20" i="1"/>
  <c r="T22" i="1"/>
  <c r="T21" i="1"/>
  <c r="T20" i="1"/>
  <c r="U19" i="1"/>
  <c r="T19" i="1"/>
  <c r="U18" i="1"/>
  <c r="T18" i="1"/>
  <c r="U17" i="1"/>
  <c r="T17" i="1"/>
  <c r="P22" i="1"/>
  <c r="P21" i="1"/>
  <c r="P20" i="1"/>
  <c r="P19" i="1"/>
  <c r="P18" i="1"/>
  <c r="P17" i="1"/>
  <c r="M22" i="1"/>
  <c r="N22" i="1" s="1"/>
  <c r="M21" i="1"/>
  <c r="N21" i="1" s="1"/>
  <c r="M20" i="1"/>
  <c r="N20" i="1" s="1"/>
  <c r="M19" i="1"/>
  <c r="N19" i="1" s="1"/>
  <c r="M18" i="1"/>
  <c r="N18" i="1" s="1"/>
  <c r="N17" i="1"/>
  <c r="M17" i="1"/>
  <c r="T16" i="1"/>
  <c r="U16" i="1" s="1"/>
  <c r="T15" i="1"/>
  <c r="U15" i="1" s="1"/>
  <c r="T14" i="1"/>
  <c r="U14" i="1" s="1"/>
  <c r="T13" i="1"/>
  <c r="U13" i="1" s="1"/>
  <c r="U12" i="1"/>
  <c r="T12" i="1"/>
  <c r="U11" i="1"/>
  <c r="T11" i="1"/>
  <c r="P16" i="1"/>
  <c r="P15" i="1"/>
  <c r="P14" i="1"/>
  <c r="P13" i="1"/>
  <c r="P12" i="1"/>
  <c r="P11" i="1"/>
  <c r="M16" i="1"/>
  <c r="N16" i="1" s="1"/>
  <c r="M15" i="1"/>
  <c r="N15" i="1" s="1"/>
  <c r="M14" i="1"/>
  <c r="N14" i="1" s="1"/>
  <c r="M13" i="1"/>
  <c r="N13" i="1" s="1"/>
  <c r="M12" i="1"/>
  <c r="N12" i="1" s="1"/>
  <c r="N11" i="1"/>
  <c r="M11" i="1"/>
  <c r="T33" i="1" l="1"/>
  <c r="U33" i="1" s="1"/>
  <c r="T31" i="1"/>
  <c r="U31" i="1" s="1"/>
  <c r="N30" i="1"/>
  <c r="T29" i="1"/>
</calcChain>
</file>

<file path=xl/sharedStrings.xml><?xml version="1.0" encoding="utf-8"?>
<sst xmlns="http://schemas.openxmlformats.org/spreadsheetml/2006/main" count="490" uniqueCount="208">
  <si>
    <t>Tipo Informe</t>
  </si>
  <si>
    <t>SEGUIMIENTO PLAN DE ACCION PIGA 242</t>
  </si>
  <si>
    <t>Formulario</t>
  </si>
  <si>
    <t>SEGUIMIENTO PLAN DE ACCION 242</t>
  </si>
  <si>
    <t>Moneda Informe</t>
  </si>
  <si>
    <t>Entidad</t>
  </si>
  <si>
    <t>Fecha</t>
  </si>
  <si>
    <t>Periodicidad</t>
  </si>
  <si>
    <t>INTERMEDIO</t>
  </si>
  <si>
    <t>[1]</t>
  </si>
  <si>
    <t>0 SEGUIMIENTO PLAN DE ACCIÓN PIGA 242</t>
  </si>
  <si>
    <t>ODS PGA</t>
  </si>
  <si>
    <t>PRINCIPIOS PGA</t>
  </si>
  <si>
    <t>OBJETIVOS PGA</t>
  </si>
  <si>
    <t>ESTRATEGIA PGA</t>
  </si>
  <si>
    <t>PROGRAMA</t>
  </si>
  <si>
    <t>LINEA PROGRAMA 5</t>
  </si>
  <si>
    <t>PROGRAMA "OTRO"</t>
  </si>
  <si>
    <t>OBJETIVO DEL PROGRAMA</t>
  </si>
  <si>
    <t>META DEL PROGRAMA ANUAL</t>
  </si>
  <si>
    <t>INDICADOR DEL PROGRAMA</t>
  </si>
  <si>
    <t>AVANCE DE LA META ANUAL EN EL SEMESTRE</t>
  </si>
  <si>
    <t>AVANCE DE LA META ANUAL TOTAL</t>
  </si>
  <si>
    <t>META DEL PROGRAMA A 4 AÑOS</t>
  </si>
  <si>
    <t>AVANCE DE LA META A 4 AÑOS TOTAL</t>
  </si>
  <si>
    <t xml:space="preserve">ACTIVIDAD </t>
  </si>
  <si>
    <t>META DE LA ACTIVIDAD</t>
  </si>
  <si>
    <t>INDICADOR DE LA ACTIVIDAD.</t>
  </si>
  <si>
    <t>AVANCE DE LA META EN EL SEMESTRE</t>
  </si>
  <si>
    <t>AVANCE DE LA META TOTAL</t>
  </si>
  <si>
    <t>RESPONSABLE.</t>
  </si>
  <si>
    <t>PRESUPUESTO ASIGNADO.</t>
  </si>
  <si>
    <t>PRESUPUESTO EJECUTADO EN EL PERIODO</t>
  </si>
  <si>
    <t>PRESUPUESTO EJECUTADO TOTAL-</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</si>
  <si>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</si>
  <si>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</si>
  <si>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</si>
  <si>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</si>
  <si>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</si>
  <si>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</si>
  <si>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</si>
  <si>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</si>
  <si>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</si>
  <si>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</si>
  <si>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</si>
  <si>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</si>
  <si>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</si>
  <si>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DEL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</si>
  <si>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</si>
  <si>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</si>
  <si>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</si>
  <si>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</si>
  <si>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</si>
  <si>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</si>
  <si>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</si>
  <si>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</si>
  <si>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</si>
  <si>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</si>
  <si>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</si>
  <si>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NO APLICA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</si>
  <si>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</si>
  <si>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</si>
  <si>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</si>
  <si>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</si>
  <si>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</si>
  <si>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</si>
  <si>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</si>
  <si>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</si>
  <si>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</si>
  <si>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OTROS</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</si>
  <si>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</si>
  <si>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</si>
  <si>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</si>
  <si>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</si>
  <si>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</si>
  <si>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</si>
  <si>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</si>
  <si>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</si>
  <si>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</si>
  <si>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</si>
  <si>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</si>
  <si>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</si>
  <si>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</si>
  <si>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</si>
  <si>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</si>
  <si>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</si>
  <si>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</si>
  <si>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</si>
  <si>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</si>
  <si>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</si>
  <si>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</si>
  <si>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</si>
  <si>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</si>
  <si>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</si>
  <si>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</si>
  <si>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</si>
  <si>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</si>
  <si>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</si>
  <si>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</si>
  <si>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</si>
  <si>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</si>
  <si>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</si>
  <si>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</si>
  <si>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</si>
  <si>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</si>
  <si>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</si>
  <si>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</si>
  <si>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</si>
  <si>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</si>
  <si>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</si>
  <si>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</si>
  <si>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</si>
  <si>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</si>
  <si>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</si>
  <si>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</si>
  <si>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</si>
  <si>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</si>
  <si>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</si>
  <si>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</si>
  <si>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</si>
  <si>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</si>
  <si>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</si>
  <si>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Promover el consumo racional y eficiente del recurso hídrico entre los servidores públicos y contratistas de la Entidad, durante el Plan de Desarrollo “un nuevo contrato social y ambiental para la Bogotá del siglo XXI”.</t>
  </si>
  <si>
    <t>(Actividades implementadas /Total de actividades definidas en materia de uso eficiente del agua) * 100</t>
  </si>
  <si>
    <t>Implementar el 100% de las estrategias establecidas en el Plan de Acción Anual para cada vigencia durante el Plan de Desarrollo “un nuevo contrato social y ambiental para la Bogotá del siglo XXI”.</t>
  </si>
  <si>
    <t>Mantener en un 100% la implementación de las actividades durante el plan de desarrollo “un nuevo contrato social y ambiental para la Bogotá del siglo XXI”.</t>
  </si>
  <si>
    <t>Realizar inspección e inventario a las instalaciones hidrosanitarias emitiendo informes cuatrimestrales del estado de las mismas y la cantidad de sistemas ahorradores instalados.</t>
  </si>
  <si>
    <t>Tres (3) informes en el transcurso del año</t>
  </si>
  <si>
    <t>(No de informes presentados/3)*100</t>
  </si>
  <si>
    <t>Profesional de apoyo de planeación</t>
  </si>
  <si>
    <t>Realizar el seguimiento y análisis a consumos de agua facturados para Canal Capital a través de la presentación de informes trimestrales del estado de consumos del recurso</t>
  </si>
  <si>
    <t>Cuatro (4) informes generados en el transcurso del año</t>
  </si>
  <si>
    <t>(No de informes presentados/4)*100</t>
  </si>
  <si>
    <t>Profesional de apoyo de planeación   Técnica de servicios administrativos</t>
  </si>
  <si>
    <t>Realizar las intervenciones necesarias en materia de renovación de sistemas de abastecimiento de agua   en la sede principal y/o en la casa de la 69 según las necesidades de intervención identificadas.</t>
  </si>
  <si>
    <t>Cuatro (4) puntos de agua intervenidos</t>
  </si>
  <si>
    <t>(Número total de sistemas ahorradores instalados/Número total de puntos de agua de las sedes del canal)*100%</t>
  </si>
  <si>
    <t>Promover la racionalización y ahorro del consumo energético entre los servidores de la entidad y sus entornos durante el Plan de Desarrollo “un nuevo contrato social y ambiental para la Bogotá del siglo XXI”.</t>
  </si>
  <si>
    <t>(Actividades implementadas /Total de actividades definidas en materia de uso eficiente de La energía) * 100</t>
  </si>
  <si>
    <t>Mantener en un 100% la implementación de las actividades durante el plan de desarrollo “un nuevo contrato social y ambiental para la Bogotá del siglo XXI”</t>
  </si>
  <si>
    <t>Instalar sistemas de ilumianción tipo LED en las areas faltantes de las sedes del Canal</t>
  </si>
  <si>
    <t>30 páneles y/o bombillos LED instalados en las áreas restantes del Canal</t>
  </si>
  <si>
    <t>(Páneles LED instalados /Páneles LED programados a instalar)*100</t>
  </si>
  <si>
    <t>Realizar el seguimiento y análisis a consumos de energía facturados para Canal Capital a través de la presentación de informes trimestrales del estado de consumos del recurso</t>
  </si>
  <si>
    <t>Realizar el inventario y control del estado de los sistemas de iluminación del Canal por medio de informes cuatrimestrales evidenciando la cantidad de sistemas de iluminación por tipo de sistema ahorrador.</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</si>
  <si>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</si>
  <si>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(Actividades implementadas /Total de actividades definidas en materia de gestión de residuos) * 100</t>
  </si>
  <si>
    <t>Implementar el 100% el Plan de Acción frente a las estrategias establecidas en materia de gestión integral de residuos por tipología en el marco del Plan de Desarrollo “un nuevo contrato social y ambiental para la Bogotá del siglo XXI”</t>
  </si>
  <si>
    <t>Mantener en un 100% la implementación de las actividades propuestas durante el plan de desarrollo “un nuevo contrato social y ambiental para la Bogotá del siglo XXI”.</t>
  </si>
  <si>
    <t>Realizar jornadas de sensibilización enfocadas en la gestión de residuos y el uso adecuado de los puntos ecológicos del Canal.</t>
  </si>
  <si>
    <t>Tres (3) charlas sobre gestión de residuos y uso adecuado de los puntos ecológicos con invitación a los servidores del Canal.</t>
  </si>
  <si>
    <t>(No. De jornadas de sensibilización realizadas/3)*100</t>
  </si>
  <si>
    <t>No aplica</t>
  </si>
  <si>
    <t>Realizar informes trimestrales asociados a la gestión integral de Residuos del Canal identificando puntos débiles y avances en la Gestión Asociada.</t>
  </si>
  <si>
    <t>Adquirir puntos ecológicos para las instalaciones de Canal Capital en sus diferentes sedes en cumplimiento a la Resolución 2184 de 2019</t>
  </si>
  <si>
    <t>Diez (10) puntos ecológicos adquiridos</t>
  </si>
  <si>
    <t>(Cantidad de puntos ecológicos adquiridos/puntos ecológicos programados para compra)*100</t>
  </si>
  <si>
    <t>M.G = ((Total de materiales gestionados en el año n -Total de materiales gestionados en el año anterior) / Total de materiales gestionados en el año anterior) * 100   n: 2021, 2022, 2023, 2024</t>
  </si>
  <si>
    <t>Disminuir en un 1% los residuos peligrosos generados en el desarrollo de las actividades misionales y administrativas durante la vigencia del Plan de Desarrollo “un nuevo contrato social y ambiental para la Bogotá del siglo XXI”, respecto al año 2020</t>
  </si>
  <si>
    <t>Realizar capacitaciones dirigidas a los colaboradores del canal en cargados de la gestión interna de los RESPEL, en el manejo interno y externo ambientalmente seguro de este tipo de residuos, así como en el manejo de sustancias peligrosas.</t>
  </si>
  <si>
    <t>Tres (3) capacitaciones a los colaboradores encargados de la manipulación interna de los RESPEL generados en el Canal.</t>
  </si>
  <si>
    <t>((N° de jornadas de sensibilización efectuadas en el año / 3)*100)</t>
  </si>
  <si>
    <t>Profesional de apoyo de planeación   Recursos humanos</t>
  </si>
  <si>
    <t>Entregar  los residuos peligrosos generados en el canal durante la vigencia a empresas autorizadas por la autoridad ambiental competente.</t>
  </si>
  <si>
    <t>100% de los residuos peligrosos entregados en la vigencia</t>
  </si>
  <si>
    <t>(Cantidad de residuos peligrosos entregados en el año/Cantidad total de residuos peligrosos )*100</t>
  </si>
  <si>
    <t>Adquirir báscula y kit de derrames para el cuarto de residuos peligrosos del Canal</t>
  </si>
  <si>
    <t>Una (1) báscula y tres (3) kit de derrames adquiridos</t>
  </si>
  <si>
    <t>(No. De elementos adquiridos/4)*100</t>
  </si>
  <si>
    <t>Promover en la entidad procesos de contratación con criterios de sostenibilidad durante el Plan de Desarrollo “un nuevo contrato social y ambiental para la Bogotá del siglo XXI”.</t>
  </si>
  <si>
    <t>Número de contratos suscritos con criterios de sostenibilidad en el año / Número total de contratos por tipologías suscritos en el año) * 100</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</si>
  <si>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</si>
  <si>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Incorporar criterios de sostenibilidad mínimo en el 85% de los contratos priorizados en el periodo 2021-2024</t>
  </si>
  <si>
    <t>Llevar a cabo reuniones con el equipo de compras sostenibles del Canal con el fin de verificar los criterios ambientales y el cumplimiento de las cláusulas de sostenibilidad formuladas frente a los contratos priorizados .</t>
  </si>
  <si>
    <t>Dos (2) reuniones del equipo de compras sostenibles desarrolladas en el año</t>
  </si>
  <si>
    <t>(Reuniones realizadas/reuniones programadas)*100</t>
  </si>
  <si>
    <t>Promover internamente y hacia la ciudadanía prácticas sostenibles con ambiente en el marco de la operación de Capital durante el Plan de Desarrollo “un nuevo contrato social y ambiental para la Bogotá del siglo XXI”.</t>
  </si>
  <si>
    <t>(Actividades implementadas / Total de actividades definidas) * 100</t>
  </si>
  <si>
    <t>Implementar mínimo el 90% de las actividades definidas en el Plan Integral de Movilidad Sostenible de Capital durante el Plan de Desarrollo “un nuevo contrato social y ambiental para la Bogotá del siglo XXI”.</t>
  </si>
  <si>
    <t>Mantener como mínimo en un 90% de implementación de las actividades del Plan Integral de Movilidad Sostenible de Capital, durante el plan de desarrollo “un nuevo contrato social y ambiental para la Bogotá del siglo XXI”.</t>
  </si>
  <si>
    <t>Realizar la conformación del equipo de movilidad sostenible de la entidad</t>
  </si>
  <si>
    <t>Un (1) equipo de movilidad sostenible conformado y operando según los lineamientos del PIMS</t>
  </si>
  <si>
    <t>Profesional de apoyo de planeación   Profesional universitario de recursos humanos</t>
  </si>
  <si>
    <t>(Actividades implementadas / Total de actividades definidas en plan de acción de la vigencia) * 100</t>
  </si>
  <si>
    <t>Implementar como mínimo al 90% las actividades programadas en el plan de acción anual de la línea de condiciones ambientales y/o de su entorno.</t>
  </si>
  <si>
    <t>Mantener como mínimo en un 90% de implementación de las actividades del programa de prácticas sostenibles, durante el plan de desarrollo “un nuevo contrato social y ambiental para la Bogotá del siglo XXI”.</t>
  </si>
  <si>
    <t>Planear, organizar y realizar la semana ambiental</t>
  </si>
  <si>
    <t>Realizar el 100% de las actividades programadas en la semana ambiental</t>
  </si>
  <si>
    <t>(Actividades realizadas/actividades programadas)*100</t>
  </si>
  <si>
    <t>Referente Ambiental  Coordinador de prensa y comunicaciones   Profesional universitario de recursos humanos</t>
  </si>
  <si>
    <t>Gestionar la elaboración de  comunicaciones internas relacionadas con el ahorro y buen uso del agua, la energía y la gestión adecuada de los residuos.</t>
  </si>
  <si>
    <t>Doce (12) mensajes por correo electrónico y en las cartelera en el año</t>
  </si>
  <si>
    <t>(N° de mensajes divulgados a través de los canales de comunicación interna  /12)*100</t>
  </si>
  <si>
    <t>Referente Ambiental  Coordinador de prensa y comunicaciones</t>
  </si>
  <si>
    <t>Implementar como mínimo al 90% las actividades programadas en el plan de acción anual de la línea adaptación al cambio climático.</t>
  </si>
  <si>
    <t>Realizar un taller de agricultura urbana con los colaboradores de la entidad</t>
  </si>
  <si>
    <t>Un (1) taller de agricultura urbana realizado</t>
  </si>
  <si>
    <t xml:space="preserve">Referente Ambiental </t>
  </si>
  <si>
    <t xml:space="preserve">En el desarrollo de la semana ambiental se llevó a cabo el taller de agricultura urbana programado </t>
  </si>
  <si>
    <t xml:space="preserve">NO APLICA </t>
  </si>
  <si>
    <t xml:space="preserve">No aplica </t>
  </si>
  <si>
    <t xml:space="preserve">Esta actividad se ejecutó con recursos de la vigencia 2020 </t>
  </si>
  <si>
    <t>Cuatro (4) informes en el transcurso del año</t>
  </si>
  <si>
    <t>Esta actividad se reporta en el 60% de cumplimiento teniendo en cuenta que solamente se realizó la compra de un kit de derrame y la gestión para la adquisición de la báscula no se logró finalizar debido a retrasos internos asociados con el mecanismo contractual establecido para la compra</t>
  </si>
  <si>
    <t>Esta actividad se reporta en el 60% de cumplimiento teniendo en cuenta que la gestión para la adquisición de los puntos ecológicos no se logró finalizar debido a retrasos internos asociados con el mecanismo contractual establecido para la compra</t>
  </si>
  <si>
    <t xml:space="preserve">La ejecución del recurso obedece a la contratación del servicio de instalación de los sistemas de iluminación LED respectivos. </t>
  </si>
  <si>
    <t>Esta actividad se llevó a cabo con recursos de la dirección operativa asociados con los servicios de mantenimiento de equipos, sin embargo se suscribió un contrato para la gestión de residuos que iniciará su ejecución en el año 2022 por un valor de $4.000.000</t>
  </si>
  <si>
    <t>La semana ambiental se desarrolló sin comprometer el presupuesto asignado.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</si>
</sst>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0.000"/>
    <numFmt numFmtId="166" formatCode="0.0000"/>
  </numFmts>
  <fonts count="5"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9" fontId="3" fillId="0" borderId="0" applyFont="0" applyFill="0" applyBorder="0" applyAlignment="0" applyProtection="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2" fontId="0" fillId="3" borderId="2" xfId="1" applyNumberFormat="1" applyFont="1" applyFill="1" applyBorder="1" applyAlignment="1" applyProtection="1">
      <alignment vertical="center"/>
      <protection locked="0"/>
    </xf>
    <xf numFmtId="2" fontId="0" fillId="3" borderId="2" xfId="0" applyNumberFormat="1" applyFill="1" applyBorder="1" applyAlignment="1" applyProtection="1">
      <alignment vertical="center"/>
      <protection locked="0"/>
    </xf>
    <xf numFmtId="165" fontId="0" fillId="3" borderId="2" xfId="0" applyNumberFormat="1" applyFill="1" applyBorder="1" applyAlignment="1" applyProtection="1">
      <alignment vertical="center"/>
      <protection locked="0"/>
    </xf>
    <xf numFmtId="0" fontId="0" fillId="0" borderId="2" xfId="0" applyBorder="1" applyAlignment="1" applyProtection="1">
      <alignment vertical="center"/>
      <protection locked="0"/>
    </xf>
    <xf numFmtId="2" fontId="0" fillId="0" borderId="2" xfId="1" applyNumberFormat="1" applyFont="1" applyFill="1" applyBorder="1" applyAlignment="1" applyProtection="1">
      <alignment vertical="center"/>
      <protection locked="0"/>
    </xf>
    <xf numFmtId="166" fontId="0" fillId="3" borderId="2" xfId="1" applyNumberFormat="1" applyFont="1" applyFill="1" applyBorder="1" applyAlignment="1" applyProtection="1">
      <alignment vertical="center"/>
      <protection locked="0"/>
    </xf>
    <xf numFmtId="166" fontId="0" fillId="3" borderId="2" xfId="0" applyNumberFormat="1" applyFill="1" applyBorder="1" applyAlignment="1" applyProtection="1">
      <alignment vertical="center"/>
      <protection locked="0"/>
    </xf>
    <xf numFmtId="1" fontId="0" fillId="0" borderId="2" xfId="0" applyNumberFormat="1" applyBorder="1" applyAlignment="1" applyProtection="1">
      <alignment vertical="center"/>
      <protection locked="0"/>
    </xf>
    <xf numFmtId="2" fontId="0" fillId="0" borderId="2"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6"/>
  <sheetViews>
    <sheetView tabSelected="1" topLeftCell="U9" workbookViewId="0">
      <selection activeCell="Y20" sqref="Y20"/>
    </sheetView>
  </sheetViews>
  <sheetFormatPr baseColWidth="10" defaultColWidth="9.140625" defaultRowHeight="15" x14ac:dyDescent="0.25"/>
  <cols>
    <col min="2" max="2" width="16" customWidth="1"/>
    <col min="3" max="3" width="13" customWidth="1"/>
    <col min="4" max="4" width="20" customWidth="1"/>
    <col min="5" max="5" width="19" customWidth="1"/>
    <col min="6" max="6" width="20" customWidth="1"/>
    <col min="7" max="7" width="14" customWidth="1"/>
    <col min="8" max="8" width="22" customWidth="1"/>
    <col min="9" max="9" width="21" customWidth="1"/>
    <col min="10" max="10" width="27" customWidth="1"/>
    <col min="11" max="11" width="29" customWidth="1"/>
    <col min="12" max="12" width="28" customWidth="1"/>
    <col min="13" max="13" width="44" customWidth="1"/>
    <col min="14" max="14" width="35" customWidth="1"/>
    <col min="15" max="15" width="32" customWidth="1"/>
    <col min="16" max="16" width="38" customWidth="1"/>
    <col min="17" max="17" width="16" customWidth="1"/>
    <col min="18" max="18" width="26" customWidth="1"/>
    <col min="19" max="19" width="32" customWidth="1"/>
    <col min="20" max="20" width="38" customWidth="1"/>
    <col min="21" max="21" width="29" customWidth="1"/>
    <col min="22" max="22" width="18" customWidth="1"/>
    <col min="23" max="23" width="27" customWidth="1"/>
    <col min="24" max="24" width="41" customWidth="1"/>
    <col min="25" max="25" width="34" customWidth="1"/>
    <col min="26" max="26" width="20" customWidth="1"/>
    <col min="28" max="256" width="8" hidden="1"/>
  </cols>
  <sheetData>
    <row r="1" spans="1:26" x14ac:dyDescent="0.25">
      <c r="B1" s="1" t="s">
        <v>0</v>
      </c>
      <c r="C1" s="1">
        <v>18</v>
      </c>
      <c r="D1" s="1" t="s">
        <v>1</v>
      </c>
    </row>
    <row r="2" spans="1:26" x14ac:dyDescent="0.25">
      <c r="B2" s="1" t="s">
        <v>2</v>
      </c>
      <c r="C2" s="1">
        <v>135</v>
      </c>
      <c r="D2" s="1" t="s">
        <v>3</v>
      </c>
    </row>
    <row r="3" spans="1:26" x14ac:dyDescent="0.25">
      <c r="B3" s="1" t="s">
        <v>4</v>
      </c>
      <c r="C3" s="1">
        <v>1</v>
      </c>
    </row>
    <row r="4" spans="1:26" x14ac:dyDescent="0.25">
      <c r="B4" s="1" t="s">
        <v>5</v>
      </c>
      <c r="C4" s="1">
        <v>260</v>
      </c>
    </row>
    <row r="5" spans="1:26" x14ac:dyDescent="0.25">
      <c r="B5" s="1" t="s">
        <v>6</v>
      </c>
      <c r="C5" s="3">
        <v>44561</v>
      </c>
    </row>
    <row r="6" spans="1:26" x14ac:dyDescent="0.25">
      <c r="B6" s="1" t="s">
        <v>7</v>
      </c>
      <c r="C6" s="1">
        <v>6</v>
      </c>
      <c r="D6" s="1" t="s">
        <v>8</v>
      </c>
    </row>
    <row r="8" spans="1:26"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row>
    <row r="9" spans="1:26" x14ac:dyDescent="0.25">
      <c r="C9" s="1">
        <v>4</v>
      </c>
      <c r="D9" s="1">
        <v>7</v>
      </c>
      <c r="E9" s="1">
        <v>8</v>
      </c>
      <c r="F9" s="1">
        <v>12</v>
      </c>
      <c r="G9" s="1">
        <v>20</v>
      </c>
      <c r="H9" s="1">
        <v>23</v>
      </c>
      <c r="I9" s="1">
        <v>28</v>
      </c>
      <c r="J9" s="1">
        <v>35</v>
      </c>
      <c r="K9" s="1">
        <v>36</v>
      </c>
      <c r="L9" s="1">
        <v>44</v>
      </c>
      <c r="M9" s="1">
        <v>48</v>
      </c>
      <c r="N9" s="1">
        <v>52</v>
      </c>
      <c r="O9" s="1">
        <v>55</v>
      </c>
      <c r="P9" s="1">
        <v>60</v>
      </c>
      <c r="Q9" s="1">
        <v>64</v>
      </c>
      <c r="R9" s="1">
        <v>68</v>
      </c>
      <c r="S9" s="1">
        <v>71</v>
      </c>
      <c r="T9" s="1">
        <v>72</v>
      </c>
      <c r="U9" s="1">
        <v>76</v>
      </c>
      <c r="V9" s="1">
        <v>80</v>
      </c>
      <c r="W9" s="1">
        <v>84</v>
      </c>
      <c r="X9" s="1">
        <v>88</v>
      </c>
      <c r="Y9" s="1">
        <v>96</v>
      </c>
      <c r="Z9" s="1">
        <v>100</v>
      </c>
    </row>
    <row r="10" spans="1:26"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row>
    <row r="11" spans="1:26" ht="15.75" thickBot="1" x14ac:dyDescent="0.3">
      <c r="A11" s="1">
        <v>1</v>
      </c>
      <c r="B11" t="s">
        <v>35</v>
      </c>
      <c r="C11" s="2" t="s">
        <v>65</v>
      </c>
      <c r="D11" s="2" t="s">
        <v>55</v>
      </c>
      <c r="E11" s="2" t="s">
        <v>84</v>
      </c>
      <c r="F11" s="2" t="s">
        <v>39</v>
      </c>
      <c r="G11" s="2" t="s">
        <v>40</v>
      </c>
      <c r="H11" s="2" t="s">
        <v>59</v>
      </c>
      <c r="I11" s="2" t="s">
        <v>199</v>
      </c>
      <c r="J11" s="2" t="s">
        <v>122</v>
      </c>
      <c r="K11" s="2" t="s">
        <v>123</v>
      </c>
      <c r="L11" s="2" t="s">
        <v>124</v>
      </c>
      <c r="M11" s="6">
        <f>SUM((7.6)/11)*100</f>
        <v>69.090909090909093</v>
      </c>
      <c r="N11" s="6">
        <f>M11+30.91</f>
        <v>100.00090909090909</v>
      </c>
      <c r="O11" s="2" t="s">
        <v>125</v>
      </c>
      <c r="P11" s="8">
        <f>(100%)/4</f>
        <v>0.25</v>
      </c>
      <c r="Q11" s="9" t="s">
        <v>126</v>
      </c>
      <c r="R11" s="9" t="s">
        <v>127</v>
      </c>
      <c r="S11" s="9" t="s">
        <v>128</v>
      </c>
      <c r="T11" s="10">
        <f>1/3*100</f>
        <v>33.333333333333329</v>
      </c>
      <c r="U11" s="10">
        <f>T11+66.67</f>
        <v>100.00333333333333</v>
      </c>
      <c r="V11" s="2" t="s">
        <v>129</v>
      </c>
      <c r="W11" s="2">
        <v>0</v>
      </c>
      <c r="X11" s="2">
        <v>0</v>
      </c>
      <c r="Y11" s="2">
        <v>0</v>
      </c>
      <c r="Z11" s="9" t="s">
        <v>200</v>
      </c>
    </row>
    <row r="12" spans="1:26" ht="15.75" thickBot="1" x14ac:dyDescent="0.3">
      <c r="A12" s="4">
        <v>2</v>
      </c>
      <c r="B12" s="5" t="s">
        <v>100</v>
      </c>
      <c r="C12" s="2" t="s">
        <v>65</v>
      </c>
      <c r="D12" s="2" t="s">
        <v>55</v>
      </c>
      <c r="E12" s="2" t="s">
        <v>84</v>
      </c>
      <c r="F12" s="2" t="s">
        <v>39</v>
      </c>
      <c r="G12" s="2" t="s">
        <v>40</v>
      </c>
      <c r="H12" s="2" t="s">
        <v>59</v>
      </c>
      <c r="I12" s="2" t="s">
        <v>199</v>
      </c>
      <c r="J12" s="2" t="s">
        <v>122</v>
      </c>
      <c r="K12" s="2" t="s">
        <v>123</v>
      </c>
      <c r="L12" s="2" t="s">
        <v>124</v>
      </c>
      <c r="M12" s="6">
        <f t="shared" ref="M12:M16" si="0">SUM((7.6)/11)*100</f>
        <v>69.090909090909093</v>
      </c>
      <c r="N12" s="6">
        <f t="shared" ref="N12:N16" si="1">M12+30.91</f>
        <v>100.00090909090909</v>
      </c>
      <c r="O12" s="2" t="s">
        <v>125</v>
      </c>
      <c r="P12" s="8">
        <f t="shared" ref="P12:P16" si="2">(100%)/4</f>
        <v>0.25</v>
      </c>
      <c r="Q12" s="9" t="s">
        <v>130</v>
      </c>
      <c r="R12" s="9" t="s">
        <v>131</v>
      </c>
      <c r="S12" s="9" t="s">
        <v>132</v>
      </c>
      <c r="T12" s="9">
        <f>(3/4)*100</f>
        <v>75</v>
      </c>
      <c r="U12" s="10">
        <f>T12+25</f>
        <v>100</v>
      </c>
      <c r="V12" s="2" t="s">
        <v>133</v>
      </c>
      <c r="W12" s="2">
        <v>0</v>
      </c>
      <c r="X12" s="2">
        <v>0</v>
      </c>
      <c r="Y12" s="2">
        <v>0</v>
      </c>
      <c r="Z12" s="2" t="s">
        <v>200</v>
      </c>
    </row>
    <row r="13" spans="1:26" ht="15.75" thickBot="1" x14ac:dyDescent="0.3">
      <c r="A13" s="4">
        <v>3</v>
      </c>
      <c r="B13" s="5" t="s">
        <v>101</v>
      </c>
      <c r="C13" s="2" t="s">
        <v>65</v>
      </c>
      <c r="D13" s="2" t="s">
        <v>55</v>
      </c>
      <c r="E13" s="2" t="s">
        <v>84</v>
      </c>
      <c r="F13" s="2" t="s">
        <v>39</v>
      </c>
      <c r="G13" s="2" t="s">
        <v>40</v>
      </c>
      <c r="H13" s="2" t="s">
        <v>59</v>
      </c>
      <c r="I13" s="2" t="s">
        <v>199</v>
      </c>
      <c r="J13" s="2" t="s">
        <v>122</v>
      </c>
      <c r="K13" s="2" t="s">
        <v>123</v>
      </c>
      <c r="L13" s="2" t="s">
        <v>124</v>
      </c>
      <c r="M13" s="6">
        <f t="shared" si="0"/>
        <v>69.090909090909093</v>
      </c>
      <c r="N13" s="6">
        <f t="shared" si="1"/>
        <v>100.00090909090909</v>
      </c>
      <c r="O13" s="2" t="s">
        <v>125</v>
      </c>
      <c r="P13" s="8">
        <f t="shared" si="2"/>
        <v>0.25</v>
      </c>
      <c r="Q13" s="2" t="s">
        <v>134</v>
      </c>
      <c r="R13" s="2" t="s">
        <v>135</v>
      </c>
      <c r="S13" s="2" t="s">
        <v>136</v>
      </c>
      <c r="T13" s="11">
        <f>(3.6/54)*100</f>
        <v>6.666666666666667</v>
      </c>
      <c r="U13" s="11">
        <f>(T13+0.7407)</f>
        <v>7.4073666666666673</v>
      </c>
      <c r="V13" s="2" t="s">
        <v>133</v>
      </c>
      <c r="W13" s="2">
        <v>3000000</v>
      </c>
      <c r="X13" s="2">
        <v>0</v>
      </c>
      <c r="Y13" s="2">
        <v>0</v>
      </c>
      <c r="Z13" s="2" t="s">
        <v>201</v>
      </c>
    </row>
    <row r="14" spans="1:26" ht="15.75" thickBot="1" x14ac:dyDescent="0.3">
      <c r="A14" s="4">
        <v>4</v>
      </c>
      <c r="B14" s="5" t="s">
        <v>102</v>
      </c>
      <c r="C14" s="2" t="s">
        <v>65</v>
      </c>
      <c r="D14" s="2" t="s">
        <v>37</v>
      </c>
      <c r="E14" s="2" t="s">
        <v>84</v>
      </c>
      <c r="F14" s="2" t="s">
        <v>39</v>
      </c>
      <c r="G14" s="2" t="s">
        <v>40</v>
      </c>
      <c r="H14" s="2" t="s">
        <v>59</v>
      </c>
      <c r="I14" s="2" t="s">
        <v>199</v>
      </c>
      <c r="J14" s="2" t="s">
        <v>122</v>
      </c>
      <c r="K14" s="2" t="s">
        <v>123</v>
      </c>
      <c r="L14" s="2" t="s">
        <v>124</v>
      </c>
      <c r="M14" s="6">
        <f t="shared" si="0"/>
        <v>69.090909090909093</v>
      </c>
      <c r="N14" s="6">
        <f t="shared" si="1"/>
        <v>100.00090909090909</v>
      </c>
      <c r="O14" s="2" t="s">
        <v>125</v>
      </c>
      <c r="P14" s="8">
        <f t="shared" si="2"/>
        <v>0.25</v>
      </c>
      <c r="Q14" s="9" t="s">
        <v>126</v>
      </c>
      <c r="R14" s="9" t="s">
        <v>127</v>
      </c>
      <c r="S14" s="9" t="s">
        <v>128</v>
      </c>
      <c r="T14" s="10">
        <f>1/3*100</f>
        <v>33.333333333333329</v>
      </c>
      <c r="U14" s="10">
        <f>T14+66.67</f>
        <v>100.00333333333333</v>
      </c>
      <c r="V14" s="2" t="s">
        <v>129</v>
      </c>
      <c r="W14" s="2">
        <v>0</v>
      </c>
      <c r="X14" s="2">
        <v>0</v>
      </c>
      <c r="Y14" s="2">
        <v>0</v>
      </c>
      <c r="Z14" s="9" t="s">
        <v>152</v>
      </c>
    </row>
    <row r="15" spans="1:26" ht="15.75" thickBot="1" x14ac:dyDescent="0.3">
      <c r="A15" s="4">
        <v>5</v>
      </c>
      <c r="B15" s="5" t="s">
        <v>103</v>
      </c>
      <c r="C15" s="2" t="s">
        <v>65</v>
      </c>
      <c r="D15" s="2" t="s">
        <v>37</v>
      </c>
      <c r="E15" s="2" t="s">
        <v>84</v>
      </c>
      <c r="F15" s="2" t="s">
        <v>39</v>
      </c>
      <c r="G15" s="2" t="s">
        <v>40</v>
      </c>
      <c r="H15" s="2" t="s">
        <v>59</v>
      </c>
      <c r="I15" s="2" t="s">
        <v>199</v>
      </c>
      <c r="J15" s="2" t="s">
        <v>122</v>
      </c>
      <c r="K15" s="2" t="s">
        <v>123</v>
      </c>
      <c r="L15" s="2" t="s">
        <v>124</v>
      </c>
      <c r="M15" s="6">
        <f t="shared" si="0"/>
        <v>69.090909090909093</v>
      </c>
      <c r="N15" s="6">
        <f t="shared" si="1"/>
        <v>100.00090909090909</v>
      </c>
      <c r="O15" s="2" t="s">
        <v>125</v>
      </c>
      <c r="P15" s="8">
        <f t="shared" si="2"/>
        <v>0.25</v>
      </c>
      <c r="Q15" s="9" t="s">
        <v>130</v>
      </c>
      <c r="R15" s="9" t="s">
        <v>131</v>
      </c>
      <c r="S15" s="9" t="s">
        <v>132</v>
      </c>
      <c r="T15" s="9">
        <f>(3/4)*100</f>
        <v>75</v>
      </c>
      <c r="U15" s="10">
        <f>T15+25</f>
        <v>100</v>
      </c>
      <c r="V15" s="2" t="s">
        <v>133</v>
      </c>
      <c r="W15" s="2">
        <v>0</v>
      </c>
      <c r="X15" s="2">
        <v>0</v>
      </c>
      <c r="Y15" s="2">
        <v>0</v>
      </c>
      <c r="Z15" s="2" t="s">
        <v>200</v>
      </c>
    </row>
    <row r="16" spans="1:26" ht="15.75" thickBot="1" x14ac:dyDescent="0.3">
      <c r="A16" s="4">
        <v>6</v>
      </c>
      <c r="B16" s="5" t="s">
        <v>104</v>
      </c>
      <c r="C16" s="2" t="s">
        <v>65</v>
      </c>
      <c r="D16" s="2" t="s">
        <v>37</v>
      </c>
      <c r="E16" s="2" t="s">
        <v>84</v>
      </c>
      <c r="F16" s="2" t="s">
        <v>39</v>
      </c>
      <c r="G16" s="2" t="s">
        <v>40</v>
      </c>
      <c r="H16" s="2" t="s">
        <v>59</v>
      </c>
      <c r="I16" s="2" t="s">
        <v>199</v>
      </c>
      <c r="J16" s="2" t="s">
        <v>122</v>
      </c>
      <c r="K16" s="2" t="s">
        <v>123</v>
      </c>
      <c r="L16" s="2" t="s">
        <v>124</v>
      </c>
      <c r="M16" s="6">
        <f t="shared" si="0"/>
        <v>69.090909090909093</v>
      </c>
      <c r="N16" s="6">
        <f t="shared" si="1"/>
        <v>100.00090909090909</v>
      </c>
      <c r="O16" s="2" t="s">
        <v>125</v>
      </c>
      <c r="P16" s="8">
        <f t="shared" si="2"/>
        <v>0.25</v>
      </c>
      <c r="Q16" s="2" t="s">
        <v>134</v>
      </c>
      <c r="R16" s="2" t="s">
        <v>135</v>
      </c>
      <c r="S16" s="2" t="s">
        <v>136</v>
      </c>
      <c r="T16" s="11">
        <f>(3.6/54)*100</f>
        <v>6.666666666666667</v>
      </c>
      <c r="U16" s="11">
        <f>(T16+0.7407)</f>
        <v>7.4073666666666673</v>
      </c>
      <c r="V16" s="2" t="s">
        <v>133</v>
      </c>
      <c r="W16" s="2">
        <v>3000000</v>
      </c>
      <c r="X16" s="2">
        <v>0</v>
      </c>
      <c r="Y16" s="2">
        <v>0</v>
      </c>
      <c r="Z16" s="2" t="s">
        <v>201</v>
      </c>
    </row>
    <row r="17" spans="1:26" ht="15.75" thickBot="1" x14ac:dyDescent="0.3">
      <c r="A17" s="4">
        <v>7</v>
      </c>
      <c r="B17" s="5" t="s">
        <v>105</v>
      </c>
      <c r="C17" s="2" t="s">
        <v>70</v>
      </c>
      <c r="D17" s="2" t="s">
        <v>55</v>
      </c>
      <c r="E17" s="2" t="s">
        <v>86</v>
      </c>
      <c r="F17" s="2" t="s">
        <v>39</v>
      </c>
      <c r="G17" s="2" t="s">
        <v>46</v>
      </c>
      <c r="H17" s="2" t="s">
        <v>59</v>
      </c>
      <c r="I17" s="2" t="s">
        <v>199</v>
      </c>
      <c r="J17" s="2" t="s">
        <v>137</v>
      </c>
      <c r="K17" s="2" t="s">
        <v>138</v>
      </c>
      <c r="L17" s="2" t="s">
        <v>124</v>
      </c>
      <c r="M17" s="7">
        <f>(31/37)*100</f>
        <v>83.78378378378379</v>
      </c>
      <c r="N17" s="7">
        <f>M17+16.22</f>
        <v>100.00378378378379</v>
      </c>
      <c r="O17" s="2" t="s">
        <v>139</v>
      </c>
      <c r="P17" s="8">
        <f>(100%)/4</f>
        <v>0.25</v>
      </c>
      <c r="Q17" s="9" t="s">
        <v>140</v>
      </c>
      <c r="R17" s="9" t="s">
        <v>141</v>
      </c>
      <c r="S17" s="9" t="s">
        <v>142</v>
      </c>
      <c r="T17" s="9">
        <f>(27/30)*100</f>
        <v>90</v>
      </c>
      <c r="U17" s="9">
        <f>T17+10</f>
        <v>100</v>
      </c>
      <c r="V17" s="2" t="s">
        <v>133</v>
      </c>
      <c r="W17" s="2">
        <v>7000000</v>
      </c>
      <c r="X17" s="2">
        <v>4256773</v>
      </c>
      <c r="Y17" s="2">
        <v>4256773</v>
      </c>
      <c r="Z17" s="2" t="s">
        <v>205</v>
      </c>
    </row>
    <row r="18" spans="1:26" ht="15.75" thickBot="1" x14ac:dyDescent="0.3">
      <c r="A18" s="4">
        <v>8</v>
      </c>
      <c r="B18" s="5" t="s">
        <v>106</v>
      </c>
      <c r="C18" s="2" t="s">
        <v>70</v>
      </c>
      <c r="D18" s="2" t="s">
        <v>55</v>
      </c>
      <c r="E18" s="2" t="s">
        <v>86</v>
      </c>
      <c r="F18" s="2" t="s">
        <v>39</v>
      </c>
      <c r="G18" s="2" t="s">
        <v>46</v>
      </c>
      <c r="H18" s="2" t="s">
        <v>59</v>
      </c>
      <c r="I18" s="2" t="s">
        <v>199</v>
      </c>
      <c r="J18" s="2" t="s">
        <v>137</v>
      </c>
      <c r="K18" s="2" t="s">
        <v>138</v>
      </c>
      <c r="L18" s="2" t="s">
        <v>124</v>
      </c>
      <c r="M18" s="7">
        <f t="shared" ref="M18:M22" si="3">(31/37)*100</f>
        <v>83.78378378378379</v>
      </c>
      <c r="N18" s="7">
        <f t="shared" ref="N18:N22" si="4">M18+16.22</f>
        <v>100.00378378378379</v>
      </c>
      <c r="O18" s="2" t="s">
        <v>139</v>
      </c>
      <c r="P18" s="8">
        <f t="shared" ref="P18:P22" si="5">(100%)/4</f>
        <v>0.25</v>
      </c>
      <c r="Q18" s="9" t="s">
        <v>143</v>
      </c>
      <c r="R18" s="9" t="s">
        <v>131</v>
      </c>
      <c r="S18" s="9" t="s">
        <v>132</v>
      </c>
      <c r="T18" s="9">
        <f>(3/4)*100</f>
        <v>75</v>
      </c>
      <c r="U18" s="9">
        <f>T18+25</f>
        <v>100</v>
      </c>
      <c r="V18" s="2" t="s">
        <v>133</v>
      </c>
      <c r="W18" s="2">
        <v>0</v>
      </c>
      <c r="X18" s="2">
        <v>0</v>
      </c>
      <c r="Y18" s="2">
        <v>0</v>
      </c>
      <c r="Z18" s="2" t="s">
        <v>200</v>
      </c>
    </row>
    <row r="19" spans="1:26" ht="15.75" thickBot="1" x14ac:dyDescent="0.3">
      <c r="A19" s="4">
        <v>9</v>
      </c>
      <c r="B19" s="5" t="s">
        <v>107</v>
      </c>
      <c r="C19" s="2" t="s">
        <v>70</v>
      </c>
      <c r="D19" s="2" t="s">
        <v>55</v>
      </c>
      <c r="E19" s="2" t="s">
        <v>86</v>
      </c>
      <c r="F19" s="2" t="s">
        <v>39</v>
      </c>
      <c r="G19" s="2" t="s">
        <v>46</v>
      </c>
      <c r="H19" s="2" t="s">
        <v>59</v>
      </c>
      <c r="I19" s="2" t="s">
        <v>199</v>
      </c>
      <c r="J19" s="2" t="s">
        <v>137</v>
      </c>
      <c r="K19" s="2" t="s">
        <v>138</v>
      </c>
      <c r="L19" s="2" t="s">
        <v>124</v>
      </c>
      <c r="M19" s="7">
        <f t="shared" si="3"/>
        <v>83.78378378378379</v>
      </c>
      <c r="N19" s="7">
        <f t="shared" si="4"/>
        <v>100.00378378378379</v>
      </c>
      <c r="O19" s="2" t="s">
        <v>139</v>
      </c>
      <c r="P19" s="8">
        <f t="shared" si="5"/>
        <v>0.25</v>
      </c>
      <c r="Q19" s="2" t="s">
        <v>144</v>
      </c>
      <c r="R19" s="2" t="s">
        <v>127</v>
      </c>
      <c r="S19" s="2" t="s">
        <v>128</v>
      </c>
      <c r="T19" s="7">
        <f>(1/3)*100</f>
        <v>33.333333333333329</v>
      </c>
      <c r="U19" s="13">
        <f>T19+66.67</f>
        <v>100.00333333333333</v>
      </c>
      <c r="V19" s="2" t="s">
        <v>129</v>
      </c>
      <c r="W19" s="2">
        <v>0</v>
      </c>
      <c r="X19" s="2">
        <v>0</v>
      </c>
      <c r="Y19" s="2">
        <v>0</v>
      </c>
      <c r="Z19" s="2" t="s">
        <v>200</v>
      </c>
    </row>
    <row r="20" spans="1:26" ht="15.75" thickBot="1" x14ac:dyDescent="0.3">
      <c r="A20" s="4">
        <v>10</v>
      </c>
      <c r="B20" s="5" t="s">
        <v>108</v>
      </c>
      <c r="C20" s="2" t="s">
        <v>70</v>
      </c>
      <c r="D20" s="2" t="s">
        <v>37</v>
      </c>
      <c r="E20" s="2" t="s">
        <v>86</v>
      </c>
      <c r="F20" s="2" t="s">
        <v>39</v>
      </c>
      <c r="G20" s="2" t="s">
        <v>46</v>
      </c>
      <c r="H20" s="2" t="s">
        <v>59</v>
      </c>
      <c r="I20" s="2" t="s">
        <v>199</v>
      </c>
      <c r="J20" s="2" t="s">
        <v>137</v>
      </c>
      <c r="K20" s="2" t="s">
        <v>138</v>
      </c>
      <c r="L20" s="2" t="s">
        <v>124</v>
      </c>
      <c r="M20" s="7">
        <f t="shared" si="3"/>
        <v>83.78378378378379</v>
      </c>
      <c r="N20" s="7">
        <f t="shared" si="4"/>
        <v>100.00378378378379</v>
      </c>
      <c r="O20" s="2" t="s">
        <v>139</v>
      </c>
      <c r="P20" s="8">
        <f t="shared" si="5"/>
        <v>0.25</v>
      </c>
      <c r="Q20" s="9" t="s">
        <v>140</v>
      </c>
      <c r="R20" s="9" t="s">
        <v>141</v>
      </c>
      <c r="S20" s="9" t="s">
        <v>142</v>
      </c>
      <c r="T20" s="9">
        <f>(27/30)*100</f>
        <v>90</v>
      </c>
      <c r="U20" s="9">
        <f>T20+10</f>
        <v>100</v>
      </c>
      <c r="V20" s="2" t="s">
        <v>133</v>
      </c>
      <c r="W20" s="2">
        <v>7000000</v>
      </c>
      <c r="X20" s="2">
        <v>4256773</v>
      </c>
      <c r="Y20" s="2">
        <v>4256773</v>
      </c>
      <c r="Z20" s="2" t="s">
        <v>205</v>
      </c>
    </row>
    <row r="21" spans="1:26" ht="15.75" thickBot="1" x14ac:dyDescent="0.3">
      <c r="A21" s="4">
        <v>11</v>
      </c>
      <c r="B21" s="5" t="s">
        <v>109</v>
      </c>
      <c r="C21" s="2" t="s">
        <v>70</v>
      </c>
      <c r="D21" s="2" t="s">
        <v>37</v>
      </c>
      <c r="E21" s="2" t="s">
        <v>86</v>
      </c>
      <c r="F21" s="2" t="s">
        <v>39</v>
      </c>
      <c r="G21" s="2" t="s">
        <v>46</v>
      </c>
      <c r="H21" s="2" t="s">
        <v>59</v>
      </c>
      <c r="I21" s="2" t="s">
        <v>199</v>
      </c>
      <c r="J21" s="2" t="s">
        <v>137</v>
      </c>
      <c r="K21" s="2" t="s">
        <v>138</v>
      </c>
      <c r="L21" s="2" t="s">
        <v>124</v>
      </c>
      <c r="M21" s="7">
        <f t="shared" si="3"/>
        <v>83.78378378378379</v>
      </c>
      <c r="N21" s="7">
        <f t="shared" si="4"/>
        <v>100.00378378378379</v>
      </c>
      <c r="O21" s="2" t="s">
        <v>139</v>
      </c>
      <c r="P21" s="8">
        <f t="shared" si="5"/>
        <v>0.25</v>
      </c>
      <c r="Q21" s="9" t="s">
        <v>143</v>
      </c>
      <c r="R21" s="9" t="s">
        <v>131</v>
      </c>
      <c r="S21" s="9" t="s">
        <v>132</v>
      </c>
      <c r="T21" s="9">
        <f>(3/4)*100</f>
        <v>75</v>
      </c>
      <c r="U21" s="9">
        <f>T21+25</f>
        <v>100</v>
      </c>
      <c r="V21" s="2" t="s">
        <v>133</v>
      </c>
      <c r="W21" s="2">
        <v>0</v>
      </c>
      <c r="X21" s="2">
        <v>0</v>
      </c>
      <c r="Y21" s="2">
        <v>0</v>
      </c>
      <c r="Z21" s="2" t="s">
        <v>200</v>
      </c>
    </row>
    <row r="22" spans="1:26" ht="15.75" thickBot="1" x14ac:dyDescent="0.3">
      <c r="A22" s="4">
        <v>12</v>
      </c>
      <c r="B22" s="5" t="s">
        <v>110</v>
      </c>
      <c r="C22" s="2" t="s">
        <v>70</v>
      </c>
      <c r="D22" s="2" t="s">
        <v>37</v>
      </c>
      <c r="E22" s="2" t="s">
        <v>86</v>
      </c>
      <c r="F22" s="2" t="s">
        <v>39</v>
      </c>
      <c r="G22" s="2" t="s">
        <v>46</v>
      </c>
      <c r="H22" s="2" t="s">
        <v>59</v>
      </c>
      <c r="I22" s="2" t="s">
        <v>199</v>
      </c>
      <c r="J22" s="2" t="s">
        <v>137</v>
      </c>
      <c r="K22" s="2" t="s">
        <v>138</v>
      </c>
      <c r="L22" s="2" t="s">
        <v>124</v>
      </c>
      <c r="M22" s="7">
        <f t="shared" si="3"/>
        <v>83.78378378378379</v>
      </c>
      <c r="N22" s="7">
        <f t="shared" si="4"/>
        <v>100.00378378378379</v>
      </c>
      <c r="O22" s="2" t="s">
        <v>139</v>
      </c>
      <c r="P22" s="8">
        <f t="shared" si="5"/>
        <v>0.25</v>
      </c>
      <c r="Q22" s="2" t="s">
        <v>144</v>
      </c>
      <c r="R22" s="2" t="s">
        <v>127</v>
      </c>
      <c r="S22" s="2" t="s">
        <v>128</v>
      </c>
      <c r="T22" s="7">
        <f>(1/3)*100</f>
        <v>33.333333333333329</v>
      </c>
      <c r="U22" s="13">
        <f>T22+66.67</f>
        <v>100.00333333333333</v>
      </c>
      <c r="V22" s="2" t="s">
        <v>129</v>
      </c>
      <c r="W22" s="2">
        <v>0</v>
      </c>
      <c r="X22" s="2">
        <v>0</v>
      </c>
      <c r="Y22" s="2">
        <v>0</v>
      </c>
      <c r="Z22" s="2" t="s">
        <v>200</v>
      </c>
    </row>
    <row r="23" spans="1:26" ht="15.75" thickBot="1" x14ac:dyDescent="0.3">
      <c r="A23" s="4">
        <v>13</v>
      </c>
      <c r="B23" s="5" t="s">
        <v>111</v>
      </c>
      <c r="C23" s="2" t="s">
        <v>83</v>
      </c>
      <c r="D23" s="2" t="s">
        <v>37</v>
      </c>
      <c r="E23" s="2" t="s">
        <v>88</v>
      </c>
      <c r="F23" s="2" t="s">
        <v>39</v>
      </c>
      <c r="G23" s="2" t="s">
        <v>52</v>
      </c>
      <c r="H23" s="2" t="s">
        <v>59</v>
      </c>
      <c r="I23" s="2" t="s">
        <v>199</v>
      </c>
      <c r="J23" s="2" t="s">
        <v>145</v>
      </c>
      <c r="K23" s="2" t="s">
        <v>146</v>
      </c>
      <c r="L23" s="2" t="s">
        <v>147</v>
      </c>
      <c r="M23" s="7">
        <f>(12.95/25)*100</f>
        <v>51.800000000000004</v>
      </c>
      <c r="N23" s="7">
        <f>M23+25.8</f>
        <v>77.600000000000009</v>
      </c>
      <c r="O23" s="2" t="s">
        <v>148</v>
      </c>
      <c r="P23" s="8">
        <f>(77.6%)/4</f>
        <v>0.19399999999999998</v>
      </c>
      <c r="Q23" s="2" t="s">
        <v>149</v>
      </c>
      <c r="R23" s="2" t="s">
        <v>150</v>
      </c>
      <c r="S23" s="2" t="s">
        <v>151</v>
      </c>
      <c r="T23" s="7">
        <f>(1/3)*100</f>
        <v>33.333333333333329</v>
      </c>
      <c r="U23" s="7">
        <f>T23+66.67</f>
        <v>100.00333333333333</v>
      </c>
      <c r="V23" s="2" t="s">
        <v>129</v>
      </c>
      <c r="W23" s="2">
        <v>0</v>
      </c>
      <c r="X23" s="2">
        <v>0</v>
      </c>
      <c r="Y23" s="2">
        <v>0</v>
      </c>
      <c r="Z23" s="2" t="s">
        <v>152</v>
      </c>
    </row>
    <row r="24" spans="1:26" ht="15.75" thickBot="1" x14ac:dyDescent="0.3">
      <c r="A24" s="4">
        <v>14</v>
      </c>
      <c r="B24" s="5" t="s">
        <v>112</v>
      </c>
      <c r="C24" s="2" t="s">
        <v>83</v>
      </c>
      <c r="D24" s="2" t="s">
        <v>37</v>
      </c>
      <c r="E24" s="2" t="s">
        <v>88</v>
      </c>
      <c r="F24" s="2" t="s">
        <v>39</v>
      </c>
      <c r="G24" s="2" t="s">
        <v>52</v>
      </c>
      <c r="H24" s="2" t="s">
        <v>59</v>
      </c>
      <c r="I24" s="2" t="s">
        <v>199</v>
      </c>
      <c r="J24" s="2" t="s">
        <v>145</v>
      </c>
      <c r="K24" s="2" t="s">
        <v>146</v>
      </c>
      <c r="L24" s="2" t="s">
        <v>147</v>
      </c>
      <c r="M24" s="7">
        <f t="shared" ref="M24:M25" si="6">(12.95/25)*100</f>
        <v>51.800000000000004</v>
      </c>
      <c r="N24" s="7">
        <f t="shared" ref="N24:N25" si="7">M24+25.8</f>
        <v>77.600000000000009</v>
      </c>
      <c r="O24" s="2" t="s">
        <v>148</v>
      </c>
      <c r="P24" s="8">
        <f t="shared" ref="P24:P28" si="8">(77.6%)/4</f>
        <v>0.19399999999999998</v>
      </c>
      <c r="Q24" s="2" t="s">
        <v>153</v>
      </c>
      <c r="R24" s="2" t="s">
        <v>202</v>
      </c>
      <c r="S24" s="2" t="s">
        <v>128</v>
      </c>
      <c r="T24" s="7">
        <f>(2/4)*100</f>
        <v>50</v>
      </c>
      <c r="U24" s="7">
        <f>T24+50</f>
        <v>100</v>
      </c>
      <c r="V24" s="2" t="s">
        <v>129</v>
      </c>
      <c r="W24" s="2">
        <v>0</v>
      </c>
      <c r="X24" s="2">
        <v>0</v>
      </c>
      <c r="Y24" s="2">
        <v>0</v>
      </c>
      <c r="Z24" s="2" t="s">
        <v>152</v>
      </c>
    </row>
    <row r="25" spans="1:26" ht="15.75" thickBot="1" x14ac:dyDescent="0.3">
      <c r="A25" s="4">
        <v>15</v>
      </c>
      <c r="B25" s="5" t="s">
        <v>113</v>
      </c>
      <c r="C25" s="2" t="s">
        <v>83</v>
      </c>
      <c r="D25" s="2" t="s">
        <v>37</v>
      </c>
      <c r="E25" s="2" t="s">
        <v>88</v>
      </c>
      <c r="F25" s="2" t="s">
        <v>39</v>
      </c>
      <c r="G25" s="2" t="s">
        <v>52</v>
      </c>
      <c r="H25" s="2" t="s">
        <v>59</v>
      </c>
      <c r="I25" s="2" t="s">
        <v>199</v>
      </c>
      <c r="J25" s="2" t="s">
        <v>145</v>
      </c>
      <c r="K25" s="2" t="s">
        <v>146</v>
      </c>
      <c r="L25" s="2" t="s">
        <v>147</v>
      </c>
      <c r="M25" s="7">
        <f t="shared" si="6"/>
        <v>51.800000000000004</v>
      </c>
      <c r="N25" s="7">
        <f t="shared" si="7"/>
        <v>77.600000000000009</v>
      </c>
      <c r="O25" s="2" t="s">
        <v>148</v>
      </c>
      <c r="P25" s="8">
        <f t="shared" si="8"/>
        <v>0.19399999999999998</v>
      </c>
      <c r="Q25" s="2" t="s">
        <v>154</v>
      </c>
      <c r="R25" s="2" t="s">
        <v>155</v>
      </c>
      <c r="S25" s="2" t="s">
        <v>156</v>
      </c>
      <c r="T25" s="2">
        <f>(5/10)*100</f>
        <v>50</v>
      </c>
      <c r="U25" s="7">
        <f>T25+10</f>
        <v>60</v>
      </c>
      <c r="V25" s="2" t="s">
        <v>129</v>
      </c>
      <c r="W25" s="2">
        <v>4000000</v>
      </c>
      <c r="X25" s="2">
        <v>0</v>
      </c>
      <c r="Y25" s="2">
        <v>0</v>
      </c>
      <c r="Z25" s="2" t="s">
        <v>204</v>
      </c>
    </row>
    <row r="26" spans="1:26" ht="15.75" thickBot="1" x14ac:dyDescent="0.3">
      <c r="A26" s="4">
        <v>16</v>
      </c>
      <c r="B26" s="5" t="s">
        <v>114</v>
      </c>
      <c r="C26" s="2" t="s">
        <v>83</v>
      </c>
      <c r="D26" s="2" t="s">
        <v>55</v>
      </c>
      <c r="E26" s="2" t="s">
        <v>88</v>
      </c>
      <c r="F26" s="2" t="s">
        <v>39</v>
      </c>
      <c r="G26" s="2" t="s">
        <v>52</v>
      </c>
      <c r="H26" s="2" t="s">
        <v>59</v>
      </c>
      <c r="I26" s="2" t="s">
        <v>199</v>
      </c>
      <c r="J26" s="2" t="s">
        <v>145</v>
      </c>
      <c r="K26" s="2" t="s">
        <v>157</v>
      </c>
      <c r="L26" s="2" t="s">
        <v>158</v>
      </c>
      <c r="M26" s="7">
        <f>((2265.33-1352.7)/1352.7)*100</f>
        <v>67.467287646928355</v>
      </c>
      <c r="N26" s="7">
        <f>((2289.38-1352.7)/1352.7)*100</f>
        <v>69.245213277149404</v>
      </c>
      <c r="O26" s="2" t="s">
        <v>148</v>
      </c>
      <c r="P26" s="8">
        <f t="shared" si="8"/>
        <v>0.19399999999999998</v>
      </c>
      <c r="Q26" s="2" t="s">
        <v>159</v>
      </c>
      <c r="R26" s="2" t="s">
        <v>160</v>
      </c>
      <c r="S26" s="2" t="s">
        <v>161</v>
      </c>
      <c r="T26" s="7">
        <f>(2/3)*100</f>
        <v>66.666666666666657</v>
      </c>
      <c r="U26" s="7">
        <f>T26+33.33</f>
        <v>99.996666666666655</v>
      </c>
      <c r="V26" s="2" t="s">
        <v>162</v>
      </c>
      <c r="W26" s="2">
        <v>0</v>
      </c>
      <c r="X26" s="2">
        <v>0</v>
      </c>
      <c r="Y26" s="2">
        <v>0</v>
      </c>
      <c r="Z26" s="2" t="s">
        <v>152</v>
      </c>
    </row>
    <row r="27" spans="1:26" ht="15.75" thickBot="1" x14ac:dyDescent="0.3">
      <c r="A27" s="4">
        <v>17</v>
      </c>
      <c r="B27" s="5" t="s">
        <v>115</v>
      </c>
      <c r="C27" s="2" t="s">
        <v>83</v>
      </c>
      <c r="D27" s="2" t="s">
        <v>55</v>
      </c>
      <c r="E27" s="2" t="s">
        <v>88</v>
      </c>
      <c r="F27" s="2" t="s">
        <v>39</v>
      </c>
      <c r="G27" s="2" t="s">
        <v>52</v>
      </c>
      <c r="H27" s="2" t="s">
        <v>59</v>
      </c>
      <c r="I27" s="2" t="s">
        <v>199</v>
      </c>
      <c r="J27" s="2" t="s">
        <v>145</v>
      </c>
      <c r="K27" s="2" t="s">
        <v>157</v>
      </c>
      <c r="L27" s="2" t="s">
        <v>158</v>
      </c>
      <c r="M27" s="7">
        <f>((2265.33-1352.7)/1352.7)*100</f>
        <v>67.467287646928355</v>
      </c>
      <c r="N27" s="7">
        <f>((2289.38-1352.7)/1352.7)*100</f>
        <v>69.245213277149404</v>
      </c>
      <c r="O27" s="2" t="s">
        <v>148</v>
      </c>
      <c r="P27" s="8">
        <f t="shared" si="8"/>
        <v>0.19399999999999998</v>
      </c>
      <c r="Q27" s="2" t="s">
        <v>163</v>
      </c>
      <c r="R27" s="2" t="s">
        <v>164</v>
      </c>
      <c r="S27" s="2" t="s">
        <v>165</v>
      </c>
      <c r="T27" s="2">
        <v>0</v>
      </c>
      <c r="U27" s="7">
        <f>(2236/2289.38)*100</f>
        <v>97.668364360656597</v>
      </c>
      <c r="V27" s="2" t="s">
        <v>133</v>
      </c>
      <c r="W27" s="2">
        <v>2000000</v>
      </c>
      <c r="X27" s="2">
        <v>0</v>
      </c>
      <c r="Y27" s="2">
        <v>0</v>
      </c>
      <c r="Z27" s="2" t="s">
        <v>206</v>
      </c>
    </row>
    <row r="28" spans="1:26" ht="15.75" thickBot="1" x14ac:dyDescent="0.3">
      <c r="A28" s="4">
        <v>18</v>
      </c>
      <c r="B28" s="5" t="s">
        <v>116</v>
      </c>
      <c r="C28" s="2" t="s">
        <v>83</v>
      </c>
      <c r="D28" s="2" t="s">
        <v>55</v>
      </c>
      <c r="E28" s="2" t="s">
        <v>88</v>
      </c>
      <c r="F28" s="2" t="s">
        <v>39</v>
      </c>
      <c r="G28" s="2" t="s">
        <v>52</v>
      </c>
      <c r="H28" s="2" t="s">
        <v>59</v>
      </c>
      <c r="I28" s="2" t="s">
        <v>199</v>
      </c>
      <c r="J28" s="2" t="s">
        <v>145</v>
      </c>
      <c r="K28" s="2" t="s">
        <v>157</v>
      </c>
      <c r="L28" s="2" t="s">
        <v>158</v>
      </c>
      <c r="M28" s="7">
        <f>((2265.33-1352.7)/1352.7)*100</f>
        <v>67.467287646928355</v>
      </c>
      <c r="N28" s="7">
        <f>((2289.38-1352.7)/1352.7)*100</f>
        <v>69.245213277149404</v>
      </c>
      <c r="O28" s="2" t="s">
        <v>148</v>
      </c>
      <c r="P28" s="8">
        <f t="shared" si="8"/>
        <v>0.19399999999999998</v>
      </c>
      <c r="Q28" s="2" t="s">
        <v>166</v>
      </c>
      <c r="R28" s="2" t="s">
        <v>167</v>
      </c>
      <c r="S28" s="2" t="s">
        <v>168</v>
      </c>
      <c r="T28" s="2">
        <f>(2/4)*100</f>
        <v>50</v>
      </c>
      <c r="U28" s="2">
        <f>T28+10</f>
        <v>60</v>
      </c>
      <c r="V28" s="2" t="s">
        <v>129</v>
      </c>
      <c r="W28" s="2">
        <v>2000000</v>
      </c>
      <c r="X28" s="2">
        <v>130900</v>
      </c>
      <c r="Y28" s="2">
        <v>130900</v>
      </c>
      <c r="Z28" s="2" t="s">
        <v>203</v>
      </c>
    </row>
    <row r="29" spans="1:26" ht="15.75" thickBot="1" x14ac:dyDescent="0.3">
      <c r="A29" s="4">
        <v>19</v>
      </c>
      <c r="B29" s="5" t="s">
        <v>117</v>
      </c>
      <c r="C29" s="2" t="s">
        <v>85</v>
      </c>
      <c r="D29" s="2" t="s">
        <v>55</v>
      </c>
      <c r="E29" s="2" t="s">
        <v>97</v>
      </c>
      <c r="F29" s="2" t="s">
        <v>79</v>
      </c>
      <c r="G29" s="2" t="s">
        <v>58</v>
      </c>
      <c r="H29" s="2" t="s">
        <v>59</v>
      </c>
      <c r="I29" s="2" t="s">
        <v>199</v>
      </c>
      <c r="J29" s="2" t="s">
        <v>169</v>
      </c>
      <c r="K29" s="2" t="s">
        <v>170</v>
      </c>
      <c r="L29" s="2" t="s">
        <v>171</v>
      </c>
      <c r="M29" s="7">
        <f>(1/11)*100</f>
        <v>9.0909090909090917</v>
      </c>
      <c r="N29" s="7">
        <f>M29+63.64</f>
        <v>72.730909090909094</v>
      </c>
      <c r="O29" s="2" t="s">
        <v>172</v>
      </c>
      <c r="P29" s="14">
        <f>(72.73%)/4</f>
        <v>0.18182500000000001</v>
      </c>
      <c r="Q29" s="2" t="s">
        <v>173</v>
      </c>
      <c r="R29" s="2" t="s">
        <v>174</v>
      </c>
      <c r="S29" s="2" t="s">
        <v>175</v>
      </c>
      <c r="T29" s="2">
        <f>(1/2)*100</f>
        <v>50</v>
      </c>
      <c r="U29" s="2">
        <f>T29+50</f>
        <v>100</v>
      </c>
      <c r="V29" s="2" t="s">
        <v>129</v>
      </c>
      <c r="W29" s="2">
        <v>0</v>
      </c>
      <c r="X29" s="2">
        <v>0</v>
      </c>
      <c r="Y29" s="2">
        <v>0</v>
      </c>
      <c r="Z29" s="2" t="s">
        <v>152</v>
      </c>
    </row>
    <row r="30" spans="1:26" ht="15.75" thickBot="1" x14ac:dyDescent="0.3">
      <c r="A30" s="4">
        <v>20</v>
      </c>
      <c r="B30" s="5" t="s">
        <v>118</v>
      </c>
      <c r="C30" s="2" t="s">
        <v>87</v>
      </c>
      <c r="D30" s="2" t="s">
        <v>43</v>
      </c>
      <c r="E30" s="2" t="s">
        <v>94</v>
      </c>
      <c r="F30" s="2" t="s">
        <v>68</v>
      </c>
      <c r="G30" s="2" t="s">
        <v>64</v>
      </c>
      <c r="H30" s="2" t="s">
        <v>41</v>
      </c>
      <c r="I30" s="2" t="s">
        <v>199</v>
      </c>
      <c r="J30" s="2" t="s">
        <v>176</v>
      </c>
      <c r="K30" s="2" t="s">
        <v>177</v>
      </c>
      <c r="L30" s="2" t="s">
        <v>178</v>
      </c>
      <c r="M30" s="7">
        <f>(1/1)*100</f>
        <v>100</v>
      </c>
      <c r="N30" s="7">
        <f>M30</f>
        <v>100</v>
      </c>
      <c r="O30" s="2" t="s">
        <v>179</v>
      </c>
      <c r="P30" s="7">
        <f>(100%)/4</f>
        <v>0.25</v>
      </c>
      <c r="Q30" s="2" t="s">
        <v>180</v>
      </c>
      <c r="R30" s="2" t="s">
        <v>181</v>
      </c>
      <c r="S30" s="2" t="s">
        <v>181</v>
      </c>
      <c r="T30" s="2">
        <v>1</v>
      </c>
      <c r="U30" s="2">
        <f>T30</f>
        <v>1</v>
      </c>
      <c r="V30" s="2" t="s">
        <v>182</v>
      </c>
      <c r="W30" s="2">
        <v>0</v>
      </c>
      <c r="X30" s="2">
        <v>0</v>
      </c>
      <c r="Y30" s="2">
        <v>0</v>
      </c>
      <c r="Z30" s="2" t="s">
        <v>152</v>
      </c>
    </row>
    <row r="31" spans="1:26" ht="15.75" thickBot="1" x14ac:dyDescent="0.3">
      <c r="A31" s="4">
        <v>21</v>
      </c>
      <c r="B31" s="5" t="s">
        <v>119</v>
      </c>
      <c r="C31" s="2" t="s">
        <v>87</v>
      </c>
      <c r="D31" s="2" t="s">
        <v>43</v>
      </c>
      <c r="E31" s="2" t="s">
        <v>94</v>
      </c>
      <c r="F31" s="2" t="s">
        <v>57</v>
      </c>
      <c r="G31" s="2" t="s">
        <v>64</v>
      </c>
      <c r="H31" s="2" t="s">
        <v>47</v>
      </c>
      <c r="I31" s="2" t="s">
        <v>199</v>
      </c>
      <c r="J31" s="2" t="s">
        <v>176</v>
      </c>
      <c r="K31" s="2" t="s">
        <v>183</v>
      </c>
      <c r="L31" s="2" t="s">
        <v>184</v>
      </c>
      <c r="M31" s="7">
        <f>(9/14)*100</f>
        <v>64.285714285714292</v>
      </c>
      <c r="N31" s="7">
        <f>M31+35.71</f>
        <v>99.995714285714286</v>
      </c>
      <c r="O31" s="2" t="s">
        <v>185</v>
      </c>
      <c r="P31" s="12">
        <f>(100%)/4</f>
        <v>0.25</v>
      </c>
      <c r="Q31" s="2" t="s">
        <v>186</v>
      </c>
      <c r="R31" s="2" t="s">
        <v>187</v>
      </c>
      <c r="S31" s="2" t="s">
        <v>188</v>
      </c>
      <c r="T31" s="2">
        <f>(9/9)*100</f>
        <v>100</v>
      </c>
      <c r="U31" s="2">
        <f>T31</f>
        <v>100</v>
      </c>
      <c r="V31" s="2" t="s">
        <v>189</v>
      </c>
      <c r="W31" s="2">
        <v>4660000</v>
      </c>
      <c r="X31" s="2">
        <v>0</v>
      </c>
      <c r="Y31" s="2">
        <v>0</v>
      </c>
      <c r="Z31" s="2" t="s">
        <v>207</v>
      </c>
    </row>
    <row r="32" spans="1:26" ht="15.75" thickBot="1" x14ac:dyDescent="0.3">
      <c r="A32" s="4">
        <v>22</v>
      </c>
      <c r="B32" s="5" t="s">
        <v>120</v>
      </c>
      <c r="C32" s="2" t="s">
        <v>87</v>
      </c>
      <c r="D32" s="2" t="s">
        <v>43</v>
      </c>
      <c r="E32" s="2" t="s">
        <v>94</v>
      </c>
      <c r="F32" s="2" t="s">
        <v>57</v>
      </c>
      <c r="G32" s="2" t="s">
        <v>64</v>
      </c>
      <c r="H32" s="2" t="s">
        <v>47</v>
      </c>
      <c r="I32" s="2" t="s">
        <v>199</v>
      </c>
      <c r="J32" s="2" t="s">
        <v>176</v>
      </c>
      <c r="K32" s="2" t="s">
        <v>183</v>
      </c>
      <c r="L32" s="2" t="s">
        <v>184</v>
      </c>
      <c r="M32" s="7">
        <f t="shared" ref="M32:M33" si="9">(9/14)*100</f>
        <v>64.285714285714292</v>
      </c>
      <c r="N32" s="7">
        <f t="shared" ref="N32:N33" si="10">M32+35.71</f>
        <v>99.995714285714286</v>
      </c>
      <c r="O32" s="2" t="s">
        <v>185</v>
      </c>
      <c r="P32" s="12">
        <f t="shared" ref="P32:P33" si="11">(100%)/4</f>
        <v>0.25</v>
      </c>
      <c r="Q32" s="2" t="s">
        <v>190</v>
      </c>
      <c r="R32" s="2" t="s">
        <v>191</v>
      </c>
      <c r="S32" s="2" t="s">
        <v>192</v>
      </c>
      <c r="T32" s="2">
        <f>(9/12)*100</f>
        <v>75</v>
      </c>
      <c r="U32" s="2">
        <f>T32+25</f>
        <v>100</v>
      </c>
      <c r="V32" s="2" t="s">
        <v>193</v>
      </c>
      <c r="W32" s="2">
        <v>0</v>
      </c>
      <c r="X32" s="2">
        <v>0</v>
      </c>
      <c r="Y32" s="2">
        <v>0</v>
      </c>
      <c r="Z32" s="2" t="s">
        <v>152</v>
      </c>
    </row>
    <row r="33" spans="1:26" ht="15.75" thickBot="1" x14ac:dyDescent="0.3">
      <c r="A33" s="4">
        <v>23</v>
      </c>
      <c r="B33" s="5" t="s">
        <v>121</v>
      </c>
      <c r="C33" s="2" t="s">
        <v>87</v>
      </c>
      <c r="D33" s="2" t="s">
        <v>55</v>
      </c>
      <c r="E33" s="2" t="s">
        <v>94</v>
      </c>
      <c r="F33" s="2" t="s">
        <v>57</v>
      </c>
      <c r="G33" s="2" t="s">
        <v>64</v>
      </c>
      <c r="H33" s="2" t="s">
        <v>53</v>
      </c>
      <c r="I33" s="2" t="s">
        <v>199</v>
      </c>
      <c r="J33" s="2" t="s">
        <v>176</v>
      </c>
      <c r="K33" s="2" t="s">
        <v>183</v>
      </c>
      <c r="L33" s="2" t="s">
        <v>194</v>
      </c>
      <c r="M33" s="7">
        <f t="shared" si="9"/>
        <v>64.285714285714292</v>
      </c>
      <c r="N33" s="7">
        <f t="shared" si="10"/>
        <v>99.995714285714286</v>
      </c>
      <c r="O33" s="2" t="s">
        <v>185</v>
      </c>
      <c r="P33" s="12">
        <f t="shared" si="11"/>
        <v>0.25</v>
      </c>
      <c r="Q33" s="9" t="s">
        <v>195</v>
      </c>
      <c r="R33" s="9" t="s">
        <v>196</v>
      </c>
      <c r="S33" s="9" t="s">
        <v>188</v>
      </c>
      <c r="T33" s="2">
        <f>(1/1)*100</f>
        <v>100</v>
      </c>
      <c r="U33" s="2">
        <f>T33</f>
        <v>100</v>
      </c>
      <c r="V33" s="9" t="s">
        <v>197</v>
      </c>
      <c r="W33" s="9">
        <v>0</v>
      </c>
      <c r="X33" s="2">
        <v>0</v>
      </c>
      <c r="Y33" s="2">
        <v>0</v>
      </c>
      <c r="Z33" s="2" t="s">
        <v>198</v>
      </c>
    </row>
    <row r="350997" spans="1:6" x14ac:dyDescent="0.25">
      <c r="A350997" t="s">
        <v>36</v>
      </c>
      <c r="B350997" t="s">
        <v>37</v>
      </c>
      <c r="C350997" t="s">
        <v>38</v>
      </c>
      <c r="D350997" t="s">
        <v>39</v>
      </c>
      <c r="E350997" t="s">
        <v>40</v>
      </c>
      <c r="F350997" t="s">
        <v>41</v>
      </c>
    </row>
    <row r="350998" spans="1:6" x14ac:dyDescent="0.25">
      <c r="A350998" t="s">
        <v>42</v>
      </c>
      <c r="B350998" t="s">
        <v>43</v>
      </c>
      <c r="C350998" t="s">
        <v>44</v>
      </c>
      <c r="D350998" t="s">
        <v>45</v>
      </c>
      <c r="E350998" t="s">
        <v>46</v>
      </c>
      <c r="F350998" t="s">
        <v>47</v>
      </c>
    </row>
    <row r="350999" spans="1:6" x14ac:dyDescent="0.25">
      <c r="A350999" t="s">
        <v>48</v>
      </c>
      <c r="B350999" t="s">
        <v>49</v>
      </c>
      <c r="C350999" t="s">
        <v>50</v>
      </c>
      <c r="D350999" t="s">
        <v>51</v>
      </c>
      <c r="E350999" t="s">
        <v>52</v>
      </c>
      <c r="F350999" t="s">
        <v>53</v>
      </c>
    </row>
    <row r="351000" spans="1:6" x14ac:dyDescent="0.25">
      <c r="A351000" t="s">
        <v>54</v>
      </c>
      <c r="B351000" t="s">
        <v>55</v>
      </c>
      <c r="C351000" t="s">
        <v>56</v>
      </c>
      <c r="D351000" t="s">
        <v>57</v>
      </c>
      <c r="E351000" t="s">
        <v>58</v>
      </c>
      <c r="F351000" t="s">
        <v>59</v>
      </c>
    </row>
    <row r="351001" spans="1:6" x14ac:dyDescent="0.25">
      <c r="A351001" t="s">
        <v>60</v>
      </c>
      <c r="B351001" t="s">
        <v>61</v>
      </c>
      <c r="C351001" t="s">
        <v>62</v>
      </c>
      <c r="D351001" t="s">
        <v>63</v>
      </c>
      <c r="E351001" t="s">
        <v>64</v>
      </c>
    </row>
    <row r="351002" spans="1:6" x14ac:dyDescent="0.25">
      <c r="A351002" t="s">
        <v>65</v>
      </c>
      <c r="B351002" t="s">
        <v>66</v>
      </c>
      <c r="C351002" t="s">
        <v>67</v>
      </c>
      <c r="D351002" t="s">
        <v>68</v>
      </c>
      <c r="E351002" t="s">
        <v>69</v>
      </c>
    </row>
    <row r="351003" spans="1:6" x14ac:dyDescent="0.25">
      <c r="A351003" t="s">
        <v>70</v>
      </c>
      <c r="B351003" t="s">
        <v>71</v>
      </c>
      <c r="C351003" t="s">
        <v>72</v>
      </c>
      <c r="D351003" t="s">
        <v>73</v>
      </c>
    </row>
    <row r="351004" spans="1:6" x14ac:dyDescent="0.25">
      <c r="A351004" t="s">
        <v>74</v>
      </c>
      <c r="C351004" t="s">
        <v>75</v>
      </c>
      <c r="D351004" t="s">
        <v>76</v>
      </c>
    </row>
    <row r="351005" spans="1:6" x14ac:dyDescent="0.25">
      <c r="A351005" t="s">
        <v>77</v>
      </c>
      <c r="C351005" t="s">
        <v>78</v>
      </c>
      <c r="D351005" t="s">
        <v>79</v>
      </c>
    </row>
    <row r="351006" spans="1:6" x14ac:dyDescent="0.25">
      <c r="A351006" t="s">
        <v>80</v>
      </c>
      <c r="C351006" t="s">
        <v>81</v>
      </c>
      <c r="D351006" t="s">
        <v>82</v>
      </c>
    </row>
    <row r="351007" spans="1:6" x14ac:dyDescent="0.25">
      <c r="A351007" t="s">
        <v>83</v>
      </c>
      <c r="C351007" t="s">
        <v>84</v>
      </c>
    </row>
    <row r="351008" spans="1:6" x14ac:dyDescent="0.25">
      <c r="A351008" t="s">
        <v>85</v>
      </c>
      <c r="C351008" t="s">
        <v>86</v>
      </c>
    </row>
    <row r="351009" spans="1:3" x14ac:dyDescent="0.25">
      <c r="A351009" t="s">
        <v>87</v>
      </c>
      <c r="C351009" t="s">
        <v>88</v>
      </c>
    </row>
    <row r="351010" spans="1:3" x14ac:dyDescent="0.25">
      <c r="A351010" t="s">
        <v>89</v>
      </c>
      <c r="C351010" t="s">
        <v>90</v>
      </c>
    </row>
    <row r="351011" spans="1:3" x14ac:dyDescent="0.25">
      <c r="A351011" t="s">
        <v>91</v>
      </c>
      <c r="C351011" t="s">
        <v>92</v>
      </c>
    </row>
    <row r="351012" spans="1:3" x14ac:dyDescent="0.25">
      <c r="A351012" t="s">
        <v>93</v>
      </c>
      <c r="C351012" t="s">
        <v>94</v>
      </c>
    </row>
    <row r="351013" spans="1:3" x14ac:dyDescent="0.25">
      <c r="A351013" t="s">
        <v>95</v>
      </c>
      <c r="C351013" t="s">
        <v>96</v>
      </c>
    </row>
    <row r="351014" spans="1:3" x14ac:dyDescent="0.25">
      <c r="C351014" t="s">
        <v>97</v>
      </c>
    </row>
    <row r="351015" spans="1:3" x14ac:dyDescent="0.25">
      <c r="C351015" t="s">
        <v>98</v>
      </c>
    </row>
    <row r="351016" spans="1:3" x14ac:dyDescent="0.25">
      <c r="C351016" t="s">
        <v>99</v>
      </c>
    </row>
  </sheetData>
  <autoFilter ref="C10:Z33" xr:uid="{00000000-0001-0000-0000-000000000000}"/>
  <mergeCells count="1">
    <mergeCell ref="B8:Z8"/>
  </mergeCells>
  <phoneticPr fontId="4" type="noConversion"/>
  <dataValidations xWindow="1008" yWindow="564" count="24">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C11:C33" xr:uid="{00000000-0002-0000-0000-000000000000}">
      <formula1>$A$350996:$A$351013</formula1>
    </dataValidation>
    <dataValidation type="list" allowBlank="1" showInputMessage="1" showErrorMessage="1" errorTitle="Entrada no válida" error="Por favor seleccione un elemento de la lista" promptTitle="Seleccione un elemento de la lista" prompt=" Escoja el principio PGA a implementar" sqref="D11:D33" xr:uid="{00000000-0002-0000-0000-000001000000}">
      <formula1>$B$350996:$B$351003</formula1>
    </dataValidation>
    <dataValidation type="list" allowBlank="1" showInputMessage="1" showErrorMessage="1" errorTitle="Entrada no válida" error="Por favor seleccione un elemento de la lista" promptTitle="Seleccione un elemento de la lista" prompt=" Escoja el Objetivo PGA a implementar" sqref="E11:E33" xr:uid="{00000000-0002-0000-0000-000002000000}">
      <formula1>$C$350996:$C$351016</formula1>
    </dataValidation>
    <dataValidation type="list" allowBlank="1" showInputMessage="1" showErrorMessage="1" errorTitle="Entrada no válida" error="Por favor seleccione un elemento de la lista" promptTitle="Seleccione un elemento de la lista" prompt=" Escoja la Estrategia PGA a implementar" sqref="F11:F33" xr:uid="{00000000-0002-0000-0000-000003000000}">
      <formula1>$D$350996:$D$351006</formula1>
    </dataValidation>
    <dataValidation type="list" allowBlank="1" showInputMessage="1" showErrorMessage="1" errorTitle="Entrada no válida" error="Por favor seleccione un elemento de la lista" promptTitle="Seleccione un elemento de la lista" prompt=" Elija de la lista desplegable el programa al que le hará el seguimiento" sqref="G11:G33" xr:uid="{00000000-0002-0000-0000-000004000000}">
      <formula1>$E$350996:$E$351002</formula1>
    </dataValidation>
    <dataValidation type="list" allowBlank="1" showInputMessage="1" showErrorMessage="1" errorTitle="Entrada no válida" error="Por favor seleccione un elemento de la lista" promptTitle="Seleccione un elemento de la lista" prompt=" Elija las lineas que trabajara unicamente para el programa &quot;Implementacion de practicas sostenibles&quot;" sqref="H11:H33" xr:uid="{00000000-0002-0000-0000-000005000000}">
      <formula1>$F$350996:$F$351000</formula1>
    </dataValidation>
    <dataValidation type="textLength" allowBlank="1" showInputMessage="1" showErrorMessage="1" errorTitle="Entrada no válida" error="Escriba un texto " promptTitle="Cualquier contenido" prompt=" Copie y pegue el nombre del programa &quot;Otro&quot; resgistrado en la &quot;Formulación Plan de Acción&quot;" sqref="I11:I33" xr:uid="{00000000-0002-0000-0000-000006000000}">
      <formula1>0</formula1>
      <formula2>4000</formula2>
    </dataValidation>
    <dataValidation type="textLength" allowBlank="1" showInputMessage="1" showErrorMessage="1" errorTitle="Entrada no válida" error="Escriba un texto " promptTitle="Cualquier contenido" prompt=" Escriba el porcentaje de avance de la meta anual del programa, que se alcanzó en el semestre que está reportando." sqref="N11:N16 M11:M33 N23:N29 N31:N33" xr:uid="{00000000-0002-0000-0000-00000A000000}">
      <formula1>0</formula1>
      <formula2>4000</formula2>
    </dataValidation>
    <dataValidation type="textLength" allowBlank="1" showInputMessage="1" showErrorMessage="1" errorTitle="Entrada no válida" error="Escriba un texto " promptTitle="Cualquier contenido" prompt=" Escriba el porcentaje de avance TOTAL de la meta anual. Si está reportando el primer semestre, la información de esta casilla será la misma de la casilla anterior" sqref="N17:N22 N30" xr:uid="{00000000-0002-0000-0000-00000B000000}">
      <formula1>0</formula1>
      <formula2>4000</formula2>
    </dataValidation>
    <dataValidation type="textLength" allowBlank="1" showInputMessage="1" showErrorMessage="1" errorTitle="Entrada no válida" error="Escriba un texto " promptTitle="Cualquier contenido" prompt=" Indique el porcentaje de avance total de la meta a 4 años, es decir, de la meta concertada; para reportar este avance deberá tener en cuenta el avance de años anteriores" sqref="P11:P33" xr:uid="{00000000-0002-0000-0000-00000D000000}">
      <formula1>0</formula1>
      <formula2>4000</formula2>
    </dataValidation>
    <dataValidation type="textLength" allowBlank="1" showInputMessage="1" showErrorMessage="1" errorTitle="Entrada no válida" error="Escriba un texto " promptTitle="Cualquier contenido" prompt=" Escriba el avance de la meta de la actividad de acuerdo al indicador formulado, que se alcanzó en el semestre que está reportando." sqref="T17:T33 Z11 Z14 T11:U16 U17:U28 U32" xr:uid="{00000000-0002-0000-0000-000011000000}">
      <formula1>0</formula1>
      <formula2>4000</formula2>
    </dataValidation>
    <dataValidation type="textLength" allowBlank="1" showInputMessage="1" showErrorMessage="1" errorTitle="Entrada no válida" error="Escriba un texto " promptTitle="Cualquier contenido" prompt=" Escriba el avance TOTAL de la meta de la actividad de acuerdo al indicador formulado. Si está reportando el primer semestre, la información de esta casilla será la misma de la casilla anterior" sqref="U29:U31 U33" xr:uid="{00000000-0002-0000-0000-000012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V11:V33" xr:uid="{00000000-0002-0000-0000-000013000000}">
      <formula1>0</formula1>
      <formula2>4000</formula2>
    </dataValidation>
    <dataValidation type="decimal" allowBlank="1" showInputMessage="1" showErrorMessage="1" errorTitle="Entrada no válida" error="Por favor escriba un número" promptTitle="Escriba un número en esta casilla" prompt=" Escriba, en pesos colombianos, el monto ejecutado en el semestre que está reportando, para el desarrollo de la actividad." sqref="X11:X33 Y17 Y20" xr:uid="{00000000-0002-0000-00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Escriba, en pesos colombianos, el monto ejecutado total en el semestre que está reportando, para el desarrollo de la actividad" sqref="Y11:Y16 Y18:Y19 Y21:Y33" xr:uid="{00000000-0002-0000-0000-000016000000}">
      <formula1>-9223372036854770000</formula1>
      <formula2>9223372036854770000</formula2>
    </dataValidation>
    <dataValidation type="textLength" allowBlank="1" showInputMessage="1" showErrorMessage="1" errorTitle="Entrada no válida" error="Escriba un texto " promptTitle="Cualquier contenido" prompt=" En caso de no dar cumplimiento a la totalidad de la meta, por favor especifique en esta casilla las estrategias de mejora a implementar o indique las observaciones" sqref="Z12:Z13 Z15:Z33" xr:uid="{00000000-0002-0000-0000-000017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W11:W33" xr:uid="{C0D6961F-C142-422C-861C-FBE29F97926A}">
      <formula1>-9223372036854770000</formula1>
      <formula2>9223372036854770000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S11:S33" xr:uid="{E925AD50-2A1B-42A5-AF49-C46F5F8AAEBA}">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Q11:Q33" xr:uid="{88D72328-D45B-47EA-ADC9-BBA8D9440E52}">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R11:R33" xr:uid="{6B023A97-D5D6-43B7-BCA7-33583FD58736}">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K11:K33" xr:uid="{7FBB1DFF-89D3-4E58-AB24-06A1DDA53A6A}">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33" xr:uid="{AF442CD5-8EC4-4589-8EA7-BCD232724A4E}">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O11:O33" xr:uid="{E8ABD511-CBF7-4AD2-9C1E-705D04460EF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L11:L33" xr:uid="{20CCF61D-2A5E-4438-93B2-B020B623E8BB}">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SEGUIMIENTO PLAN DE ACCION 242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2022-01-11T23:12:36Z</dcterms:created>
  <dcterms:modified xsi:type="dcterms:W3CDTF">2022-01-26T01:19:01Z</dcterms:modified>
</cp:coreProperties>
</file>