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Users\Julio\Desktop\PLANEACIÓN 2023\PIGA\INFORMES\SDA\I SEMESTRE- ENERO\SEGUIM. PLAN DE ACCIÓN\"/>
    </mc:Choice>
  </mc:AlternateContent>
  <xr:revisionPtr revIDLastSave="0" documentId="13_ncr:1_{19DE38F7-6267-4863-9ACC-7B19D48C3F45}" xr6:coauthVersionLast="47" xr6:coauthVersionMax="47" xr10:uidLastSave="{00000000-0000-0000-0000-000000000000}"/>
  <bookViews>
    <workbookView xWindow="-120" yWindow="-120" windowWidth="20730" windowHeight="11160" xr2:uid="{00000000-000D-0000-FFFF-FFFF00000000}"/>
  </bookViews>
  <sheets>
    <sheet name="SEGUIMIENTO PLAN DE ACCION 242" sheetId="1" r:id="rId1"/>
  </sheets>
  <definedNames>
    <definedName name="_xlnm._FilterDatabase" localSheetId="0" hidden="1">'SEGUIMIENTO PLAN DE ACCION 242'!$C$10:$Z$35</definedName>
  </definedNames>
  <calcPr calcId="191029"/>
</workbook>
</file>

<file path=xl/calcChain.xml><?xml version="1.0" encoding="utf-8"?>
<calcChain xmlns="http://schemas.openxmlformats.org/spreadsheetml/2006/main">
  <c r="U34" i="1" l="1"/>
  <c r="U33" i="1"/>
  <c r="U32" i="1"/>
  <c r="U31" i="1"/>
  <c r="T31" i="1"/>
  <c r="P35" i="1"/>
  <c r="P34" i="1"/>
  <c r="P31" i="1"/>
  <c r="P32" i="1"/>
  <c r="N34" i="1"/>
  <c r="N31" i="1"/>
  <c r="M34" i="1"/>
  <c r="M31" i="1"/>
  <c r="U35" i="1"/>
  <c r="T35" i="1"/>
  <c r="N35" i="1"/>
  <c r="M35" i="1"/>
  <c r="N33" i="1"/>
  <c r="N32" i="1"/>
  <c r="Y34" i="1"/>
  <c r="T34" i="1"/>
  <c r="P33" i="1"/>
  <c r="Y32" i="1"/>
  <c r="U30" i="1"/>
  <c r="T30" i="1"/>
  <c r="U29" i="1"/>
  <c r="T29" i="1"/>
  <c r="U28" i="1"/>
  <c r="T28" i="1"/>
  <c r="U27" i="1"/>
  <c r="T27" i="1"/>
  <c r="U26" i="1"/>
  <c r="T26" i="1"/>
  <c r="U25" i="1"/>
  <c r="P30" i="1"/>
  <c r="P29" i="1"/>
  <c r="P28" i="1"/>
  <c r="P27" i="1"/>
  <c r="P26" i="1"/>
  <c r="P25" i="1"/>
  <c r="N30" i="1" l="1"/>
  <c r="N29" i="1"/>
  <c r="N28" i="1"/>
  <c r="N27" i="1"/>
  <c r="N26" i="1"/>
  <c r="N25" i="1"/>
  <c r="M26" i="1"/>
  <c r="M27" i="1"/>
  <c r="M28" i="1"/>
  <c r="M29" i="1"/>
  <c r="M30" i="1"/>
  <c r="M25" i="1"/>
  <c r="T25" i="1" l="1"/>
  <c r="U24" i="1"/>
  <c r="T42" i="1"/>
  <c r="T43" i="1" s="1"/>
  <c r="T24" i="1"/>
  <c r="T41" i="1"/>
  <c r="T39" i="1"/>
  <c r="T23" i="1"/>
  <c r="U23" i="1" s="1"/>
  <c r="T22" i="1"/>
  <c r="U22" i="1" s="1"/>
  <c r="T21" i="1"/>
  <c r="U21" i="1" s="1"/>
  <c r="P24" i="1"/>
  <c r="P23" i="1"/>
  <c r="P22" i="1"/>
  <c r="P21" i="1"/>
  <c r="N24" i="1"/>
  <c r="N23" i="1"/>
  <c r="M24" i="1"/>
  <c r="M23" i="1"/>
  <c r="N22" i="1" l="1"/>
  <c r="N21" i="1"/>
  <c r="M22" i="1"/>
  <c r="M21" i="1"/>
  <c r="T18" i="1"/>
  <c r="U18" i="1" s="1"/>
  <c r="T17" i="1"/>
  <c r="U17" i="1" s="1"/>
  <c r="P20" i="1"/>
  <c r="P19" i="1"/>
  <c r="P18" i="1"/>
  <c r="P17" i="1"/>
  <c r="M20" i="1"/>
  <c r="N20" i="1" s="1"/>
  <c r="M19" i="1"/>
  <c r="N19" i="1" s="1"/>
  <c r="M18" i="1"/>
  <c r="N18" i="1" s="1"/>
  <c r="M17" i="1"/>
  <c r="N17" i="1" s="1"/>
  <c r="T20" i="1"/>
  <c r="U20" i="1" s="1"/>
  <c r="T19" i="1"/>
  <c r="U19" i="1" s="1"/>
  <c r="T16" i="1"/>
  <c r="U16" i="1" s="1"/>
  <c r="T15" i="1"/>
  <c r="U15" i="1" s="1"/>
  <c r="T14" i="1"/>
  <c r="U14" i="1" s="1"/>
  <c r="T13" i="1"/>
  <c r="U13" i="1" s="1"/>
  <c r="T12" i="1"/>
  <c r="U12" i="1" s="1"/>
  <c r="T11" i="1"/>
  <c r="U11" i="1" s="1"/>
  <c r="P11" i="1"/>
  <c r="P12" i="1"/>
  <c r="P13" i="1"/>
  <c r="P14" i="1"/>
  <c r="P15" i="1"/>
  <c r="P16" i="1"/>
  <c r="M13" i="1"/>
  <c r="N13" i="1" s="1"/>
  <c r="M12" i="1"/>
  <c r="N12" i="1" s="1"/>
  <c r="M11" i="1"/>
  <c r="N11" i="1" s="1"/>
  <c r="M16" i="1" l="1"/>
  <c r="N16" i="1" s="1"/>
  <c r="M15" i="1"/>
  <c r="N15" i="1" s="1"/>
  <c r="M14" i="1"/>
  <c r="N1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Julio</author>
  </authors>
  <commentList>
    <comment ref="P25" authorId="0" shapeId="0" xr:uid="{52DEDFDB-63EB-4A26-A811-BD887C8FCB33}">
      <text>
        <r>
          <rPr>
            <b/>
            <sz val="9"/>
            <color indexed="81"/>
            <rFont val="Tahoma"/>
            <family val="2"/>
          </rPr>
          <t>Sumatoría de los % de contratación alcanzados al cierre de cada vigencia</t>
        </r>
      </text>
    </comment>
    <comment ref="P26" authorId="0" shapeId="0" xr:uid="{96946497-46DF-4734-BEC2-6FEC534F84B2}">
      <text>
        <r>
          <rPr>
            <b/>
            <sz val="9"/>
            <color indexed="81"/>
            <rFont val="Tahoma"/>
            <family val="2"/>
          </rPr>
          <t>Sumatoría de los % de contratación alcanzados al cierre de cada vigencia</t>
        </r>
      </text>
    </comment>
    <comment ref="P27" authorId="0" shapeId="0" xr:uid="{A1A63B13-96CF-4D47-9210-7855EC068FDB}">
      <text>
        <r>
          <rPr>
            <b/>
            <sz val="9"/>
            <color indexed="81"/>
            <rFont val="Tahoma"/>
            <family val="2"/>
          </rPr>
          <t>Sumatoría de los % de contratación alcanzados al cierre de cada vigencia</t>
        </r>
      </text>
    </comment>
    <comment ref="P28" authorId="0" shapeId="0" xr:uid="{EE633E39-CE69-4475-B099-FD3ED1DA57A7}">
      <text>
        <r>
          <rPr>
            <b/>
            <sz val="9"/>
            <color indexed="81"/>
            <rFont val="Tahoma"/>
            <family val="2"/>
          </rPr>
          <t>Sumatoría de los % de contratación alcanzados al cierre de cada vigencia</t>
        </r>
      </text>
    </comment>
    <comment ref="P29" authorId="0" shapeId="0" xr:uid="{E4E72374-24B3-47F8-955C-E37B9B4D4D6B}">
      <text>
        <r>
          <rPr>
            <b/>
            <sz val="9"/>
            <color indexed="81"/>
            <rFont val="Tahoma"/>
            <family val="2"/>
          </rPr>
          <t>Sumatoría de los % de contratación alcanzados al cierre de cada vigencia</t>
        </r>
      </text>
    </comment>
    <comment ref="P30" authorId="0" shapeId="0" xr:uid="{8254FA7C-4FDC-4816-B5AA-B3727339581E}">
      <text>
        <r>
          <rPr>
            <b/>
            <sz val="9"/>
            <color indexed="81"/>
            <rFont val="Tahoma"/>
            <family val="2"/>
          </rPr>
          <t>Sumatoría de los % de contratación alcanzados al cierre de cada vigencia</t>
        </r>
      </text>
    </comment>
  </commentList>
</comments>
</file>

<file path=xl/sharedStrings.xml><?xml version="1.0" encoding="utf-8"?>
<sst xmlns="http://schemas.openxmlformats.org/spreadsheetml/2006/main" count="531" uniqueCount="230">
  <si>
    <t>Tipo Informe</t>
  </si>
  <si>
    <t>SEGUIMIENTO PLAN DE ACCION PIGA 242</t>
  </si>
  <si>
    <t>Formulario</t>
  </si>
  <si>
    <t>SEGUIMIENTO PLAN DE ACCION 242</t>
  </si>
  <si>
    <t>Moneda Informe</t>
  </si>
  <si>
    <t>Entidad</t>
  </si>
  <si>
    <t>Fecha</t>
  </si>
  <si>
    <t>Periodicidad</t>
  </si>
  <si>
    <t>INTERMEDIO</t>
  </si>
  <si>
    <t>[1]</t>
  </si>
  <si>
    <t>0 SEGUIMIENTO PLAN DE ACCIÓN PIGA 242</t>
  </si>
  <si>
    <t>ODS PGA</t>
  </si>
  <si>
    <t>PRINCIPIOS PGA</t>
  </si>
  <si>
    <t>OBJETIVOS PGA</t>
  </si>
  <si>
    <t>ESTRATEGIA PGA</t>
  </si>
  <si>
    <t>PROGRAMA</t>
  </si>
  <si>
    <t>LINEA PROGRAMA 5</t>
  </si>
  <si>
    <t>PROGRAMA "OTRO"</t>
  </si>
  <si>
    <t>OBJETIVO DEL PROGRAMA</t>
  </si>
  <si>
    <t>META DEL PROGRAMA ANUAL</t>
  </si>
  <si>
    <t>INDICADOR DEL PROGRAMA</t>
  </si>
  <si>
    <t>AVANCE DE LA META ANUAL EN EL SEMESTRE</t>
  </si>
  <si>
    <t>AVANCE DE LA META ANUAL TOTAL</t>
  </si>
  <si>
    <t>META DEL PROGRAMA A 4 AÑOS</t>
  </si>
  <si>
    <t>AVANCE DE LA META A 4 AÑOS TOTAL</t>
  </si>
  <si>
    <t xml:space="preserve">ACTIVIDAD </t>
  </si>
  <si>
    <t>META DE LA ACTIVIDAD</t>
  </si>
  <si>
    <t>INDICADOR DE LA ACTIVIDAD.</t>
  </si>
  <si>
    <t>AVANCE DE LA META EN EL SEMESTRE</t>
  </si>
  <si>
    <t>AVANCE DE LA META TOTAL</t>
  </si>
  <si>
    <t>RESPONSABLE.</t>
  </si>
  <si>
    <t>PRESUPUESTO ASIGNADO.</t>
  </si>
  <si>
    <t>PRESUPUESTO EJECUTADO EN EL PERIODO</t>
  </si>
  <si>
    <t>PRESUPUESTO EJECUTADO TOTAL-</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</si>
  <si>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</si>
  <si>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</si>
  <si>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</si>
  <si>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</si>
  <si>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</si>
  <si>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</si>
  <si>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</si>
  <si>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</si>
  <si>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</si>
  <si>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</si>
  <si>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</si>
  <si>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</si>
  <si>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</si>
  <si>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DEL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</si>
  <si>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</si>
  <si>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</si>
  <si>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</si>
  <si>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</si>
  <si>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</si>
  <si>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</si>
  <si>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</si>
  <si>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</si>
  <si>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</si>
  <si>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</si>
  <si>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</si>
  <si>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NO APLICA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</si>
  <si>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</si>
  <si>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</si>
  <si>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</si>
  <si>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</si>
  <si>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</si>
  <si>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</si>
  <si>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</si>
  <si>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</si>
  <si>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</si>
  <si>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OTROS</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</si>
  <si>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</si>
  <si>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</si>
  <si>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</si>
  <si>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</si>
  <si>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</si>
  <si>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</si>
  <si>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</si>
  <si>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</si>
  <si>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</si>
  <si>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</si>
  <si>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</si>
  <si>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</si>
  <si>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</si>
  <si>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</si>
  <si>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</si>
  <si>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</si>
  <si>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</si>
  <si>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</si>
  <si>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</si>
  <si>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</si>
  <si>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</si>
  <si>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</si>
  <si>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</si>
  <si>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</si>
  <si>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</si>
  <si>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</si>
  <si>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</si>
  <si>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</si>
  <si>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</si>
  <si>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</si>
  <si>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</si>
  <si>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</si>
  <si>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</si>
  <si>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</si>
  <si>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</si>
  <si>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</si>
  <si>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</si>
  <si>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</si>
  <si>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</si>
  <si>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</si>
  <si>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</si>
  <si>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</si>
  <si>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</si>
  <si>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</si>
  <si>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</si>
  <si>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</si>
  <si>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</si>
  <si>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</si>
  <si>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</si>
  <si>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</si>
  <si>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</si>
  <si>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</si>
  <si>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</si>
  <si>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</si>
  <si>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1 Uso eficiente del agua</t>
  </si>
  <si>
    <t>4 N/A</t>
  </si>
  <si>
    <t>No aplica</t>
  </si>
  <si>
    <t>Promover el consumo racional y eficiente del recurso hídrico entre los servidores públicos y contratistas de la Entidad, durante el Plan de Desarrollo “un nuevo contrato social y ambiental para la Bogotá del siglo XXI”.</t>
  </si>
  <si>
    <t>Implementar el 100% de las estrategias establecidas en el Plan de Acción Anual para cada vigencia durante el Plan de Desarrollo “un nuevo contrato social y ambiental para la Bogotá del siglo XXI”.</t>
  </si>
  <si>
    <t>(Actividades implementadas /Total de actividades definidas en materia de uso eficiente del agua) * 100</t>
  </si>
  <si>
    <t>2 Uso eficiente de la energía</t>
  </si>
  <si>
    <t>Promover la racionalización y ahorro del consumo energético entre los servidores de la entidad y sus entornos durante el Plan de Desarrollo “un nuevo contrato social y ambiental para la Bogotá del siglo XXI”.</t>
  </si>
  <si>
    <t>(Actividades implementadas /Total de actividades definidas en materia de uso eficiente de La energía) * 100</t>
  </si>
  <si>
    <t>3 Gestión Integral de Residuos</t>
  </si>
  <si>
    <t>Promover la gestión de los residuos generados en el desarrollo de las actividades de Capital a través de estrategias de reutilización, adecuada separación en la fuente, disminución de consumo de insumos de oficina y mejoras a las condiciones locativas de almacenamiento durante el plan de desarrollo “un nuevo contrato social y ambiental para la Bogotá del siglo XXI”.</t>
  </si>
  <si>
    <t>Implementar el 100% el Plan de Acción frente a las estrategias establecidas en materia de gestión integral de residuos por tipología en el marco del Plan de Desarrollo “un nuevo contrato social y ambiental para la Bogotá del siglo XXI”</t>
  </si>
  <si>
    <t>(Actividades implementadas /Total de actividades definidas en materia de gestión de residuos) * 100</t>
  </si>
  <si>
    <t>Disminuir en un 1% los residuos peligrosos generados en el desarrollo de las actividades misionales y administrativas durante la vigencia del Plan de Desarrollo “un nuevo contrato social y ambiental para la Bogotá del siglo XXI”, respecto al año 2020</t>
  </si>
  <si>
    <t>M.G = ((Total de materiales gestionados en el año n -Total de materiales gestionados en el año anterior) / Total de materiales gestionados en el año anterior) * 100   n: 2021, 2022, 2023, 2024</t>
  </si>
  <si>
    <t>4 Consumo sostenible</t>
  </si>
  <si>
    <t>Promover en la entidad procesos de contratación con criterios de sostenibilidad durante el Plan de Desarrollo “un nuevo contrato social y ambiental para la Bogotá del siglo XXI”.</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</si>
  <si>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</si>
  <si>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Número de contratos suscritos con criterios de sostenibilidad en el año / Número total de contratos por tipologías suscritos en el año) * 100</t>
  </si>
  <si>
    <t>5 Implementación de prácticas sostenibles.</t>
  </si>
  <si>
    <t>1 Movilidad Urbana Sostenible</t>
  </si>
  <si>
    <t>Promover internamente y hacia la ciudadanía prácticas sostenibles con ambiente en el marco de la operación de Capital durante el Plan de Desarrollo “un nuevo contrato social y ambiental para la Bogotá del siglo XXI”.</t>
  </si>
  <si>
    <t>Implementar mínimo el 90% de las actividades definidas en el Plan Integral de Movilidad Sostenible de Capital durante el Plan de Desarrollo “un nuevo contrato social y ambiental para la Bogotá del siglo XXI”.</t>
  </si>
  <si>
    <t>(Actividades implementadas / Total de actividades definidas) * 100</t>
  </si>
  <si>
    <t>2 Mejoramiento de las condiciones ambientales internas y/o de su entorno</t>
  </si>
  <si>
    <t>Implementar como mínimo al 90% las actividades programadas en el plan de acción anual de la línea de condiciones ambientales y/o de su entorno.</t>
  </si>
  <si>
    <t>(Actividades implementadas / Total de actividades definidas en plan de acción de la vigencia) * 100</t>
  </si>
  <si>
    <t xml:space="preserve">(Actividades implementadas / Total de actividades definidas en plan de acción de la vigencia) * 100 </t>
  </si>
  <si>
    <t>3 Adaptación al cambio climático</t>
  </si>
  <si>
    <t>Implementar como mínimo al 90% las actividades programadas en el plan de acción anual de la línea adaptación al cambio climático.</t>
  </si>
  <si>
    <t>Mantener en un 100% la implementación de las actividades durante el plan de desarrollo “un nuevo contrato social y ambiental para la Bogotá del siglo XXI”.</t>
  </si>
  <si>
    <t>Realizar inspección e inventario a las instalaciones hidrosanitarias emitiendo informes cuatrimestrales del estado de las mismas y la cantidad de sistemas ahorradores instalados.</t>
  </si>
  <si>
    <t>Tres (3) informes en el transcurso del año</t>
  </si>
  <si>
    <t>(No de informes presentados/3)*100</t>
  </si>
  <si>
    <t>Profesional de apoyo de planeación</t>
  </si>
  <si>
    <t>N/A</t>
  </si>
  <si>
    <t>Realizar el seguimiento y análisis a consumos de agua facturados para Canal Capital a través de la presentación de informes trimestrales del estado de consumos del recurso</t>
  </si>
  <si>
    <t>Cuatro (4) informes generados en el transcurso del año</t>
  </si>
  <si>
    <t>(No de informes presentados/4)*100</t>
  </si>
  <si>
    <t>Profesional de apoyo de planeación   Técnica de servicios administrativos</t>
  </si>
  <si>
    <t>Nueve (9) puntos de agua intervenidos</t>
  </si>
  <si>
    <t>(Número total de sistemas ahorradores instalados/Número total de puntos de agua de la sede intervenida)*100%</t>
  </si>
  <si>
    <t>Realizar el reemplazo de los puntos de agua no ahorradores por sistemas de alta eficiencia en el consumo de agua para la sede de la calle 69</t>
  </si>
  <si>
    <t>Mantener en un 100% la implementación de las actividades durante el plan de desarrollo “un nuevo contrato social y ambiental para la Bogotá del siglo XXI”</t>
  </si>
  <si>
    <t>Realizar el seguimiento y análisis a consumos de energía facturados para Canal Capital a través de la presentación de informes trimestrales del estado de consumos del recurso</t>
  </si>
  <si>
    <t>Realizar el inventario y control del estado de los sistemas de iluminación del Canal por medio de informes cuatrimestrales evidenciando la cantidad de sistemas de iluminación por tipo de sistema ahorrador.</t>
  </si>
  <si>
    <t>Mantener en un 100% la implementación de las actividades propuestas durante el plan de desarrollo “un nuevo contrato social y ambiental para la Bogotá del siglo XXI”.</t>
  </si>
  <si>
    <t>Realizar jornadas de sensibilización enfocadas en la gestión de residuos y el uso adecuado de los puntos ecológicos del Canal.</t>
  </si>
  <si>
    <t>Tres (3) charlas sobre gestión de residuos y uso adecuado de los puntos ecológicos con invitación a los servidores del Canal.</t>
  </si>
  <si>
    <t>(No. De jornadas de sensibilización realizadas/3)*100</t>
  </si>
  <si>
    <t>Realizar informes cuatrimestrales asociados a la gestión integral de Residuos del Canal identificando puntos débiles y avances en la Gestión Asociada.</t>
  </si>
  <si>
    <t>Realizar capacitaciones dirigidas a los colaboradores del canal en cargados de la gestión interna de los RESPEL, en el manejo interno y externo ambientalmente seguro de este tipo de residuos, así como en el manejo de sustancias peligrosas.</t>
  </si>
  <si>
    <t>Dos (2) capacitaciones a los colaboradores encargados de la manipulación interna de los RESPEL generados en el Canal.</t>
  </si>
  <si>
    <t>((N° de jornadas de sensibilización efectuadas en el año / 3)*100)</t>
  </si>
  <si>
    <t>Profesional de apoyo de planeación   Recursos humanos</t>
  </si>
  <si>
    <t>Entregar  los residuos peligrosos generados en el canal durante la vigencia a empresas autorizadas por la autoridad ambiental competente.</t>
  </si>
  <si>
    <t>100% de los residuos peligrosos entregados en la vigencia</t>
  </si>
  <si>
    <t>(Cantidad de residuos peligrosos entregados en el año/Cantidad total de residuos peligrosos )*100</t>
  </si>
  <si>
    <t xml:space="preserve">Generado II semestre </t>
  </si>
  <si>
    <t>Generado I semestre 2022</t>
  </si>
  <si>
    <t>Total I semestre 2022</t>
  </si>
  <si>
    <t>Total II semestre 2022</t>
  </si>
  <si>
    <t>Total general 2022</t>
  </si>
  <si>
    <t>Entregados en enero de 2022 (vigencia 2021)</t>
  </si>
  <si>
    <t>Total gestionado 2022</t>
  </si>
  <si>
    <t>Incorporar criterios de sostenibilidad mínimo en el 85% de los contratos priorizados en el periodo 2021-2024</t>
  </si>
  <si>
    <t>Llevar a cabo reuniones con el equipo de compras sostenibles del Canal con el fin de verificar los criterios ambientales y el cumplimiento de las cláusulas de sostenibilidad formuladas frente a los contratos priorizados .</t>
  </si>
  <si>
    <t>Actualizar las fichas de consumo sostenible atendiendo los posibles cambios en las necesidades de contratación de la entidad</t>
  </si>
  <si>
    <t>Llevar a cabo el proceso de revisión semestral del consumo de plásticos de un solo uso teniendo en cuenta la línea base de consumo (año 2019)</t>
  </si>
  <si>
    <t xml:space="preserve">Llevar a cabo actividades de sensibilización a los colaboradores asociadas con los plásticos de un solo uso y sus implicaciones actuales. </t>
  </si>
  <si>
    <t xml:space="preserve">Publicar piezas gráficas asociadas a la sensibilización sobre los plásticos de un solo uso </t>
  </si>
  <si>
    <t xml:space="preserve">Emitir un especial sobre los impactos del plástico en el mundo </t>
  </si>
  <si>
    <t>Dos (2) reuniones del equipo de compras sostenibles desarrolladas en el año</t>
  </si>
  <si>
    <t>Once (11) fichas revisadas y actualizadas con los diferentes responsables de la contratación de los bienes y servicios priorizados</t>
  </si>
  <si>
    <t>Dos (2) informes  relacionados con la revisión del consumo de plásticos de un solo uso en el año</t>
  </si>
  <si>
    <t xml:space="preserve">Dos (2) actividades de sensibilización relacionadas con plásticos de un solo uso </t>
  </si>
  <si>
    <t xml:space="preserve">Cuatro (4) piezas gráficas socializadas a través del correo de comunicaciones internas de la entidad </t>
  </si>
  <si>
    <t xml:space="preserve">Tres (3) emisiones de contenidos asociados con los impactos del plástico </t>
  </si>
  <si>
    <t>(Reuniones realizadas/reuniones programadas)*100</t>
  </si>
  <si>
    <t>(Fichas revisadas y actualizadas (si aplica)/total de fichas de compra sostenibles)*100</t>
  </si>
  <si>
    <t>(Informes realizados/informes programados)*100</t>
  </si>
  <si>
    <t>(Sensibilizaciones realizadas/sensibilizaciones porgramadas)*100</t>
  </si>
  <si>
    <t>(N° de mensajes divulgados a través de los canales de comunicación interna  /4)*100</t>
  </si>
  <si>
    <t>(Emisiones realizadas/emisiones programadas)*100</t>
  </si>
  <si>
    <t>Durante lo corrido del periodo julio - diciembre se suscribieron 3 contratos priorizados con criterios de sostenibilidad, los demás vienen de procesos contractuales de años anteriores o del periodo enero - junio</t>
  </si>
  <si>
    <t>Mantener como mínimo en un 90% de implementación de las actividades del Plan Integral de Movilidad Sostenible de Capital, durante el plan de desarrollo “un nuevo contrato social y ambiental para la Bogotá del siglo XXI”.</t>
  </si>
  <si>
    <t>Formular una estrategia de comunicaciones orientada a promover la movilidad sostenible al interior de la entidad</t>
  </si>
  <si>
    <t>Una (1) estrategia de comunicaciones relacionada con la movilidad sostenible diseñada e implementada en el año</t>
  </si>
  <si>
    <t>Actividades de la estrategia de comunicaciones implementadas / Total de actividades de la estrategia de comunicaciones diseñadas</t>
  </si>
  <si>
    <t>Profesional de apoyo de planeación   coordinador de prensa y comunicaciones</t>
  </si>
  <si>
    <t>Mantener como mínimo en un 90% de implementación de las actividades del programa de prácticas sostenibles, durante el plan de desarrollo “un nuevo contrato social y ambiental para la Bogotá del siglo XXI”.</t>
  </si>
  <si>
    <t>Planear, organizar y realizar la semana ambiental</t>
  </si>
  <si>
    <t>Realizar el 100% de las actividades programadas en la semana ambiental</t>
  </si>
  <si>
    <t>(Actividades realizadas/actividades programadas)*100</t>
  </si>
  <si>
    <t>Referente Ambiental  Coordinador de prensa y comunicaciones   Profesional universitario de recursos humanos</t>
  </si>
  <si>
    <t>Gestionar la elaboración de  comunicaciones internas relacionadas con el ahorro y buen uso del agua, la energía, la gestión adecuada de los residuos y la movilidad sostenible entre otros.</t>
  </si>
  <si>
    <t>Doce (12) mensajes por correo electrónico y en las cartelera en el año</t>
  </si>
  <si>
    <t>(N° de mensajes divulgados a través de los canales de comunicación interna  /12)*100</t>
  </si>
  <si>
    <t>Referente Ambiental  Coordinador de prensa y comunicaciones</t>
  </si>
  <si>
    <t>Adquirir un biciparqueadero para la sede de la calle 69 de canal capital</t>
  </si>
  <si>
    <t>Un (1) biciparqueadero adquirido para la sede de la calle 69 de canal capital</t>
  </si>
  <si>
    <t>Referente Ambiental  Profesional universitario de recursos humanos</t>
  </si>
  <si>
    <t xml:space="preserve">Dadas las condiciones de uso de la casa y el flujo de colaboradores así como los espacios disponbiles se adquirió un biciparqueadero con concondiciones óptimas para la necesidad requerida a un costo más bajo del inicialmente presupuestado </t>
  </si>
  <si>
    <t>Adelantar una jornada de plantación de árboles con los diferentes equipos de trabajo de la entidad</t>
  </si>
  <si>
    <t xml:space="preserve">Una (1) jornada de plantación de árboles realizada </t>
  </si>
  <si>
    <t xml:space="preserve">Referente Ambiental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</si>
</sst>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0.000"/>
  </numFmts>
  <fonts count="7"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b/>
      <sz val="11"/>
      <color indexed="8"/>
      <name val="Calibri"/>
      <family val="2"/>
      <scheme val="minor"/>
    </font>
    <font>
      <b/>
      <sz val="9"/>
      <color indexed="81"/>
      <name val="Tahoma"/>
      <family val="2"/>
    </font>
  </fonts>
  <fills count="4">
    <fill>
      <patternFill patternType="none"/>
    </fill>
    <fill>
      <patternFill patternType="gray125"/>
    </fill>
    <fill>
      <patternFill patternType="solid">
        <fgColor indexed="54"/>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bottom style="medium">
        <color indexed="64"/>
      </bottom>
      <diagonal/>
    </border>
    <border>
      <left/>
      <right/>
      <top style="medium">
        <color indexed="64"/>
      </top>
      <bottom style="medium">
        <color indexed="64"/>
      </bottom>
      <diagonal/>
    </border>
  </borders>
  <cellStyleXfs count="3">
    <xf numFmtId="0" fontId="0" fillId="0" borderId="0"/>
    <xf numFmtId="44" fontId="3" fillId="0" borderId="0" applyFont="0" applyFill="0" applyBorder="0" applyAlignment="0" applyProtection="0"/>
    <xf numFmtId="9" fontId="3" fillId="0" borderId="0" applyFont="0" applyFill="0" applyBorder="0" applyAlignment="0" applyProtection="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xf numFmtId="165" fontId="0" fillId="0" borderId="2" xfId="0" applyNumberFormat="1" applyFill="1" applyBorder="1" applyAlignment="1" applyProtection="1">
      <alignment vertical="center"/>
      <protection locked="0"/>
    </xf>
    <xf numFmtId="2" fontId="0" fillId="0" borderId="2" xfId="0" applyNumberFormat="1" applyFill="1" applyBorder="1" applyAlignment="1" applyProtection="1">
      <alignment vertical="center"/>
      <protection locked="0"/>
    </xf>
    <xf numFmtId="1" fontId="0" fillId="0" borderId="0" xfId="0" applyNumberFormat="1"/>
    <xf numFmtId="9" fontId="0" fillId="0" borderId="0" xfId="2" applyFont="1"/>
    <xf numFmtId="0" fontId="0" fillId="0" borderId="4" xfId="0" applyBorder="1"/>
    <xf numFmtId="0" fontId="0" fillId="0" borderId="5" xfId="0" applyBorder="1"/>
    <xf numFmtId="0" fontId="5" fillId="0" borderId="0" xfId="0" applyFont="1" applyFill="1" applyBorder="1"/>
    <xf numFmtId="0" fontId="5" fillId="0" borderId="4" xfId="0" applyFont="1" applyFill="1" applyBorder="1"/>
    <xf numFmtId="2" fontId="0" fillId="0" borderId="2" xfId="2" applyNumberFormat="1" applyFont="1" applyFill="1" applyBorder="1" applyAlignment="1" applyProtection="1">
      <alignment vertical="center"/>
      <protection locked="0"/>
    </xf>
    <xf numFmtId="0" fontId="0" fillId="0" borderId="2" xfId="0" applyBorder="1" applyAlignment="1" applyProtection="1">
      <alignment vertical="center"/>
      <protection locked="0"/>
    </xf>
    <xf numFmtId="0" fontId="0" fillId="0" borderId="2" xfId="1" applyNumberFormat="1" applyFont="1" applyFill="1" applyBorder="1" applyAlignment="1" applyProtection="1">
      <alignment vertical="center"/>
      <protection locked="0"/>
    </xf>
  </cellXfs>
  <cellStyles count="3">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5"/>
  <sheetViews>
    <sheetView tabSelected="1" topLeftCell="B1" workbookViewId="0">
      <selection activeCell="B1" sqref="B1"/>
    </sheetView>
  </sheetViews>
  <sheetFormatPr baseColWidth="10" defaultColWidth="9.140625" defaultRowHeight="15" x14ac:dyDescent="0.25"/>
  <cols>
    <col min="2" max="2" width="16" customWidth="1"/>
    <col min="3" max="3" width="13" customWidth="1"/>
    <col min="4" max="4" width="47.7109375" customWidth="1"/>
    <col min="5" max="5" width="19" customWidth="1"/>
    <col min="6" max="6" width="20" customWidth="1"/>
    <col min="7" max="7" width="14" customWidth="1"/>
    <col min="8" max="8" width="22" customWidth="1"/>
    <col min="9" max="9" width="21" customWidth="1"/>
    <col min="10" max="10" width="27" customWidth="1"/>
    <col min="11" max="11" width="29" customWidth="1"/>
    <col min="12" max="12" width="28" customWidth="1"/>
    <col min="13" max="13" width="44" customWidth="1"/>
    <col min="14" max="14" width="35" customWidth="1"/>
    <col min="15" max="15" width="32" customWidth="1"/>
    <col min="16" max="16" width="38" customWidth="1"/>
    <col min="17" max="17" width="16" customWidth="1"/>
    <col min="18" max="18" width="26" customWidth="1"/>
    <col min="19" max="19" width="42.5703125" customWidth="1"/>
    <col min="20" max="20" width="38" customWidth="1"/>
    <col min="21" max="21" width="29" customWidth="1"/>
    <col min="22" max="22" width="18" customWidth="1"/>
    <col min="23" max="23" width="27" customWidth="1"/>
    <col min="24" max="24" width="41" customWidth="1"/>
    <col min="25" max="25" width="34" customWidth="1"/>
    <col min="26" max="26" width="20" customWidth="1"/>
    <col min="28" max="256" width="8" hidden="1"/>
  </cols>
  <sheetData>
    <row r="1" spans="1:26" x14ac:dyDescent="0.25">
      <c r="B1" s="1" t="s">
        <v>0</v>
      </c>
      <c r="C1" s="1">
        <v>18</v>
      </c>
      <c r="D1" s="1" t="s">
        <v>1</v>
      </c>
    </row>
    <row r="2" spans="1:26" x14ac:dyDescent="0.25">
      <c r="B2" s="1" t="s">
        <v>2</v>
      </c>
      <c r="C2" s="1">
        <v>135</v>
      </c>
      <c r="D2" s="1" t="s">
        <v>3</v>
      </c>
    </row>
    <row r="3" spans="1:26" x14ac:dyDescent="0.25">
      <c r="B3" s="1" t="s">
        <v>4</v>
      </c>
      <c r="C3" s="1">
        <v>1</v>
      </c>
    </row>
    <row r="4" spans="1:26" x14ac:dyDescent="0.25">
      <c r="B4" s="1" t="s">
        <v>5</v>
      </c>
      <c r="C4" s="1">
        <v>260</v>
      </c>
    </row>
    <row r="5" spans="1:26" x14ac:dyDescent="0.25">
      <c r="B5" s="1" t="s">
        <v>6</v>
      </c>
      <c r="C5" s="3">
        <v>44926</v>
      </c>
    </row>
    <row r="6" spans="1:26" x14ac:dyDescent="0.25">
      <c r="B6" s="1" t="s">
        <v>7</v>
      </c>
      <c r="C6" s="1">
        <v>6</v>
      </c>
      <c r="D6" s="1" t="s">
        <v>8</v>
      </c>
    </row>
    <row r="8" spans="1:26" x14ac:dyDescent="0.25">
      <c r="A8" s="1" t="s">
        <v>9</v>
      </c>
      <c r="B8" s="4" t="s">
        <v>10</v>
      </c>
      <c r="C8" s="5"/>
      <c r="D8" s="5"/>
      <c r="E8" s="5"/>
      <c r="F8" s="5"/>
      <c r="G8" s="5"/>
      <c r="H8" s="5"/>
      <c r="I8" s="5"/>
      <c r="J8" s="5"/>
      <c r="K8" s="5"/>
      <c r="L8" s="5"/>
      <c r="M8" s="5"/>
      <c r="N8" s="5"/>
      <c r="O8" s="5"/>
      <c r="P8" s="5"/>
      <c r="Q8" s="5"/>
      <c r="R8" s="5"/>
      <c r="S8" s="5"/>
      <c r="T8" s="5"/>
      <c r="U8" s="5"/>
      <c r="V8" s="5"/>
      <c r="W8" s="5"/>
      <c r="X8" s="5"/>
      <c r="Y8" s="5"/>
      <c r="Z8" s="5"/>
    </row>
    <row r="9" spans="1:26" x14ac:dyDescent="0.25">
      <c r="C9" s="1">
        <v>4</v>
      </c>
      <c r="D9" s="1">
        <v>7</v>
      </c>
      <c r="E9" s="1">
        <v>8</v>
      </c>
      <c r="F9" s="1">
        <v>12</v>
      </c>
      <c r="G9" s="1">
        <v>20</v>
      </c>
      <c r="H9" s="1">
        <v>23</v>
      </c>
      <c r="I9" s="1">
        <v>28</v>
      </c>
      <c r="J9" s="1">
        <v>35</v>
      </c>
      <c r="K9" s="1">
        <v>36</v>
      </c>
      <c r="L9" s="1">
        <v>44</v>
      </c>
      <c r="M9" s="1">
        <v>48</v>
      </c>
      <c r="N9" s="1">
        <v>52</v>
      </c>
      <c r="O9" s="1">
        <v>55</v>
      </c>
      <c r="P9" s="1">
        <v>60</v>
      </c>
      <c r="Q9" s="1">
        <v>64</v>
      </c>
      <c r="R9" s="1">
        <v>68</v>
      </c>
      <c r="S9" s="1">
        <v>71</v>
      </c>
      <c r="T9" s="1">
        <v>72</v>
      </c>
      <c r="U9" s="1">
        <v>76</v>
      </c>
      <c r="V9" s="1">
        <v>80</v>
      </c>
      <c r="W9" s="1">
        <v>84</v>
      </c>
      <c r="X9" s="1">
        <v>88</v>
      </c>
      <c r="Y9" s="1">
        <v>96</v>
      </c>
      <c r="Z9" s="1">
        <v>100</v>
      </c>
    </row>
    <row r="10" spans="1:2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ht="15.75" thickBot="1" x14ac:dyDescent="0.3">
      <c r="A11" s="1">
        <v>1</v>
      </c>
      <c r="B11" t="s">
        <v>35</v>
      </c>
      <c r="C11" s="2" t="s">
        <v>65</v>
      </c>
      <c r="D11" s="2" t="s">
        <v>55</v>
      </c>
      <c r="E11" s="2" t="s">
        <v>84</v>
      </c>
      <c r="F11" s="2" t="s">
        <v>39</v>
      </c>
      <c r="G11" s="2" t="s">
        <v>124</v>
      </c>
      <c r="H11" s="2" t="s">
        <v>125</v>
      </c>
      <c r="I11" s="2" t="s">
        <v>126</v>
      </c>
      <c r="J11" s="2" t="s">
        <v>127</v>
      </c>
      <c r="K11" s="2" t="s">
        <v>128</v>
      </c>
      <c r="L11" s="2" t="s">
        <v>129</v>
      </c>
      <c r="M11" s="6">
        <f>SUM((12)/16)*100</f>
        <v>75</v>
      </c>
      <c r="N11" s="6">
        <f>M11+25</f>
        <v>100</v>
      </c>
      <c r="O11" s="2" t="s">
        <v>154</v>
      </c>
      <c r="P11" s="7">
        <f>(200%)/4</f>
        <v>0.5</v>
      </c>
      <c r="Q11" s="2" t="s">
        <v>155</v>
      </c>
      <c r="R11" s="2" t="s">
        <v>156</v>
      </c>
      <c r="S11" s="2" t="s">
        <v>157</v>
      </c>
      <c r="T11" s="8">
        <f>(2/3)*100</f>
        <v>66.666666666666657</v>
      </c>
      <c r="U11" s="8">
        <f>T11+33.33</f>
        <v>99.996666666666655</v>
      </c>
      <c r="V11" s="2" t="s">
        <v>158</v>
      </c>
      <c r="W11" s="6">
        <v>0</v>
      </c>
      <c r="X11" s="6">
        <v>0</v>
      </c>
      <c r="Y11" s="6">
        <v>0</v>
      </c>
      <c r="Z11" s="6" t="s">
        <v>159</v>
      </c>
    </row>
    <row r="12" spans="1:26" ht="15.75" thickBot="1" x14ac:dyDescent="0.3">
      <c r="A12" s="1">
        <v>2</v>
      </c>
      <c r="B12" t="s">
        <v>100</v>
      </c>
      <c r="C12" s="2" t="s">
        <v>65</v>
      </c>
      <c r="D12" s="2" t="s">
        <v>55</v>
      </c>
      <c r="E12" s="2" t="s">
        <v>84</v>
      </c>
      <c r="F12" s="2" t="s">
        <v>39</v>
      </c>
      <c r="G12" s="2" t="s">
        <v>124</v>
      </c>
      <c r="H12" s="2" t="s">
        <v>125</v>
      </c>
      <c r="I12" s="2" t="s">
        <v>126</v>
      </c>
      <c r="J12" s="2" t="s">
        <v>127</v>
      </c>
      <c r="K12" s="2" t="s">
        <v>128</v>
      </c>
      <c r="L12" s="2" t="s">
        <v>129</v>
      </c>
      <c r="M12" s="6">
        <f>SUM((12)/16)*100</f>
        <v>75</v>
      </c>
      <c r="N12" s="6">
        <f t="shared" ref="N12:N16" si="0">M12+25</f>
        <v>100</v>
      </c>
      <c r="O12" s="2" t="s">
        <v>154</v>
      </c>
      <c r="P12" s="7">
        <f t="shared" ref="P12:P16" si="1">(200%)/4</f>
        <v>0.5</v>
      </c>
      <c r="Q12" s="2" t="s">
        <v>160</v>
      </c>
      <c r="R12" s="2" t="s">
        <v>161</v>
      </c>
      <c r="S12" s="2" t="s">
        <v>162</v>
      </c>
      <c r="T12" s="8">
        <f>(3/4)*100</f>
        <v>75</v>
      </c>
      <c r="U12" s="8">
        <f>T12+25</f>
        <v>100</v>
      </c>
      <c r="V12" s="2" t="s">
        <v>163</v>
      </c>
      <c r="W12" s="6">
        <v>0</v>
      </c>
      <c r="X12" s="6">
        <v>0</v>
      </c>
      <c r="Y12" s="6">
        <v>0</v>
      </c>
      <c r="Z12" s="6" t="s">
        <v>159</v>
      </c>
    </row>
    <row r="13" spans="1:26" ht="15.75" thickBot="1" x14ac:dyDescent="0.3">
      <c r="A13" s="1">
        <v>3</v>
      </c>
      <c r="B13" t="s">
        <v>101</v>
      </c>
      <c r="C13" s="2" t="s">
        <v>65</v>
      </c>
      <c r="D13" s="2" t="s">
        <v>55</v>
      </c>
      <c r="E13" s="2" t="s">
        <v>84</v>
      </c>
      <c r="F13" s="2" t="s">
        <v>39</v>
      </c>
      <c r="G13" s="2" t="s">
        <v>124</v>
      </c>
      <c r="H13" s="2" t="s">
        <v>125</v>
      </c>
      <c r="I13" s="2" t="s">
        <v>126</v>
      </c>
      <c r="J13" s="2" t="s">
        <v>127</v>
      </c>
      <c r="K13" s="2" t="s">
        <v>128</v>
      </c>
      <c r="L13" s="2" t="s">
        <v>129</v>
      </c>
      <c r="M13" s="6">
        <f>SUM((12)/16)*100</f>
        <v>75</v>
      </c>
      <c r="N13" s="6">
        <f t="shared" si="0"/>
        <v>100</v>
      </c>
      <c r="O13" s="2" t="s">
        <v>154</v>
      </c>
      <c r="P13" s="7">
        <f t="shared" si="1"/>
        <v>0.5</v>
      </c>
      <c r="Q13" s="2" t="s">
        <v>166</v>
      </c>
      <c r="R13" s="2" t="s">
        <v>164</v>
      </c>
      <c r="S13" s="2" t="s">
        <v>165</v>
      </c>
      <c r="T13" s="8">
        <f>8/9*100</f>
        <v>88.888888888888886</v>
      </c>
      <c r="U13" s="8">
        <f>T13+11.11</f>
        <v>99.998888888888885</v>
      </c>
      <c r="V13" s="2" t="s">
        <v>163</v>
      </c>
      <c r="W13" s="6">
        <v>3600000</v>
      </c>
      <c r="X13" s="6">
        <v>0</v>
      </c>
      <c r="Y13" s="6">
        <v>3600000</v>
      </c>
      <c r="Z13" s="6" t="s">
        <v>159</v>
      </c>
    </row>
    <row r="14" spans="1:26" ht="15.75" thickBot="1" x14ac:dyDescent="0.3">
      <c r="A14" s="1">
        <v>4</v>
      </c>
      <c r="B14" t="s">
        <v>102</v>
      </c>
      <c r="C14" s="2" t="s">
        <v>65</v>
      </c>
      <c r="D14" s="2" t="s">
        <v>37</v>
      </c>
      <c r="E14" s="2" t="s">
        <v>84</v>
      </c>
      <c r="F14" s="2" t="s">
        <v>39</v>
      </c>
      <c r="G14" s="2" t="s">
        <v>124</v>
      </c>
      <c r="H14" s="2" t="s">
        <v>125</v>
      </c>
      <c r="I14" s="2" t="s">
        <v>126</v>
      </c>
      <c r="J14" s="2" t="s">
        <v>127</v>
      </c>
      <c r="K14" s="2" t="s">
        <v>128</v>
      </c>
      <c r="L14" s="2" t="s">
        <v>129</v>
      </c>
      <c r="M14" s="6">
        <f t="shared" ref="M12:M16" si="2">SUM((4)/16)*100</f>
        <v>25</v>
      </c>
      <c r="N14" s="6">
        <f>M14+25</f>
        <v>50</v>
      </c>
      <c r="O14" s="2" t="s">
        <v>154</v>
      </c>
      <c r="P14" s="7">
        <f t="shared" si="1"/>
        <v>0.5</v>
      </c>
      <c r="Q14" s="2" t="s">
        <v>155</v>
      </c>
      <c r="R14" s="2" t="s">
        <v>156</v>
      </c>
      <c r="S14" s="2" t="s">
        <v>157</v>
      </c>
      <c r="T14" s="8">
        <f>(2/3)*100</f>
        <v>66.666666666666657</v>
      </c>
      <c r="U14" s="8">
        <f>T14+33.33</f>
        <v>99.996666666666655</v>
      </c>
      <c r="V14" s="2" t="s">
        <v>158</v>
      </c>
      <c r="W14" s="6">
        <v>0</v>
      </c>
      <c r="X14" s="6">
        <v>0</v>
      </c>
      <c r="Y14" s="6">
        <v>0</v>
      </c>
      <c r="Z14" s="6" t="s">
        <v>159</v>
      </c>
    </row>
    <row r="15" spans="1:26" ht="15.75" thickBot="1" x14ac:dyDescent="0.3">
      <c r="A15" s="1">
        <v>5</v>
      </c>
      <c r="B15" t="s">
        <v>103</v>
      </c>
      <c r="C15" s="2" t="s">
        <v>65</v>
      </c>
      <c r="D15" s="2" t="s">
        <v>37</v>
      </c>
      <c r="E15" s="2" t="s">
        <v>84</v>
      </c>
      <c r="F15" s="2" t="s">
        <v>39</v>
      </c>
      <c r="G15" s="2" t="s">
        <v>124</v>
      </c>
      <c r="H15" s="2" t="s">
        <v>125</v>
      </c>
      <c r="I15" s="2" t="s">
        <v>126</v>
      </c>
      <c r="J15" s="2" t="s">
        <v>127</v>
      </c>
      <c r="K15" s="2" t="s">
        <v>128</v>
      </c>
      <c r="L15" s="2" t="s">
        <v>129</v>
      </c>
      <c r="M15" s="6">
        <f t="shared" si="2"/>
        <v>25</v>
      </c>
      <c r="N15" s="6">
        <f t="shared" si="0"/>
        <v>50</v>
      </c>
      <c r="O15" s="2" t="s">
        <v>154</v>
      </c>
      <c r="P15" s="7">
        <f t="shared" si="1"/>
        <v>0.5</v>
      </c>
      <c r="Q15" s="2" t="s">
        <v>160</v>
      </c>
      <c r="R15" s="2" t="s">
        <v>161</v>
      </c>
      <c r="S15" s="2" t="s">
        <v>162</v>
      </c>
      <c r="T15" s="8">
        <f>(3/4)*100</f>
        <v>75</v>
      </c>
      <c r="U15" s="8">
        <f>T15+25</f>
        <v>100</v>
      </c>
      <c r="V15" s="2" t="s">
        <v>163</v>
      </c>
      <c r="W15" s="6">
        <v>0</v>
      </c>
      <c r="X15" s="6">
        <v>0</v>
      </c>
      <c r="Y15" s="6">
        <v>0</v>
      </c>
      <c r="Z15" s="6" t="s">
        <v>159</v>
      </c>
    </row>
    <row r="16" spans="1:26" ht="15.75" thickBot="1" x14ac:dyDescent="0.3">
      <c r="A16" s="1">
        <v>6</v>
      </c>
      <c r="B16" t="s">
        <v>104</v>
      </c>
      <c r="C16" s="2" t="s">
        <v>65</v>
      </c>
      <c r="D16" s="2" t="s">
        <v>37</v>
      </c>
      <c r="E16" s="2" t="s">
        <v>84</v>
      </c>
      <c r="F16" s="2" t="s">
        <v>39</v>
      </c>
      <c r="G16" s="2" t="s">
        <v>124</v>
      </c>
      <c r="H16" s="2" t="s">
        <v>125</v>
      </c>
      <c r="I16" s="2" t="s">
        <v>126</v>
      </c>
      <c r="J16" s="2" t="s">
        <v>127</v>
      </c>
      <c r="K16" s="2" t="s">
        <v>128</v>
      </c>
      <c r="L16" s="2" t="s">
        <v>129</v>
      </c>
      <c r="M16" s="6">
        <f t="shared" si="2"/>
        <v>25</v>
      </c>
      <c r="N16" s="6">
        <f t="shared" si="0"/>
        <v>50</v>
      </c>
      <c r="O16" s="2" t="s">
        <v>154</v>
      </c>
      <c r="P16" s="7">
        <f t="shared" si="1"/>
        <v>0.5</v>
      </c>
      <c r="Q16" s="2" t="s">
        <v>166</v>
      </c>
      <c r="R16" s="2" t="s">
        <v>164</v>
      </c>
      <c r="S16" s="2" t="s">
        <v>165</v>
      </c>
      <c r="T16" s="8">
        <f>8/9*100</f>
        <v>88.888888888888886</v>
      </c>
      <c r="U16" s="8">
        <f>T16+11.11</f>
        <v>99.998888888888885</v>
      </c>
      <c r="V16" s="2" t="s">
        <v>163</v>
      </c>
      <c r="W16" s="6">
        <v>3600000</v>
      </c>
      <c r="X16" s="6">
        <v>0</v>
      </c>
      <c r="Y16" s="6">
        <v>3600000</v>
      </c>
      <c r="Z16" s="6" t="s">
        <v>159</v>
      </c>
    </row>
    <row r="17" spans="1:26" ht="15.75" thickBot="1" x14ac:dyDescent="0.3">
      <c r="A17" s="1">
        <v>7</v>
      </c>
      <c r="B17" t="s">
        <v>105</v>
      </c>
      <c r="C17" s="2" t="s">
        <v>70</v>
      </c>
      <c r="D17" s="2" t="s">
        <v>55</v>
      </c>
      <c r="E17" s="2" t="s">
        <v>86</v>
      </c>
      <c r="F17" s="2" t="s">
        <v>39</v>
      </c>
      <c r="G17" s="2" t="s">
        <v>130</v>
      </c>
      <c r="H17" s="2" t="s">
        <v>125</v>
      </c>
      <c r="I17" s="2" t="s">
        <v>126</v>
      </c>
      <c r="J17" s="2" t="s">
        <v>131</v>
      </c>
      <c r="K17" s="2" t="s">
        <v>128</v>
      </c>
      <c r="L17" s="2" t="s">
        <v>132</v>
      </c>
      <c r="M17" s="8">
        <f>(5/7)*100</f>
        <v>71.428571428571431</v>
      </c>
      <c r="N17" s="8">
        <f>M17+28.5714285714286</f>
        <v>100.00000000000003</v>
      </c>
      <c r="O17" s="2" t="s">
        <v>167</v>
      </c>
      <c r="P17" s="7">
        <f>(200%)/4</f>
        <v>0.5</v>
      </c>
      <c r="Q17" s="2" t="s">
        <v>168</v>
      </c>
      <c r="R17" s="2" t="s">
        <v>161</v>
      </c>
      <c r="S17" s="2" t="s">
        <v>162</v>
      </c>
      <c r="T17" s="6">
        <f>(3/4)*100</f>
        <v>75</v>
      </c>
      <c r="U17" s="6">
        <f>T17+25</f>
        <v>100</v>
      </c>
      <c r="V17" s="2" t="s">
        <v>163</v>
      </c>
      <c r="W17" s="2">
        <v>0</v>
      </c>
      <c r="X17" s="2">
        <v>0</v>
      </c>
      <c r="Y17" s="2">
        <v>0</v>
      </c>
      <c r="Z17" s="2" t="s">
        <v>159</v>
      </c>
    </row>
    <row r="18" spans="1:26" ht="15.75" thickBot="1" x14ac:dyDescent="0.3">
      <c r="A18" s="1">
        <v>8</v>
      </c>
      <c r="B18" t="s">
        <v>106</v>
      </c>
      <c r="C18" s="2" t="s">
        <v>70</v>
      </c>
      <c r="D18" s="2" t="s">
        <v>55</v>
      </c>
      <c r="E18" s="2" t="s">
        <v>86</v>
      </c>
      <c r="F18" s="2" t="s">
        <v>39</v>
      </c>
      <c r="G18" s="2" t="s">
        <v>130</v>
      </c>
      <c r="H18" s="2" t="s">
        <v>125</v>
      </c>
      <c r="I18" s="2" t="s">
        <v>126</v>
      </c>
      <c r="J18" s="2" t="s">
        <v>131</v>
      </c>
      <c r="K18" s="2" t="s">
        <v>128</v>
      </c>
      <c r="L18" s="2" t="s">
        <v>132</v>
      </c>
      <c r="M18" s="8">
        <f t="shared" ref="M18:M20" si="3">(5/7)*100</f>
        <v>71.428571428571431</v>
      </c>
      <c r="N18" s="8">
        <f t="shared" ref="N18:N20" si="4">M18+28.5714285714286</f>
        <v>100.00000000000003</v>
      </c>
      <c r="O18" s="2" t="s">
        <v>167</v>
      </c>
      <c r="P18" s="7">
        <f>(200%)/4</f>
        <v>0.5</v>
      </c>
      <c r="Q18" s="2" t="s">
        <v>169</v>
      </c>
      <c r="R18" s="2" t="s">
        <v>156</v>
      </c>
      <c r="S18" s="2" t="s">
        <v>157</v>
      </c>
      <c r="T18" s="8">
        <f>(2/3)*100</f>
        <v>66.666666666666657</v>
      </c>
      <c r="U18" s="8">
        <f>T18+33.3333333333333</f>
        <v>99.999999999999957</v>
      </c>
      <c r="V18" s="2" t="s">
        <v>158</v>
      </c>
      <c r="W18" s="2">
        <v>0</v>
      </c>
      <c r="X18" s="2">
        <v>0</v>
      </c>
      <c r="Y18" s="2">
        <v>0</v>
      </c>
      <c r="Z18" s="2" t="s">
        <v>159</v>
      </c>
    </row>
    <row r="19" spans="1:26" ht="15.75" thickBot="1" x14ac:dyDescent="0.3">
      <c r="A19" s="1">
        <v>9</v>
      </c>
      <c r="B19" t="s">
        <v>107</v>
      </c>
      <c r="C19" s="2" t="s">
        <v>70</v>
      </c>
      <c r="D19" s="2" t="s">
        <v>37</v>
      </c>
      <c r="E19" s="2" t="s">
        <v>86</v>
      </c>
      <c r="F19" s="2" t="s">
        <v>39</v>
      </c>
      <c r="G19" s="2" t="s">
        <v>130</v>
      </c>
      <c r="H19" s="2" t="s">
        <v>125</v>
      </c>
      <c r="I19" s="2" t="s">
        <v>126</v>
      </c>
      <c r="J19" s="2" t="s">
        <v>131</v>
      </c>
      <c r="K19" s="2" t="s">
        <v>128</v>
      </c>
      <c r="L19" s="2" t="s">
        <v>132</v>
      </c>
      <c r="M19" s="8">
        <f t="shared" si="3"/>
        <v>71.428571428571431</v>
      </c>
      <c r="N19" s="8">
        <f t="shared" si="4"/>
        <v>100.00000000000003</v>
      </c>
      <c r="O19" s="2" t="s">
        <v>167</v>
      </c>
      <c r="P19" s="7">
        <f>(200%)/4</f>
        <v>0.5</v>
      </c>
      <c r="Q19" s="2" t="s">
        <v>168</v>
      </c>
      <c r="R19" s="2" t="s">
        <v>161</v>
      </c>
      <c r="S19" s="2" t="s">
        <v>162</v>
      </c>
      <c r="T19" s="6">
        <f>(1/4)*100</f>
        <v>25</v>
      </c>
      <c r="U19" s="6">
        <f>T19+25</f>
        <v>50</v>
      </c>
      <c r="V19" s="2" t="s">
        <v>163</v>
      </c>
      <c r="W19" s="2">
        <v>0</v>
      </c>
      <c r="X19" s="2">
        <v>0</v>
      </c>
      <c r="Y19" s="2">
        <v>0</v>
      </c>
      <c r="Z19" s="2" t="s">
        <v>159</v>
      </c>
    </row>
    <row r="20" spans="1:26" ht="15.75" thickBot="1" x14ac:dyDescent="0.3">
      <c r="A20" s="1">
        <v>10</v>
      </c>
      <c r="B20" t="s">
        <v>108</v>
      </c>
      <c r="C20" s="2" t="s">
        <v>70</v>
      </c>
      <c r="D20" s="2" t="s">
        <v>37</v>
      </c>
      <c r="E20" s="2" t="s">
        <v>86</v>
      </c>
      <c r="F20" s="2" t="s">
        <v>39</v>
      </c>
      <c r="G20" s="2" t="s">
        <v>130</v>
      </c>
      <c r="H20" s="2" t="s">
        <v>125</v>
      </c>
      <c r="I20" s="2" t="s">
        <v>126</v>
      </c>
      <c r="J20" s="2" t="s">
        <v>131</v>
      </c>
      <c r="K20" s="2" t="s">
        <v>128</v>
      </c>
      <c r="L20" s="2" t="s">
        <v>132</v>
      </c>
      <c r="M20" s="8">
        <f t="shared" si="3"/>
        <v>71.428571428571431</v>
      </c>
      <c r="N20" s="8">
        <f t="shared" si="4"/>
        <v>100.00000000000003</v>
      </c>
      <c r="O20" s="2" t="s">
        <v>167</v>
      </c>
      <c r="P20" s="7">
        <f>(200%)/4</f>
        <v>0.5</v>
      </c>
      <c r="Q20" s="2" t="s">
        <v>169</v>
      </c>
      <c r="R20" s="2" t="s">
        <v>156</v>
      </c>
      <c r="S20" s="2" t="s">
        <v>157</v>
      </c>
      <c r="T20" s="8">
        <f>(1/3)*100</f>
        <v>33.333333333333329</v>
      </c>
      <c r="U20" s="8">
        <f>T20+33.3333333333333</f>
        <v>66.666666666666629</v>
      </c>
      <c r="V20" s="2" t="s">
        <v>158</v>
      </c>
      <c r="W20" s="2">
        <v>0</v>
      </c>
      <c r="X20" s="2">
        <v>0</v>
      </c>
      <c r="Y20" s="2">
        <v>0</v>
      </c>
      <c r="Z20" s="2" t="s">
        <v>159</v>
      </c>
    </row>
    <row r="21" spans="1:26" ht="15.75" thickBot="1" x14ac:dyDescent="0.3">
      <c r="A21" s="1">
        <v>11</v>
      </c>
      <c r="B21" t="s">
        <v>109</v>
      </c>
      <c r="C21" s="2" t="s">
        <v>83</v>
      </c>
      <c r="D21" s="2" t="s">
        <v>37</v>
      </c>
      <c r="E21" s="2" t="s">
        <v>88</v>
      </c>
      <c r="F21" s="2" t="s">
        <v>39</v>
      </c>
      <c r="G21" s="2" t="s">
        <v>133</v>
      </c>
      <c r="H21" s="2" t="s">
        <v>125</v>
      </c>
      <c r="I21" s="2" t="s">
        <v>126</v>
      </c>
      <c r="J21" s="2" t="s">
        <v>134</v>
      </c>
      <c r="K21" s="2" t="s">
        <v>135</v>
      </c>
      <c r="L21" s="2" t="s">
        <v>136</v>
      </c>
      <c r="M21" s="6">
        <f>(7/10)*100</f>
        <v>70</v>
      </c>
      <c r="N21" s="6">
        <f>M21+30</f>
        <v>100</v>
      </c>
      <c r="O21" s="2" t="s">
        <v>170</v>
      </c>
      <c r="P21" s="7">
        <f>(200%)/4</f>
        <v>0.5</v>
      </c>
      <c r="Q21" s="2" t="s">
        <v>171</v>
      </c>
      <c r="R21" s="2" t="s">
        <v>172</v>
      </c>
      <c r="S21" s="2" t="s">
        <v>173</v>
      </c>
      <c r="T21" s="8">
        <f>3/3*100</f>
        <v>100</v>
      </c>
      <c r="U21" s="8">
        <f>T21</f>
        <v>100</v>
      </c>
      <c r="V21" s="2" t="s">
        <v>158</v>
      </c>
      <c r="W21" s="2">
        <v>0</v>
      </c>
      <c r="X21" s="2">
        <v>0</v>
      </c>
      <c r="Y21" s="2">
        <v>0</v>
      </c>
      <c r="Z21" s="6" t="s">
        <v>159</v>
      </c>
    </row>
    <row r="22" spans="1:26" ht="15.75" thickBot="1" x14ac:dyDescent="0.3">
      <c r="A22" s="1">
        <v>12</v>
      </c>
      <c r="B22" t="s">
        <v>110</v>
      </c>
      <c r="C22" s="2" t="s">
        <v>83</v>
      </c>
      <c r="D22" s="2" t="s">
        <v>37</v>
      </c>
      <c r="E22" s="2" t="s">
        <v>88</v>
      </c>
      <c r="F22" s="2" t="s">
        <v>39</v>
      </c>
      <c r="G22" s="2" t="s">
        <v>133</v>
      </c>
      <c r="H22" s="2" t="s">
        <v>125</v>
      </c>
      <c r="I22" s="2" t="s">
        <v>126</v>
      </c>
      <c r="J22" s="2" t="s">
        <v>134</v>
      </c>
      <c r="K22" s="2" t="s">
        <v>135</v>
      </c>
      <c r="L22" s="2" t="s">
        <v>136</v>
      </c>
      <c r="M22" s="6">
        <f>(7/10)*100</f>
        <v>70</v>
      </c>
      <c r="N22" s="6">
        <f>M22+30</f>
        <v>100</v>
      </c>
      <c r="O22" s="2" t="s">
        <v>170</v>
      </c>
      <c r="P22" s="7">
        <f>(200%)/4</f>
        <v>0.5</v>
      </c>
      <c r="Q22" s="2" t="s">
        <v>174</v>
      </c>
      <c r="R22" s="2" t="s">
        <v>156</v>
      </c>
      <c r="S22" s="2" t="s">
        <v>157</v>
      </c>
      <c r="T22" s="8">
        <f>2/3*100</f>
        <v>66.666666666666657</v>
      </c>
      <c r="U22" s="8">
        <f>T22+33.3333333333333</f>
        <v>99.999999999999957</v>
      </c>
      <c r="V22" s="2" t="s">
        <v>158</v>
      </c>
      <c r="W22" s="2">
        <v>0</v>
      </c>
      <c r="X22" s="2">
        <v>0</v>
      </c>
      <c r="Y22" s="2">
        <v>0</v>
      </c>
      <c r="Z22" s="2" t="s">
        <v>159</v>
      </c>
    </row>
    <row r="23" spans="1:26" ht="15.75" thickBot="1" x14ac:dyDescent="0.3">
      <c r="A23" s="1">
        <v>13</v>
      </c>
      <c r="B23" t="s">
        <v>111</v>
      </c>
      <c r="C23" s="2" t="s">
        <v>83</v>
      </c>
      <c r="D23" s="2" t="s">
        <v>55</v>
      </c>
      <c r="E23" s="2" t="s">
        <v>88</v>
      </c>
      <c r="F23" s="2" t="s">
        <v>39</v>
      </c>
      <c r="G23" s="2" t="s">
        <v>133</v>
      </c>
      <c r="H23" s="2" t="s">
        <v>125</v>
      </c>
      <c r="I23" s="2" t="s">
        <v>126</v>
      </c>
      <c r="J23" s="2" t="s">
        <v>134</v>
      </c>
      <c r="K23" s="2" t="s">
        <v>137</v>
      </c>
      <c r="L23" s="2" t="s">
        <v>138</v>
      </c>
      <c r="M23" s="8">
        <f>((24.59-2265.33)/2265.33)*100</f>
        <v>-98.914506937179127</v>
      </c>
      <c r="N23" s="8">
        <f>((40.89-2265.33)/2265.33)*100</f>
        <v>-98.194964971990842</v>
      </c>
      <c r="O23" s="2" t="s">
        <v>170</v>
      </c>
      <c r="P23" s="7">
        <f>(200%)/4</f>
        <v>0.5</v>
      </c>
      <c r="Q23" s="2" t="s">
        <v>175</v>
      </c>
      <c r="R23" s="2" t="s">
        <v>176</v>
      </c>
      <c r="S23" s="2" t="s">
        <v>177</v>
      </c>
      <c r="T23" s="6">
        <f>1/2*100</f>
        <v>50</v>
      </c>
      <c r="U23" s="6">
        <f>T23+50</f>
        <v>100</v>
      </c>
      <c r="V23" s="2" t="s">
        <v>178</v>
      </c>
      <c r="W23" s="2">
        <v>0</v>
      </c>
      <c r="X23" s="2">
        <v>0</v>
      </c>
      <c r="Y23" s="2">
        <v>0</v>
      </c>
      <c r="Z23" s="2" t="s">
        <v>159</v>
      </c>
    </row>
    <row r="24" spans="1:26" ht="15.75" thickBot="1" x14ac:dyDescent="0.3">
      <c r="A24" s="1">
        <v>14</v>
      </c>
      <c r="B24" t="s">
        <v>112</v>
      </c>
      <c r="C24" s="2" t="s">
        <v>83</v>
      </c>
      <c r="D24" s="2" t="s">
        <v>55</v>
      </c>
      <c r="E24" s="2" t="s">
        <v>88</v>
      </c>
      <c r="F24" s="2" t="s">
        <v>39</v>
      </c>
      <c r="G24" s="2" t="s">
        <v>133</v>
      </c>
      <c r="H24" s="2" t="s">
        <v>125</v>
      </c>
      <c r="I24" s="2" t="s">
        <v>126</v>
      </c>
      <c r="J24" s="2" t="s">
        <v>134</v>
      </c>
      <c r="K24" s="2" t="s">
        <v>137</v>
      </c>
      <c r="L24" s="2" t="s">
        <v>138</v>
      </c>
      <c r="M24" s="8">
        <f>((24.59-2265.33)/2265.33)*100</f>
        <v>-98.914506937179127</v>
      </c>
      <c r="N24" s="8">
        <f>((40.89-2265.33)/2265.33)*100</f>
        <v>-98.194964971990842</v>
      </c>
      <c r="O24" s="2" t="s">
        <v>170</v>
      </c>
      <c r="P24" s="7">
        <f>(200%)/4</f>
        <v>0.5</v>
      </c>
      <c r="Q24" s="2" t="s">
        <v>179</v>
      </c>
      <c r="R24" s="2" t="s">
        <v>180</v>
      </c>
      <c r="S24" s="2" t="s">
        <v>181</v>
      </c>
      <c r="T24" s="8">
        <f>24.59/40.89*100</f>
        <v>60.136952800195644</v>
      </c>
      <c r="U24" s="8">
        <f>104.89/104.89*100</f>
        <v>100</v>
      </c>
      <c r="V24" s="2" t="s">
        <v>163</v>
      </c>
      <c r="W24" s="2">
        <v>0</v>
      </c>
      <c r="X24" s="2">
        <v>0</v>
      </c>
      <c r="Y24" s="2">
        <v>0</v>
      </c>
      <c r="Z24" s="2" t="s">
        <v>159</v>
      </c>
    </row>
    <row r="25" spans="1:26" ht="15.75" thickBot="1" x14ac:dyDescent="0.3">
      <c r="A25" s="1">
        <v>15</v>
      </c>
      <c r="B25" t="s">
        <v>113</v>
      </c>
      <c r="C25" s="2" t="s">
        <v>85</v>
      </c>
      <c r="D25" s="2" t="s">
        <v>55</v>
      </c>
      <c r="E25" s="2" t="s">
        <v>97</v>
      </c>
      <c r="F25" s="2" t="s">
        <v>79</v>
      </c>
      <c r="G25" s="2" t="s">
        <v>139</v>
      </c>
      <c r="H25" s="2" t="s">
        <v>125</v>
      </c>
      <c r="I25" s="2" t="s">
        <v>126</v>
      </c>
      <c r="J25" s="2" t="s">
        <v>140</v>
      </c>
      <c r="K25" s="2" t="s">
        <v>141</v>
      </c>
      <c r="L25" s="2" t="s">
        <v>142</v>
      </c>
      <c r="M25" s="8">
        <f>(3/11)*100</f>
        <v>27.27272727272727</v>
      </c>
      <c r="N25" s="8">
        <f>(5/11)*100</f>
        <v>45.454545454545453</v>
      </c>
      <c r="O25" s="2" t="s">
        <v>189</v>
      </c>
      <c r="P25" s="15">
        <f>(118.18%)/4</f>
        <v>0.29544999999999999</v>
      </c>
      <c r="Q25" s="2" t="s">
        <v>190</v>
      </c>
      <c r="R25" s="2" t="s">
        <v>196</v>
      </c>
      <c r="S25" s="2" t="s">
        <v>202</v>
      </c>
      <c r="T25" s="6">
        <f>(1/2)*100</f>
        <v>50</v>
      </c>
      <c r="U25" s="6">
        <f>(2/2)*100</f>
        <v>100</v>
      </c>
      <c r="V25" s="2" t="s">
        <v>158</v>
      </c>
      <c r="W25" s="2">
        <v>0</v>
      </c>
      <c r="X25" s="2">
        <v>0</v>
      </c>
      <c r="Y25" s="2">
        <v>0</v>
      </c>
      <c r="Z25" s="6" t="s">
        <v>208</v>
      </c>
    </row>
    <row r="26" spans="1:26" ht="15.75" thickBot="1" x14ac:dyDescent="0.3">
      <c r="A26" s="1">
        <v>16</v>
      </c>
      <c r="B26" t="s">
        <v>114</v>
      </c>
      <c r="C26" s="2" t="s">
        <v>85</v>
      </c>
      <c r="D26" s="2" t="s">
        <v>55</v>
      </c>
      <c r="E26" s="2" t="s">
        <v>97</v>
      </c>
      <c r="F26" s="2" t="s">
        <v>79</v>
      </c>
      <c r="G26" s="2" t="s">
        <v>139</v>
      </c>
      <c r="H26" s="2" t="s">
        <v>125</v>
      </c>
      <c r="I26" s="2" t="s">
        <v>126</v>
      </c>
      <c r="J26" s="2" t="s">
        <v>140</v>
      </c>
      <c r="K26" s="2" t="s">
        <v>141</v>
      </c>
      <c r="L26" s="2" t="s">
        <v>142</v>
      </c>
      <c r="M26" s="8">
        <f t="shared" ref="M26:M30" si="5">(3/11)*100</f>
        <v>27.27272727272727</v>
      </c>
      <c r="N26" s="8">
        <f t="shared" ref="N26:N30" si="6">(5/11)*100</f>
        <v>45.454545454545453</v>
      </c>
      <c r="O26" s="2" t="s">
        <v>189</v>
      </c>
      <c r="P26" s="15">
        <f t="shared" ref="P26:P30" si="7">(118.18%)/4</f>
        <v>0.29544999999999999</v>
      </c>
      <c r="Q26" s="2" t="s">
        <v>191</v>
      </c>
      <c r="R26" s="2" t="s">
        <v>197</v>
      </c>
      <c r="S26" s="2" t="s">
        <v>203</v>
      </c>
      <c r="T26" s="8">
        <f>(1/11)*100</f>
        <v>9.0909090909090917</v>
      </c>
      <c r="U26" s="8">
        <f>(11/11)*100</f>
        <v>100</v>
      </c>
      <c r="V26" s="2" t="s">
        <v>158</v>
      </c>
      <c r="W26" s="2">
        <v>0</v>
      </c>
      <c r="X26" s="2">
        <v>0</v>
      </c>
      <c r="Y26" s="2">
        <v>0</v>
      </c>
      <c r="Z26" s="6" t="s">
        <v>208</v>
      </c>
    </row>
    <row r="27" spans="1:26" ht="15.75" thickBot="1" x14ac:dyDescent="0.3">
      <c r="A27" s="1">
        <v>17</v>
      </c>
      <c r="B27" t="s">
        <v>115</v>
      </c>
      <c r="C27" s="2" t="s">
        <v>85</v>
      </c>
      <c r="D27" s="2" t="s">
        <v>55</v>
      </c>
      <c r="E27" s="2" t="s">
        <v>97</v>
      </c>
      <c r="F27" s="2" t="s">
        <v>79</v>
      </c>
      <c r="G27" s="2" t="s">
        <v>139</v>
      </c>
      <c r="H27" s="2" t="s">
        <v>125</v>
      </c>
      <c r="I27" s="2" t="s">
        <v>126</v>
      </c>
      <c r="J27" s="2" t="s">
        <v>140</v>
      </c>
      <c r="K27" s="2" t="s">
        <v>141</v>
      </c>
      <c r="L27" s="2" t="s">
        <v>142</v>
      </c>
      <c r="M27" s="8">
        <f t="shared" si="5"/>
        <v>27.27272727272727</v>
      </c>
      <c r="N27" s="8">
        <f t="shared" si="6"/>
        <v>45.454545454545453</v>
      </c>
      <c r="O27" s="2" t="s">
        <v>189</v>
      </c>
      <c r="P27" s="15">
        <f t="shared" si="7"/>
        <v>0.29544999999999999</v>
      </c>
      <c r="Q27" s="2" t="s">
        <v>192</v>
      </c>
      <c r="R27" s="16" t="s">
        <v>198</v>
      </c>
      <c r="S27" s="16" t="s">
        <v>204</v>
      </c>
      <c r="T27" s="6">
        <f>(2/2)*100</f>
        <v>100</v>
      </c>
      <c r="U27" s="6">
        <f>T27</f>
        <v>100</v>
      </c>
      <c r="V27" s="2" t="s">
        <v>158</v>
      </c>
      <c r="W27" s="2">
        <v>0</v>
      </c>
      <c r="X27" s="2">
        <v>0</v>
      </c>
      <c r="Y27" s="2">
        <v>0</v>
      </c>
      <c r="Z27" s="6" t="s">
        <v>208</v>
      </c>
    </row>
    <row r="28" spans="1:26" ht="15.75" thickBot="1" x14ac:dyDescent="0.3">
      <c r="A28" s="1">
        <v>18</v>
      </c>
      <c r="B28" t="s">
        <v>116</v>
      </c>
      <c r="C28" s="2" t="s">
        <v>85</v>
      </c>
      <c r="D28" s="2" t="s">
        <v>55</v>
      </c>
      <c r="E28" s="2" t="s">
        <v>97</v>
      </c>
      <c r="F28" s="2" t="s">
        <v>79</v>
      </c>
      <c r="G28" s="2" t="s">
        <v>139</v>
      </c>
      <c r="H28" s="2" t="s">
        <v>125</v>
      </c>
      <c r="I28" s="2" t="s">
        <v>126</v>
      </c>
      <c r="J28" s="2" t="s">
        <v>140</v>
      </c>
      <c r="K28" s="2" t="s">
        <v>141</v>
      </c>
      <c r="L28" s="2" t="s">
        <v>142</v>
      </c>
      <c r="M28" s="8">
        <f t="shared" si="5"/>
        <v>27.27272727272727</v>
      </c>
      <c r="N28" s="8">
        <f t="shared" si="6"/>
        <v>45.454545454545453</v>
      </c>
      <c r="O28" s="2" t="s">
        <v>189</v>
      </c>
      <c r="P28" s="15">
        <f t="shared" si="7"/>
        <v>0.29544999999999999</v>
      </c>
      <c r="Q28" s="16" t="s">
        <v>193</v>
      </c>
      <c r="R28" s="16" t="s">
        <v>199</v>
      </c>
      <c r="S28" s="16" t="s">
        <v>205</v>
      </c>
      <c r="T28" s="6">
        <f>(1/2)*100</f>
        <v>50</v>
      </c>
      <c r="U28" s="6">
        <f>(2/2)*100</f>
        <v>100</v>
      </c>
      <c r="V28" s="2" t="s">
        <v>158</v>
      </c>
      <c r="W28" s="2">
        <v>0</v>
      </c>
      <c r="X28" s="2">
        <v>0</v>
      </c>
      <c r="Y28" s="2">
        <v>0</v>
      </c>
      <c r="Z28" s="6" t="s">
        <v>208</v>
      </c>
    </row>
    <row r="29" spans="1:26" ht="15.75" thickBot="1" x14ac:dyDescent="0.3">
      <c r="A29" s="1">
        <v>19</v>
      </c>
      <c r="B29" t="s">
        <v>117</v>
      </c>
      <c r="C29" s="2" t="s">
        <v>85</v>
      </c>
      <c r="D29" s="2" t="s">
        <v>55</v>
      </c>
      <c r="E29" s="2" t="s">
        <v>97</v>
      </c>
      <c r="F29" s="2" t="s">
        <v>79</v>
      </c>
      <c r="G29" s="2" t="s">
        <v>139</v>
      </c>
      <c r="H29" s="2" t="s">
        <v>125</v>
      </c>
      <c r="I29" s="2" t="s">
        <v>126</v>
      </c>
      <c r="J29" s="2" t="s">
        <v>140</v>
      </c>
      <c r="K29" s="2" t="s">
        <v>141</v>
      </c>
      <c r="L29" s="2" t="s">
        <v>142</v>
      </c>
      <c r="M29" s="8">
        <f t="shared" si="5"/>
        <v>27.27272727272727</v>
      </c>
      <c r="N29" s="8">
        <f t="shared" si="6"/>
        <v>45.454545454545453</v>
      </c>
      <c r="O29" s="2" t="s">
        <v>189</v>
      </c>
      <c r="P29" s="15">
        <f t="shared" si="7"/>
        <v>0.29544999999999999</v>
      </c>
      <c r="Q29" s="16" t="s">
        <v>194</v>
      </c>
      <c r="R29" s="16" t="s">
        <v>200</v>
      </c>
      <c r="S29" s="16" t="s">
        <v>206</v>
      </c>
      <c r="T29" s="6">
        <f>(2/4)*100</f>
        <v>50</v>
      </c>
      <c r="U29" s="6">
        <f>(4/4)*100</f>
        <v>100</v>
      </c>
      <c r="V29" s="2" t="s">
        <v>158</v>
      </c>
      <c r="W29" s="2">
        <v>0</v>
      </c>
      <c r="X29" s="2">
        <v>0</v>
      </c>
      <c r="Y29" s="2">
        <v>0</v>
      </c>
      <c r="Z29" s="6" t="s">
        <v>208</v>
      </c>
    </row>
    <row r="30" spans="1:26" ht="15.75" thickBot="1" x14ac:dyDescent="0.3">
      <c r="A30" s="1">
        <v>20</v>
      </c>
      <c r="B30" t="s">
        <v>118</v>
      </c>
      <c r="C30" s="2" t="s">
        <v>85</v>
      </c>
      <c r="D30" s="2" t="s">
        <v>55</v>
      </c>
      <c r="E30" s="2" t="s">
        <v>97</v>
      </c>
      <c r="F30" s="2" t="s">
        <v>79</v>
      </c>
      <c r="G30" s="2" t="s">
        <v>139</v>
      </c>
      <c r="H30" s="2" t="s">
        <v>125</v>
      </c>
      <c r="I30" s="2" t="s">
        <v>126</v>
      </c>
      <c r="J30" s="2" t="s">
        <v>140</v>
      </c>
      <c r="K30" s="2" t="s">
        <v>141</v>
      </c>
      <c r="L30" s="2" t="s">
        <v>142</v>
      </c>
      <c r="M30" s="8">
        <f t="shared" si="5"/>
        <v>27.27272727272727</v>
      </c>
      <c r="N30" s="8">
        <f t="shared" si="6"/>
        <v>45.454545454545453</v>
      </c>
      <c r="O30" s="2" t="s">
        <v>189</v>
      </c>
      <c r="P30" s="15">
        <f t="shared" si="7"/>
        <v>0.29544999999999999</v>
      </c>
      <c r="Q30" s="16" t="s">
        <v>195</v>
      </c>
      <c r="R30" s="16" t="s">
        <v>201</v>
      </c>
      <c r="S30" s="16" t="s">
        <v>207</v>
      </c>
      <c r="T30" s="6">
        <f>(0/4)*100</f>
        <v>0</v>
      </c>
      <c r="U30" s="6">
        <f>(3/3)*100</f>
        <v>100</v>
      </c>
      <c r="V30" s="2" t="s">
        <v>158</v>
      </c>
      <c r="W30" s="2">
        <v>0</v>
      </c>
      <c r="X30" s="2">
        <v>0</v>
      </c>
      <c r="Y30" s="2">
        <v>0</v>
      </c>
      <c r="Z30" s="6" t="s">
        <v>208</v>
      </c>
    </row>
    <row r="31" spans="1:26" ht="15.75" thickBot="1" x14ac:dyDescent="0.3">
      <c r="A31" s="1">
        <v>21</v>
      </c>
      <c r="B31" t="s">
        <v>119</v>
      </c>
      <c r="C31" s="2" t="s">
        <v>87</v>
      </c>
      <c r="D31" s="2" t="s">
        <v>43</v>
      </c>
      <c r="E31" s="2" t="s">
        <v>94</v>
      </c>
      <c r="F31" s="2" t="s">
        <v>68</v>
      </c>
      <c r="G31" s="2" t="s">
        <v>143</v>
      </c>
      <c r="H31" s="2" t="s">
        <v>144</v>
      </c>
      <c r="I31" s="2" t="s">
        <v>126</v>
      </c>
      <c r="J31" s="2" t="s">
        <v>145</v>
      </c>
      <c r="K31" s="2" t="s">
        <v>146</v>
      </c>
      <c r="L31" s="2" t="s">
        <v>147</v>
      </c>
      <c r="M31" s="6">
        <f>1.35/2*100</f>
        <v>67.5</v>
      </c>
      <c r="N31" s="6">
        <f>M31+32.5</f>
        <v>100</v>
      </c>
      <c r="O31" s="2" t="s">
        <v>209</v>
      </c>
      <c r="P31" s="8">
        <f>(200%)/4</f>
        <v>0.5</v>
      </c>
      <c r="Q31" s="2" t="s">
        <v>210</v>
      </c>
      <c r="R31" s="2" t="s">
        <v>211</v>
      </c>
      <c r="S31" s="2" t="s">
        <v>212</v>
      </c>
      <c r="T31" s="6">
        <f>0.85/1*100</f>
        <v>85</v>
      </c>
      <c r="U31" s="6">
        <f>T31+15</f>
        <v>100</v>
      </c>
      <c r="V31" s="2" t="s">
        <v>213</v>
      </c>
      <c r="W31" s="6">
        <v>0</v>
      </c>
      <c r="X31" s="6">
        <v>0</v>
      </c>
      <c r="Y31" s="6">
        <v>0</v>
      </c>
      <c r="Z31" s="2" t="s">
        <v>159</v>
      </c>
    </row>
    <row r="32" spans="1:26" ht="15.75" thickBot="1" x14ac:dyDescent="0.3">
      <c r="A32" s="1">
        <v>22</v>
      </c>
      <c r="B32" t="s">
        <v>120</v>
      </c>
      <c r="C32" s="2" t="s">
        <v>87</v>
      </c>
      <c r="D32" s="2" t="s">
        <v>43</v>
      </c>
      <c r="E32" s="2" t="s">
        <v>94</v>
      </c>
      <c r="F32" s="2" t="s">
        <v>57</v>
      </c>
      <c r="G32" s="2" t="s">
        <v>143</v>
      </c>
      <c r="H32" s="2" t="s">
        <v>148</v>
      </c>
      <c r="I32" s="2" t="s">
        <v>126</v>
      </c>
      <c r="J32" s="2" t="s">
        <v>145</v>
      </c>
      <c r="K32" s="2" t="s">
        <v>149</v>
      </c>
      <c r="L32" s="2" t="s">
        <v>150</v>
      </c>
      <c r="M32" s="6">
        <v>0</v>
      </c>
      <c r="N32" s="6">
        <f>(13/13)*100</f>
        <v>100</v>
      </c>
      <c r="O32" s="2" t="s">
        <v>214</v>
      </c>
      <c r="P32" s="8">
        <f>(200%)/4</f>
        <v>0.5</v>
      </c>
      <c r="Q32" s="2" t="s">
        <v>215</v>
      </c>
      <c r="R32" s="2" t="s">
        <v>216</v>
      </c>
      <c r="S32" s="2" t="s">
        <v>217</v>
      </c>
      <c r="T32" s="6">
        <v>0</v>
      </c>
      <c r="U32" s="6">
        <f>6/6*100</f>
        <v>100</v>
      </c>
      <c r="V32" s="2" t="s">
        <v>218</v>
      </c>
      <c r="W32" s="6">
        <v>5000000</v>
      </c>
      <c r="X32" s="6">
        <v>4143046.88</v>
      </c>
      <c r="Y32" s="6">
        <f>X32</f>
        <v>4143046.88</v>
      </c>
      <c r="Z32" s="2" t="s">
        <v>159</v>
      </c>
    </row>
    <row r="33" spans="1:26" ht="15.75" thickBot="1" x14ac:dyDescent="0.3">
      <c r="A33" s="1">
        <v>23</v>
      </c>
      <c r="B33" t="s">
        <v>121</v>
      </c>
      <c r="C33" s="2" t="s">
        <v>87</v>
      </c>
      <c r="D33" s="2" t="s">
        <v>43</v>
      </c>
      <c r="E33" s="2" t="s">
        <v>94</v>
      </c>
      <c r="F33" s="2" t="s">
        <v>57</v>
      </c>
      <c r="G33" s="2" t="s">
        <v>143</v>
      </c>
      <c r="H33" s="2" t="s">
        <v>148</v>
      </c>
      <c r="I33" s="2" t="s">
        <v>126</v>
      </c>
      <c r="J33" s="2" t="s">
        <v>145</v>
      </c>
      <c r="K33" s="2" t="s">
        <v>149</v>
      </c>
      <c r="L33" s="2" t="s">
        <v>150</v>
      </c>
      <c r="M33" s="6">
        <v>0</v>
      </c>
      <c r="N33" s="6">
        <f>(13/13)*100</f>
        <v>100</v>
      </c>
      <c r="O33" s="2" t="s">
        <v>214</v>
      </c>
      <c r="P33" s="8">
        <f>(200%)/4</f>
        <v>0.5</v>
      </c>
      <c r="Q33" s="2" t="s">
        <v>219</v>
      </c>
      <c r="R33" s="2" t="s">
        <v>220</v>
      </c>
      <c r="S33" s="2" t="s">
        <v>221</v>
      </c>
      <c r="T33" s="6">
        <v>0</v>
      </c>
      <c r="U33" s="6">
        <f>12/12*100</f>
        <v>100</v>
      </c>
      <c r="V33" s="2" t="s">
        <v>222</v>
      </c>
      <c r="W33" s="6">
        <v>0</v>
      </c>
      <c r="X33" s="6">
        <v>0</v>
      </c>
      <c r="Y33" s="6">
        <v>0</v>
      </c>
      <c r="Z33" s="6" t="s">
        <v>159</v>
      </c>
    </row>
    <row r="34" spans="1:26" ht="15.75" thickBot="1" x14ac:dyDescent="0.3">
      <c r="A34" s="1">
        <v>24</v>
      </c>
      <c r="B34" t="s">
        <v>122</v>
      </c>
      <c r="C34" s="2" t="s">
        <v>87</v>
      </c>
      <c r="D34" s="2" t="s">
        <v>55</v>
      </c>
      <c r="E34" s="2" t="s">
        <v>94</v>
      </c>
      <c r="F34" s="2" t="s">
        <v>57</v>
      </c>
      <c r="G34" s="2" t="s">
        <v>143</v>
      </c>
      <c r="H34" s="2" t="s">
        <v>144</v>
      </c>
      <c r="I34" s="2" t="s">
        <v>126</v>
      </c>
      <c r="J34" s="2" t="s">
        <v>145</v>
      </c>
      <c r="K34" s="2" t="s">
        <v>146</v>
      </c>
      <c r="L34" s="2" t="s">
        <v>151</v>
      </c>
      <c r="M34" s="6">
        <f>1.35/2*100</f>
        <v>67.5</v>
      </c>
      <c r="N34" s="6">
        <f>M34+32.5</f>
        <v>100</v>
      </c>
      <c r="O34" s="2" t="s">
        <v>209</v>
      </c>
      <c r="P34" s="8">
        <f>(200%)/4</f>
        <v>0.5</v>
      </c>
      <c r="Q34" s="2" t="s">
        <v>223</v>
      </c>
      <c r="R34" s="2" t="s">
        <v>224</v>
      </c>
      <c r="S34" s="2" t="s">
        <v>217</v>
      </c>
      <c r="T34" s="6">
        <f>0.5/1*100</f>
        <v>50</v>
      </c>
      <c r="U34" s="6">
        <f>T34+50</f>
        <v>100</v>
      </c>
      <c r="V34" s="2" t="s">
        <v>225</v>
      </c>
      <c r="W34" s="6">
        <v>3000000</v>
      </c>
      <c r="X34" s="17">
        <v>500000</v>
      </c>
      <c r="Y34" s="6">
        <f>X34</f>
        <v>500000</v>
      </c>
      <c r="Z34" s="6" t="s">
        <v>226</v>
      </c>
    </row>
    <row r="35" spans="1:26" ht="15.75" thickBot="1" x14ac:dyDescent="0.3">
      <c r="A35" s="1">
        <v>25</v>
      </c>
      <c r="B35" t="s">
        <v>123</v>
      </c>
      <c r="C35" s="2" t="s">
        <v>87</v>
      </c>
      <c r="D35" s="2" t="s">
        <v>55</v>
      </c>
      <c r="E35" s="2" t="s">
        <v>94</v>
      </c>
      <c r="F35" s="2" t="s">
        <v>57</v>
      </c>
      <c r="G35" s="2" t="s">
        <v>143</v>
      </c>
      <c r="H35" s="2" t="s">
        <v>152</v>
      </c>
      <c r="I35" s="2" t="s">
        <v>126</v>
      </c>
      <c r="J35" s="2" t="s">
        <v>145</v>
      </c>
      <c r="K35" s="2" t="s">
        <v>153</v>
      </c>
      <c r="L35" s="2" t="s">
        <v>151</v>
      </c>
      <c r="M35" s="6">
        <f>0/1*100</f>
        <v>0</v>
      </c>
      <c r="N35" s="6">
        <f>1/1*100</f>
        <v>100</v>
      </c>
      <c r="O35" s="2" t="s">
        <v>214</v>
      </c>
      <c r="P35" s="8">
        <f>(200%)/4</f>
        <v>0.5</v>
      </c>
      <c r="Q35" s="6" t="s">
        <v>227</v>
      </c>
      <c r="R35" s="2" t="s">
        <v>228</v>
      </c>
      <c r="S35" s="2" t="s">
        <v>217</v>
      </c>
      <c r="T35" s="6">
        <f>0/1*100</f>
        <v>0</v>
      </c>
      <c r="U35" s="6">
        <f>1/1*100</f>
        <v>100</v>
      </c>
      <c r="V35" s="6" t="s">
        <v>229</v>
      </c>
      <c r="W35" s="6">
        <v>0</v>
      </c>
      <c r="X35" s="6">
        <v>0</v>
      </c>
      <c r="Y35" s="6">
        <v>0</v>
      </c>
      <c r="Z35" s="6" t="s">
        <v>159</v>
      </c>
    </row>
    <row r="37" spans="1:26" ht="15.75" thickBot="1" x14ac:dyDescent="0.3">
      <c r="S37" s="11" t="s">
        <v>187</v>
      </c>
      <c r="T37" s="11">
        <v>64</v>
      </c>
    </row>
    <row r="38" spans="1:26" ht="15.75" thickBot="1" x14ac:dyDescent="0.3">
      <c r="Q38" s="10"/>
      <c r="S38" s="11" t="s">
        <v>183</v>
      </c>
      <c r="T38" s="11">
        <v>16.3</v>
      </c>
    </row>
    <row r="39" spans="1:26" ht="15.75" thickBot="1" x14ac:dyDescent="0.3">
      <c r="Q39" s="10"/>
      <c r="S39" s="12" t="s">
        <v>184</v>
      </c>
      <c r="T39" s="12">
        <f>SUM(T37:T38)</f>
        <v>80.3</v>
      </c>
    </row>
    <row r="40" spans="1:26" ht="15.75" thickBot="1" x14ac:dyDescent="0.3">
      <c r="Q40" s="9"/>
      <c r="S40" s="11" t="s">
        <v>182</v>
      </c>
      <c r="T40" s="11">
        <v>24.59</v>
      </c>
    </row>
    <row r="41" spans="1:26" x14ac:dyDescent="0.25">
      <c r="S41" s="13" t="s">
        <v>185</v>
      </c>
      <c r="T41">
        <f>T40</f>
        <v>24.59</v>
      </c>
    </row>
    <row r="42" spans="1:26" ht="15.75" thickBot="1" x14ac:dyDescent="0.3">
      <c r="S42" s="14" t="s">
        <v>186</v>
      </c>
      <c r="T42" s="11">
        <f>SUM(T38+T40)</f>
        <v>40.89</v>
      </c>
    </row>
    <row r="43" spans="1:26" ht="15.75" thickBot="1" x14ac:dyDescent="0.3">
      <c r="S43" s="14" t="s">
        <v>188</v>
      </c>
      <c r="T43" s="11">
        <f>T42+T37</f>
        <v>104.89</v>
      </c>
    </row>
    <row r="351006" spans="1:6" x14ac:dyDescent="0.25">
      <c r="A351006" t="s">
        <v>36</v>
      </c>
      <c r="B351006" t="s">
        <v>37</v>
      </c>
      <c r="C351006" t="s">
        <v>38</v>
      </c>
      <c r="D351006" t="s">
        <v>39</v>
      </c>
      <c r="E351006" t="s">
        <v>40</v>
      </c>
      <c r="F351006" t="s">
        <v>41</v>
      </c>
    </row>
    <row r="351007" spans="1:6" x14ac:dyDescent="0.25">
      <c r="A351007" t="s">
        <v>42</v>
      </c>
      <c r="B351007" t="s">
        <v>43</v>
      </c>
      <c r="C351007" t="s">
        <v>44</v>
      </c>
      <c r="D351007" t="s">
        <v>45</v>
      </c>
      <c r="E351007" t="s">
        <v>46</v>
      </c>
      <c r="F351007" t="s">
        <v>47</v>
      </c>
    </row>
    <row r="351008" spans="1:6" x14ac:dyDescent="0.25">
      <c r="A351008" t="s">
        <v>48</v>
      </c>
      <c r="B351008" t="s">
        <v>49</v>
      </c>
      <c r="C351008" t="s">
        <v>50</v>
      </c>
      <c r="D351008" t="s">
        <v>51</v>
      </c>
      <c r="E351008" t="s">
        <v>52</v>
      </c>
      <c r="F351008" t="s">
        <v>53</v>
      </c>
    </row>
    <row r="351009" spans="1:6" x14ac:dyDescent="0.25">
      <c r="A351009" t="s">
        <v>54</v>
      </c>
      <c r="B351009" t="s">
        <v>55</v>
      </c>
      <c r="C351009" t="s">
        <v>56</v>
      </c>
      <c r="D351009" t="s">
        <v>57</v>
      </c>
      <c r="E351009" t="s">
        <v>58</v>
      </c>
      <c r="F351009" t="s">
        <v>59</v>
      </c>
    </row>
    <row r="351010" spans="1:6" x14ac:dyDescent="0.25">
      <c r="A351010" t="s">
        <v>60</v>
      </c>
      <c r="B351010" t="s">
        <v>61</v>
      </c>
      <c r="C351010" t="s">
        <v>62</v>
      </c>
      <c r="D351010" t="s">
        <v>63</v>
      </c>
      <c r="E351010" t="s">
        <v>64</v>
      </c>
    </row>
    <row r="351011" spans="1:6" x14ac:dyDescent="0.25">
      <c r="A351011" t="s">
        <v>65</v>
      </c>
      <c r="B351011" t="s">
        <v>66</v>
      </c>
      <c r="C351011" t="s">
        <v>67</v>
      </c>
      <c r="D351011" t="s">
        <v>68</v>
      </c>
      <c r="E351011" t="s">
        <v>69</v>
      </c>
    </row>
    <row r="351012" spans="1:6" x14ac:dyDescent="0.25">
      <c r="A351012" t="s">
        <v>70</v>
      </c>
      <c r="B351012" t="s">
        <v>71</v>
      </c>
      <c r="C351012" t="s">
        <v>72</v>
      </c>
      <c r="D351012" t="s">
        <v>73</v>
      </c>
    </row>
    <row r="351013" spans="1:6" x14ac:dyDescent="0.25">
      <c r="A351013" t="s">
        <v>74</v>
      </c>
      <c r="C351013" t="s">
        <v>75</v>
      </c>
      <c r="D351013" t="s">
        <v>76</v>
      </c>
    </row>
    <row r="351014" spans="1:6" x14ac:dyDescent="0.25">
      <c r="A351014" t="s">
        <v>77</v>
      </c>
      <c r="C351014" t="s">
        <v>78</v>
      </c>
      <c r="D351014" t="s">
        <v>79</v>
      </c>
    </row>
    <row r="351015" spans="1:6" x14ac:dyDescent="0.25">
      <c r="A351015" t="s">
        <v>80</v>
      </c>
      <c r="C351015" t="s">
        <v>81</v>
      </c>
      <c r="D351015" t="s">
        <v>82</v>
      </c>
    </row>
    <row r="351016" spans="1:6" x14ac:dyDescent="0.25">
      <c r="A351016" t="s">
        <v>83</v>
      </c>
      <c r="C351016" t="s">
        <v>84</v>
      </c>
    </row>
    <row r="351017" spans="1:6" x14ac:dyDescent="0.25">
      <c r="A351017" t="s">
        <v>85</v>
      </c>
      <c r="C351017" t="s">
        <v>86</v>
      </c>
    </row>
    <row r="351018" spans="1:6" x14ac:dyDescent="0.25">
      <c r="A351018" t="s">
        <v>87</v>
      </c>
      <c r="C351018" t="s">
        <v>88</v>
      </c>
    </row>
    <row r="351019" spans="1:6" x14ac:dyDescent="0.25">
      <c r="A351019" t="s">
        <v>89</v>
      </c>
      <c r="C351019" t="s">
        <v>90</v>
      </c>
    </row>
    <row r="351020" spans="1:6" x14ac:dyDescent="0.25">
      <c r="A351020" t="s">
        <v>91</v>
      </c>
      <c r="C351020" t="s">
        <v>92</v>
      </c>
    </row>
    <row r="351021" spans="1:6" x14ac:dyDescent="0.25">
      <c r="A351021" t="s">
        <v>93</v>
      </c>
      <c r="C351021" t="s">
        <v>94</v>
      </c>
    </row>
    <row r="351022" spans="1:6" x14ac:dyDescent="0.25">
      <c r="A351022" t="s">
        <v>95</v>
      </c>
      <c r="C351022" t="s">
        <v>96</v>
      </c>
    </row>
    <row r="351023" spans="1:6" x14ac:dyDescent="0.25">
      <c r="C351023" t="s">
        <v>97</v>
      </c>
    </row>
    <row r="351024" spans="1:6" x14ac:dyDescent="0.25">
      <c r="C351024" t="s">
        <v>98</v>
      </c>
    </row>
    <row r="351025" spans="3:3" x14ac:dyDescent="0.25">
      <c r="C351025" t="s">
        <v>99</v>
      </c>
    </row>
  </sheetData>
  <autoFilter ref="C10:Z35" xr:uid="{00000000-0001-0000-0000-000000000000}"/>
  <mergeCells count="1">
    <mergeCell ref="B8:Z8"/>
  </mergeCells>
  <phoneticPr fontId="4" type="noConversion"/>
  <dataValidations xWindow="1100" yWindow="570" count="27">
    <dataValidation type="textLength" allowBlank="1" showInputMessage="1" showErrorMessage="1" errorTitle="Entrada no válida" error="Escriba un texto " promptTitle="Cualquier contenido" prompt=" Copie y pegue el nombre del programa &quot;Otro&quot; resgistrado en la &quot;Formulación Plan de Acción&quot;" sqref="I11:I35" xr:uid="{067700EF-6FE1-4FDD-8AA6-5A1BCB802F60}">
      <formula1>0</formula1>
      <formula2>4000</formula2>
    </dataValidation>
    <dataValidation type="textLength" allowBlank="1" showInputMessage="1" showErrorMessage="1" errorTitle="Entrada no válida" error="Escriba un texto " promptTitle="Cualquier contenido" prompt=" Copie y pegue el objetivo registrado en la &quot;Formulación Plan de Acción&quot;" sqref="J11:J35" xr:uid="{A88AED6D-6A38-42E0-8363-633ACF0F7D05}">
      <formula1>0</formula1>
      <formula2>4000</formula2>
    </dataValidation>
    <dataValidation type="textLength" allowBlank="1" showInputMessage="1" showErrorMessage="1" errorTitle="Entrada no válida" error="Escriba un texto " promptTitle="Cualquier contenido" prompt=" Escriba el porcentaje de avance de la meta anual del programa, que se alcanzó en el semestre que está reportando." sqref="N23:N35 M11:M35" xr:uid="{00000000-0002-0000-0000-00000A000000}">
      <formula1>0</formula1>
      <formula2>4000</formula2>
    </dataValidation>
    <dataValidation type="textLength" allowBlank="1" showInputMessage="1" showErrorMessage="1" errorTitle="Entrada no válida" error="Escriba un texto " promptTitle="Cualquier contenido" prompt=" Escriba el porcentaje de avance TOTAL de la meta anual. Si está reportando el primer semestre, la información de esta casilla será la misma de la casilla anterior" sqref="N11:N22" xr:uid="{00000000-0002-0000-0000-00000B000000}">
      <formula1>0</formula1>
      <formula2>4000</formula2>
    </dataValidation>
    <dataValidation type="textLength" allowBlank="1" showInputMessage="1" showErrorMessage="1" errorTitle="Entrada no válida" error="Escriba un texto " promptTitle="Cualquier contenido" prompt=" Copie y pegue la meta del programa a 4 años registrada en la &quot;Formulación Plan de Acción&quot;" sqref="O11:O33 O35" xr:uid="{00000000-0002-0000-0000-00000C000000}">
      <formula1>0</formula1>
      <formula2>4000</formula2>
    </dataValidation>
    <dataValidation type="textLength" allowBlank="1" showInputMessage="1" showErrorMessage="1" errorTitle="Entrada no válida" error="Escriba un texto " promptTitle="Cualquier contenido" prompt=" Indique el porcentaje de avance total de la meta a 4 años, es decir, de la meta concertada; para reportar este avance deberá tener en cuenta el avance de años anteriores" sqref="P11:P35" xr:uid="{00000000-0002-0000-0000-00000D000000}">
      <formula1>0</formula1>
      <formula2>4000</formula2>
    </dataValidation>
    <dataValidation type="textLength" allowBlank="1" showInputMessage="1" showErrorMessage="1" errorTitle="Entrada no válida" error="Escriba un texto " promptTitle="Cualquier contenido" prompt=" Copie y pegue la(s) actividad(es) del programa registrada en la &quot;Formulación Plan de Acción&quot;" sqref="Q11:Q27 Q31:Q35" xr:uid="{00000000-0002-0000-0000-00000E000000}">
      <formula1>0</formula1>
      <formula2>4000</formula2>
    </dataValidation>
    <dataValidation type="textLength" allowBlank="1" showInputMessage="1" showErrorMessage="1" errorTitle="Entrada no válida" error="Escriba un texto " promptTitle="Cualquier contenido" prompt=" Copie y pegue el indicador de la actividad registrada en la &quot;Formulación Plan de Acción&quot;" sqref="S11:S24 S31:S34" xr:uid="{00000000-0002-0000-0000-000010000000}">
      <formula1>0</formula1>
      <formula2>4000</formula2>
    </dataValidation>
    <dataValidation type="textLength" allowBlank="1" showInputMessage="1" showErrorMessage="1" errorTitle="Entrada no válida" error="Escriba un texto " promptTitle="Cualquier contenido" prompt=" Escriba el avance de la meta de la actividad de acuerdo al indicador formulado, que se alcanzó en el semestre que está reportando." sqref="T11:T35 U24:U35" xr:uid="{00000000-0002-0000-0000-000011000000}">
      <formula1>0</formula1>
      <formula2>4000</formula2>
    </dataValidation>
    <dataValidation type="textLength" allowBlank="1" showInputMessage="1" showErrorMessage="1" errorTitle="Entrada no válida" error="Escriba un texto " promptTitle="Cualquier contenido" prompt=" Escriba el avance TOTAL de la meta de la actividad de acuerdo al indicador formulado. Si está reportando el primer semestre, la información de esta casilla será la misma de la casilla anterior" sqref="U11:U23" xr:uid="{00000000-0002-0000-0000-000012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V11:V35" xr:uid="{00000000-0002-0000-0000-000013000000}">
      <formula1>0</formula1>
      <formula2>4000</formula2>
    </dataValidation>
    <dataValidation type="decimal" allowBlank="1" showInputMessage="1" showErrorMessage="1" errorTitle="Entrada no válida" error="Por favor escriba un número" promptTitle="Escriba un número en esta casilla" prompt=" Copie y pegue el presupuesto asignado para la realizción de la actividad, registrado en la &quot;Formulación Plan de Acción&quot;" sqref="W11:W35" xr:uid="{00000000-0002-0000-00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n pesos colombianos, el monto ejecutado en el semestre que está reportando, para el desarrollo de la actividad." sqref="X11:X35"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n pesos colombianos, el monto ejecutado total en el semestre que está reportando, para el desarrollo de la actividad" sqref="Y11:Y35" xr:uid="{00000000-0002-0000-0000-000016000000}">
      <formula1>-9223372036854770000</formula1>
      <formula2>9223372036854770000</formula2>
    </dataValidation>
    <dataValidation type="textLength" allowBlank="1" showInputMessage="1" showErrorMessage="1" errorTitle="Entrada no válida" error="Escriba un texto " promptTitle="Cualquier contenido" prompt=" En caso de no dar cumplimiento a la totalidad de la meta, por favor especifique en esta casilla las estrategias de mejora a implementar o indique las observaciones" sqref="Z11:Z35" xr:uid="{00000000-0002-0000-0000-000017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11:L35" xr:uid="{BA94F13F-509E-4593-B12A-3DAC7A79BF56}">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K11:K35" xr:uid="{16A064C7-5256-4F6E-B97F-15E7B1DE11F9}">
      <formula1>0</formula1>
      <formula2>4000</formula2>
    </dataValidation>
    <dataValidation type="list" allowBlank="1" showInputMessage="1" showErrorMessage="1" errorTitle="Entrada no válida" error="Por favor seleccione un elemento de la lista" promptTitle="Seleccione un elemento de la lista" prompt=" Elija las lineas que trabajara unicamente para el programa &quot;Implementacion de practicas sostenibles&quot;" sqref="H11:H35" xr:uid="{A7EF9D5B-C4A5-4163-A843-15E8C9971EC3}">
      <formula1>$F$351001:$F$351005</formula1>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G11:G35" xr:uid="{BA50150A-E34F-4349-B31A-E27836DA483A}">
      <formula1>$E$351001:$E$351007</formula1>
    </dataValidation>
    <dataValidation type="list" allowBlank="1" showInputMessage="1" showErrorMessage="1" errorTitle="Entrada no válida" error="Por favor seleccione un elemento de la lista" promptTitle="Seleccione un elemento de la lista" prompt=" Escoja la Estrategia PGA a implementar" sqref="F11:F35" xr:uid="{88F20580-6B9A-49F6-87CB-33148E9D850D}">
      <formula1>$D$351001:$D$351011</formula1>
    </dataValidation>
    <dataValidation type="list" allowBlank="1" showInputMessage="1" showErrorMessage="1" errorTitle="Entrada no válida" error="Por favor seleccione un elemento de la lista" promptTitle="Seleccione un elemento de la lista" prompt=" Escoja el Objetivo PGA a implementar" sqref="E11:E35" xr:uid="{9E5A658F-AE5D-41B3-BCBC-0806E878F722}">
      <formula1>$C$351001:$C$351021</formula1>
    </dataValidation>
    <dataValidation type="list" allowBlank="1" showInputMessage="1" showErrorMessage="1" errorTitle="Entrada no válida" error="Por favor seleccione un elemento de la lista" promptTitle="Seleccione un elemento de la lista" prompt=" Escoja el principio PGA a implementar" sqref="D11:D35" xr:uid="{0266F2AF-04E7-46DC-9D89-05A8A27E3ACB}">
      <formula1>$B$351001:$B$351008</formula1>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C11:C35" xr:uid="{FCF6CD39-AB80-4095-A557-43F0D342150F}">
      <formula1>$A$351001:$A$351018</formula1>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R11:R34" xr:uid="{245170CF-1B9E-4D2A-96DB-07F2857A6057}">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Q28:Q30" xr:uid="{7DA3C18D-BA40-462D-9452-B1E33ABFF0DC}">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S25:S30 R35:S35" xr:uid="{54C27110-E526-4727-8D77-4BBFC94287A8}">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O34" xr:uid="{51E6B92C-ED66-4BBF-9E16-AEDA1B8F0831}">
      <formula1>0</formula1>
      <formula2>4000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SEGUIMIENTO PLAN DE ACCION 242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Julio</cp:lastModifiedBy>
  <dcterms:created xsi:type="dcterms:W3CDTF">2023-01-17T00:50:27Z</dcterms:created>
  <dcterms:modified xsi:type="dcterms:W3CDTF">2023-01-31T04:17:39Z</dcterms:modified>
</cp:coreProperties>
</file>