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45" windowWidth="19440" windowHeight="9435" tabRatio="940" firstSheet="2" activeTab="2"/>
  </bookViews>
  <sheets>
    <sheet name="Resumen Plan de Acción" sheetId="5" state="hidden" r:id="rId1"/>
    <sheet name="Resumen Indicadores Procesos" sheetId="6" state="hidden" r:id="rId2"/>
    <sheet name="Reporte - Plan de acción" sheetId="1" r:id="rId3"/>
    <sheet name="Reporte - Ind de proceso" sheetId="4" r:id="rId4"/>
  </sheets>
  <externalReferences>
    <externalReference r:id="rId5"/>
  </externalReferences>
  <definedNames>
    <definedName name="_xlnm._FilterDatabase" localSheetId="3" hidden="1">'Reporte - Ind de proceso'!$A$4:$T$40</definedName>
    <definedName name="_xlnm._FilterDatabase" localSheetId="2" hidden="1">'Reporte - Plan de acción'!$B$3:$V$29</definedName>
    <definedName name="_xlnm._FilterDatabase" localSheetId="1" hidden="1">'Resumen Indicadores Procesos'!$B$3:$G$4</definedName>
    <definedName name="_xlnm.Print_Titles" localSheetId="3">'Reporte - Ind de proceso'!$1:$4</definedName>
    <definedName name="_xlnm.Print_Titles" localSheetId="2">'Reporte - Plan de acción'!$1:$4</definedName>
    <definedName name="_xlnm.Print_Titles" localSheetId="1">'Resumen Indicadores Procesos'!$1:$4</definedName>
    <definedName name="_xlnm.Print_Titles" localSheetId="0">'Resumen Plan de Acción'!$1:$4</definedName>
  </definedNames>
  <calcPr calcId="145621"/>
</workbook>
</file>

<file path=xl/calcChain.xml><?xml version="1.0" encoding="utf-8"?>
<calcChain xmlns="http://schemas.openxmlformats.org/spreadsheetml/2006/main">
  <c r="T9" i="1" l="1"/>
  <c r="K9" i="1"/>
  <c r="T8" i="1"/>
  <c r="K8" i="1"/>
  <c r="K17" i="1" l="1"/>
  <c r="T17" i="1" s="1"/>
  <c r="T16" i="1"/>
  <c r="K16" i="1"/>
  <c r="T10" i="1" l="1"/>
  <c r="K10" i="1"/>
  <c r="S40" i="4" l="1"/>
  <c r="J40" i="4"/>
  <c r="G40" i="4"/>
  <c r="S38" i="4" l="1"/>
  <c r="J38" i="4"/>
  <c r="G38" i="4"/>
  <c r="S37" i="4" l="1"/>
  <c r="J37" i="4"/>
  <c r="G37" i="4"/>
  <c r="J36" i="4" l="1"/>
  <c r="S36" i="4" s="1"/>
  <c r="G36" i="4"/>
  <c r="S35" i="4"/>
  <c r="J35" i="4"/>
  <c r="G35" i="4"/>
  <c r="S34" i="4"/>
  <c r="J34" i="4"/>
  <c r="G34" i="4"/>
  <c r="K33" i="4"/>
  <c r="I33" i="4"/>
  <c r="K32" i="4"/>
  <c r="I32" i="4"/>
  <c r="S32" i="4" s="1"/>
  <c r="U1" i="4" l="1"/>
  <c r="H17" i="1" l="1"/>
  <c r="H16" i="1"/>
  <c r="H10" i="1" l="1"/>
  <c r="H9" i="1" l="1"/>
  <c r="H8" i="1"/>
  <c r="S31" i="4" l="1"/>
  <c r="J31" i="4"/>
  <c r="G31" i="4"/>
  <c r="S30" i="4"/>
  <c r="J30" i="4"/>
  <c r="G30" i="4"/>
  <c r="J26" i="4"/>
  <c r="S28" i="4"/>
  <c r="J28" i="4"/>
  <c r="G28" i="4"/>
  <c r="S26" i="4"/>
  <c r="G26" i="4"/>
  <c r="L25" i="4" l="1"/>
  <c r="S25" i="4" s="1"/>
  <c r="K25" i="4"/>
  <c r="J25" i="4"/>
  <c r="I25" i="4"/>
  <c r="H25" i="4"/>
  <c r="G25" i="4"/>
  <c r="S24" i="4"/>
  <c r="L24" i="4"/>
  <c r="K24" i="4"/>
  <c r="J24" i="4"/>
  <c r="I24" i="4"/>
  <c r="H24" i="4"/>
  <c r="G24" i="4"/>
  <c r="L23" i="4"/>
  <c r="S23" i="4" s="1"/>
  <c r="K23" i="4"/>
  <c r="J23" i="4"/>
  <c r="I23" i="4"/>
  <c r="H23" i="4"/>
  <c r="G23" i="4"/>
  <c r="J22" i="4"/>
  <c r="S22" i="4" s="1"/>
  <c r="G22" i="4"/>
  <c r="L21" i="4"/>
  <c r="S21" i="4" s="1"/>
  <c r="K21" i="4"/>
  <c r="J21" i="4"/>
  <c r="I21" i="4"/>
  <c r="H21" i="4"/>
  <c r="G21" i="4"/>
  <c r="S20" i="4"/>
  <c r="L20" i="4"/>
  <c r="K20" i="4"/>
  <c r="J20" i="4"/>
  <c r="I20" i="4"/>
  <c r="H20" i="4"/>
  <c r="G20" i="4"/>
  <c r="L19" i="4"/>
  <c r="S19" i="4" s="1"/>
  <c r="K19" i="4"/>
  <c r="J19" i="4"/>
  <c r="I19" i="4"/>
  <c r="H19" i="4"/>
  <c r="G19" i="4"/>
  <c r="S17" i="4"/>
  <c r="J17" i="4"/>
  <c r="G17" i="4"/>
  <c r="S16" i="4" l="1"/>
  <c r="K16" i="4"/>
  <c r="H16" i="4"/>
  <c r="S15" i="4"/>
  <c r="K15" i="4"/>
  <c r="I15" i="4"/>
  <c r="L15" i="4"/>
  <c r="J15" i="4"/>
  <c r="G15" i="4"/>
  <c r="S13" i="4" l="1"/>
  <c r="L13" i="4"/>
  <c r="K13" i="4"/>
  <c r="J13" i="4"/>
  <c r="I13" i="4"/>
  <c r="H13" i="4"/>
  <c r="G13" i="4"/>
  <c r="S12" i="4"/>
  <c r="S11" i="4"/>
  <c r="L11" i="4"/>
  <c r="K11" i="4"/>
  <c r="J11" i="4"/>
  <c r="I11" i="4"/>
  <c r="H11" i="4"/>
  <c r="G11" i="4"/>
  <c r="S10" i="4"/>
  <c r="L10" i="4"/>
  <c r="K10" i="4"/>
  <c r="J10" i="4"/>
  <c r="I10" i="4"/>
  <c r="H10" i="4"/>
  <c r="G10" i="4"/>
  <c r="S9" i="4" l="1"/>
  <c r="L9" i="4"/>
  <c r="K9" i="4"/>
  <c r="J9" i="4"/>
  <c r="I9" i="4"/>
  <c r="H9" i="4"/>
  <c r="G9" i="4"/>
  <c r="J7" i="4" l="1"/>
  <c r="S7" i="4" s="1"/>
  <c r="G7" i="4"/>
  <c r="J6" i="4"/>
  <c r="S6" i="4" s="1"/>
  <c r="G6" i="4"/>
  <c r="S5" i="4"/>
  <c r="J5" i="4"/>
  <c r="G5" i="4"/>
  <c r="T29" i="1" l="1"/>
  <c r="H29" i="1"/>
  <c r="H38" i="1"/>
  <c r="T28" i="1"/>
  <c r="K28" i="1" l="1"/>
  <c r="H28" i="1"/>
  <c r="T27" i="1"/>
  <c r="K27" i="1"/>
  <c r="H27" i="1"/>
  <c r="T26" i="1"/>
  <c r="K26" i="1"/>
  <c r="H26" i="1"/>
  <c r="T25" i="1"/>
  <c r="K25" i="1"/>
  <c r="H25" i="1"/>
  <c r="T24" i="1"/>
  <c r="K24" i="1"/>
  <c r="H24" i="1"/>
  <c r="T23" i="1"/>
  <c r="K23" i="1"/>
  <c r="H23" i="1"/>
  <c r="T22" i="1" l="1"/>
  <c r="M22" i="1"/>
  <c r="K22" i="1"/>
  <c r="J22" i="1"/>
  <c r="I22" i="1"/>
  <c r="H22" i="1"/>
  <c r="L22" i="1"/>
  <c r="T21" i="1"/>
  <c r="M21" i="1"/>
  <c r="L21" i="1"/>
  <c r="K21" i="1"/>
  <c r="J21" i="1"/>
  <c r="T20" i="1"/>
  <c r="M20" i="1"/>
  <c r="L20" i="1"/>
  <c r="K20" i="1"/>
  <c r="J20" i="1"/>
  <c r="I20" i="1"/>
  <c r="H20" i="1"/>
  <c r="T19" i="1"/>
  <c r="M19" i="1"/>
  <c r="L19" i="1"/>
  <c r="K19" i="1"/>
  <c r="J19" i="1"/>
  <c r="I19" i="1"/>
  <c r="T18" i="1"/>
  <c r="M18" i="1"/>
  <c r="L18" i="1"/>
  <c r="K18" i="1"/>
  <c r="J18" i="1"/>
  <c r="H18" i="1"/>
  <c r="K15" i="1" l="1"/>
  <c r="T15" i="1" s="1"/>
  <c r="H15" i="1"/>
  <c r="T14" i="1"/>
  <c r="T13" i="1"/>
  <c r="M13" i="1"/>
  <c r="L13" i="1"/>
  <c r="K13" i="1"/>
  <c r="J13" i="1"/>
  <c r="I13" i="1"/>
  <c r="H13" i="1"/>
  <c r="T12" i="1" l="1"/>
  <c r="K12" i="1"/>
  <c r="H12" i="1"/>
  <c r="T11" i="1"/>
  <c r="K11" i="1"/>
  <c r="H11" i="1"/>
  <c r="M7" i="1" l="1"/>
  <c r="L7" i="1"/>
  <c r="K7" i="1"/>
  <c r="J7" i="1"/>
  <c r="I7" i="1"/>
  <c r="H7" i="1"/>
  <c r="T6" i="1"/>
  <c r="T7" i="1" l="1"/>
  <c r="M6" i="1"/>
  <c r="L6" i="1"/>
  <c r="K6" i="1"/>
  <c r="J6" i="1"/>
  <c r="I6" i="1"/>
  <c r="H6" i="1"/>
  <c r="M5" i="1"/>
  <c r="T5" i="1" s="1"/>
  <c r="L5" i="1"/>
  <c r="K5" i="1"/>
  <c r="J5" i="1"/>
  <c r="I5" i="1"/>
  <c r="H5" i="1"/>
  <c r="J27" i="4" l="1"/>
  <c r="S27" i="4" s="1"/>
  <c r="G27" i="4"/>
  <c r="L39" i="4" l="1"/>
  <c r="K39" i="4"/>
  <c r="J39" i="4"/>
  <c r="I39" i="4"/>
  <c r="H39" i="4"/>
  <c r="G39" i="4"/>
  <c r="M14" i="1" l="1"/>
  <c r="I36" i="1" s="1"/>
  <c r="L14" i="1"/>
  <c r="K14" i="1"/>
  <c r="H15" i="4" l="1"/>
  <c r="I35" i="1" l="1"/>
  <c r="L12" i="4" l="1"/>
  <c r="K12" i="4"/>
  <c r="J12" i="4"/>
  <c r="I12" i="4"/>
  <c r="H12" i="4"/>
  <c r="G12" i="4"/>
  <c r="J8" i="4" l="1"/>
  <c r="S8" i="4" s="1"/>
  <c r="I33" i="1" l="1"/>
  <c r="H14" i="1" l="1"/>
  <c r="I37" i="1"/>
  <c r="G33" i="4" l="1"/>
  <c r="G8" i="4" l="1"/>
  <c r="J14" i="1" l="1"/>
  <c r="I14" i="1"/>
  <c r="I34" i="1" l="1"/>
  <c r="I38" i="1" s="1"/>
</calcChain>
</file>

<file path=xl/sharedStrings.xml><?xml version="1.0" encoding="utf-8"?>
<sst xmlns="http://schemas.openxmlformats.org/spreadsheetml/2006/main" count="844" uniqueCount="471">
  <si>
    <t>OBJETIVO ESTRATÉGICO</t>
  </si>
  <si>
    <t>CÓD.</t>
  </si>
  <si>
    <t>PROCESO</t>
  </si>
  <si>
    <t>NOMBRE DEL INDICADOR</t>
  </si>
  <si>
    <t>FÓRMULA</t>
  </si>
  <si>
    <t>META</t>
  </si>
  <si>
    <t>REPORTE</t>
  </si>
  <si>
    <t>FUENTE</t>
  </si>
  <si>
    <t>ENE</t>
  </si>
  <si>
    <t>FEB</t>
  </si>
  <si>
    <t>MAR</t>
  </si>
  <si>
    <t>ABR</t>
  </si>
  <si>
    <t>MAY</t>
  </si>
  <si>
    <t>JUN</t>
  </si>
  <si>
    <t>JUL</t>
  </si>
  <si>
    <t>AGO</t>
  </si>
  <si>
    <t>SEP</t>
  </si>
  <si>
    <t>OCT</t>
  </si>
  <si>
    <t>NOV</t>
  </si>
  <si>
    <t>DIC</t>
  </si>
  <si>
    <t>OE1 - Incrementar los mecanismos de interacción de Canal Capital con la ciudadanía para lograr ser reconocido como paradigma de televisión pública más humana en 2025.</t>
  </si>
  <si>
    <t>(OE1)-1</t>
  </si>
  <si>
    <t>Gestión de las comunicaciones.</t>
  </si>
  <si>
    <t>Mecanismos de interacción con la ciudadanía (redes sociales).</t>
  </si>
  <si>
    <t>Número de seguidores / Meta propuesta para 2017.</t>
  </si>
  <si>
    <t>Lograr la interacción de Canal Capital con 900.000 seguidores en las diferentes redes sociales.</t>
  </si>
  <si>
    <t>(OE1)-2</t>
  </si>
  <si>
    <t>Servicio al ciudadano y defensor del televidente.</t>
  </si>
  <si>
    <t>Eficacia en la atención a los PQRS.</t>
  </si>
  <si>
    <t>Verificar que las respuestas a la totalidad de las peticiones, quejas, reclamos y/o sugerencias sean atendidas en los términos establecidos por la Ley.</t>
  </si>
  <si>
    <t>OE2 - Aumentar la participación de contenidos con énfasis en defensa de los derechos humanos y en cultura de paz en la programación de Canal Capital.</t>
  </si>
  <si>
    <t>(OE2)-1</t>
  </si>
  <si>
    <t>Diseño y creación de contenidos.</t>
  </si>
  <si>
    <t>Rating.</t>
  </si>
  <si>
    <t>Promedio de personas viendo la programación en el mes / Meta planteada para 2017.</t>
  </si>
  <si>
    <t>Impactar mensualmente un promedio de 8.000 personas radicadas en la zona centro de Colombia y afiliadas por suscripción a un cableoperador.</t>
  </si>
  <si>
    <t>(OE2)-2</t>
  </si>
  <si>
    <t>Producción de televisión.</t>
  </si>
  <si>
    <t>Transmisiones especiales.</t>
  </si>
  <si>
    <t>(Número de transmisiones especiales realizadas durante el mes) / Número de transmisiones realizadas en el mismo mes de la vigencia anterior) * 100%.</t>
  </si>
  <si>
    <t>Incrementar en un 10% el número de transmisiones especiales realizadas en la vigencia 2016.</t>
  </si>
  <si>
    <t>OE3 - Fortalecer tecnológicamente a Canal Capital para facilitar el acceso de la ciudadanía a los contenidos a través de diferentes plataformas audiovisuales.</t>
  </si>
  <si>
    <t>(OE3)-1</t>
  </si>
  <si>
    <t>Emisión de contenidos.</t>
  </si>
  <si>
    <t>Plan de renovación tecnológica.</t>
  </si>
  <si>
    <t>(Recursos ejecutados del plan de renovación tecnológica / Recursos asignados al plan de renovación tecnológica) * 100%.</t>
  </si>
  <si>
    <t>Ejecutar al menos el 85% de los recursos disponibles para el plan de renovación tecnológica.</t>
  </si>
  <si>
    <t>OE4 - Fortalecer la gestión financiera para conducir a Canal Capital a la realización de su planteamiento misional.</t>
  </si>
  <si>
    <t>(OE4)-1</t>
  </si>
  <si>
    <t>Comercialización.</t>
  </si>
  <si>
    <t>Ventas de productos y/o servicios de la entidad.</t>
  </si>
  <si>
    <t>(Ingresos por ventas trimestrales / Ingresos por ventas proyectadas para la vigencia) * 100%.</t>
  </si>
  <si>
    <t>Obtener $5.500.000.000 en ingresos por concepto de ventas de bienes y/o servicios del Canal</t>
  </si>
  <si>
    <t>(OE4)-2</t>
  </si>
  <si>
    <t>Gestión financiera y facturación.</t>
  </si>
  <si>
    <t>Seguimiento a la información financiera.</t>
  </si>
  <si>
    <t>(Número de informes emitidos / Número de informes proyectados para emitir)*100%.</t>
  </si>
  <si>
    <t>Publicar la totalidad de la información financiera requerida dentro de los tiempos establecidos por Ley</t>
  </si>
  <si>
    <t>OE5 - Implementar el Sistema Integrado de Gestión basado en un modelo de mejoramiento continuo que oriente a Canal Capital a consolidarse como actor de construcción de cultura de paz y defensa de los derechos humanos.</t>
  </si>
  <si>
    <t>(OE5)-1</t>
  </si>
  <si>
    <t>Plataforma estratégica.</t>
  </si>
  <si>
    <t>(Acciones ejecutadas / Acciones programadas)*100%.</t>
  </si>
  <si>
    <t>Cumplir con el 100% de las actividades programadas para la actualización de la plataforma estratégica vigente de la entidad.</t>
  </si>
  <si>
    <t>(OE5)-2</t>
  </si>
  <si>
    <t>Gestión jurídica y contractual.</t>
  </si>
  <si>
    <t>Revisión del manual de funciones.</t>
  </si>
  <si>
    <t>(Número de cargos del manual de funciones revisados / Total de cargos del manual de funciones de la entidad)*100%.</t>
  </si>
  <si>
    <t>Realizar al 100% la revisión del documento "Manual de funciones" de la entidad y sus respectivos ajustes.</t>
  </si>
  <si>
    <t>(OE5)-3</t>
  </si>
  <si>
    <t>Gestión del talento humano.</t>
  </si>
  <si>
    <t>Programa de inducción y reinducción 2017.</t>
  </si>
  <si>
    <t>(Acciones realizadas del programa de inducción y reinducción / Acciones establecidas en el programa de inducción y reinducción)*100%.</t>
  </si>
  <si>
    <t>Ejecutar al menos el 81% de las acciones establecidas en el programa de inducción y reinducción.</t>
  </si>
  <si>
    <t>(OE5)-4</t>
  </si>
  <si>
    <t>Plan de capacitación 2017.</t>
  </si>
  <si>
    <t>(Acciones realizadas del plan de capacitación / Acciones programadas en el plan de capacitación)*100%.</t>
  </si>
  <si>
    <t>Ejecutar al menos el 91% de las acciones programadas en el plan de capacitaciones</t>
  </si>
  <si>
    <t>(OE5)-5</t>
  </si>
  <si>
    <t>Plan de bienestar 2017.</t>
  </si>
  <si>
    <t>(Acciones realizadas del plan de bienestar / Acciones programadas en el plan de bienestar)*100%.</t>
  </si>
  <si>
    <t>Ejecutar al menos el 91% de las acciones programadas en el plan de bienestar</t>
  </si>
  <si>
    <t>(OE5)-6</t>
  </si>
  <si>
    <t>Gestión de recursos y administración de la información - Subsistema de Gestión de Seguridad y Salud en el Trabajo -SGSST-.</t>
  </si>
  <si>
    <t>Plan del Subsistema de Gestión de Seguridad y Salud en el Trabajo, SGSST.</t>
  </si>
  <si>
    <t>(Acciones realizadas del plan  del Subsistema de Gestión de Seguridad y Salud en el Trabajo, SGSST / Acciones programadas del plan del Subsistema de Gestión de Seguridad y Salud en el Trabajo, SGSST)*100%.</t>
  </si>
  <si>
    <t>Ejecutar al 100% las acciones programadas en el plan del Subsistema de Gestión de Seguridad y Salud en el Trabajo -SGSST-</t>
  </si>
  <si>
    <t>(OE5)-7</t>
  </si>
  <si>
    <t>Gestión de recursos y administración de la información - Subsistema de Gestión Ambiental - SGA-.</t>
  </si>
  <si>
    <t>Plan Institucional de Gestión Ambiental, PIGA.</t>
  </si>
  <si>
    <t>(Acciones realizadas del Plan Institucional de Gestión Ambiental, PIGA / Acciones programadas del Plan Institucional de Gestión Ambiental, PIGA)*100%.</t>
  </si>
  <si>
    <t>Ejecutar al menos el 95% de las acciones programadas en el Plan Institucional de Gestión Ambiental - PIGA</t>
  </si>
  <si>
    <t>(OE5)-8</t>
  </si>
  <si>
    <t>Gestión de recursos y administración de la información - Subsistema de Gestión de Seguridad de la Información -SGSI-.</t>
  </si>
  <si>
    <t>Plan Estratégico de Tecnología de la Información y las Comunicaciones, PETIC.</t>
  </si>
  <si>
    <t>(Gestión de recursos y administración de la información - Subsistema de Gestión de Seguridad de la Información -SGSI-./Plan Estratégico de Tecnología de la Información y las Comunicaciones, PETIC.)</t>
  </si>
  <si>
    <t>Documentar al menos el 50% el Plan Estratégico de Tecnología de la Información y las Comunicaciones -PETIC- de Canal Capital para la vigencia 2016 al 2020</t>
  </si>
  <si>
    <t>(OE5)-9</t>
  </si>
  <si>
    <t>Gestión de recursos y administración de la información - Subsistema de Gestión Documental y Archivo -SIGA-.</t>
  </si>
  <si>
    <t>Plan de Acción del Subsistema de Gestión Documental y Archivo - Plan de Mejoramiento Archivístico (PMA).</t>
  </si>
  <si>
    <t>(Acciones realizadas del plan de mejoramiento archivístico / Acciones programadas del plan de mejoramiento archivístico)*100%.</t>
  </si>
  <si>
    <t>Ejecutar al menos el 81% de las acciones programadas en el plan de acción del Subsistema Interno de Gestión Documental y Archivo  - Plan de Mejoramiento Archivístico (PMA)</t>
  </si>
  <si>
    <t>(OE5)-10</t>
  </si>
  <si>
    <t>Gestión de recursos y administración de la información - Servicios administrativos.</t>
  </si>
  <si>
    <t>Plan de mantenimiento locativo 2017.</t>
  </si>
  <si>
    <t>(Acciones realizadas del plan de mantenimiento locativo / Acciones programadas en el plan de mantenimiento locativo)*100%.</t>
  </si>
  <si>
    <t xml:space="preserve">Ejecutar al menos el 90% de las acciones programadas en el plan de mantenimiento locativo para la vigencia de 2017 </t>
  </si>
  <si>
    <t>(OE5)-11</t>
  </si>
  <si>
    <t>Control, seguimiento y evaluación.</t>
  </si>
  <si>
    <t>Cumplimiento del Programa Anual de Auditorías.</t>
  </si>
  <si>
    <t>(Número de actividades cumplidas del Programa Anual de Auditorías a la fecha de corte / Número de actividades planeadas en el Programa Anual de Auditorías a la fecha de corte)*100%.</t>
  </si>
  <si>
    <t>Cumplir con el 94% de las actividades programadas, incluidas todas la actividades adicionales que puedan surgir durante la vigencia</t>
  </si>
  <si>
    <t>(OE5)-12</t>
  </si>
  <si>
    <t>Cumplimiento de acciones del Plan de Mejoramiento.</t>
  </si>
  <si>
    <t>(Número de acciones cumplidas o cerradas del Plan de Mejoramiento a la fecha de corte / Número de acciones formuladas del Plan de Mejoramiento a la fecha de corte)*100%.</t>
  </si>
  <si>
    <t>Cumplir el 70% de las acciones formuladas en plan de mejoramiento cuya fecha de finalización se encuentre prevista a la fecha de corte de seguimiento</t>
  </si>
  <si>
    <t>IP-001</t>
  </si>
  <si>
    <t>IP-002</t>
  </si>
  <si>
    <t>IP-003</t>
  </si>
  <si>
    <t>IP-004</t>
  </si>
  <si>
    <t>IP-005</t>
  </si>
  <si>
    <t>IP-006</t>
  </si>
  <si>
    <t>IP-007</t>
  </si>
  <si>
    <t>IP-008</t>
  </si>
  <si>
    <t>IP-009</t>
  </si>
  <si>
    <t>IP-010</t>
  </si>
  <si>
    <t>IP-011</t>
  </si>
  <si>
    <t>IP-012</t>
  </si>
  <si>
    <t>IP-013</t>
  </si>
  <si>
    <t>IP-014</t>
  </si>
  <si>
    <t>IP-015</t>
  </si>
  <si>
    <t>IP-016</t>
  </si>
  <si>
    <t>IP-017</t>
  </si>
  <si>
    <t>IP-018</t>
  </si>
  <si>
    <t>IP-019</t>
  </si>
  <si>
    <t>IP-020</t>
  </si>
  <si>
    <t>IP-021</t>
  </si>
  <si>
    <t>IP-022</t>
  </si>
  <si>
    <t>IP-023</t>
  </si>
  <si>
    <t>IP-024</t>
  </si>
  <si>
    <t>IP-025</t>
  </si>
  <si>
    <t>IP-026</t>
  </si>
  <si>
    <t>IP-027</t>
  </si>
  <si>
    <t>IP-028</t>
  </si>
  <si>
    <t>IP-029</t>
  </si>
  <si>
    <t>IP-030</t>
  </si>
  <si>
    <t>IP-031</t>
  </si>
  <si>
    <t>IP-032</t>
  </si>
  <si>
    <t>IP-033</t>
  </si>
  <si>
    <t>IP-034</t>
  </si>
  <si>
    <t>IP-035</t>
  </si>
  <si>
    <t>IP-036</t>
  </si>
  <si>
    <t>Planeación Estratégica</t>
  </si>
  <si>
    <t xml:space="preserve">Gestión de las Comunicaciones </t>
  </si>
  <si>
    <t>Diseño y Creación de Contenidos</t>
  </si>
  <si>
    <t>Producción de Televisión</t>
  </si>
  <si>
    <t>Emisión de Contenidos</t>
  </si>
  <si>
    <t>Comercialización</t>
  </si>
  <si>
    <t>Gestión Financiera y Facturación</t>
  </si>
  <si>
    <t>Gestión Jurídica y Contractual</t>
  </si>
  <si>
    <t>Gestión del Talento Humano</t>
  </si>
  <si>
    <t xml:space="preserve">Gestión de Recursos y Administración de la Información </t>
  </si>
  <si>
    <t>Servicio a la Ciudadanía y Defensor del Televidente</t>
  </si>
  <si>
    <t>Control, Seguimiento y Evaluación</t>
  </si>
  <si>
    <t>Sistema Integrado de Gestión -SIG-</t>
  </si>
  <si>
    <t>Recursos - Autoridad Nacional de Televisión -ANTV-</t>
  </si>
  <si>
    <t>Recursos - proyectos de inversión</t>
  </si>
  <si>
    <t>Seguimiento al plan de comunicaciones</t>
  </si>
  <si>
    <t>Publicación de requerimientos en los boletines y carteleras</t>
  </si>
  <si>
    <t>Cumplimiento de las horas de emisión de programación infantil  según el acuerdo 002 de 2011 de la CNTV</t>
  </si>
  <si>
    <t>Cumplimiento de las horas de emisión de programación adolescente, según el acuerdo 002 de 2011 de la CNTV</t>
  </si>
  <si>
    <t>Cumplimiento de la cuota de pantalla para la población con discapacidad auditiva, según la resolución 350 de 2016 (Closed Caption)</t>
  </si>
  <si>
    <t>Cumplimiento de la cuota de pantalla para la población con discapacidad auditiva, según la resolución 350 de 2016 (Lengua de señas colombiana)</t>
  </si>
  <si>
    <t>Administración del presupuesto</t>
  </si>
  <si>
    <t xml:space="preserve">Continuidad del servicio de televisión. </t>
  </si>
  <si>
    <t>Cronograma de mantenimiento preventivo de equipos del área técnica</t>
  </si>
  <si>
    <t>Alianzas de posicionamiento</t>
  </si>
  <si>
    <t>Gestión comercial</t>
  </si>
  <si>
    <t>Rentabilidad de los recursos financieros de la entidad.</t>
  </si>
  <si>
    <t>Ingresos</t>
  </si>
  <si>
    <t>Gastos</t>
  </si>
  <si>
    <t>Gestión de recaudo</t>
  </si>
  <si>
    <t>Nivel de endeudamiento</t>
  </si>
  <si>
    <t>Capital de trabajo</t>
  </si>
  <si>
    <t>Índice de Solvencia</t>
  </si>
  <si>
    <t>Publicación de contratos en el Sistema Electrónico de Contratación Pública -SECOP-</t>
  </si>
  <si>
    <t>Capacitaciones sobre manual de contratación</t>
  </si>
  <si>
    <t>Número de procesos de selección publicados en la página web. (convocatoria pública, licitaciones y/o invitaciones).</t>
  </si>
  <si>
    <t>Legalización de los contratos y/o convenios suscritos por el Canal en calidad de contratista, cuyos expedientes reposen en la coordinación jurídica</t>
  </si>
  <si>
    <t>Elaboración de contratos suscritos por el Canal en calidad de contratante</t>
  </si>
  <si>
    <t>Número de procesos judiciales existentes</t>
  </si>
  <si>
    <t>Eficacia de capacitaciones</t>
  </si>
  <si>
    <t>Rotación de personal</t>
  </si>
  <si>
    <t>Servicios atendidos para los sistemas de información</t>
  </si>
  <si>
    <t>Servicios atendidos infraestructura de información y comunicación</t>
  </si>
  <si>
    <t>Cumplimiento del cronograma de mantenimiento preventivo de equipos de cómputo</t>
  </si>
  <si>
    <t>Estado de la gestión documental de la entidad</t>
  </si>
  <si>
    <t>Control de inventarios</t>
  </si>
  <si>
    <t>Eficacia en la atención a las PQRS</t>
  </si>
  <si>
    <t>Cumplimiento oportuno en la entrega de los informes de Ley planeados en el Programa Anual de Auditorías</t>
  </si>
  <si>
    <t>(Requisitos implementados / Requisitos aplicables) * 100%</t>
  </si>
  <si>
    <t>(Recursos ejecutados provenientes de la Autoridad Nacional de Televisión -ANTV- / Recursos provenientes de la Autoridad Nacional de Televisión -ANTV-) * 100%</t>
  </si>
  <si>
    <t>(Recursos ejecutados en proyectos de inversión / Recursos asignados para proyectos de inversión) * 100%</t>
  </si>
  <si>
    <t xml:space="preserve">(Actividades realizadas / Actividades programadas) * 100% </t>
  </si>
  <si>
    <t>(Comunicaciones realizadas / Comunicaciones requeridas) * 100%</t>
  </si>
  <si>
    <t>(Número de horas emitidas / Número de horas requeridas) *100 %</t>
  </si>
  <si>
    <t>(Número de programas emitidos / Número de programas requeridos)*100%</t>
  </si>
  <si>
    <t>(Gastos ejecutados / Gastos proyectados) *100</t>
  </si>
  <si>
    <t>(Tiempo en minutos de fallas de señal / Tiempo en minutos de señal programada) * 100%</t>
  </si>
  <si>
    <t>(Mantenimientos preventivos realizados / Mantenimientos preventivos programados) * 100%</t>
  </si>
  <si>
    <t>(Alianzas realizadas / Propuestas de alianzas enviadas)*100%</t>
  </si>
  <si>
    <t>(Negocios efectuados / Propuestas de negocios enviadas)*100%</t>
  </si>
  <si>
    <t>Total rendimientos generados mensualmente (Cuentas de ahorros y CDT´s) / Total de rendimientos proyectados al final de la vigencia</t>
  </si>
  <si>
    <t>(Presupuesto ejecutado / Presupuesto aprobado) * 100%</t>
  </si>
  <si>
    <t>(Total recaudo / Total servicios cobrados al cierre del trimestre) * 100%</t>
  </si>
  <si>
    <t>Activo Corriente - Pasivo Corriente</t>
  </si>
  <si>
    <t>Activo Corriente / Pasivo Corriente</t>
  </si>
  <si>
    <t>(Número de contratos publicados en el SECOP / Número de contratos por publicar en el SECOP) * 100%</t>
  </si>
  <si>
    <t>(Capacitaciones realizadas / Capacitaciones programadas) * 100%</t>
  </si>
  <si>
    <t>(Procesos de selección publicados / Total procesos convocados)*100%</t>
  </si>
  <si>
    <t>(Número de contratos y/o convenios legalizados en la coordinación jurídica / Número de contratos y/o convenios entregados en la coordinación jurídica)*100%</t>
  </si>
  <si>
    <t>(Número de contratos tramitados / Número de solicitudes de contratación)*100%</t>
  </si>
  <si>
    <t>Numero de actuaciones / Total de procesos donde interviene Canal Capital</t>
  </si>
  <si>
    <t>(Número de funcionarios que se desvincularon / Número de funcionarios de planta) * 100</t>
  </si>
  <si>
    <t>Servicios solucionados / (Servicios pendientes mes anterior + servicios requeridos en mes)</t>
  </si>
  <si>
    <t xml:space="preserve"> Cumplimiento del Plan Institucional de Archivos
( Actividades desarrolladas/ Actividades planteadas).</t>
  </si>
  <si>
    <t>(Número de tomas físicas de inventario realizadas / Número de tomas físicas de inventario programadas) * 100%</t>
  </si>
  <si>
    <t>(Total de informes elaborados y entregados oportunamente / Total informes a reportar planeados en el PAA para la vigencia) * 100%</t>
  </si>
  <si>
    <t>5 - Implementar el Sistema Integrado de Gestión basado en un modelo de mejoramiento continuo</t>
  </si>
  <si>
    <t>4 - Fortalecer la gestión financiera para conducir a Canal Capital a la realización de su planteamiento misional</t>
  </si>
  <si>
    <t>1 - Incrementar los mecanismos de interacción de Canal Capital con la ciudadanía</t>
  </si>
  <si>
    <t>2 - Aumentar la participación de contenidos en la programación de Canal Capital</t>
  </si>
  <si>
    <t>3 - Fortalecer tecnológicamente a Canal Capital para facilitar el acceso de la ciudadanía a los contenidos a través de diferentes plataformas audiovisuales</t>
  </si>
  <si>
    <t>Cumplir con el 85% de los requisitos del Sistema Integrado de Gestión -SIG- aplicables a la entidad de acuerdo con la NTD SIG:001 de 2011</t>
  </si>
  <si>
    <t>Ejecutar al ciento por ciento, los recursos provenientes de la Autoridad Nacional de Televisión -ANTV- de acuerdo con el plan de inversión 2017 aprobado por este ente.</t>
  </si>
  <si>
    <t>Ejecutar al 95% los recursos asignados para proyectos de inversión de la entidad</t>
  </si>
  <si>
    <t>Lograr la implementación del 100% del plan para la vigencia 2017</t>
  </si>
  <si>
    <t>Dar cumplimiento al 100% de requerimientos de publicación de información en boletines y carteleras solicitado por las áreas</t>
  </si>
  <si>
    <t>Dar cumplimiento al 100% de horas de emisión de programación infantil  según el acuerdo 002 de 2011 de la CNTV</t>
  </si>
  <si>
    <t>Dar cumplimiento al 100% de horas de emisión de programación adolescente, según el acuerdo 002 de 2011 de la CNTV</t>
  </si>
  <si>
    <t>Dar cumplimiento al 100% de horas de emisión de programación para la población con discapacidad auditiva,discapacidad auditiva, según la resolución 350 de 2016 (Closed Caption)</t>
  </si>
  <si>
    <t>Dar cumplimiento al 100% de horas de emisión de programación para la población con discapacidad auditiva,discapacidad auditiva, según la resolución 350 de 2016 (Lengua de señas colombiana)</t>
  </si>
  <si>
    <t>Ejecutar al 100% el presupuesto asociado a la producción.</t>
  </si>
  <si>
    <t>Garantizar continuidad en la señal de televisión superior al 90%.</t>
  </si>
  <si>
    <t>Dar cumplimiento superior al 85% en el cronograma de mantenimientos preventivos para los equipos del área ténica.</t>
  </si>
  <si>
    <t>Cargar al ciento por ciento los contratos celebrados por la entidad, en el Sistema Electrónico de Contratación Pública -SECOP dentro de los términos previstos por la Ley -</t>
  </si>
  <si>
    <t>Ejecutar el 100% de las capacitaciones programadas a funcionarios y contratistas de la entidad en el manual de contratación</t>
  </si>
  <si>
    <t>-</t>
  </si>
  <si>
    <t>Planeación estratégica.</t>
  </si>
  <si>
    <t>La meta es fijada tomando los recursos que se manejan para la vigencia 2017, a una tasa promedio del mercado actual  y teniendo en cuenta que existen momentos de picos, los cuales  se presentan al momento de  redimir inversiones actuales.</t>
  </si>
  <si>
    <t>Recaudar el 90% del presupuesto aprobado para la vigencia</t>
  </si>
  <si>
    <t>Ejecutar el 90% del presupuesto aprobado para la vigencia</t>
  </si>
  <si>
    <t xml:space="preserve">Evaluar la edad de la cartera del canal, con el fin de conocer la probabilidad de obtención de recursos en caja en un periodo determinado. 
De otra parte, tomar las medidas necesarias para el recaudo oportuno.  </t>
  </si>
  <si>
    <t>Medir la proporción en la cuál participan los acreedores sobre el valor total de la empresa .</t>
  </si>
  <si>
    <t>Medir los recursos que requiere la entidad para desarrollar sus operaciones económicas</t>
  </si>
  <si>
    <t>Medir la capacidad de la entidad para atender el pago de todas sus deudas y compromisos a corto plazo.</t>
  </si>
  <si>
    <t>Reporte Tesorería - Subdirección Financiera</t>
  </si>
  <si>
    <t>Reporte Presupuesto - Subdirección Financiera</t>
  </si>
  <si>
    <t>Reporte Facturación y Cartera - Subdirección Financiera</t>
  </si>
  <si>
    <t>Reporte Contabilidad - Subdirección Financiera</t>
  </si>
  <si>
    <t>Hacer seguimiento a la rotación de personal en el Canal, tanto de personal de libre nombramiento y remoción como trabajadores oficiales.</t>
  </si>
  <si>
    <t>Talento Humano</t>
  </si>
  <si>
    <t>Información suministrada por la Delegada de Servicio al Ciudadano</t>
  </si>
  <si>
    <t>Plan de comunicaciones vigente</t>
  </si>
  <si>
    <t xml:space="preserve">Requerimientos de las diferentes áreas </t>
  </si>
  <si>
    <t>Entregar de forma oportuna con el 82% de los informes de Ley definidos por la OCI</t>
  </si>
  <si>
    <t>Programa Anual de Auditorías - PAA. Seguimiento a la publicación oportuna de informes de ley.</t>
  </si>
  <si>
    <t>Garantizar la atencion de Requerimientos de Soporte presentados vía correo electrónico, asi como gestionar los requerimientos según formato de Solicitud de Servicios TIC AGRI-SI-FT-029, garantizando un porcentaje de cumplimiento superior al 90% para el trimestre.</t>
  </si>
  <si>
    <t>Atender de manera oportuna los requerimientos referentes a la indisponibilidad parcial y/o temporal de servicios tecnológicos de infraestructura y comunicaciones en cumplimiento con la meta superior al 90% para el trimestre.</t>
  </si>
  <si>
    <t>Velar por el cumplimiento del Servicio de Mantenimiento Preventivo y Correctivo con suministro de repuestos para equipos de escritorio, portátiles, impresoras, escáneres y Equipos Mac de Canal Capital que permita evidenciar un indice de meta en el trimestre superior al 90%.</t>
  </si>
  <si>
    <t>Elaborar, socializar e implementar el Plan Institucional de Archivos - PINAR, con el propósito de facilitar la gestión de documentos de Canal  Capital a través del desarrollo de proyectos y planes que permitan la mejora continua en la aplicación de los procesos de producción, recepción, gestión y trámite, organización, disposición final, transferencias, preservación y valoración documental</t>
  </si>
  <si>
    <t>Controlar los insumos y bienes adquiridos por la entidad.</t>
  </si>
  <si>
    <t>Reporte del área de Sistemas</t>
  </si>
  <si>
    <t>Reporte del área de Gestión Documental</t>
  </si>
  <si>
    <t>Reporte de inventarios del área de servicios administrativos</t>
  </si>
  <si>
    <t>Reporte de avance - Secretaría General</t>
  </si>
  <si>
    <t>Observación</t>
  </si>
  <si>
    <t>El indicador se reporta con los datos obtenidos del seguimiento del Plan de Mejoramiento con corte al 31-may-2017.</t>
  </si>
  <si>
    <t>Programa Anual de Auditoria - Oficina de Control Interno</t>
  </si>
  <si>
    <t>Plan de mantenimientos locativos 2017</t>
  </si>
  <si>
    <t>Reporte de la Coordinación de programación</t>
  </si>
  <si>
    <t>Reporte de la Coordinación de Programación</t>
  </si>
  <si>
    <t>Se realizarán estrategias compartidas con los diferentes medios de comunicación para lograr el posicionamiento de Canal Capital</t>
  </si>
  <si>
    <t>Obtener $5.500.000.000 en ventas con los clientes de sector publico tradicionales y con el incremento de los clientes privados, por medio del nuevo  Departamento Comercial, creando nuevas estrategias de ventas  para lograr el objetivo conjuntamente.</t>
  </si>
  <si>
    <t>Reporte del área de ventas y mercadeo</t>
  </si>
  <si>
    <t>Reporte Coordinación Técnica</t>
  </si>
  <si>
    <t>Reporte de la Coordinación Técnica</t>
  </si>
  <si>
    <t>Reporte de Planeación</t>
  </si>
  <si>
    <t>(Total Pasivo / Total Activo)*100%</t>
  </si>
  <si>
    <t>(Promedio de calificación de las capacitaciones / Calificación máxima a obtener) * 100</t>
  </si>
  <si>
    <t>Reporte del área de talento humano</t>
  </si>
  <si>
    <t>Reporte del área de talento humano - Profesional de Seguridad y Salud en el Trabajo</t>
  </si>
  <si>
    <t>Contar con el 100% de información contractual legalizada en los expedientes de la Coordinación jurídica, en los cuales el canal suscribe como calidad de contratante</t>
  </si>
  <si>
    <t>Publicar al 100% en la página web  de la entidad la información contractual asociada a procesos de selección (convocatoria pública, licitaciones y/o invitaciones).</t>
  </si>
  <si>
    <t>Contar con el 100% de información contractual legalizada en los expedientes de la Coordinación jurídica, en los cuales el canal suscribe como calidad de contratista</t>
  </si>
  <si>
    <t>Identificar el grado de avance en relación a las actuaciones dentro de los procesos judiciales en los que interviene Canal Capital.</t>
  </si>
  <si>
    <t>Reporte Planeación</t>
  </si>
  <si>
    <t>(Número de solicitudes atendidas oportunamente durante el mes / Número de solicitudes recibidas durante el mes) * 100%</t>
  </si>
  <si>
    <t>Reporte del área de ventas y mercadeo (sector público y privado)</t>
  </si>
  <si>
    <t>Reporte del área de servicio al Ciudadano, a partir de la información del sistema SDQS</t>
  </si>
  <si>
    <t>Reporte de los comunity managers en relación con el número de seguidores en las redes sociales del Canal. - Coordinación de Prensa y Comunicaciones</t>
  </si>
  <si>
    <t>Reporte de la Subdirección Financiera</t>
  </si>
  <si>
    <t>Reporte referente PIGA - Planeación / Subdirección Administrativa</t>
  </si>
  <si>
    <t>Reporte de la Subdirección Administrativa - Sistemas</t>
  </si>
  <si>
    <t>Reporte de la Subdirección Administrativa - Gestión Documental</t>
  </si>
  <si>
    <t>INDICADORES PLAN DE ACCIÓN INSTITUCIONAL 2017 - VERSIÓN 3</t>
  </si>
  <si>
    <t>Reporte Coordinación de Producción</t>
  </si>
  <si>
    <t>INDICADORES DE PROCESOS - 2017</t>
  </si>
  <si>
    <t>Reporte de la Coordinación de Producción</t>
  </si>
  <si>
    <t>Reporte Coordinación jurídica</t>
  </si>
  <si>
    <t>Reporte del área de Talento Humano</t>
  </si>
  <si>
    <t>El indicador permite medir la eficacia de las capacitaciones realizadas a los funcionarios basada en la calificación que cada uno asigna a la actividad realizada. Se califica la estructura y ocntenido de la capacitación; el capacitador y la organización de la capacitación.</t>
  </si>
  <si>
    <t>Objetivo Estratégico</t>
  </si>
  <si>
    <t>Código</t>
  </si>
  <si>
    <t>% Cumplimiento</t>
  </si>
  <si>
    <t>OE-1</t>
  </si>
  <si>
    <t>OE-2</t>
  </si>
  <si>
    <t>OE-3</t>
  </si>
  <si>
    <t>OE-4</t>
  </si>
  <si>
    <t>OE-5</t>
  </si>
  <si>
    <t>1 - Incrementar los mecanismos de interacción de Canal Capital con la ciudadanía para lograr ser reconocido como paradigma de televisión pública más humana en 2025.</t>
  </si>
  <si>
    <t>2 - Aumentar la participación de contenidos con énfasis en defensa de los derechos humanos y en cultura de paz en la programación de Canal Capital.</t>
  </si>
  <si>
    <t>3 - Fortalecer tecnológicamente a Canal Capital para facilitar el acceso de la ciudadanía a los contenidos a través de diferentes plataformas audiovisuales.</t>
  </si>
  <si>
    <t>4 - Fortalecer la gestión financiera para conducir a Canal Capital a la realización de su planteamiento misional.</t>
  </si>
  <si>
    <t>5 - Implementar el Sistema Integrado de Gestión basado en un modelo de mejoramiento continuo que oriente a Canal Capital a consolidarse como actor de construcción de cultura de paz y defensa de los derechos humanos.</t>
  </si>
  <si>
    <t>TOTAL</t>
  </si>
  <si>
    <t>Reporte de la Coordinación de producción</t>
  </si>
  <si>
    <t>Reporte coordinación jurídica</t>
  </si>
  <si>
    <t>Dar cumplimiento al 100% de horas de emisión de programación para la población con discapacidad auditiva, discapacidad auditiva, según la resolución 350 de 2016 (Closed Caption)</t>
  </si>
  <si>
    <t>Dar cumplimiento al 100% de horas de emisión de programación para la población con discapacidad auditiva, discapacidad auditiva, según la resolución 350 de 2016 (Lengua de señas colombiana)</t>
  </si>
  <si>
    <t>Dar cumplimiento superior al 85% en el cronograma de mantenimientos preventivos para los equipos del área técnica.</t>
  </si>
  <si>
    <t>Garantizar la atención de Requerimientos de Soporte presentados vía correo electrónico, así como gestionar los requerimientos según formato de Solicitud de Servicios TIC AGRI-SI-FT-029, garantizando un porcentaje de cumplimiento superior al 90% para el trimestre.</t>
  </si>
  <si>
    <t>Velar por el cumplimiento del Servicio de Mantenimiento Preventivo y Correctivo con suministro de repuestos para equipos de escritorio, portátiles, impresoras, escáneres y Equipos Mac de Canal Capital que permita evidenciar un índice de meta en el trimestre superior al 90%.</t>
  </si>
  <si>
    <t xml:space="preserve">Requerimientos de comunicación de las diferentes áreas </t>
  </si>
  <si>
    <t>Sistema de presupuesto distrital - PREDIS
Reporte Coordinación de Producción</t>
  </si>
  <si>
    <t>Concertar por lo menos el 60% de las propuestas de negocios remitidas a los clientes</t>
  </si>
  <si>
    <t>(Presupuesto de gastos ejecutado / Presupuesto de gastos aprobado) * 100%</t>
  </si>
  <si>
    <t>N°</t>
  </si>
  <si>
    <t>Número de seguidores / Meta propuesta para 2018.</t>
  </si>
  <si>
    <t>Lograr la interacción de Canal Capital 1.200.000 seguidores en las diferentes redes sociales.</t>
  </si>
  <si>
    <t>Avance 2018 (Semestre 1)</t>
  </si>
  <si>
    <t>REPORTE INDICADORES CANAL CAPITAL
Plan de Acción Institucional 2018 - Versión 2
Reporte Semestre 1 - 2018
Fecha de informe: 31/08/2018</t>
  </si>
  <si>
    <r>
      <rPr>
        <b/>
        <sz val="8"/>
        <color theme="1"/>
        <rFont val="Arial"/>
        <family val="2"/>
      </rPr>
      <t xml:space="preserve">T1: </t>
    </r>
    <r>
      <rPr>
        <sz val="8"/>
        <color theme="1"/>
        <rFont val="Arial"/>
        <family val="2"/>
      </rPr>
      <t xml:space="preserve"> En el primer trimestre de 2018 las plataformas digitales de Canal Capital afinaron sus procesos en materia de temáticas, formatos y tácticas, destacándose el trabajo de videos, transmisiones en vivo y página web, esto produjo un gran crecimiento de seguidores.
</t>
    </r>
    <r>
      <rPr>
        <b/>
        <sz val="8"/>
        <color theme="1"/>
        <rFont val="Arial"/>
        <family val="2"/>
      </rPr>
      <t>T2:</t>
    </r>
    <r>
      <rPr>
        <sz val="8"/>
        <color theme="1"/>
        <rFont val="Arial"/>
        <family val="2"/>
      </rPr>
      <t xml:space="preserve"> Se ajustaron los procesos para que todos los trinos y post direccionen a la página web del Canal, esto ha generado una comunidad virtual más fuerte que consume mayor cantidad de contenidos ya que nuestros videos e infografías ahora se consumen en entradas web de la página y ha generado una acogida importante.</t>
    </r>
  </si>
  <si>
    <t>(Número de solicitudes atendidas durante el mes / Número de solicitudes recibidas durante el mes) * 100%</t>
  </si>
  <si>
    <r>
      <rPr>
        <b/>
        <sz val="8"/>
        <color theme="1"/>
        <rFont val="Arial"/>
        <family val="2"/>
      </rPr>
      <t>T1:</t>
    </r>
    <r>
      <rPr>
        <sz val="8"/>
        <color theme="1"/>
        <rFont val="Arial"/>
        <family val="2"/>
      </rPr>
      <t xml:space="preserve"> De acuerdo con los informes mensuales remitidos a la Veeduría Distrital se detalla a continuación la relación de PQRS recibidas y atendidas en la vigencia 2018:
* En  el mes de enero se recibieron 64 peticiones y se respondieron 25, quedando pendientes 39 peticiones por responder para el mes siguiente.
* En el mes de febrero se recibieron 60 peticiones y se atendieron 74 (37 de periodo actual y 37 del periodo anterior) quedando pendientes 25 peticiones (23 del periodo actual y 2 del periodo anterior).
* En el mes de marzo se recibieron 47 peticiones y se atendieron 57 (33 de periodo actual  y 24 del periodo anterior) quedando pendientes 15 peticiones (14 del periodo actual y 1 de periodos anteriores).
* En el trimestre se recibieron 171 peticiones en total y se atendieron 151 lo que implica un porcentaje de 91.23% de peticiones atendidas con oportunidad.
Atendiendo a lo anterior se está trabajando desde el área de Atención al Ciudadano con la Dirección Operativa para dar respuesta oportuna a las peticiones.
</t>
    </r>
    <r>
      <rPr>
        <b/>
        <sz val="8"/>
        <color theme="1"/>
        <rFont val="Arial"/>
        <family val="2"/>
      </rPr>
      <t>T2:</t>
    </r>
    <r>
      <rPr>
        <sz val="8"/>
        <color theme="1"/>
        <rFont val="Arial"/>
        <family val="2"/>
      </rPr>
      <t xml:space="preserve"> De acuerdo con los informes mensuales remitidos a la Veeduría Distrital se detalla a continuación la relación de PQRS recibidas y atendidas en la vigencia 2018:
* En  el mes de abril se recibieron 48 peticiones y se respondieron 46, quedando pendientes 17 peticiones por responder para el mes siguiente.
* En el mes de mayo se recibieron 60 peticiones y se atendieron 69 (52 de periodo actual y 17 del periodo anterior) quedando pendientes 8 peticiones del periodo actual.
* En el mes de junio se recibieron 50 peticiones y se atendieron 43 (36 de periodo actual  y 7 del periodo anterior) quedando pendientes 15 peticiones (14 del periodo actual y 1 de periodos anteriores).
* En el trimestre se recibieron 158 peticiones en total y se atendieron 158 lo que implica un porcentaje de 100% de peticiones atendidas con oportunidad, respondiendo las 15 peticiones del trimestre pasado y quedando pendientes 15 peticiones del presente trimestre.
Conforme lo anterior la Oficina de Atención al Ciudadano convoco a  una reunión el día 9 de agosto con la Oficina de Control Interno y Sistema Informativo para el mejoramiento en tiempos y calidad de las respuestas a los ciudadanos. </t>
    </r>
  </si>
  <si>
    <r>
      <rPr>
        <b/>
        <sz val="8"/>
        <rFont val="Arial"/>
        <family val="2"/>
      </rPr>
      <t>T1:</t>
    </r>
    <r>
      <rPr>
        <sz val="8"/>
        <rFont val="Arial"/>
        <family val="2"/>
      </rPr>
      <t xml:space="preserve"> Durante el primer trimestre de 2018, se vio reflejado un promedio estable, se hicieron cambios de horarios en la parrilla y reorganización de los contenidos. La emisión más vista fue: Conectados del 09 de enero con 61.250 personas.
</t>
    </r>
    <r>
      <rPr>
        <b/>
        <sz val="8"/>
        <rFont val="Arial"/>
        <family val="2"/>
      </rPr>
      <t xml:space="preserve">T2: </t>
    </r>
    <r>
      <rPr>
        <sz val="8"/>
        <rFont val="Arial"/>
        <family val="2"/>
      </rPr>
      <t>Durante el segundo trimestre de 2018, se vio reflejado un alza en las audiencias de Mayo y Junio por los cambios en la parrilla y por eventos especiales y transmisiones del Sistema Informativo. La emisión más vista fue: Conectados del 08 de Mayo con 159.920 personas.</t>
    </r>
  </si>
  <si>
    <t xml:space="preserve">Eventos o transmisiones especiales que muestran la  diversidad de contenidos deportivos y culturales de la ciudad </t>
  </si>
  <si>
    <t>(Número de eventos o  transmisiones especiales realizadas / número de eventos o transmisiones especiales  planeadas) * 100%.</t>
  </si>
  <si>
    <t>Realizar mínimo 180 transmisiones o eventos especiales.</t>
  </si>
  <si>
    <t>(OE2)-3</t>
  </si>
  <si>
    <t xml:space="preserve">Transmisiones especiales </t>
  </si>
  <si>
    <t>Incrementar en un 10% el número de transmisiones especiales realizadas en la vigencia 2017.</t>
  </si>
  <si>
    <t>(OE4)-3</t>
  </si>
  <si>
    <t>Ventas de productos y/o servicios de la entidad. (clientes sector privado)</t>
  </si>
  <si>
    <t>(Ingresos por ventas del mes con clientes del sector privado /Presupuesto de ventas Sector Privado proyectado para la vigencia) * 100%.</t>
  </si>
  <si>
    <t>Lograr ingresos por concepto de ventas de los clientes del sector privado por valor de $361.590.000.</t>
  </si>
  <si>
    <r>
      <rPr>
        <b/>
        <sz val="8"/>
        <rFont val="Arial"/>
        <family val="2"/>
      </rPr>
      <t>T1:</t>
    </r>
    <r>
      <rPr>
        <sz val="8"/>
        <rFont val="Arial"/>
        <family val="2"/>
      </rPr>
      <t xml:space="preserve"> Para este periodo se registran ingresos de por concepto de facturación efectuadas durante el primer trimestre, de las negociaciones efectuadas del año 2017 y 2018, realizadas por el área de Ventas y Mercadeo y la comercializadora HB Medios.
Observaciones: Atendiendo las observaciones del área de Control Interno en el informe de seguimiento al plan de acción memorando No. 1619- 2018, se hace un ajuste en la información reportada en el primer trimestre dejando la información de la facturación mensual de los servicios prestados sin IVA.
</t>
    </r>
    <r>
      <rPr>
        <b/>
        <sz val="8"/>
        <rFont val="Arial"/>
        <family val="2"/>
      </rPr>
      <t xml:space="preserve">T2: </t>
    </r>
    <r>
      <rPr>
        <sz val="8"/>
        <rFont val="Arial"/>
        <family val="2"/>
      </rPr>
      <t>Para este periodo se registran los ingresos por concepto de facturación efectuados durante el según trimestre producto de las ventas efectuadas en el 2018, realizadas por el área de Ventas y Mercadeo y la comercialización de HB Medios de los servicios de emisión de pauta publicitaria y producción de los siguientes clientes: Lotería del Meta, Universal Group, Logros Publicitarios, Glasir, Mundo Marketing, IPG Media Brans, Inversiones Kyria, Comercializadora ARVE, Go Sport Media, Universal Mccann, Prensa &amp; Entretenimiento, Estrella Grupo Empresarial, Grupo One, TV Ideas, Ideamos Publicidad.
Observaciones: Teniendo en cuenta que por indicaciones del área jurídica del Canal, el área de Ventas y Mercadeo no puede realizar gestiones comerciales (suscribir contratos, convenios y ordenes de servicio) ya que el Canal se encuentra en Ley de Garantías,  se espera que a partir de Junio reanudar  las negociaciones con las entidades privadas para lograr la meta, la información suministrada fue tomada de la facturación del trimestre teniendo en cuenta las ordenes de servicios y contratos suscritos antes de la Ley de Garantías.</t>
    </r>
  </si>
  <si>
    <t>Ventas de productos y/o servicios de la entidad. (clientes sector público).</t>
  </si>
  <si>
    <t>(Ingresos por ventas del periodo con clientes del sector público / Ingresos por ventas proyectadas para la vigencia de clientes del sector público) * 100%.</t>
  </si>
  <si>
    <t>Lograr ingresos por concepto de ventas de los clientes del sector público por valor de $5.500.000.000</t>
  </si>
  <si>
    <t>Reporte de ventas del área Comercial.
Reporte final de ventas del  área Financiera (clientes sector privados)</t>
  </si>
  <si>
    <t>Reporte de ventas del área Comercial.
Reporte final de ventas del  área Financiera (clientes sector público)</t>
  </si>
  <si>
    <r>
      <rPr>
        <b/>
        <sz val="8"/>
        <rFont val="Arial"/>
        <family val="2"/>
      </rPr>
      <t>T1:</t>
    </r>
    <r>
      <rPr>
        <sz val="8"/>
        <rFont val="Arial"/>
        <family val="2"/>
      </rPr>
      <t xml:space="preserve"> A corte del primer trimestre se generaron ingresos por concepto de facturación correspondientes a las negociaciones efectuadas en 2017 y 2018  por parte de las entidades públicas y privadas teniendo en cuenta que son gestiones comerciales y/o contratos realizados en el área de Ventas y Mercadeo.
Observaciones: Atendiendo las observaciones del área de Control Interno en el informe de seguimiento al plan de acción memorando No. 1619- 2018, se hace un ajuste en la información reportada en el primer trimestre dejando la información de la facturación mensual de los servicios prestados sin IVA.
</t>
    </r>
    <r>
      <rPr>
        <b/>
        <sz val="8"/>
        <rFont val="Arial"/>
        <family val="2"/>
      </rPr>
      <t xml:space="preserve">T2: </t>
    </r>
    <r>
      <rPr>
        <sz val="8"/>
        <rFont val="Arial"/>
        <family val="2"/>
      </rPr>
      <t>Para este periodo se registran los ingresos por concepto de facturación efectuados durante el según trimestre producto de las ventas efectuadas en el 2018, realizadas por el área de Ventas y Mercadeo de los servicios de emisión de pauta publicitaria y producción de TV de los siguientes clientes: Empresa de Telecomunicaciones de Bogotá, Secretaría de Hacienda.
Observaciones: Teniendo en cuenta que por indicaciones del área jurídica del Canal, el área de Ventas y Mercadeo no puede realizar gestiones comerciales (suscribir contratos, convenios y ordenes de servicio) ya que el Canal se encuentra en Ley de Garantías,  se espera que a partir de Junio reanudar  las negociaciones con las entidades privadas para lograr la meta, la información suministrada fue tomada de la facturación del trimestre teniendo en cuenta las ordenes de servicios y contratos suscritos antes de la Ley de Garantías.</t>
    </r>
  </si>
  <si>
    <t>Ventas de productos y/o servicios de la entidad. (clientes nuevos negocios).</t>
  </si>
  <si>
    <t>(Facturación por ventas del periodo de la línea de nuevos negocios / Facturación proyectada por ventas del periodo de la línea de nuevos negocios) * 100%.</t>
  </si>
  <si>
    <t>Facturar como mínimo $21.600 millones, que corresponden al 80% de los contratos vigentes en el 2018 cuya meta de suscripción es de $27.000.000.000 Incluido IVA, de los contratos por concepto de la línea de Nuevos Negocios.</t>
  </si>
  <si>
    <t>Registro de facturación del Apoyo Financiero de Nuevos Negocios, validado con la información de la Subdirección Financiera.</t>
  </si>
  <si>
    <r>
      <rPr>
        <b/>
        <sz val="8"/>
        <rFont val="Arial"/>
        <family val="2"/>
      </rPr>
      <t>T1:</t>
    </r>
    <r>
      <rPr>
        <sz val="8"/>
        <rFont val="Arial"/>
        <family val="2"/>
      </rPr>
      <t xml:space="preserve"> 1. En los meses de enero y febrero de 2018, se tuvieron problemas de facturación por la demora de los Clientes en la aprobación de los informes emitidos por Canal Capital y aclaraciones que quedaron subsanadas.
2. Los contratos que se manejan integralmente (Logística &amp; Ejecutiva) tienen el riesgo de disminuir la gestión de facturación.
Como acciones de mejoramiento se implementaron las siguientes medidas en el proceso:
1. Se implementó el procedimiento de Nuevos Negocios y se entrenó al equipo sobre el "Manual de Contratación, Supervisión e Interventoría"
2. Se aseguró que cada contrato tenga un ejecutivo que realice el control de calidad de los informes y la gestión de facturación, para evitar devoluciones o atrasos en los pagos.
</t>
    </r>
    <r>
      <rPr>
        <b/>
        <sz val="8"/>
        <rFont val="Arial"/>
        <family val="2"/>
      </rPr>
      <t xml:space="preserve">T2: </t>
    </r>
    <r>
      <rPr>
        <sz val="8"/>
        <rFont val="Arial"/>
        <family val="2"/>
      </rPr>
      <t>1. La ejecución del contrato con Transmilenio no se ha ejecutado con la celeridad esperada, debido a que el proceso de selección de la Agencia Creativa, requirió varios ajustes en el Brief y en los pliegos por parte del Cliente por cambio de administración y supervisión del contrato en Transmilenio.
Como acciones de mejoramiento se implementaron las siguientes medidas en el proceso:
1. Se dará agilidad al inicio de la ejecución de los nuevos contratos y concretará con los Clientes los planes de ejecución para el segundo semestre de 2018.
Para los siguientes periodos, se tendrá en cuenta lo siguiente:
1. En el siguiente periodo se estará trabajando con cada equipo para lograr facturar mínimo el 80% de lo ejecutado.
2. Se implementará el modelo de indicadores por contrato de Facturación para nuevos negocios.</t>
    </r>
  </si>
  <si>
    <t>(Número de informes emitidos / Número de informes proyectados para emitir) * 100%.</t>
  </si>
  <si>
    <t>Remitir informes mensuales a la alta dirección sobre la situación financiera de Canal Capital.</t>
  </si>
  <si>
    <r>
      <rPr>
        <b/>
        <sz val="8"/>
        <rFont val="Arial"/>
        <family val="2"/>
      </rPr>
      <t>T1:</t>
    </r>
    <r>
      <rPr>
        <sz val="8"/>
        <rFont val="Arial"/>
        <family val="2"/>
      </rPr>
      <t xml:space="preserve"> Durante el primer trimestre de la vigencia 2018, la Subdirección Financiera, entregó oportunamente a la alta gerencia mediante los memorandos No. 296 ,884 y 1057, Los informes del plan de acción correspondiente a los meses de enero, febrero y marzo, dando cumplimiento al objetivo estratégico.
Los anteriores informes corresponden al  cierre de cada mes  en donde  se refleja el estado detallado de la situación financiera, mostrando la ejecución de presupuesto de ingresos y gastos,  los estados financieros, el reportes de cartera y el estado del flujo de caja; los cuales permiten identificar si existe o no  cumplimiento de las metas proyectadas para la vigencia en materia financiera y tomar  las decisiones y directrices adecuadas para lograr una eficiencia en el  manejo de los recursos, con el fin de poder cumplir con los compromisos adquiridos al cierre de la vigencia fiscal.
</t>
    </r>
    <r>
      <rPr>
        <b/>
        <sz val="8"/>
        <rFont val="Arial"/>
        <family val="2"/>
      </rPr>
      <t xml:space="preserve">T2: </t>
    </r>
    <r>
      <rPr>
        <sz val="8"/>
        <rFont val="Arial"/>
        <family val="2"/>
      </rPr>
      <t>Durante el segundo trimestre de la vigencia 2018, la Subdirección Financiera, entregó oportunamente a la alta gerencia mediante los memorandos No. 1057 ,1556 y 1925, Los informes del plan de acción correspondiente a los meses de abril, mayo y junio, dando cumplimiento al objetivo estratégico, los cuales permiten identificar si existe o no  cumplimiento de las metas proyectadas para la vigencia en materia financiera y tomar  las decisiones y directrices adecuadas para lograr una eficiencia en el  manejo de los recursos, con el fin de poder cumplir con los compromisos adquiridos al cierre de la vigencia fiscal, dichos informes contienen los cierres mensuales los cuales  reflejan el estado detallado de la situación financiera, mostrando la ejecución de presupuesto de ingresos y gastos,  los estados financieros, el reportes de cartera y el estado del flujo de caja.</t>
    </r>
  </si>
  <si>
    <t>(% ponderado de avance en el proceso de actualización de la plataforma estratégica / 100% (plataforma actualizada))*100%.</t>
  </si>
  <si>
    <r>
      <rPr>
        <b/>
        <sz val="8"/>
        <rFont val="Arial"/>
        <family val="2"/>
      </rPr>
      <t>T1:</t>
    </r>
    <r>
      <rPr>
        <sz val="8"/>
        <rFont val="Arial"/>
        <family val="2"/>
      </rPr>
      <t xml:space="preserve"> Para el primer trimestre de la vigencia, se pondera el avance en la actualización de la plataforma estratégica en 20%, de acuerdo con los avances realizados en el periodo y que se describen a continuación:
* Se avanzó en la documentación de una propuesta de plataforma estratégica por parte de planeación, teniendo en cuenta lo requerido para la misma en las jornadas de socialización del MIPG, la revisión de la plataforma vigente y los estatutos internos de la entidad.
* Se programa realizar un ejercicio de revisión de la plataforma junto con el área misional de la entidad, con el fin de generar una propuesta que cuente con la perspectiva de la Dirección Operativa y sus diferentes Coordinaciones; El ejercicio se proyecta a realizar en el transcurso del segundo trimestre de la entidad.
* Igualmente, se programa revisión con la Secretaría General de la entidad, la cual se proyecta para el segundo trimestre de la vigencia.
Observación: El cumplimiento de esta acción está sujeta al compromiso y participación de todas las áreas de la entidad, en su participación en la propuesta de la nueva plataforma estratégica. Así mismo, para los siguientes periodos se programarán las sesiones pertinentes para revisar y mejorar las propuestas que vayan surgiendo.
</t>
    </r>
    <r>
      <rPr>
        <b/>
        <sz val="8"/>
        <rFont val="Arial"/>
        <family val="2"/>
      </rPr>
      <t xml:space="preserve">T2: </t>
    </r>
    <r>
      <rPr>
        <sz val="8"/>
        <rFont val="Arial"/>
        <family val="2"/>
      </rPr>
      <t>En el segundo trimestre se convocó desde la Secretaria General a una reunión con las áreas de la entidad que lideran procesos tanto de contenidos como de nivel administrativo y operativo, en dicha reunión se socializo con los miembros asistentes la necesidad de formular una plataforma estratégica que contemplara cada la visión de las áreas que representaban.
Ante dicha solicitud únicamente dos áreas presentaron propuestas y ellas fueron el área de planeación y la Dirección Operativa quien solicitó acompañamiento a planeación para realizar la formulación. 
Posteriormente se presentó una propuesta final de Plataforma Estratégica ante el Comité de Gestión y Desempeño y en ella se avaló la creación de dicha plataforma de manera transitoria.
Observación: Para el tercer trimestre se trabajará a partir de las observaciones generadas desde la alta dirección del Canal con el fin de consolidar y aprobar la versión final de la plataforma estratégica de la entidad.</t>
    </r>
  </si>
  <si>
    <t>Cumplimiento de las metas de la Secretaría General .</t>
  </si>
  <si>
    <t>(Porcentaje de avance de las acciones realizadas según la ponderación definida /  Total de acciones programadas)*100%.</t>
  </si>
  <si>
    <t>Lograr el cumplimiento del 100% de las metas planteadas por la  Secretaría General y sus dependencias para la vigencia 2018.</t>
  </si>
  <si>
    <t>Programa de inducción y reinducción 2018.</t>
  </si>
  <si>
    <t>(Acciones realizadas del programa de inducción y reinducción / Acciones establecidas en el programa de inducción y reinducción)*100%</t>
  </si>
  <si>
    <t>Ejecutar al menos el 85% de las acciones establecidas en el programa de inducción y reinducción.</t>
  </si>
  <si>
    <r>
      <rPr>
        <b/>
        <sz val="8"/>
        <rFont val="Arial"/>
        <family val="2"/>
      </rPr>
      <t>T1:</t>
    </r>
    <r>
      <rPr>
        <sz val="8"/>
        <rFont val="Arial"/>
        <family val="2"/>
      </rPr>
      <t xml:space="preserve"> Se realizaron inducciones en el cargo para el Jefe de Control Interno y el Director Operativo, estas inducciones se realizaron en el mes de enero de 2018
</t>
    </r>
    <r>
      <rPr>
        <b/>
        <sz val="8"/>
        <rFont val="Arial"/>
        <family val="2"/>
      </rPr>
      <t xml:space="preserve">T2: </t>
    </r>
    <r>
      <rPr>
        <sz val="8"/>
        <rFont val="Arial"/>
        <family val="2"/>
      </rPr>
      <t>En marzo estaba planeada la charla de Ambientes laborales inclusivos, no se ha podido realizar, quedando pendiente la fecha de programación por parte de la Dirección de Diversidad Sexual de la Secretaría de Planeación Distrital. En Abril se realizó una reinducción en Gestión Documental no planeada pero necesaria en retención documental y Tablas de Retención Documental, temas que son fundamentales en  la entidad  y en  junio se realizó la reinducción en seguridad informática. Adicional se está realizando una reinducción con el Departamento Administrativo del Servicio Civil Distrital, la cual no estaba planeada pero aprovechó el ofrecimiento de esta reinducción con temas muy importantes para los servidores públicos del Canal.</t>
    </r>
  </si>
  <si>
    <t>Plan de capacitación 2018.</t>
  </si>
  <si>
    <r>
      <rPr>
        <b/>
        <sz val="8"/>
        <rFont val="Arial"/>
        <family val="2"/>
      </rPr>
      <t>T1:</t>
    </r>
    <r>
      <rPr>
        <sz val="8"/>
        <rFont val="Arial"/>
        <family val="2"/>
      </rPr>
      <t xml:space="preserve"> Se realizaron las Siguientes Capacitaciones así:
1. Derechos de autor febrero
2. Gsuite  febrero
3. Responsabilidad fiscal marzo 
4. EcoConducción 02 de marzo 
5.  reforma tributaria marzo
</t>
    </r>
    <r>
      <rPr>
        <b/>
        <sz val="8"/>
        <rFont val="Arial"/>
        <family val="2"/>
      </rPr>
      <t xml:space="preserve">T2: </t>
    </r>
    <r>
      <rPr>
        <sz val="8"/>
        <rFont val="Arial"/>
        <family val="2"/>
      </rPr>
      <t>Se realizaron las Siguientes Capacitaciones así:
Marzo: Reforma tributaria, Proceso de responsabilidad fiscal y Gestión Documental.
Abril: Reglamentación con ANTV, no se ha realizado por cronograma de la ANTV, no las han programado, y la capacitación de certificación en moneda extranjera se realizó en julio por reprogramación con el capacitador y con el área. Mayo: Se realizó la capacitación de facturación electrónica, la capacitación de brigadistas,  y se adelantó la de política pública de discapacidad, porque los señores de la Secretaría no tenían agenda para junio.  Se realizó también la capacitación de Ley de transparencia programada para el mes de julio.
Abril: Se realizaron capacitaciones adicionales: 1) Gestión Interna de residuos, 2) Prevención acoso laboral y 3) Actualización en protección de los datos personales.
Mayo: se realizaron capacitaciones adicionales: 1) Manejo de residuos peligrosos y 2) Socialización Moviapp
Junio: la capacitación de excel no se realizó por falta de espacio, ya que traen computadores y la sala de capacitación está ocupada y una capacitación adicional de Brigadas de Emergencia.</t>
    </r>
  </si>
  <si>
    <t>Plan de bienestar 2018.</t>
  </si>
  <si>
    <t>Ejecutar al menos el 91% de las acciones programadas en el plan de bienestar.</t>
  </si>
  <si>
    <r>
      <rPr>
        <b/>
        <sz val="8"/>
        <rFont val="Arial"/>
        <family val="2"/>
      </rPr>
      <t>T1:</t>
    </r>
    <r>
      <rPr>
        <sz val="8"/>
        <rFont val="Arial"/>
        <family val="2"/>
      </rPr>
      <t xml:space="preserve"> En el primer trimestre se realizaron las siguientes actividades:
Visita Compensar, Día cumpleaños, Campaña Bici al Canal, Actividad prevención, Día de la Mujer, Día del Hombre, Tarjeta cumpleaños.
</t>
    </r>
    <r>
      <rPr>
        <b/>
        <sz val="8"/>
        <rFont val="Arial"/>
        <family val="2"/>
      </rPr>
      <t xml:space="preserve">T2: </t>
    </r>
    <r>
      <rPr>
        <sz val="8"/>
        <rFont val="Arial"/>
        <family val="2"/>
      </rPr>
      <t>En abril se realizaron las siguientes actividades: Día de cumpleaños, visitas empresariales, tarjeta virtual de cumpleaños, visita mensual de compensar, tiempo preciado con los bebes (sala amiga), clases de yoga, pilates o rumba, campaña en bici al canal, día de la secretaría. La caminata ecológica se reprogramó para la semana ambiental.
En mayo se realizaron las siguientes actividades: Día de cumpleaños, visitas empresariales, tarjeta virtual de cumpleaños, visita mensual de compensar, tiempo preciado con los bebes (sala amiga), clases de yoga, pilates o rumba, Campaña en bici al canal.
En junio se realizaron las siguientes actividades: Día de cumpleaños, visitas empresariales, tarjeta virtual de cumpleaños, visita mensual de compensar, tiempo preciado con los bebes (sala amiga), clases de yoga, pilates o rumba, Campaña en bici al canal, actividades de prevención y salud. No se realizó el torneo de microfútbol planeado entre junio y julio, se realizará en julio, y la tarde de cine está pendiente por confirmar con el operador la fecha. Se realizó la caminata ecológica el 16 de junio de 2018.</t>
    </r>
  </si>
  <si>
    <t>Ejecutar al 80% las acciones programadas en el plan del Subsistema de Gestión de Seguridad y Salud en el Trabajo -SGSST-</t>
  </si>
  <si>
    <r>
      <rPr>
        <b/>
        <sz val="8"/>
        <rFont val="Arial"/>
        <family val="2"/>
      </rPr>
      <t>T1:</t>
    </r>
    <r>
      <rPr>
        <sz val="8"/>
        <rFont val="Arial"/>
        <family val="2"/>
      </rPr>
      <t xml:space="preserve"> Dando cumplimiento a las fases establecidas en la resolución 1111 de 2017, las actividades del SG-SST para el 2018 están fundamentadas en la evaluación inicial y el plan de mejoramiento, Este trimestre en conjunto con la ARL las actividades se enfocaron en la estructuración documental del Subsistema.
Enero: Autoevaluación inicial – Plan de mejoramiento.
Febrero: Identificación de riesgos prioritarios y caracterización de los colaboradores que se encuentran expuestos (programa de prevención contra caídas y programa de riesgo químico - Coordinación con ARL plan de trabajo).
Marzo: Estructuración documental -  Estrategia de comunicaciones notas saludables - Reuniones del Copasst y comité de convivencia laboral – Actividades ARL (reclasificación de contratistas – capacitaciones – Jornadas saludables).
Las obligaciones relacionadas con la seguridad y salud en el trabajo deben estar incluidas dentro del contrato de los contratistas, se realiza reunión con el área jurídica para que dichas obligaciones aparezcan para los futuros contratos.
La actividad no ejecutada fue socializada en la entidad varias veces con el objetivo de obtener la información, la respuesta al diligenciamiento no ha sido relevante se realizará mayor socialización para poder cumplir con la meta trazada.
</t>
    </r>
    <r>
      <rPr>
        <b/>
        <sz val="8"/>
        <rFont val="Arial"/>
        <family val="2"/>
      </rPr>
      <t xml:space="preserve">T2: </t>
    </r>
    <r>
      <rPr>
        <sz val="8"/>
        <rFont val="Arial"/>
        <family val="2"/>
      </rPr>
      <t>En el segundo trimestre se realizaron las siguientes actividades:
• Actualización documentación del SG-SST
• Quedo realizado con corte a Junio 30-2018 el levantamiento perfil sociodemográfico de la totalidad del contratistas.
• 2 jornadas de alimentación saludable.
• Divulgación de notas saludables a través de correo institucional y televisores. 
• Actividades de prevención, cuidado de la piel, cuidado de los ojos, manejo del estrés.
• Se realizaron 3 reuniones del COPASST  (abril – mayo – junio) 
• Elección y conformación del COPASST (2018 - 2020)
• Se realizó reunión del comité de convivencia laboral correspondiente al segundo trimestre del 2018.
• Obra de teatro difundiendo conceptos de acoso laboral.
• Gestionar todas las actividades correspondientes a reinversión de aportes con la ARL (Pausas activas- Sensibilización sustancias químicas – Conceptos técnicos referentes al SG – SST).
• Gestión de capacitación y formación de forma gratuita en trabajo seguro en alturas para los contratistas del Canal por intermedio del SENA.
• Se realizó 2 investigaciones de accidente de trabajo y sus correspondientes procedimientos.
Teniendo en cuentas las dificultades presentadas durante el trimestre anterior para el levantamiento de información y diligenciamiento del perfil sociodemográfico de contratistas, para este periodo se planteó la estrategia de realizar este trabajo de forma conjunta con la afiliación a la ARL, esta estrategia debe ser aplicada en los futuros procesos de contratación.</t>
    </r>
  </si>
  <si>
    <t>(Acciones realizadas del Plan Institucional de Gestión Ambiental, PIGA / Acciones programadas del Plan Institucional de Gestión Ambiental, PIGA) * 100%.</t>
  </si>
  <si>
    <t>Ejecutar al menos el 95% de las acciones programadas en el Plan Institucional de Gestión Ambiental – PIGA.</t>
  </si>
  <si>
    <r>
      <rPr>
        <b/>
        <sz val="8"/>
        <rFont val="Arial"/>
        <family val="2"/>
      </rPr>
      <t>T1:</t>
    </r>
    <r>
      <rPr>
        <sz val="8"/>
        <rFont val="Arial"/>
        <family val="2"/>
      </rPr>
      <t xml:space="preserve"> En el primer trimestre del año 2018 se adelantaron actividades enfocadas en la divulgación de información de piezas comunicativas asociadas al cuidado del agua y la energía a través del correo institucional del Canal; así mismo se adelantó el inventario de sistemas hidrosanitarios del Canal en el cual se identificó la cantidad de puntos de agua con sistema ahorrador así como el estado de funcionamiento de los mismos. Con el apoyo del programa de Seguridad y Salud en el Trabajo - SST se realizó la primera charla sobre manejo de sustancias peligrosas, la cual apunta al cumplimiento de la meta de Gestión de Residuos Peligrosos del Canal.  Respecto al programa de compras, en el mes de marzo se realizó la socialización de las herramientas actuales enfocadas a promover prácticas institucionales ambientalmente adecuadas respecto a la contratación de bienes y servicios del Canal. Finalmente se remitió el Plan Integral de Movilidad Sostenible - PIMS del Canal a la Secretaría de Movilidad quedando pendiente el visto bueno de dicha entidad para la aprobación interna del documento en mención.  
Nota: Es importante tener en cuenta que para el segundo semestre del año 2018 las acciones tendrán un seguimiento nuevo teniendo en cuenta el ajuste de algunas actividades y metas según las observaciones planteadas por la Secretaría Distrital de Ambiente, si bien esto no impacta el avance si puede representar una variación respecto a lo reportado para el primer trimestre del año.
Como oportunidades de mejora para el periodo, fueron definidas las siguientes:
- Se plantearán seguimientos acumulados del primer y segundo trimestre teniendo en cuenta la facturación entregada por la administración del edificio.
- Los informes sobre los cuales no se ha entregado reporte serán presentados entre los meses de abril y mayo. 
- Las capacitaciones asociadas al manejo de residuos no peligrosos se realizará en el segundo trimestre del año.
- En el mes de abril se presentó un ajuste al Plan de Acción el cual entrará en vigencia a partir del mes de mayo del año en curso en el cual se tuvieron en cuenta las observaciones establecidas por la Secretaría Distrital de Ambiente.
</t>
    </r>
    <r>
      <rPr>
        <b/>
        <sz val="8"/>
        <rFont val="Arial"/>
        <family val="2"/>
      </rPr>
      <t xml:space="preserve">T2: </t>
    </r>
    <r>
      <rPr>
        <sz val="8"/>
        <rFont val="Arial"/>
        <family val="2"/>
      </rPr>
      <t>Para  el segundo trimestre se dio continuidad con las actividades asociadas a la Gestión Ambiental en el Marco del Plan de Acción del PIGA, teniendo en cuenta las observaciones generales emitidas por la Secretaría Distrital de Ambiente finalizando el segundo trimestre del año se cambiaron el número general de acciones de algunos de los programas teniendo en cuenta que las ya planteadas presentaban inconsistencias para su seguimiento. De esta forma se desarrollaron las siguientes actividades en el marco del fortalecimiento del PIGA 2018:  
Se realizó la publicación de piezas comunicativas enfocadas en el ahorro y uso eficiente de agua y energía a través de correo institucional, se realizó el inventario de sistemas hidrosanitarios identificando la cantidad de puntos de agua con sistemas ahorradores así como el estado de funcionamiento de todos los puntos de agua. Frente al programa de Gestión de Residuos se realizó la actualización al Plan de Gestión Integral de Residuos Peligrosos y se realizaron actividades asociadas a la gestión adecuada de los mismos dirigidas al personal encargado de la manipulación de sustancias peligrosos así como a la disposición adecuada de RESPEL.
Por otro lado respecto a la implementación de buenas prácticas sostenibles, se adelantaron jornadas de movilidad sostenible asociadas a la estrategia de movilidad del distrito, se elaboró el Plan Integral de Movilidad Sostenible del Canal y el mismo se encuentra en proceso de implementación.
Finalmente en el mes de junio se realizó la semana Ambiental en el mes de junio entre el 1 y el 8 de junio con el cierre de actividad el día 16 de junio con la salida ecológica a la alguna el tabacal en el municipio de la Vega.
Como oportunidades de mejora para el periodo, fueron definidas las siguientes:
- Reforzar las capacitaciones al personal por parte de la Secretaria Distrital de Ambiente.
- Promoción institucional del uso de la bicicleta - coordinación con el área de prensa.
- Coordinación con personal de aseo y cafetería  manejo den residuos y limpieza de archivo.
- Actualización de documentos ambientales.</t>
    </r>
  </si>
  <si>
    <t>Servicios atendidos para los sistemas de información.</t>
  </si>
  <si>
    <t>Gestión de recursos y administración de la información - Subsistema de Gestión de Seguridad de la Información -SGSI-</t>
  </si>
  <si>
    <t>(Servicios solicitados / servicios atendidos) * 100%</t>
  </si>
  <si>
    <t>Garantizar la atención de requerimientos de soporte presentados vía GLPI, así como gestionar los requerimientos según formato de solicitud de servicios TIC AGRI-SI-FT-029, garantizando un porcentaje de cumplimiento superior al 90% para cada uno de los trimestres</t>
  </si>
  <si>
    <r>
      <rPr>
        <b/>
        <sz val="8"/>
        <rFont val="Arial"/>
        <family val="2"/>
      </rPr>
      <t>T1:</t>
    </r>
    <r>
      <rPr>
        <sz val="8"/>
        <rFont val="Arial"/>
        <family val="2"/>
      </rPr>
      <t xml:space="preserve"> Se realizó un total de 342 solicitudes de servicios tic en el trimestre, de los cuales se destacan el anexo de unidades de red, acceso a carpetas compartidas, carnetización entre otros, sin denotar debilidades del proceso más allá de la posibilidad de digitalizar os formatos requeridos.
Se propone como acción para la mejora construir formularios digitales que minimicen el consumo de papel y el archivo físico del área referente a las solicitudes tic generadas.
</t>
    </r>
    <r>
      <rPr>
        <b/>
        <sz val="8"/>
        <rFont val="Arial"/>
        <family val="2"/>
      </rPr>
      <t xml:space="preserve">T2: </t>
    </r>
    <r>
      <rPr>
        <sz val="8"/>
        <rFont val="Arial"/>
        <family val="2"/>
      </rPr>
      <t>Se realizó un total de 933 solicitudes de servicios tic en el trimestre, de los cuales se destacan las solicitudes de carga de videos y recursos para el área misional que se realizaban por correo electrónico y eran de difícil seguimiento. Como acción para la mejora se creó un perfil de usuario en GLPI para el soporte del área técnica donde se incluyen los servicios de solicitud de descarga y conversión de videos.</t>
    </r>
  </si>
  <si>
    <t>Cumplimiento del cronograma de mantenimiento preventivo de equipos de cómputo - 2018</t>
  </si>
  <si>
    <t>(Mantenimientos preventivos  realizados / mantenimientos preventivos programados) * 100%.</t>
  </si>
  <si>
    <r>
      <rPr>
        <b/>
        <sz val="8"/>
        <rFont val="Arial"/>
        <family val="2"/>
      </rPr>
      <t>T1:</t>
    </r>
    <r>
      <rPr>
        <sz val="8"/>
        <rFont val="Arial"/>
        <family val="2"/>
      </rPr>
      <t xml:space="preserve"> Se contrató el servicio profesional de mantenimiento a equipos de cómputo y DataCenter en el cual se incluye 3 mantenimientos preventivos de equipos e impresoras por año, y los requeridos orientados al mantenimiento correctivo de ser necesario. Con corte al I trimestre se realizaron 2 mantenimientos: 1 preventivo y 1 correctivo de DataCenter y VMWare. Como acción para la mejora, es necesario incluir dentro de este tipo de contratos bolsas de repuestos y dispositivos con los cuales se presente la oportunidad de un servicio más eficiente en el momento de requerir mantenimientos de carácter correctivo.
</t>
    </r>
    <r>
      <rPr>
        <b/>
        <sz val="8"/>
        <rFont val="Arial"/>
        <family val="2"/>
      </rPr>
      <t xml:space="preserve">T2: </t>
    </r>
    <r>
      <rPr>
        <sz val="8"/>
        <rFont val="Arial"/>
        <family val="2"/>
      </rPr>
      <t>No se realizaron mantenimientos debido a que se tienen programados para el segundo semestre. Como acción para la mejora, es necesario incluir dentro de este tipo de contratos bolsas de repuestos y dispositivos con los cuales se presente la oportunidad de un servicio más eficiente en el momento de requerir mantenimientos de carácter correctivo.</t>
    </r>
  </si>
  <si>
    <t>Dar cumplimiento al 90% de las actividades formuladas en el plan de mejoramiento archivístico para la vigencia 2018.</t>
  </si>
  <si>
    <t>Plan de mantenimiento locativo 2018.</t>
  </si>
  <si>
    <t>Ejecutar al menos el 90% de las acciones programadas en el plan de mantenimiento locativo para la vigencia de 2018.</t>
  </si>
  <si>
    <t>Plan de mantenimientos locativos 2018</t>
  </si>
  <si>
    <r>
      <rPr>
        <b/>
        <sz val="8"/>
        <rFont val="Arial"/>
        <family val="2"/>
      </rPr>
      <t>T1:</t>
    </r>
    <r>
      <rPr>
        <sz val="8"/>
        <rFont val="Arial"/>
        <family val="2"/>
      </rPr>
      <t xml:space="preserve"> Se realizó el mantenimiento de acuerdo al Cronograma 2018 se tenían programadas 8 actividades, las cuales fueron realizadas de manera adecuada.
Se realizaron las siguientes actividades.
1. Mantenimiento Pintura.
2. Mantenimiento Luminarias. 
3. Mantenimiento Baños.
4. Mantenimiento Sillas.
 5. Revisión de Goteras.
Se vienen ejecutando actividades en el I Trimestre con el objetivo de cumplir con las metas establecidas  en cronograma planteado para el año 2018.
</t>
    </r>
    <r>
      <rPr>
        <b/>
        <sz val="8"/>
        <rFont val="Arial"/>
        <family val="2"/>
      </rPr>
      <t xml:space="preserve">T2: </t>
    </r>
    <r>
      <rPr>
        <sz val="8"/>
        <rFont val="Arial"/>
        <family val="2"/>
      </rPr>
      <t>Se realizó el mantenimiento de acuerdo al Cronograma 2018 se tenían programadas 13 actividades, las cuales fueron realizadas de manera adecuada.
Se realizaron las siguientes actividades.
1. Revisión Luminarias (3)
2. Mantenimiento Orinales  (1)
3. Mantenimiento Sillas (2)
4. Mantenimiento Goteras - (3)
5. Limpieza de Cielo Razo - (4)
Se vienen ejecutando actividades en el II Trimestre con el objetivo de cumplir con las metas establecidas  en cronograma planteado para el año 2018.</t>
    </r>
  </si>
  <si>
    <t>(OE5)-13</t>
  </si>
  <si>
    <t>Control de inventarios 2018.</t>
  </si>
  <si>
    <t>(Número de tomas físicas de inventario realizadas / Número de tomas físicas de inventario programadas) * 100%.</t>
  </si>
  <si>
    <t>Realizar el 92% de las tomas físicas de inventarios programadas para la vigencia 2018.</t>
  </si>
  <si>
    <t>Cronograma de Inventarios 2018</t>
  </si>
  <si>
    <r>
      <rPr>
        <b/>
        <sz val="8"/>
        <rFont val="Arial"/>
        <family val="2"/>
      </rPr>
      <t>T1:</t>
    </r>
    <r>
      <rPr>
        <sz val="8"/>
        <rFont val="Arial"/>
        <family val="2"/>
      </rPr>
      <t xml:space="preserve"> Según el cronograma se tenía establecido, se realizó la  toma física de inventarios al área Administrativa.
De igual forma se realizaron toma física a otras áreas debido a la rotación del personal así:
1. Producción
2. Redacción 1
3. Redacción 2
4. Área Jurídica
5. Archivo
Se vienen ejecutando actividades en el I Trimestre con el objetivo de cumplir con las metas establecidas  en cronograma planteado para el año 2018.
En este trimestre se adelantó la toma física de Inventarios debido a la Rotación del personal.
</t>
    </r>
    <r>
      <rPr>
        <b/>
        <sz val="8"/>
        <rFont val="Arial"/>
        <family val="2"/>
      </rPr>
      <t xml:space="preserve">T2: </t>
    </r>
    <r>
      <rPr>
        <sz val="8"/>
        <rFont val="Arial"/>
        <family val="2"/>
      </rPr>
      <t>Según el cronograma se tenía establecido, se realizó la  toma física de inventarios a las siguientes áreas:
1. Equipos móviles - Producción
2. Equipos móviles  - Técnica
3. Coordinación de producción
4. Centro de Cómputo
5. Graficación  
6. Oficina Jefe de emisión.
Se vienen ejecutando actividades en el I Trimestre con el objetivo de cumplir con las metas establecidas  en cronograma planteado para el año 2018.
En este trimestre se adelantó la toma física de Inventarios debido a la Rotación del personal.</t>
    </r>
  </si>
  <si>
    <t>(OE5)-14</t>
  </si>
  <si>
    <t>Cumplimiento del Plan Anual de Auditorías.</t>
  </si>
  <si>
    <t>(Número de actividades cumplidas del Plan Anual de Auditorías a la fecha de corte / Número de actividades planeadas en el Plan Anual de Auditorías a la fecha de corte)*100%.</t>
  </si>
  <si>
    <t>Cumplir con el 94% de las actividades programadas, incluidas todas las actividades adicionales que puedan surgir durante la vigencia.</t>
  </si>
  <si>
    <r>
      <rPr>
        <b/>
        <sz val="8"/>
        <rFont val="Arial"/>
        <family val="2"/>
      </rPr>
      <t>T1:</t>
    </r>
    <r>
      <rPr>
        <sz val="8"/>
        <rFont val="Arial"/>
        <family val="2"/>
      </rPr>
      <t xml:space="preserve"> El cumplimiento del PAA 2018 para el primer trimestre alcanzó el 90,91%. EL PAA aporta al cumplimiento de la meta propuesta toda vez que las evaluaciones adelantadas desde la Oficina de Control Interno detectan las debilidades del sistema y permite la generación de acciones de mejora del mismo sistema. De las actividades programadas en el Plan Anual de Auditorías con corte a marzo de 2018, de un total de 22 se realizaron 20.
Se han propuesto ajustes en las actividades formuladas en el PAA, enfocando su propósito hacía los proceso que tienen un nivel de riesgo más significativo, razón por la cual, al inicio del mes de abril se presentó ante el Comité Institucional de Coordinación de Control Interno una segunda versión del citado plan.
</t>
    </r>
    <r>
      <rPr>
        <b/>
        <sz val="8"/>
        <rFont val="Arial"/>
        <family val="2"/>
      </rPr>
      <t xml:space="preserve">T2: </t>
    </r>
    <r>
      <rPr>
        <sz val="8"/>
        <rFont val="Arial"/>
        <family val="2"/>
      </rPr>
      <t>En cumplimiento del PAA 2018v2  para el segundo trimestre alcanzó un cumplimiento del 92.11% de las actividades programadas.  EL PAA aporta al cumplimiento de la meta propuesta toda vez que las evaluaciones adelantadas desde la Oficina de Control Interno detectan las debilidades del sistema y permite la generación de acciones de mejora del mismo.  De las actividades programadas en el Plan Anual de Auditorías con corte a junio de 2018, de un total de 38 actividades se realizaron 35.
A continuación se relacionan las dificultades presentadas en el periodo reportado:
1. Auditoría de  Gestión de Recursos – Admon. Información (Administración de Activos): No se ha realizado el informe final, teniendo en cuenta  que se presentaron retrasos respecto a la ejecución de la prueba de verificación de elementos en proceso de baja, lo cual se manifiesta mediante correo electrónico del 21 de junio de 2018 remitido al Subdirector Administrativo se indicó lo siguiente: "De acuerdo a lo conversado telefónicamente el día de hoy frente a las actividades finales de la auditoría programada por control interno al proceso de Gestión de Recursos Físicos y Administración de la Información el cual usted lidera, y conforme a las diversas situaciones que se han venido presentando frente al traslado y organización de los elementos en proceso de baja, los cuales han derivado en retrasos frente a la ejecución de la prueba de verificación de dichos elementos"(subrayado fuera de texto). De conformidad con lo anterior, se está realizando el informe preliminar de auditoría.
2. Auditoría Comercialización - Nuevos Negocios: Se encuentra en proceso el informe preliminar teniendo en cuenta el volumen y complejidad de la información, por lo cual se  requirió un análisis adicional.
3. Informe de seguimiento a las funciones del Comité de Conciliación: A la fecha no se ha recibido la información para realizar el informe, a pesar de que  se realizó solicitud de la misma mediante memorando 1511 del 13 de junio de 2018. Adicional mediante correo electrónico del 25 de junio se reitera la solicitud de información sin recibir respuesta.</t>
    </r>
  </si>
  <si>
    <t>(OE5)-15</t>
  </si>
  <si>
    <t>(OE4)-4</t>
  </si>
  <si>
    <t>Cumplimiento de acciones del Plan de Mejoramiento por procesos.</t>
  </si>
  <si>
    <t>(Número de acciones cerradas con fecha vencida del Plan de Mejoramiento por procesos a la fecha de corte / Número de acciones vencidas con estado abierto del Plan de Mejoramiento por procesos a la fecha de corte)*100%.</t>
  </si>
  <si>
    <t>Cumplir el 70% de las acciones formuladas en plan de mejoramiento cuya fecha de finalización se encuentre prevista a la fecha de corte de seguimiento.</t>
  </si>
  <si>
    <r>
      <rPr>
        <b/>
        <sz val="8"/>
        <rFont val="Arial"/>
        <family val="2"/>
      </rPr>
      <t>T1:</t>
    </r>
    <r>
      <rPr>
        <sz val="8"/>
        <rFont val="Arial"/>
        <family val="2"/>
      </rPr>
      <t xml:space="preserve"> Resultado de los análisis internos frente a la carga de actividades del equipo de la Oficina y el enfoque para una generación de valor a las actividades del Canal, se realizó una reformulación de la periodicidad de los seguimientos a las acciones del plan de mejoramiento pasando de seguimientos trimestrales a seguimientos cuatrimestrales, por lo cual en el periodo evaluado no se cuenta con la medición del indicador solicitado.
</t>
    </r>
    <r>
      <rPr>
        <b/>
        <sz val="8"/>
        <rFont val="Arial"/>
        <family val="2"/>
      </rPr>
      <t xml:space="preserve">T2: </t>
    </r>
    <r>
      <rPr>
        <sz val="8"/>
        <rFont val="Arial"/>
        <family val="2"/>
      </rPr>
      <t>Resultado del "informe primer seguimiento al plan de mejoramiento por procesos vigencia 2018" y la matriz de plan de mejoramiento,  se pudo establecer que las acciones vencidas con estado abierto, es decir aquellas que tenían como fecha de terminación hasta abril de la presente vigencia eran 34 cerrándose 12 de ellas para la fecha de reporte.
Con las áreas que tenían acciones de mejoramiento próximas a vencerse se realizó un ejercicio de revisión de tiempos de ejecución y reformulación de las actividades planteadas, con la finalidad de actualizar este plan, así mismo, se realizó el instructivo "Administración de acciones correctivas, preventivas y de mejoramiento" correspondiente al diligenciamiento del formato, actualmente el equipo de la OCI se encuentra trabajando el desarrollo de una circular que oriente a los líderes de proceso en la formulación y ejecución de los Planes de Mejoramiento.</t>
    </r>
  </si>
  <si>
    <t>Archivo denominado "Seguimiento al Plan Anual de Auditorías", que contiene la calificación de cada una de las actividades, así como las escalas de medición definidas</t>
  </si>
  <si>
    <t>Informes de Seguimiento al Plan de mejoramiento por procesos y la matriz de seguimiento al Plan de Mejoramiento por procesos</t>
  </si>
  <si>
    <t>Modelo Integrado de Planeación y Gestión - MIPG</t>
  </si>
  <si>
    <t>(Número de actividades ejecutadas en el periodo para la implementación del MIPG. / Número de actividades programadas en el periodo para la implementación del MIPG.) * 100%</t>
  </si>
  <si>
    <t>Cumplir con el 100% de las actividades incluidas en el plan de trabajo del área para la implementación del Modelo Integrado de Planeación y Gestión MIPG.</t>
  </si>
  <si>
    <r>
      <rPr>
        <b/>
        <sz val="8"/>
        <color theme="1"/>
        <rFont val="Arial"/>
        <family val="2"/>
      </rPr>
      <t>T1:</t>
    </r>
    <r>
      <rPr>
        <sz val="8"/>
        <color theme="1"/>
        <rFont val="Arial"/>
        <family val="2"/>
      </rPr>
      <t xml:space="preserve"> Para el trimestre 1 se programaron y realizaron 3 actividades respecto a la implementación del MIPG, de acuerdo con el plan de trabajo del área, las cuales se describen a continuación:
1. Mesa de trabajo con el equipo de Planeación - revisión de diagnóstico inicial FURAG II - MIPG y acciones a implementar, revisión de la segunda dimensión del modelo: Direccionamiento estratégico y Planeación  
2. Modificación Resolución 036 de 2015 teniendo en cuenta los lineamientos definidos en el Modelo Integrado de Planeación y gestión respecto al comité institucional de Gestión y desempeño y demás acciones de Gestión 
3. Reconocimiento del decreto 1499 de 2017 al interior de la entidad (reuniones con los equipos de trabajo responsables del MIPG).
Así mismo, los profesionales del área participaron en las diferentes jornadas de socialización y capacitación en los elementos del modelo.
Dar continuidad a la implementación del MIPG, de acuerdo con el plan de trabajo definido a nivel interno y los lineamientos que se den por parte de las entidades del orden nacional y territorial para este fin.
</t>
    </r>
    <r>
      <rPr>
        <b/>
        <sz val="8"/>
        <color theme="1"/>
        <rFont val="Arial"/>
        <family val="2"/>
      </rPr>
      <t>T2:</t>
    </r>
    <r>
      <rPr>
        <sz val="8"/>
        <color theme="1"/>
        <rFont val="Arial"/>
        <family val="2"/>
      </rPr>
      <t>De acuerdo con las actividades establecidas en el Plan de Trabajo del area, se cuenta con el siguiente estado de avance para el periodo: 
1. Se realizó el diligenciamiento de los autodiagnósticos de las 15 políticas operativas del MIPG (100%) 
2. Se avanzó en la consolidación del informe a partir de los resultados de los autodiagnósticos realizados (60%) 
3. Se realizó el primer Comité Institucional de Gestión y Desempeño en el cual se presentó la Resolucipon 040 de 2018,  la propuesta de plataforma estratégica, el informe de PQRS, y el Sistema Integrado de Conservación (100%)
4. Se avanzó en la integración de Planes Institucionales en cumplimiento del Decreto 612 de 2018 del DAFP (70%)
Así mismo, los profesionales del área participaron en las diferentes jornadas de socialización y capacitación en los elementos del modelo.
Como acción para la mejora, se proyecta dar continuidad a la implementación del MIPG, de acuerdo con el plan de trabajo definido a nivel interno y los lineamientos que se den por parte de las entidades del orden nacional y territorial para este fin.
Se relizará la revisión de la Resolución 040 de 2018 atendiendo los lineamientos de la DDDI de la Alcaldía Mayor de Bogotá.</t>
    </r>
  </si>
  <si>
    <r>
      <rPr>
        <b/>
        <sz val="8"/>
        <color theme="1"/>
        <rFont val="Arial"/>
        <family val="2"/>
      </rPr>
      <t>T1:</t>
    </r>
    <r>
      <rPr>
        <sz val="8"/>
        <color theme="1"/>
        <rFont val="Arial"/>
        <family val="2"/>
      </rPr>
      <t xml:space="preserve"> 
</t>
    </r>
    <r>
      <rPr>
        <b/>
        <sz val="8"/>
        <color theme="1"/>
        <rFont val="Arial"/>
        <family val="2"/>
      </rPr>
      <t>T2:</t>
    </r>
    <r>
      <rPr>
        <sz val="8"/>
        <color theme="1"/>
        <rFont val="Arial"/>
        <family val="2"/>
      </rPr>
      <t xml:space="preserve"> </t>
    </r>
  </si>
  <si>
    <t>Ejecutar al ciento por ciento, los recursos provenientes de la Autoridad Nacional de Televisión -ANTV- de acuerdo con el plan de inversión 2018 aprobado por este ente.</t>
  </si>
  <si>
    <r>
      <rPr>
        <b/>
        <sz val="8"/>
        <color theme="1"/>
        <rFont val="Arial"/>
        <family val="2"/>
      </rPr>
      <t>T1:</t>
    </r>
    <r>
      <rPr>
        <sz val="8"/>
        <color theme="1"/>
        <rFont val="Arial"/>
        <family val="2"/>
      </rPr>
      <t xml:space="preserve"> Como consecuencia del periodo de ley de garantías, para el primer trimestre del año se realizó el proceso de contratación directa para los procesos de transmisiones especiales y del Sistema informativo; quedando pendiente para el segundo trimestre la realización de los procesos de convocatoria pública para minorias y el proyecto conectados.
Dar continuidad a la ejecución de recursos de la Autoridad Nacional de Televisión ANTV de acuerdo con lo programado en el plan de inversiones de la vigencia.
</t>
    </r>
    <r>
      <rPr>
        <b/>
        <sz val="8"/>
        <color theme="1"/>
        <rFont val="Arial"/>
        <family val="2"/>
      </rPr>
      <t>T2:</t>
    </r>
    <r>
      <rPr>
        <sz val="8"/>
        <color theme="1"/>
        <rFont val="Arial"/>
        <family val="2"/>
      </rPr>
      <t xml:space="preserve"> En el segundo trimestre del año la ley de garantías finalizó el 17 de junio y solo hubo 2 contratos en este periodo, adicionalmente gastos de desplazamiento para la producción del especial del mundial. Los procesos de convocatorias tuvieron modificación en los pliegos y no se alcanzó a adjudicar, quedando pendiente para el tercer trimestre.
Dar continuidad a la ejecución de recursos de la Autoridad Nacional de Televisión ANTV de acuerdo con lo programado en el plan de inversiones de la vigencia.</t>
    </r>
  </si>
  <si>
    <r>
      <rPr>
        <b/>
        <sz val="8"/>
        <color theme="1"/>
        <rFont val="Arial"/>
        <family val="2"/>
      </rPr>
      <t>T1:</t>
    </r>
    <r>
      <rPr>
        <sz val="8"/>
        <color theme="1"/>
        <rFont val="Arial"/>
        <family val="2"/>
      </rPr>
      <t xml:space="preserve"> Para el reporte del primer trimestre, sobre el seguimiento a los recursos del proyecto de inversión se tiene en cuenta la ejecución del proyecto de televisión publica financiado por antv. En el proyecto de Infraestructura se hizo la adquisición de la actualización del sistema de automatización y en el proyecto de Modernización se hizo la contratación por 6 meses del personal encargado de la implementación de los diferentes sistemas de gestión.
</t>
    </r>
    <r>
      <rPr>
        <b/>
        <sz val="8"/>
        <color theme="1"/>
        <rFont val="Arial"/>
        <family val="2"/>
      </rPr>
      <t>T2:</t>
    </r>
    <r>
      <rPr>
        <sz val="8"/>
        <color theme="1"/>
        <rFont val="Arial"/>
        <family val="2"/>
      </rPr>
      <t xml:space="preserve"> La ejecución de los proyectos de inversión en el segundo trimestre se realizó en el proyecto financiado con recursos de la ANTV, ya que para el proyecto de modernización institucional los contratos iniciales fueron a 6 meses los cuales se manteinen en el presente periodo. la variación se da teniendo en cuenta la finalización de la ley de garantías en junio 17.</t>
    </r>
  </si>
  <si>
    <t>Lograr la implementación del 100% del plan para la vigencia</t>
  </si>
  <si>
    <r>
      <rPr>
        <b/>
        <sz val="8"/>
        <color theme="1"/>
        <rFont val="Arial"/>
        <family val="2"/>
      </rPr>
      <t>T1:</t>
    </r>
    <r>
      <rPr>
        <sz val="8"/>
        <color theme="1"/>
        <rFont val="Arial"/>
        <family val="2"/>
      </rPr>
      <t xml:space="preserve"> El plan de comunicaciones se ha cumplido a cabalidad.
</t>
    </r>
    <r>
      <rPr>
        <b/>
        <sz val="8"/>
        <color theme="1"/>
        <rFont val="Arial"/>
        <family val="2"/>
      </rPr>
      <t>T2:</t>
    </r>
    <r>
      <rPr>
        <sz val="8"/>
        <color theme="1"/>
        <rFont val="Arial"/>
        <family val="2"/>
      </rPr>
      <t xml:space="preserve"> Se han desarrollado todas las actividades descritas en el plan de comunicación.</t>
    </r>
  </si>
  <si>
    <t>Publicación de requerimientos en los boletines y carteleras, de acuerdo a los requerimientos de las áreas</t>
  </si>
  <si>
    <r>
      <rPr>
        <b/>
        <sz val="8"/>
        <color theme="1"/>
        <rFont val="Arial"/>
        <family val="2"/>
      </rPr>
      <t>T1:</t>
    </r>
    <r>
      <rPr>
        <sz val="8"/>
        <color theme="1"/>
        <rFont val="Arial"/>
        <family val="2"/>
      </rPr>
      <t xml:space="preserve"> Se ha cumplido con todos los requerimientos de comunicación interna que se realizan en las diferentes áreas del canal a la mayor brevedad posible.
</t>
    </r>
    <r>
      <rPr>
        <b/>
        <sz val="8"/>
        <color theme="1"/>
        <rFont val="Arial"/>
        <family val="2"/>
      </rPr>
      <t>T2:</t>
    </r>
    <r>
      <rPr>
        <sz val="8"/>
        <color theme="1"/>
        <rFont val="Arial"/>
        <family val="2"/>
      </rPr>
      <t xml:space="preserve"> Se han enviado todos los requerimientos realizados a la oficina de prensa y comunicaciones tanto de Canal Capital como de las otras entidades del distrito.</t>
    </r>
  </si>
  <si>
    <r>
      <rPr>
        <b/>
        <sz val="8"/>
        <color theme="1"/>
        <rFont val="Arial"/>
        <family val="2"/>
      </rPr>
      <t>T1:</t>
    </r>
    <r>
      <rPr>
        <sz val="8"/>
        <color theme="1"/>
        <rFont val="Arial"/>
        <family val="2"/>
      </rPr>
      <t xml:space="preserve"> Los anteriores datos son tomados del informe entregado trimestralmente a la ANTV. Contamos con 990 emisiones de programas con contenido infantil.
</t>
    </r>
    <r>
      <rPr>
        <b/>
        <sz val="8"/>
        <color theme="1"/>
        <rFont val="Arial"/>
        <family val="2"/>
      </rPr>
      <t>T2:</t>
    </r>
    <r>
      <rPr>
        <sz val="8"/>
        <color theme="1"/>
        <rFont val="Arial"/>
        <family val="2"/>
      </rPr>
      <t xml:space="preserve"> Los anteriores datos son tomados del informe entregado trimestralmente a la ANTV. Contamos con 695 emisiones de programas con contenido infantil.</t>
    </r>
  </si>
  <si>
    <r>
      <rPr>
        <b/>
        <sz val="8"/>
        <color theme="1"/>
        <rFont val="Arial"/>
        <family val="2"/>
      </rPr>
      <t>T1:</t>
    </r>
    <r>
      <rPr>
        <sz val="8"/>
        <color theme="1"/>
        <rFont val="Arial"/>
        <family val="2"/>
      </rPr>
      <t xml:space="preserve"> Los anteriores datos son tomados del informe entregado trimestralmente a la ANTV. Contamos con 2.416 emisiones de programas con contenido para adolescentes.
</t>
    </r>
    <r>
      <rPr>
        <b/>
        <sz val="8"/>
        <color theme="1"/>
        <rFont val="Arial"/>
        <family val="2"/>
      </rPr>
      <t>T2:</t>
    </r>
    <r>
      <rPr>
        <sz val="8"/>
        <color theme="1"/>
        <rFont val="Arial"/>
        <family val="2"/>
      </rPr>
      <t xml:space="preserve"> Los anteriores datos son tomados del informe entregado trimestralmente a la ANTV. Contamos con 2.939 emisiones de programas con contenido para adolescentes.</t>
    </r>
  </si>
  <si>
    <r>
      <rPr>
        <b/>
        <sz val="8"/>
        <color theme="1"/>
        <rFont val="Arial"/>
        <family val="2"/>
      </rPr>
      <t>T1:</t>
    </r>
    <r>
      <rPr>
        <sz val="8"/>
        <color theme="1"/>
        <rFont val="Arial"/>
        <family val="2"/>
      </rPr>
      <t xml:space="preserve"> Por requerimiento de la ANTV, el 100% de la programación deben contar con el sistema de acceso Closed Caption, por ende los datos reflejados representan un 100%. Los anteriores datos son tomados del informe entregado trimestralmente a la ANTV.
</t>
    </r>
    <r>
      <rPr>
        <b/>
        <sz val="8"/>
        <color theme="1"/>
        <rFont val="Arial"/>
        <family val="2"/>
      </rPr>
      <t>T2:</t>
    </r>
    <r>
      <rPr>
        <sz val="8"/>
        <color theme="1"/>
        <rFont val="Arial"/>
        <family val="2"/>
      </rPr>
      <t xml:space="preserve"> Por requerimiento de la ANTV, el 100% de la programación deben contar con el sistema de acceso Closed Caption, por ende los datos reflejados representan un 100%. Los anteriores datos son tomados del informe entregado trimestralmente a la ANTV.</t>
    </r>
  </si>
  <si>
    <r>
      <rPr>
        <b/>
        <sz val="8"/>
        <color theme="1"/>
        <rFont val="Arial"/>
        <family val="2"/>
      </rPr>
      <t>T1:</t>
    </r>
    <r>
      <rPr>
        <sz val="8"/>
        <color theme="1"/>
        <rFont val="Arial"/>
        <family val="2"/>
      </rPr>
      <t xml:space="preserve"> Los anteriores datos son tomados del informe entregado trimestralmente a la ANTV. Contamos con 842 emisiones de programas con interpretación de lenguaje de señas.
</t>
    </r>
    <r>
      <rPr>
        <b/>
        <sz val="8"/>
        <color theme="1"/>
        <rFont val="Arial"/>
        <family val="2"/>
      </rPr>
      <t>T2:</t>
    </r>
    <r>
      <rPr>
        <sz val="8"/>
        <color theme="1"/>
        <rFont val="Arial"/>
        <family val="2"/>
      </rPr>
      <t xml:space="preserve"> Los anteriores datos son tomados del informe entregado trimestralmente a la ANTV. Contamos con 1.468 emisiones de programas con interpretación de lenguaje de señas.</t>
    </r>
  </si>
  <si>
    <r>
      <rPr>
        <b/>
        <sz val="8"/>
        <color theme="1"/>
        <rFont val="Arial"/>
        <family val="2"/>
      </rPr>
      <t>T1:</t>
    </r>
    <r>
      <rPr>
        <sz val="8"/>
        <color theme="1"/>
        <rFont val="Arial"/>
        <family val="2"/>
      </rPr>
      <t xml:space="preserve"> En el mes de marzo se presenta afectación satelital por manchas solares. En el mismo mes se presentó ausencia en de la señal de orígen por fallas eléctricas en la sede del canal. Durante el primer trimestre se tuvo fallas acumuladas por un tiempo total de 22 minutos, lo que representa un porcentaje de fallo acumulado en el trismestre del 0,05%.
</t>
    </r>
    <r>
      <rPr>
        <b/>
        <sz val="8"/>
        <color theme="1"/>
        <rFont val="Arial"/>
        <family val="2"/>
      </rPr>
      <t>T2:</t>
    </r>
    <r>
      <rPr>
        <sz val="8"/>
        <color theme="1"/>
        <rFont val="Arial"/>
        <family val="2"/>
      </rPr>
      <t xml:space="preserve"> El 7 de mayo se tuvo la incidencia de un congelamiento en la señal del canal, en todos los retornos dependientes de RTVC con un tiempo total de 2 minutos, lo cual representa una relación de fallas del 0,005%. La causa de la falla fue técnica en RTVC.</t>
    </r>
  </si>
  <si>
    <r>
      <rPr>
        <b/>
        <sz val="8"/>
        <color theme="1"/>
        <rFont val="Arial"/>
        <family val="2"/>
      </rPr>
      <t>T1:</t>
    </r>
    <r>
      <rPr>
        <sz val="8"/>
        <color theme="1"/>
        <rFont val="Arial"/>
        <family val="2"/>
      </rPr>
      <t xml:space="preserve"> De acuerdo al cronograma de mantenimiento previsto, se realizó mantenimiento para la totalidad de los equipos programados,. Se programa una sesión general de mantenimiento en febrero para grupos de equipos de acuerdo a su ubicación y disponibilidad, ejecutando de manera indivual en mantenimiento para cada uno. En total para este primer trimestre se ejecutó labor de mantenimiento preventivo en canal o contratada para un total de 136 equipos. Se reporta un avance del 100% para el periodo y un acumulado del 25%.     
</t>
    </r>
    <r>
      <rPr>
        <b/>
        <sz val="8"/>
        <color theme="1"/>
        <rFont val="Arial"/>
        <family val="2"/>
      </rPr>
      <t>T2:</t>
    </r>
    <r>
      <rPr>
        <sz val="8"/>
        <color theme="1"/>
        <rFont val="Arial"/>
        <family val="2"/>
      </rPr>
      <t xml:space="preserve"> De acuerdo al cronograma de mantenimiento previsto, se realizó mantenimiento para la totalidad de los equipos programados. Para el trismestre comprendido entre abril y junio se ejecutaron un total de 136 mantenimientpos preventivos a euiqpos del área técnica, lo que representa 100% de ejecución. El acumulado anual es de 272 mantenimientos preventivos, 50% del total programado para el presente año.</t>
    </r>
  </si>
  <si>
    <r>
      <rPr>
        <b/>
        <sz val="8"/>
        <color theme="1"/>
        <rFont val="Arial"/>
        <family val="2"/>
      </rPr>
      <t>T1:</t>
    </r>
    <r>
      <rPr>
        <sz val="8"/>
        <color theme="1"/>
        <rFont val="Arial"/>
        <family val="2"/>
      </rPr>
      <t xml:space="preserve"> Durante este periodo se logro una comunicación con los medios y eventos para establecer estrategias conjuntas en beneficio del posicionamiento de  las marcas. Logrando realizar propuestas de alianzas con:  Kienyke, Champions TV, Revista Maxim, Revista Semana, Minuto 30 y Pulzo. Las alianzas de eventos programadas son: BAM, Torneo de Fútbol Interuniversitario CERROS y Fútbol de Salón.Se realizaron por medio de cartas de invitación los siguientes eventos, como parte de alianzas para reforzar el contenido de Canal Capital: Festival Centro; Gustavo Dudamel y la Orquesta Filarmónica de Viena, el Cholo Valderrama y China Moses en el Teatro Mayor; Filbo y Premios India Catalina. Canal Capital junto con el area de Mercadeo no ha podido realizar las alianzas por Ley de Garantías, estas alianzas se cerrarán entre el mes de Junio y Julio una vez finalice dicha Ley. Igualmente se seguirá continuará trabajando en la estrategia de alianzas con los diferentes medios y eventos de ciudad para continuar con el objetivo de posicionamiento y recordación de la marca entre los ciudadanos de la Capital. 
</t>
    </r>
    <r>
      <rPr>
        <b/>
        <sz val="8"/>
        <color theme="1"/>
        <rFont val="Arial"/>
        <family val="2"/>
      </rPr>
      <t>T2:</t>
    </r>
    <r>
      <rPr>
        <sz val="8"/>
        <color theme="1"/>
        <rFont val="Arial"/>
        <family val="2"/>
      </rPr>
      <t xml:space="preserve"> Durante este periodo se logro una comunicación con los medios y eventos para establecer estrategias conjuntas en beneficio del posicionamiento de  las marcas. Logrando realizar propuestas de alianzas con: Shock, Diario Qhubo. Las alianzas de eventos programadas son: Smartfilms, Premios de Cine Macondo, Festival de Verano, Festivales Al Parque,Día del Rock Colombia, Corferias, C. de Comercio, App Biko y U. Tadeo Lozano. Se realizaron por medio de cartas de invitación los siguientes eventos, como parte de  reforzar el contenido de Canal Capital: Mujéres en la ópera, Festival del Porro, OFB del Teatro Mayor; Tropicana Salsa Festival, Campeonato de Fútbol de Rusos y Taxistas y Concurso de Salto Hípico.  El area de Mercadeo de Canal Capital durante el II Trimestre siguió sin poder realizar las alianzas debido a la Ley de Garantías, que finalizó la última semana de Junio. Se siguió trabajando en la estrategia de alianzas con los medios y eventos de la ciudad, y así cumplir con el objetivo de posicionamientoy recordación de la marca Canal Capital entre los ciudadanos de Bogotá y así también atraer nuevas audiencias. </t>
    </r>
  </si>
  <si>
    <r>
      <rPr>
        <b/>
        <sz val="8"/>
        <color theme="1"/>
        <rFont val="Arial"/>
        <family val="2"/>
      </rPr>
      <t>T1:</t>
    </r>
    <r>
      <rPr>
        <sz val="8"/>
        <color theme="1"/>
        <rFont val="Arial"/>
        <family val="2"/>
      </rPr>
      <t xml:space="preserve"> Los rendimientos  proyectados para la  vigencia 2018  son de $384,000 millones; Para el el primer  trimestre la rentabilidad en  las cuentas de ahorrosfue del  3% E.A. En  febrero la rentabilidad aumento debido a que el saldo promedio fue $5,681 millones y se realizó inversión en renta fija a finales del mes( feb.21/18); En relación al mes de marzo, los rendimientos disminuyeron,  teniendo en cuenta que Secretaria Distrital de Hacienda, realizó transferencia de los $3,000 Millones hasta finales del mes (Mar.26/18). A corte de trimestre se cuenta con un 7% recaudado por rendimientos financieros.
</t>
    </r>
    <r>
      <rPr>
        <b/>
        <sz val="8"/>
        <color theme="1"/>
        <rFont val="Arial"/>
        <family val="2"/>
      </rPr>
      <t>T2:</t>
    </r>
    <r>
      <rPr>
        <sz val="8"/>
        <color theme="1"/>
        <rFont val="Arial"/>
        <family val="2"/>
      </rPr>
      <t xml:space="preserve"> Los rendimientos netos recibidos en el segundo trimestre del año en curso fueron de $106,428,635 discriminados a continuación: cuentas de ahorros del Canal (Bancolombia y Occidente): abril ($8,246,906), mayo ($5,841,863) y junio ($7,770,435); cancelación de CDT: junio ($87,979,200); Ahora bien, comparando este resultado frente a los rendimientos obtenidos en el segundo trimestre del año anterior ($109,838,404), se observa un decrecimiento del 3,10%; lo anterior, debido a la disminución de la rentabilidad de  las cuentas de ahorros del canal (antes 3% EA ahora 2,7% E.A. - Bancolombia) y por otra parte, el cronograma de desembolso de las transferencias ordinarias según política de la Secretaría Distrital de Hacienda (antes se recibian todos los recursos en el primer semestre del año, ahora en diferentes meses del año). Por consiguiente, las posibilidades de invertir en CDTs y de obtener mayor rentabilidad en las cuentas de ahorro del canal, son menores. De otra parte, a 30 de junio de 2018, se obtuvo un cumplimiento de la meta del 36%. </t>
    </r>
  </si>
  <si>
    <r>
      <rPr>
        <b/>
        <sz val="8"/>
        <color theme="1"/>
        <rFont val="Arial"/>
        <family val="2"/>
      </rPr>
      <t>T1:</t>
    </r>
    <r>
      <rPr>
        <sz val="8"/>
        <color theme="1"/>
        <rFont val="Arial"/>
        <family val="2"/>
      </rPr>
      <t xml:space="preserve"> El comportamiento de ingresos acumulados para el primer trimestre de la vigencia 2018 es del 44,20% por valor de $21.759.474 del total del presupuesto frente a una ejecución del presupuesto de gasto 49.89% por valor $24.557.688.156, es de aclarar que durante el mes de enero la entidad realizo la mayoría de contratación para el primer semestre.
Ingresos corrientes: Hacen referencia a los diferentes servicios que presta el Canal, en desarrollo de las actividades de su objeto social y de los estatutos aprobados por la Junta Administradora Regional, presentan ejecución del 19.10% por valor de $4.779 millones, clasificados así: -Comercialización Directa: corresponde a la gestión de ventas de la vigencia 2018 y al recaudo efectivo, el cual asciende a $77 millones, equivalentes al 0.33% frente a la meta proyectada de $23.411 millones. Estos recursos financian los gastos derivados en el marco de los contratos de nuevos negocios, como también los gastos asociados al funcionamiento y los proyectos de modernización (administrativa e institucional).Teniendo en cuenta lo anterior, el rubro de comercialización directa presenta un bajo porcentaje de ejecución, por lo que se hace necesario realizar los análisis correspondientes sobre las estimaciones presentadas y las necesidades planeadas con cargo a esta fuente de financiación.
</t>
    </r>
    <r>
      <rPr>
        <b/>
        <sz val="8"/>
        <color theme="1"/>
        <rFont val="Arial"/>
        <family val="2"/>
      </rPr>
      <t>T2:</t>
    </r>
    <r>
      <rPr>
        <sz val="8"/>
        <color theme="1"/>
        <rFont val="Arial"/>
        <family val="2"/>
      </rPr>
      <t xml:space="preserve"> El comportamiento de ingresos acumulados para el segundo trimestre de la vigencia 2018, es del 58.05% por valor de $29.474.245.798 del total del presupuesto frente a una ejecución del presupuesto de gasto 62.11% por valor $27.185.504.278, es de aclarar que durante el mes de junio se adelantó el proceso de contratación para el segundo semestre, se estima que durante el mes de julio se materializa la contratación de la vigencia 2018.
Ingresos corrientes: presenta una ejecución del 31,27% equivalente a $7.825 millones, frente a la apropiación de $25.028 millones, estos ingresos incluyen la comercialización directa y las cuentas por cobrar, las cuales contienen valores referentes a BTL, operación logística, plan de medios, etc. clasificados así: Comercialización Directa, tiene un recaudado por $379 millones que equivalen al 3,02% frente a una apropiación presupuestal de $12.574 millones, es importante precisar que en este rubro se refleja el ingreso percibido por las negociaciones de BTL, apoyo logístico y plan de medios, así como las negociaciones tradicionales; el recaudo más representativo  está en los nuevos negocios; dichos ingresos  respaldan financieramente los gastos derivados de los compromisos adquiridos en el marco de los contratos de BTL; Plan de medios y apoyo logístico, como también los gastos asociados al funcionamiento y los proyectos de modernización administrativa e institucional; Canje, no presenta ejecución en este segundo trimestre de 2018;Cuentas por Cobrar, corresponden a recursos de negociación de la vigencia inmediatamente anterior y que tuvo algún porcentaje de ejecución en el mismo año, quedando servicios facturados por recaudar o servicios por prestar durante el 2018, presenta un recaudado por $7.411 millones que equivalen al 59,89% frente a una apropiación presupuestal de $12.373 millones, recursos que cubren los gastos asociados al funcionamiento y los contratos de nuevos negocios suscritos en la vigencia de 2017.</t>
    </r>
  </si>
  <si>
    <r>
      <rPr>
        <b/>
        <sz val="8"/>
        <color theme="1"/>
        <rFont val="Arial"/>
        <family val="2"/>
      </rPr>
      <t>T1:</t>
    </r>
    <r>
      <rPr>
        <sz val="8"/>
        <color theme="1"/>
        <rFont val="Arial"/>
        <family val="2"/>
      </rPr>
      <t xml:space="preserve"> Los gastos presupuestales presentan ejecución en compromisos del 49.89% frente al total del presupuesto aprobado
Funcionamiento: se ha ejecutado el 37.70% del total de las necesidades proyectadas, de los cuales se efectuaron pagos equivalentes al 20.83% frente al total apropiado. Reflejando de esta manera que se han realizados las contrataciones de acuerdo a lo planeado y reportado en el PAA. El comportamiento a nivel de rubros fue: Servicios Asociados a la Nómina se ejecutó en un porcentaje del 19.56%, Servicios Personales Indirectos en un 50.84%, Aportes Patronales en 11.59%, Gastos Generales   en un 46.26% y el rubro de Cuentas por Pagar se ejecutó en un 98.26%. 
Revisar y analizar las necesidades de gasto para el segundo semestre de 2018 programadas en el plan anual de adquisiciones, teniendo en cuenta que el cumplimiento del recaudo por venta de servicios en el primer trimestre del año es bajo en relación con las proyecciones, situación que impacta la financiación de los gastos dispuestos con cargo a esta fuente de recurso.  
</t>
    </r>
    <r>
      <rPr>
        <b/>
        <sz val="8"/>
        <color theme="1"/>
        <rFont val="Arial"/>
        <family val="2"/>
      </rPr>
      <t>T2:</t>
    </r>
    <r>
      <rPr>
        <sz val="8"/>
        <color theme="1"/>
        <rFont val="Arial"/>
        <family val="2"/>
      </rPr>
      <t xml:space="preserve"> Los gastos presupuestales presentan ejecución en compromisos del 62.11% frente al total del presupuesto aprobado
Funcionamiento: se ha ejecutado el 54.18% del total de las necesidades proyectadas, de los cuales se efectuaron pagos equivalentes al 39.75% frente al total apropiado. Reflejando de esta manera que se han realizados las contrataciones de acuerdo a lo planeado y reportado en el PAA. El comportamiento a nivel de rubros fue: Servicios Asociados a la Nómina se ejecutó en un porcentaje del 40,12%, Servicios personales se ejecutó en un porcentaje del 41.75%,  Servicios Personales Indirectos en un 51,83%, Aportes Patronales en 29,82%, Gastos Generales   en un 67,43% y el rubro de Cuentas por Pagar se ejecutó en un 99,47%. 
Se reitera la necesidad de revisar las estrategias comerciales con el enfoque de la consecución de los recursos que ayuden al apalancamiento de las obligaciones adquiridas derivadas de las necesidades básicas de Canal Capital en los aspectos administrativos y misionales para cubrir los gastos del último semestre de la vigencia 2018.
Analizar las necesidades de gasto para el segundo semestre de 2018 programadas en el plan anual de adquisiciones, teniendo en cuenta que el cumplimiento del recaudo por venta de servicios en el primer trimestre del año es bajo en relación con las proyecciones, situación que impacta la financiación de los gastos dispuestos con cargo a esta fuente de recurso.</t>
    </r>
  </si>
  <si>
    <r>
      <rPr>
        <b/>
        <sz val="8"/>
        <color theme="1"/>
        <rFont val="Arial"/>
        <family val="2"/>
      </rPr>
      <t>T1:</t>
    </r>
    <r>
      <rPr>
        <sz val="8"/>
        <color theme="1"/>
        <rFont val="Arial"/>
        <family val="2"/>
      </rPr>
      <t xml:space="preserve"> A 31 de marzo de 2018, se obtuvo un recaudo del 70,14% correspondiente a la suma total de $5,022 millones (entre comercialización directa y cuentas por cobrar), frente a un valor total de los servicios cobrados a la misma fecha de $7,160 millones, quedando una cartera al cierre del periodo de $2,138 millones.  
El 50,7% del valor total pendiente de recaudo, corresponde a una facturación no mayor a 30 días (facturación expedida en el mes de marzo); el 17,18% a 60 días, el 27,64% a 90 días y el 4,48% pertenece a  una cartera con más de 90 días; en sintesis, se concluye que la edad de la cartera de Canal Capital oscila de manera corriente, con pocas posibilidades de obtener deudas de díficil cobro. 
</t>
    </r>
    <r>
      <rPr>
        <b/>
        <sz val="8"/>
        <color theme="1"/>
        <rFont val="Arial"/>
        <family val="2"/>
      </rPr>
      <t>T2:</t>
    </r>
    <r>
      <rPr>
        <sz val="8"/>
        <color theme="1"/>
        <rFont val="Arial"/>
        <family val="2"/>
      </rPr>
      <t xml:space="preserve"> A 30 de junio de 2018, se obtuvo un recaudo bruto del 82,75% correspondiente a la suma total de $8,195 millones (entre comercialización directa y cuentas por cobrar), frente a un valor total de los servicios cobrados a la misma fecha de $9,903 millones, quedando una cartera al cierre del periodo de $1,708 millones.   Dicha cartera de Canal Capital oscila de manera corriente, con posibilidades del 100% de su recaudo; con un  71,7% que corresponde a una facturación no mayor a 30 días; el 10,3% a 60 días, el 9,9% a 90 días y el 8,1% pertenece a  una cartera con más de 90 días.  </t>
    </r>
  </si>
  <si>
    <r>
      <rPr>
        <b/>
        <sz val="8"/>
        <color theme="1"/>
        <rFont val="Arial"/>
        <family val="2"/>
      </rPr>
      <t>T1:</t>
    </r>
    <r>
      <rPr>
        <sz val="8"/>
        <color theme="1"/>
        <rFont val="Arial"/>
        <family val="2"/>
      </rPr>
      <t xml:space="preserve"> Durante el primer trimestre de la vigencia 2018, el indicador detalla un respaldo de las obligaciones a corto plazo de manera óptima en concordancia con los activos de la Entidad, dichas obligaciones son las cuentas por pagar de servicios, bienes recibidos y obligaciones laborales, por lo anterior, al cierre del primer trimestre se evidencia un 23.96% de capacidad de endeudamiento, lo que corresponde a un nivel muy satisfactorio. Así mismo, es preciso resaltar que las subvenciones por pagar, que corresponde a los recursos recibidos por la ANTV para los proyectos de la vigencia 2018 equivalen al 76.93% del total de los pasivos al cierre del mes de marzo, estos son transferencias condicionadas.
</t>
    </r>
    <r>
      <rPr>
        <b/>
        <sz val="8"/>
        <color theme="1"/>
        <rFont val="Arial"/>
        <family val="2"/>
      </rPr>
      <t>T2:</t>
    </r>
    <r>
      <rPr>
        <sz val="8"/>
        <color theme="1"/>
        <rFont val="Arial"/>
        <family val="2"/>
      </rPr>
      <t xml:space="preserve"> Al culminar el mes de Junio del 2018 se detalla una disminución de 1.27 puntos porcentuales respecto al porcentaje detallado al culminar el primer trimestre, la cual tiene relación con la disminución en las cuentas por pagar a la fecha ( Subvenciones por pagar orientadas al cumplimiento de lo estipulado con la ANTV). Así las cosas, es preciso resaltar que al culminar el segundo trimestre se destaca que el apalancamiento de la Entidad es adecuado, puesto que los montos de capital para el funcionamiento del Canal son adecuados de acuerdo a los objetivos planteados con anterioridad.</t>
    </r>
  </si>
  <si>
    <r>
      <rPr>
        <b/>
        <sz val="8"/>
        <color theme="1"/>
        <rFont val="Arial"/>
        <family val="2"/>
      </rPr>
      <t>T1:</t>
    </r>
    <r>
      <rPr>
        <sz val="8"/>
        <color theme="1"/>
        <rFont val="Arial"/>
        <family val="2"/>
      </rPr>
      <t xml:space="preserve"> Al culminar el primer trimestre de la presente vigencia, es adecuado resaltar que se presenta un nivel muy satisfactorio o de razonabilidad del margen de seguridad equivalente al 58,53%, en relación al cubrimiento de las obligaciones a corto plazo para el normal funcionamiento y operación de la entidad; sin embargo, es adecuado mencionar que los  compromisos y las inversiones a futuro se encuentran respaldadas con las transferencias ordinarias y condicionadas
</t>
    </r>
    <r>
      <rPr>
        <b/>
        <sz val="8"/>
        <color theme="1"/>
        <rFont val="Arial"/>
        <family val="2"/>
      </rPr>
      <t>T2:</t>
    </r>
    <r>
      <rPr>
        <sz val="8"/>
        <color theme="1"/>
        <rFont val="Arial"/>
        <family val="2"/>
      </rPr>
      <t xml:space="preserve"> Al cierre del mes de Junio del 2018, se observa que son superiores los activos corrientes en relación a los pasivos corrientes, motivo por el cual se determina que los saldos reflejados como activos corrientes son suficientes para el funcionamiento y operación del Canal, demostrando una buena liquidez de manera tal, que se cuenta con el respaldo financiero adecuado para las obligaciones financieras adquiridas a corto plazo; en concordancia a las transferencias ordinarias y condicionadas.</t>
    </r>
  </si>
  <si>
    <r>
      <rPr>
        <b/>
        <sz val="8"/>
        <color theme="1"/>
        <rFont val="Arial"/>
        <family val="2"/>
      </rPr>
      <t>T1:</t>
    </r>
    <r>
      <rPr>
        <sz val="8"/>
        <color theme="1"/>
        <rFont val="Arial"/>
        <family val="2"/>
      </rPr>
      <t xml:space="preserve"> Al cierre del primer trimestre, se detalla un nivel  muy satisfactorio en el respaldo de los compromisos y obligaciones adquiridas por parte de la Entidad sin afectar las condiciones y plazos iniciales pactados, guardando la propocionalidad de los recursos recibidos por transferencias ordinarias y condicionadas para la Entidad en la presente vigencia.
</t>
    </r>
    <r>
      <rPr>
        <b/>
        <sz val="8"/>
        <color theme="1"/>
        <rFont val="Arial"/>
        <family val="2"/>
      </rPr>
      <t>T2:</t>
    </r>
    <r>
      <rPr>
        <sz val="8"/>
        <color theme="1"/>
        <rFont val="Arial"/>
        <family val="2"/>
      </rPr>
      <t xml:space="preserve"> Finalizando el mes de junio, se detalla un resultado mayor respecto al trimestre anterior, generando mayores garantías para la Entidad en relación al pago de las obligaciones y compromisos pactados de manera oportuna, puesto que se cuenta con un saldo importante en los activos, los cuales respaldan los pasivos de corto plazo.</t>
    </r>
  </si>
  <si>
    <r>
      <rPr>
        <b/>
        <sz val="8"/>
        <color theme="1"/>
        <rFont val="Arial"/>
        <family val="2"/>
      </rPr>
      <t>T1:</t>
    </r>
    <r>
      <rPr>
        <sz val="8"/>
        <color theme="1"/>
        <rFont val="Arial"/>
        <family val="2"/>
      </rPr>
      <t xml:space="preserve"> Durante el primer trimestre de 2018 no se han realizado capacitaciones sobre el manual de contratación. Una vez efectuados los ajustes del Manual de Contratación, Supervisión e Interventoria se adelantarán jornadas de capacitación dirigdas a supervisores y contratistas de la Entidad.
</t>
    </r>
    <r>
      <rPr>
        <b/>
        <sz val="8"/>
        <color theme="1"/>
        <rFont val="Arial"/>
        <family val="2"/>
      </rPr>
      <t>T2:</t>
    </r>
    <r>
      <rPr>
        <sz val="8"/>
        <color theme="1"/>
        <rFont val="Arial"/>
        <family val="2"/>
      </rPr>
      <t xml:space="preserve"> Durante el segundo trimestre de 2018 no se han realizado capacitaciones sobre el manual de contratación. Una vez efectuados los ajustes del Manual de Contratación, Supervisión e Interventoria se adelantarán jornadas de capacitación dirigdas a supervisores y contratistas de la Entidad.</t>
    </r>
  </si>
  <si>
    <r>
      <rPr>
        <b/>
        <sz val="8"/>
        <color theme="1"/>
        <rFont val="Arial"/>
        <family val="2"/>
      </rPr>
      <t>T1:</t>
    </r>
    <r>
      <rPr>
        <sz val="8"/>
        <color theme="1"/>
        <rFont val="Arial"/>
        <family val="2"/>
      </rPr>
      <t xml:space="preserve"> Durante el primer trimestre se convocaron y publicaron 4 procesos de selección, de los cuales uno fue adjudicado el primer trimestre y los tres restantes a principios del segundo trimestre.  La Convocatoria Pública No. 001-2018, fecha de apertura 22-02-2018 y fecha adjudicación 13-03-2018, a través de la cual se contrató el servicio público de transporte terrestre.
</t>
    </r>
    <r>
      <rPr>
        <b/>
        <sz val="8"/>
        <color theme="1"/>
        <rFont val="Arial"/>
        <family val="2"/>
      </rPr>
      <t>T2:</t>
    </r>
    <r>
      <rPr>
        <sz val="8"/>
        <color theme="1"/>
        <rFont val="Arial"/>
        <family val="2"/>
      </rPr>
      <t xml:space="preserve"> Durante el segundo semestre de 2018 se convocaron y publicaron 8 procesos de selección, de los cuales uno (1) se inició y desarrolló durante ese trimestre pero la adjudicación fue realizada el 4-07-2017.- La Convocatoria Pública No. 11-2018 se aperturó el 29-05-2018 y la adjudicación se efectuó el 04-07-2018.</t>
    </r>
  </si>
  <si>
    <r>
      <rPr>
        <b/>
        <sz val="8"/>
        <color theme="1"/>
        <rFont val="Arial"/>
        <family val="2"/>
      </rPr>
      <t>T1:</t>
    </r>
    <r>
      <rPr>
        <sz val="8"/>
        <color theme="1"/>
        <rFont val="Arial"/>
        <family val="2"/>
      </rPr>
      <t xml:space="preserve"> Durante el primer trimestre de 2018 y con ocasión al período de ley de Garantías, Canal Capital no ha suscrito contrato o convenio alguno como Contratista. 
</t>
    </r>
    <r>
      <rPr>
        <b/>
        <sz val="8"/>
        <color theme="1"/>
        <rFont val="Arial"/>
        <family val="2"/>
      </rPr>
      <t>T2:</t>
    </r>
    <r>
      <rPr>
        <sz val="8"/>
        <color theme="1"/>
        <rFont val="Arial"/>
        <family val="2"/>
      </rPr>
      <t xml:space="preserve"> Durante el segundo trimestre de 2018 y con ocasión al período de ley de Garantías, Canal Capital no ha suscrito contrato o convenio alguno como Contratista. </t>
    </r>
  </si>
  <si>
    <r>
      <rPr>
        <b/>
        <sz val="8"/>
        <color theme="1"/>
        <rFont val="Arial"/>
        <family val="2"/>
      </rPr>
      <t>T1:</t>
    </r>
    <r>
      <rPr>
        <sz val="8"/>
        <color theme="1"/>
        <rFont val="Arial"/>
        <family val="2"/>
      </rPr>
      <t xml:space="preserve"> Canal Capital celebró cuatrociento diez (410) contratos en forma directa y un (1) contrato adjudicado por convocatoria pública  correspondiente al del servicio de transporte.    
</t>
    </r>
    <r>
      <rPr>
        <b/>
        <sz val="8"/>
        <color theme="1"/>
        <rFont val="Arial"/>
        <family val="2"/>
      </rPr>
      <t>T2:</t>
    </r>
    <r>
      <rPr>
        <sz val="8"/>
        <color theme="1"/>
        <rFont val="Arial"/>
        <family val="2"/>
      </rPr>
      <t xml:space="preserve"> Canal Capital celebró durante el segundo trimestre de 2018 catorce (14) contratos de los cuales siete (07) fueron el resultado de las convocatorias públicas adelantadas por la Entidad y los otros siete (7) restantes correspondieron a la causal de contratación directa. </t>
    </r>
  </si>
  <si>
    <r>
      <rPr>
        <b/>
        <sz val="8"/>
        <color theme="1"/>
        <rFont val="Arial"/>
        <family val="2"/>
      </rPr>
      <t>T1:</t>
    </r>
    <r>
      <rPr>
        <sz val="8"/>
        <color theme="1"/>
        <rFont val="Arial"/>
        <family val="2"/>
      </rPr>
      <t xml:space="preserve"> Con corte al primer trimestre de 2018, la entidad intervenía en 19 procesos judiciales; se presentaron 12 actuaciones sobre 12  procesos. Con relación a los 7 procesos faltantes, no hubo actuación porque sen encuentran pendientes de decisiones por parte de los despachos judiciales correspondientes. Esto implica un 63.16% de gestión sobre los procesos existentes para el canal.
</t>
    </r>
    <r>
      <rPr>
        <b/>
        <sz val="8"/>
        <color theme="1"/>
        <rFont val="Arial"/>
        <family val="2"/>
      </rPr>
      <t>T2:</t>
    </r>
    <r>
      <rPr>
        <sz val="8"/>
        <color theme="1"/>
        <rFont val="Arial"/>
        <family val="2"/>
      </rPr>
      <t xml:space="preserve"> Con corte al segundo trimestre de 2018, la entidad intervenía en 19 procesos judiciales; se presentaron 9 actuaciones sobre 9  procesos. Con relación a los 10 procesos faltantes, no hubo actuación porque sen encuentran pendientes de decisiones por parte de los despachos judiciales correspondientes. Esto implica un 47,37% de gestión sobre los procesos existentes para el canal.</t>
    </r>
  </si>
  <si>
    <r>
      <rPr>
        <b/>
        <sz val="8"/>
        <rFont val="Arial"/>
        <family val="2"/>
      </rPr>
      <t>T1:</t>
    </r>
    <r>
      <rPr>
        <sz val="8"/>
        <rFont val="Arial"/>
        <family val="2"/>
      </rPr>
      <t xml:space="preserve"> 1.  Se da cumplimiento a la Normatividad archivística promulgada por el Archivo General de la Nación y el Archivo Distrital de Bogotá. En Ejecución 
2. Se procede a administrar los procesos de recepción, envió y distribución de la correspondencia, conservación, organización, inventario servicio y control de la documentación del archivo. Programada
3. Se realiza Capacitación en el mes de Marzo sobre el SGD. Programada y Ejecutada
4. Formulación y aprobación del Programa de Gestión Documental, PGD y Plan Institucional de Archivo, PINAR, se realizan Actualizaciones. Programada 
6, Se adquiere  e inicia la implementación del Software de Gestión Documental ORFEO. Programa
5. Levantamiento de Diagnostico documental para revisar el estado de los Archivos de la Entidad, obteniendo como resultado que las áreas no manejan un adecuado sistema de organización de archivos. Se realiza actualización del AGRI-GD-FT-004 formato de solicitud y préstamo de documentos, en el primer trimestre se hicieron 297 préstamos de Documentos, el su mayoría a la Coordinación Jurídica. Programada y Ejecutada  
6. Se están actualizando los instrumentos archivísticos para el cumplimiento  de la normatividad y de la NTD- SIG 001:2011.
7. Desde el 20 de marzo de 2018 el Archivo General de la Nación informo a Canal Capital sobre la inscripción del Registro Único de Series Documentales de las Tablas de Retención Documental de la Entidad. Programada y Ejecutada
8. Se realizó la reiteración al concepto Técnico al Archivo Distrital para cuantificar la pérdida de las unidades documentales, el cual se obtuvo respuesta el día 14 de Marzo por parte del AD y AGN. Programada y Ejecutada
9. Elaboración del cronograma de Capacitaciones de Gestión Documental, para su divulgación y aplicación en la Entidad. Programada
10. Se realizó la legalización de transferencia documental de Control Interno y Correspondencia. Programada y Ejecutada
11. Elaboración del cronograma de Transferencia Documental, para su divulgación y aplicación en la Entidad. Programada.
</t>
    </r>
    <r>
      <rPr>
        <b/>
        <sz val="8"/>
        <rFont val="Arial"/>
        <family val="2"/>
      </rPr>
      <t xml:space="preserve">T2: </t>
    </r>
    <r>
      <rPr>
        <sz val="8"/>
        <rFont val="Arial"/>
        <family val="2"/>
      </rPr>
      <t>1. Administrar los procesos de conservación, organización, inventario y control de la documentación del archivo. En Ejecución
2. Orientar en temas archivísticos a las áreas de  producción, administración y archivo de la documentación acorde con las normas archivísticas vigentes a las diferentes áreas del Canal. Programada y en Ejecución
3. Formulación, revisión y presentación del Sistema Integrado de Conservación al comité SIG de Canal Capital. Programada y Ejecutada
4. Asesoría a las áreas de logística, producción y transporte para la organización de archivos. Programada y Ejecutada
5. Recepción de solicitudes de préstamo de expedientes a las áreas de Jurídica, Talento Humano. Ejecutada
6. Se están actualizando los instrumentos archivísticos para el cumplimiento de la normatividad y de la NTD- SIG 001:2011 (Manual de Correspondencia, Programa de Gestión Documental). En Ejecución
7. De acuerdo a la estrategia IGA +10, se están realizando reuniones y mesas de trabajo para la revisión y ajustes al Programa de Gestión Documental en conjunto con el Archivo Distrital. Programada y Ejecutada
8. Se realizó el análisis sobre la cuantificación de perdida de expedientes de acuerdo a las respuestas entregadas por el Archivo Distrital de Bogotá y del Archivo General de la Nación. Programada y en Ejecución
9. Se realizó reunión con el área de jurídica para la revisión del contrato IRON MOUNTAIN y así realizar el informe final de supervisión y luego proceder a su liquidación. Programada y Ejecutada
10. Se generó respuesta a la personería sobre la perdida documental de expedientes. Ejecutada
11. Se realizó capacitación a los gestores documentales en temas de organización de expediente y tabla de retención documental. Programada y Ejecutada
12. Se realizó comunicación para la ANTV paras la solicitud de recursos para la organización y conservación del archivo audiovisual. Ejecutada
13. Se realizó comunicación para la ANTV solicitando el diagnostico que realizó la RTVC, el cual es de soporte para el convenio interadministrativo. Ejecutada
14. Ejecución del convenio interadministrativo 4213000-797- 2017 suscrito entre Canal Capital y la Secretaría General de la Alcaldía Mayor de Bogotá, para el desarrollo de actividades conjuntas que beneficien al Distrito Capital en la gestión del material sonoro y audiovisual. En Ejecución
15. Compilación y entrega de informes sobre la ejecución del convenio interadministrativo 4213000-797- 2017, el cual se envía al Archivo Distrital. En Ejecución</t>
    </r>
  </si>
  <si>
    <t>REPORTE INDICADORES CANAL CAPITAL
Indicadores de proceso
Reporte Semestre 1 - 2018
Fecha de informe: 31/08/2018</t>
  </si>
  <si>
    <r>
      <rPr>
        <b/>
        <sz val="8"/>
        <color theme="1"/>
        <rFont val="Arial"/>
        <family val="2"/>
      </rPr>
      <t>T1:</t>
    </r>
    <r>
      <rPr>
        <sz val="8"/>
        <color theme="1"/>
        <rFont val="Arial"/>
        <family val="2"/>
      </rPr>
      <t xml:space="preserve"> Se evaluan las capacitaciones que se afectan del presupuesto, en este caso la capacitación de Reforma Tributaria .  Como la medición es semestral se reportara esta evaluación en el próximo trimestre junto con las demas que se realicen.
</t>
    </r>
    <r>
      <rPr>
        <b/>
        <sz val="8"/>
        <color theme="1"/>
        <rFont val="Arial"/>
        <family val="2"/>
      </rPr>
      <t>T2:</t>
    </r>
    <r>
      <rPr>
        <sz val="8"/>
        <color theme="1"/>
        <rFont val="Arial"/>
        <family val="2"/>
      </rPr>
      <t xml:space="preserve"> Se realizaron las capacitaciones de Reforma Tributaria el 14 de marzo de 2018 y de facturación electrónica el 16 de mayo de 2018.</t>
    </r>
  </si>
  <si>
    <t>70%. - El indicador permite medir la eficacia de las capacitaciones realizadas a los funcionarios basada en la calificación que cada uno asigna a la actividad realizada. Se califica la estructura y contenido de la capacitación; el capacitador y la organización de la capacitación.</t>
  </si>
  <si>
    <r>
      <rPr>
        <b/>
        <sz val="8"/>
        <color theme="1"/>
        <rFont val="Arial"/>
        <family val="2"/>
      </rPr>
      <t>T1:</t>
    </r>
    <r>
      <rPr>
        <sz val="8"/>
        <color theme="1"/>
        <rFont val="Arial"/>
        <family val="2"/>
      </rPr>
      <t xml:space="preserve"> Los retiros presentados fueron en los meses: 1. Enero- Dirección Operativa 2. Marzo - Corordinación Producción.
</t>
    </r>
    <r>
      <rPr>
        <b/>
        <sz val="8"/>
        <color theme="1"/>
        <rFont val="Arial"/>
        <family val="2"/>
      </rPr>
      <t>T2:</t>
    </r>
    <r>
      <rPr>
        <sz val="8"/>
        <color theme="1"/>
        <rFont val="Arial"/>
        <family val="2"/>
      </rPr>
      <t xml:space="preserve"> En el trimestre se presentó el siguiente retiro: 1. Mayo: Area Técnica</t>
    </r>
  </si>
  <si>
    <r>
      <rPr>
        <b/>
        <sz val="8"/>
        <color theme="1"/>
        <rFont val="Arial"/>
        <family val="2"/>
      </rPr>
      <t>T1:</t>
    </r>
    <r>
      <rPr>
        <sz val="8"/>
        <color theme="1"/>
        <rFont val="Arial"/>
        <family val="2"/>
      </rPr>
      <t xml:space="preserve"> Se realizó un total de 342 solicitudes de servicios tic en el trimestre, de los cuales se destacan el anexo de unidades de red, acceso a carpetas compartidas, carnetización entre otros, sin denotar debilidades del proceso mas allá de la posibilidad de digitalizar os formatos requeridos. Es necesario construir formularios digitales que minimicen el consumo de papel y el archivo fisico del área referente a las solicitudes tic generadas.
</t>
    </r>
    <r>
      <rPr>
        <b/>
        <sz val="8"/>
        <color theme="1"/>
        <rFont val="Arial"/>
        <family val="2"/>
      </rPr>
      <t>T2:</t>
    </r>
    <r>
      <rPr>
        <sz val="8"/>
        <color theme="1"/>
        <rFont val="Arial"/>
        <family val="2"/>
      </rPr>
      <t xml:space="preserve"> Se realizó un total de 933 solicitudes de servicios tic en el trimestre, de los cuales se destacan las solicitudes de carga de videos y recursos para el área misional que se realizaban por correo electrónico y eran de dificil seguimiento. Se creó un perfil de usuario en GLPI para el soporte del área técnica donde se incluyen los servicios de solicitu de descarga y conversión de videos.</t>
    </r>
  </si>
  <si>
    <r>
      <rPr>
        <b/>
        <sz val="8"/>
        <color theme="1"/>
        <rFont val="Arial"/>
        <family val="2"/>
      </rPr>
      <t>T1:</t>
    </r>
    <r>
      <rPr>
        <sz val="8"/>
        <color theme="1"/>
        <rFont val="Arial"/>
        <family val="2"/>
      </rPr>
      <t xml:space="preserve"> Se registraton 3 eventos relacionados con el acceso a internet debido a fallas en los sistemas del proveedor de internet, corte en el suministro de energia y posterior  falla de los sistemas de contingencia, al igual que la intermitencia en los servicios de software de secretaria de hacienda los cuales se mitigaron conforme a los procedimientos y acciones correctivas de contingenica tomadas en el área y con apoyo en algunos casos de el área tecnica y proveedores externos. Se deben revisar periodicamente los sistemas de respaldo y contingencia a fallas en el fluido eléctrico, asíc omo proyectar la implementación de un sistema UPS independiente para el centro de datos. 
</t>
    </r>
    <r>
      <rPr>
        <b/>
        <sz val="8"/>
        <color theme="1"/>
        <rFont val="Arial"/>
        <family val="2"/>
      </rPr>
      <t>T2:</t>
    </r>
    <r>
      <rPr>
        <sz val="8"/>
        <color theme="1"/>
        <rFont val="Arial"/>
        <family val="2"/>
      </rPr>
      <t xml:space="preserve"> Se registraton 2 eventos relacionados con la transferencia y ancho de banda dispopnible de la red LAN del Canal generados por Bucles en dispositivos SWITCH que presentaron fallas. Se proyecta contratación para la adquisición de dispositivos SWITCH capa 3 con el objetivo de separar los servicios administrativos y misionales que permitan gestionar el riesgo de disponibilidad de la red del Canal.</t>
    </r>
  </si>
  <si>
    <r>
      <rPr>
        <b/>
        <sz val="8"/>
        <color theme="1"/>
        <rFont val="Arial"/>
        <family val="2"/>
      </rPr>
      <t>T1:</t>
    </r>
    <r>
      <rPr>
        <sz val="8"/>
        <color theme="1"/>
        <rFont val="Arial"/>
        <family val="2"/>
      </rPr>
      <t xml:space="preserve"> Se contrató el servicio profesional de mantenimiento a equipos de computo y datacenter en el cual se incluye 3 mantenimientos preventivos de equipos e imporesoras por año, y los requeridos orientados al mantenimiento correctivo de ser necesario. con corte al I trimestre se realizaron 2 mantenimientos:  1 preventivo y 1 correctivo de datacenter y vmware. Es neceasario incluir dentro de este tipo de contratos bolsas de repuestos y dispositivos con lo cuales se presente la oportunidad de un servicio mas eficiente en el momento de requerir mantenimientos de carácter correctivo.
</t>
    </r>
    <r>
      <rPr>
        <b/>
        <sz val="8"/>
        <color theme="1"/>
        <rFont val="Arial"/>
        <family val="2"/>
      </rPr>
      <t>T2:</t>
    </r>
    <r>
      <rPr>
        <sz val="8"/>
        <color theme="1"/>
        <rFont val="Arial"/>
        <family val="2"/>
      </rPr>
      <t xml:space="preserve"> No se realizaron mantenimiento debido a que se tienen programados para el segundo semestre. Es neceasario incluir dentro de este tipo de contratos bolsas de repuestos y dispositivos con lo cuales se presente la oportunidad de un servicio mas eficiente en el momento de requerir mantenimientos de carácter correctivo.</t>
    </r>
  </si>
  <si>
    <t>Cronograma de Inventarios 2018
Reporte de inventarios del área de servicios administrativos.</t>
  </si>
  <si>
    <t>Cumplimiento oportuno en la entrega de los informes de Ley planeados en el Plan Anual de Auditorías</t>
  </si>
  <si>
    <r>
      <rPr>
        <b/>
        <sz val="8"/>
        <color theme="1"/>
        <rFont val="Arial"/>
        <family val="2"/>
      </rPr>
      <t>T1:</t>
    </r>
    <r>
      <rPr>
        <sz val="8"/>
        <color theme="1"/>
        <rFont val="Arial"/>
        <family val="2"/>
      </rPr>
      <t xml:space="preserve"> Se realiza seguimiento del Plan Anual de Auditoría con corte al 31 de marzo observando lo siguiente: De un total de (14) informes de ley, se han realizado (7) correspondiendo a un avance del 50%,  quedando pendiente los siguientes informes:
1. Informe Directiva 03-2013 : Programado desde el 02-04-18 hasta el 15-05-18.
2. Seguimiento Austeridad en el gasto: Se reprograma el informe de seguimiento  (01-10-18 hasta 30-11-2018), de conformidad con el ajuste del Plan Anual de Auditorías vigencia 2018 aprobado mediante Acta No. 001 de 2018 del Comité Institucional de Coordinación de Control Interno del 02 de abril de 2018. 
3. Informe Ejecutivo Anual de Control:  El informe ejecutivo anual de Control Interno se eliminó de conformidad con lo establecido en el Decreto 1499-2017.
4. Informe sobre PQRS: Se realizó Informe de PQRS para el corte julio a diciembre de 2017, el cual puede consultarse en la carpeta compartida de control interno en la siguiente ruta: :\2018\INFORMES\PQRS\II SEM 2017. Quedando pendiente el programado desde el  03-07-18 hasta el 31-07-18.
5. Seguimiento al Mapa de Riesgos por Procesos:  Se realiza el seguimiento al mapa de riesgos por procesos vigencia 2017, se radica mediante memorando 755-2018. Las actividades pueden consultarse en la carpeta compartida de Control Interno en la siguiente ruta: Y:\2018\INFORMES\RIESGOS. Quedando pendiente el programado desde el 01-08-18 hasta el 30-09-18.
6. Seguimiento al reporte y actualización del SIPROJ: Se reprograma el informe de seguimiento  (01-05-18 hasta 30-06-18), de conformidad con el ajuste del Plan Anual de Auditorías vigencia 2018 aprobado mediante Acta No. 001 de 2018 del Comité Institucional de Coordinación de Control Interno del 02 de abril de 2018. 
7. Seguimiento al  Sistema de Información y Gestión del Empleo Público SIDEAP y Reporte al SIGIA: Se reprograma el informe  (01-05-18 hasta 31-05-18), de conformidad con el ajuste del Plan Anual de Auditorías vigencia 2018 aprobado mediante Acta No. 001 de 2018 del Comité Institucional de Coordinación de Control Interno del 02 de abril de 2018.
Como acción para la mejora, se indica que se debe ajustar el Plan Anual de Auditoria considerando los ajustes normativos en relación con el Informe Ejecutivo Anual de Control Interno. Esta ajuste del PAA fue aprobado mediante Acta No. 001 de 2018 del Comité Institucional de Coordinación de Control Interno realizado el pasado 02 de abril de 2018.
</t>
    </r>
    <r>
      <rPr>
        <b/>
        <sz val="8"/>
        <color theme="1"/>
        <rFont val="Arial"/>
        <family val="2"/>
      </rPr>
      <t>T2:</t>
    </r>
    <r>
      <rPr>
        <sz val="8"/>
        <color theme="1"/>
        <rFont val="Arial"/>
        <family val="2"/>
      </rPr>
      <t xml:space="preserve"> Para el periodo reportado únicamente el Informe de seguimiento a las funciones del Comité de Conciliación no se pudo realizar, debido a que no se recibió la información requerida para desarrollarlo, a pesar de que se realizó solicitud mediante memorando 1511 del 13 de junio de 2018. Adicional, mediante correo electrónico del 25 de junio se reitera la solicitud de información sin recibir respuesta.</t>
    </r>
  </si>
  <si>
    <r>
      <rPr>
        <b/>
        <sz val="8"/>
        <color theme="1"/>
        <rFont val="Arial"/>
        <family val="2"/>
      </rPr>
      <t>T1:</t>
    </r>
    <r>
      <rPr>
        <sz val="8"/>
        <color theme="1"/>
        <rFont val="Arial"/>
        <family val="2"/>
      </rPr>
      <t xml:space="preserve"> Durante el primer trimestre del año se realizó el cargue de 411 contratos en la plataforma SECOP, que corresponden a:
* 400 Contratos de prestación de Servicios
* 10 Contratos interadministrativos
* 1 Convocatoria pública
</t>
    </r>
    <r>
      <rPr>
        <b/>
        <sz val="8"/>
        <color theme="1"/>
        <rFont val="Arial"/>
        <family val="2"/>
      </rPr>
      <t>T2:</t>
    </r>
    <r>
      <rPr>
        <sz val="8"/>
        <color theme="1"/>
        <rFont val="Arial"/>
        <family val="2"/>
      </rPr>
      <t xml:space="preserve"> Canal Capital celebró durante el segundo trimestre de 2018 catorce (14) contratos de los cuales siete (07) fueron el resultado de las convocatorias públicas adelantadas por la Entidad y los otros siete (7) restantes correspondieron a la causal de contratación directa. </t>
    </r>
  </si>
  <si>
    <t>Impactar mensualmente un promedio de 4.000 personas radicadas en la zona centro de Colombia y afiliadas por suscripción a un cableoperador.</t>
  </si>
  <si>
    <t>La meta es fijada tomando los recursos que se manejan para la vigencia, a una tasa promedio del mercado actual  y teniendo en cuenta que existen momentos de picos, los cuales  se presentan al momento de  redimir inversiones actuales.</t>
  </si>
  <si>
    <r>
      <rPr>
        <b/>
        <sz val="8"/>
        <rFont val="Arial"/>
        <family val="2"/>
      </rPr>
      <t>T1:</t>
    </r>
    <r>
      <rPr>
        <sz val="8"/>
        <rFont val="Arial"/>
        <family val="2"/>
      </rPr>
      <t xml:space="preserve"> 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primer trimestre se realizó inversión por $ 199.518.472 en la adquisición actualización del sistema de automatización de emisión, incluyendo la implementación de un sistema de redundancia.
</t>
    </r>
    <r>
      <rPr>
        <b/>
        <sz val="8"/>
        <rFont val="Arial"/>
        <family val="2"/>
      </rPr>
      <t xml:space="preserve">T2: </t>
    </r>
    <r>
      <rPr>
        <sz val="8"/>
        <rFont val="Arial"/>
        <family val="2"/>
      </rPr>
      <t>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segundo trimestre no se realizó inversión en el plan de renovación tecnológica, por lo cual el avance sigue igual al primer trimestre reportado.</t>
    </r>
  </si>
  <si>
    <r>
      <rPr>
        <b/>
        <sz val="8"/>
        <rFont val="Arial"/>
        <family val="2"/>
      </rPr>
      <t>T1:</t>
    </r>
    <r>
      <rPr>
        <sz val="8"/>
        <rFont val="Arial"/>
        <family val="2"/>
      </rPr>
      <t xml:space="preserve"> Con corte a 31 de marzo de 2018 se realizaron 41 transmisiones entre deportivas y culturales. Entre ellas se destacan: Festival Centro, Transmisión de Concierto Cholo Valderrama, Concierto Inaugural de Semana Santa de la Orquesta Filarmónica de Bogotá, entre otros. 
Nota: Inicialmente se estableció una meta de 120 transmisiones, pero al ver el comportamiento del primer trimestre y las proyecciones esperadas para el resto de la vigencia, se decidió aumentar la meta de transmisiones especiales a 180.
</t>
    </r>
    <r>
      <rPr>
        <b/>
        <sz val="8"/>
        <rFont val="Arial"/>
        <family val="2"/>
      </rPr>
      <t xml:space="preserve">T2: </t>
    </r>
    <r>
      <rPr>
        <sz val="8"/>
        <rFont val="Arial"/>
        <family val="2"/>
      </rPr>
      <t>Con corte a 30 de junio de 2018 se realizaron 91 transmisiones adicionales al primer trimestre, entre deportivas y culturales. Entre ellas se destacan: La Feria del Libro, la transmisión de premios Biohó (inclusión), campeonatos de microfútbol como el de taxistas y el de Rusos, entre otros.  Este incremento en el número de transmisiones se debe a la dinámica misma de la programación cultural y deportiva de la ciudad, lo que hace que la dinámica de producción y transmisión de eventos aumente.</t>
    </r>
  </si>
  <si>
    <r>
      <rPr>
        <b/>
        <sz val="8"/>
        <rFont val="Arial"/>
        <family val="2"/>
      </rPr>
      <t>T1:</t>
    </r>
    <r>
      <rPr>
        <sz val="8"/>
        <rFont val="Arial"/>
        <family val="2"/>
      </rPr>
      <t xml:space="preserve"> En este primer trimestre de 2018, se han realizado las transmisiones que están incluidas en los convenios previamente firmados. Se observa que el año pasado la realización de transmisiones especiales fue más alta, dado que podían suscribir nuevos convenios y alianzas porque no estaban supeditados a la ley de garantías.
</t>
    </r>
    <r>
      <rPr>
        <b/>
        <sz val="8"/>
        <rFont val="Arial"/>
        <family val="2"/>
      </rPr>
      <t>T2:</t>
    </r>
    <r>
      <rPr>
        <sz val="8"/>
        <rFont val="Arial"/>
        <family val="2"/>
      </rPr>
      <t xml:space="preserve"> En este segundo trimestre de 2018, se incrementó el número de transmisiones en comparación con la vigencia anterior, debido a varios factores: a) para estos meses aumenta la dinámica misma de la programación cultural y deportiva de la ciudad, lo que hace que la dinámica de producción y transmisión  de eventos del Canal también aumente. b) Dentro de los eventos especiales, para 2018, se consideran todas y cada una de las transmisiones culturales y deportivas que se hagan en exteriores con las unidades móviles.</t>
    </r>
  </si>
  <si>
    <r>
      <rPr>
        <b/>
        <sz val="8"/>
        <rFont val="Arial"/>
        <family val="2"/>
      </rPr>
      <t>T1:</t>
    </r>
    <r>
      <rPr>
        <sz val="8"/>
        <rFont val="Arial"/>
        <family val="2"/>
      </rPr>
      <t xml:space="preserve"> En el primer trimestre de 2018 se enviaron desde Talento Humano, correos electrónicos a los jefes de las diferentes áreas, solicitando la revisión de los perfiles a su cargo y el envío de los ajustes o modificaciones. Se recibieron respuestas sobre los diez perfiles enviados para revisión.
</t>
    </r>
    <r>
      <rPr>
        <b/>
        <sz val="8"/>
        <rFont val="Arial"/>
        <family val="2"/>
      </rPr>
      <t xml:space="preserve">T2: </t>
    </r>
    <r>
      <rPr>
        <sz val="8"/>
        <rFont val="Arial"/>
        <family val="2"/>
      </rPr>
      <t>Se revisaron los catorce (14) cargos restantes correspondientes a trabajadores oficiales y se proyectó el borrador de resolución por el cual se modifica el manual específico de funciones, requisitos y competencias de Canal Capital.</t>
    </r>
  </si>
  <si>
    <r>
      <rPr>
        <b/>
        <sz val="8"/>
        <rFont val="Arial"/>
        <family val="2"/>
      </rPr>
      <t>T1:</t>
    </r>
    <r>
      <rPr>
        <sz val="8"/>
        <rFont val="Arial"/>
        <family val="2"/>
      </rPr>
      <t xml:space="preserve"> En el primer trimestre de 2018, la Secretaría General formuló las metas 2018 de las áreas que la comprenden para iniciar el respectivo control y seguimiento a partir del segundo trimestre de 2018 lo que corresponde al 20% de la gestión a realizar para las respectivas mediciones en lo corrido de la vigencia. Internamente, la Secretaría General definirá el mecanismo mediante el cual medirá los avances en el cumplimiento de las metas propuestas para 2018.
</t>
    </r>
    <r>
      <rPr>
        <b/>
        <sz val="8"/>
        <rFont val="Arial"/>
        <family val="2"/>
      </rPr>
      <t xml:space="preserve">T2: </t>
    </r>
    <r>
      <rPr>
        <sz val="8"/>
        <rFont val="Arial"/>
        <family val="2"/>
      </rPr>
      <t>De acuerdo con la matriz de seguimiento a las metas de las áreas que corresponden a la Secretaría General, se reporta un avance del 54,67% correspondiente a: 
1. Formulación de las metas (20%).
2. Ponderación en los avances de las actividades de las áreas de la Secretaría General (34,67%), que se distribuyen de la siguiente manera:
- Acción 1: Definición de la nueva plataforma estratégica (21,33%).
- Acción 2: Reorganización administrativa (0%).
- Acción 3: Automatización y actualización normativa de procesos contractuales, administrativo y financieros (13,33%).
Como acción para la mejora, por parte de la Secretaría General se revisará y se realizará la gestión necesaria a fin de avanzar en el cumplimiento de las acciones proyectadas por las áreas.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</si>
</sst>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0.0%"/>
    <numFmt numFmtId="165" formatCode="_(&quot;$&quot;\ * #,##0_);_(&quot;$&quot;\ * \(#,##0\);_(&quot;$&quot;\ * &quot;-&quot;??_);_(@_)"/>
  </numFmts>
  <fonts count="1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Arial"/>
      <family val="2"/>
    </font>
    <font>
      <b/>
      <sz val="8"/>
      <color theme="1"/>
      <name val="Arial"/>
      <family val="2"/>
    </font>
    <font>
      <sz val="8"/>
      <name val="Arial"/>
      <family val="2"/>
    </font>
    <font>
      <sz val="8"/>
      <color theme="1"/>
      <name val="Calibri"/>
      <family val="2"/>
      <scheme val="minor"/>
    </font>
    <font>
      <b/>
      <sz val="8"/>
      <name val="Arial"/>
      <family val="2"/>
    </font>
    <font>
      <b/>
      <sz val="11"/>
      <color theme="1"/>
      <name val="Calibri"/>
      <family val="2"/>
      <scheme val="minor"/>
    </font>
    <font>
      <sz val="11"/>
      <color theme="1"/>
      <name val="Arial"/>
      <family val="2"/>
    </font>
  </fonts>
  <fills count="5">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4"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44" fontId="1" fillId="0" borderId="0" applyFont="0" applyFill="0" applyBorder="0" applyAlignment="0" applyProtection="0"/>
    <xf numFmtId="0" fontId="1" fillId="0" borderId="0"/>
  </cellStyleXfs>
  <cellXfs count="363">
    <xf numFmtId="0" fontId="0" fillId="0" borderId="0" xfId="0"/>
    <xf numFmtId="0" fontId="4" fillId="0" borderId="0" xfId="0" applyFont="1" applyAlignment="1"/>
    <xf numFmtId="0" fontId="0" fillId="0" borderId="0" xfId="0"/>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Border="1" applyAlignment="1">
      <alignment horizontal="center" vertical="center" wrapText="1"/>
    </xf>
    <xf numFmtId="10" fontId="4" fillId="0" borderId="1" xfId="1" quotePrefix="1" applyNumberFormat="1" applyFont="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Fill="1" applyBorder="1" applyAlignment="1">
      <alignment horizontal="center" vertical="center" wrapText="1"/>
    </xf>
    <xf numFmtId="10" fontId="7" fillId="0" borderId="1" xfId="1" applyNumberFormat="1" applyFont="1" applyBorder="1" applyAlignment="1">
      <alignment horizontal="center" vertical="center"/>
    </xf>
    <xf numFmtId="10" fontId="4" fillId="0" borderId="12" xfId="0" applyNumberFormat="1" applyFont="1" applyBorder="1" applyAlignment="1">
      <alignment horizontal="center" vertical="center" wrapText="1"/>
    </xf>
    <xf numFmtId="10" fontId="4" fillId="0" borderId="27"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10" fontId="4" fillId="0" borderId="27" xfId="0" applyNumberFormat="1" applyFont="1" applyBorder="1" applyAlignment="1">
      <alignment horizontal="left" vertical="center" wrapText="1"/>
    </xf>
    <xf numFmtId="0" fontId="0" fillId="0" borderId="0" xfId="0" applyAlignment="1">
      <alignment horizontal="left" vertical="center"/>
    </xf>
    <xf numFmtId="0" fontId="5" fillId="0" borderId="18" xfId="0" applyFont="1" applyBorder="1" applyAlignment="1">
      <alignment horizontal="center" vertical="center" wrapText="1"/>
    </xf>
    <xf numFmtId="0" fontId="4" fillId="0" borderId="5" xfId="0" applyFont="1" applyFill="1" applyBorder="1" applyAlignment="1">
      <alignment horizontal="center" vertical="center" wrapText="1"/>
    </xf>
    <xf numFmtId="10" fontId="4" fillId="0" borderId="27" xfId="1" applyNumberFormat="1" applyFont="1" applyBorder="1" applyAlignment="1">
      <alignment horizontal="center" vertical="center"/>
    </xf>
    <xf numFmtId="0" fontId="4" fillId="0" borderId="17" xfId="0" applyFont="1" applyFill="1" applyBorder="1" applyAlignment="1">
      <alignment horizontal="center" vertical="center" wrapText="1"/>
    </xf>
    <xf numFmtId="10" fontId="4" fillId="0" borderId="25" xfId="0" applyNumberFormat="1" applyFont="1" applyBorder="1" applyAlignment="1">
      <alignment horizontal="left" vertical="center" wrapText="1"/>
    </xf>
    <xf numFmtId="0" fontId="4" fillId="0" borderId="15" xfId="0" applyFont="1" applyFill="1" applyBorder="1" applyAlignment="1">
      <alignment horizontal="center" vertical="center" wrapText="1"/>
    </xf>
    <xf numFmtId="10" fontId="4" fillId="0" borderId="12" xfId="0" applyNumberFormat="1" applyFont="1" applyBorder="1" applyAlignment="1">
      <alignment horizontal="left" vertical="center" wrapText="1"/>
    </xf>
    <xf numFmtId="0" fontId="5" fillId="0" borderId="13" xfId="0" applyFont="1" applyBorder="1" applyAlignment="1">
      <alignment horizontal="center" vertical="center" wrapText="1"/>
    </xf>
    <xf numFmtId="0" fontId="4" fillId="0" borderId="20" xfId="0" applyFont="1" applyFill="1" applyBorder="1" applyAlignment="1">
      <alignment horizontal="center" vertical="center" wrapText="1"/>
    </xf>
    <xf numFmtId="10" fontId="4" fillId="0" borderId="13" xfId="0" applyNumberFormat="1" applyFont="1" applyBorder="1" applyAlignment="1">
      <alignment horizontal="left" vertical="center" wrapText="1"/>
    </xf>
    <xf numFmtId="0" fontId="5" fillId="0" borderId="2" xfId="0" applyFont="1" applyFill="1" applyBorder="1" applyAlignment="1">
      <alignment horizontal="center" vertical="center" wrapText="1"/>
    </xf>
    <xf numFmtId="10" fontId="4" fillId="0" borderId="12" xfId="0" applyNumberFormat="1" applyFont="1" applyBorder="1" applyAlignment="1">
      <alignment horizontal="left" vertical="center"/>
    </xf>
    <xf numFmtId="0" fontId="8" fillId="0" borderId="24" xfId="0" applyFont="1" applyFill="1" applyBorder="1" applyAlignment="1">
      <alignment horizontal="center" vertical="center" wrapText="1"/>
    </xf>
    <xf numFmtId="0" fontId="4" fillId="0" borderId="16"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0" fillId="0" borderId="0" xfId="0" applyFill="1"/>
    <xf numFmtId="10" fontId="4" fillId="0" borderId="25" xfId="0" applyNumberFormat="1" applyFont="1" applyBorder="1" applyAlignment="1">
      <alignment horizontal="left" vertical="center"/>
    </xf>
    <xf numFmtId="0" fontId="0" fillId="0" borderId="0" xfId="0" applyAlignment="1">
      <alignment vertical="center"/>
    </xf>
    <xf numFmtId="0" fontId="10" fillId="0" borderId="0" xfId="0" applyFont="1"/>
    <xf numFmtId="0" fontId="4" fillId="0" borderId="25" xfId="0" applyFont="1" applyBorder="1" applyAlignment="1">
      <alignment horizontal="center" vertical="center" wrapText="1"/>
    </xf>
    <xf numFmtId="0" fontId="5" fillId="3" borderId="13"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center" vertical="center" wrapText="1"/>
    </xf>
    <xf numFmtId="0" fontId="5" fillId="2" borderId="21" xfId="0" applyFont="1" applyFill="1" applyBorder="1" applyAlignment="1">
      <alignment horizontal="center" vertical="center"/>
    </xf>
    <xf numFmtId="0" fontId="5" fillId="2" borderId="19" xfId="0" applyFont="1" applyFill="1" applyBorder="1" applyAlignment="1">
      <alignment horizontal="center" vertical="center"/>
    </xf>
    <xf numFmtId="10" fontId="4" fillId="0" borderId="27" xfId="1" applyNumberFormat="1" applyFont="1" applyFill="1" applyBorder="1" applyAlignment="1">
      <alignment horizontal="center" vertical="center"/>
    </xf>
    <xf numFmtId="0" fontId="5" fillId="2" borderId="40" xfId="0" applyFont="1" applyFill="1" applyBorder="1" applyAlignment="1">
      <alignment horizontal="center" vertical="center"/>
    </xf>
    <xf numFmtId="0" fontId="4" fillId="0" borderId="19" xfId="0" applyFont="1" applyBorder="1" applyAlignment="1">
      <alignment horizontal="center" vertical="center"/>
    </xf>
    <xf numFmtId="0" fontId="4" fillId="0" borderId="41" xfId="0" applyFont="1" applyBorder="1" applyAlignment="1">
      <alignment horizontal="center" vertical="center" wrapText="1"/>
    </xf>
    <xf numFmtId="0" fontId="5" fillId="0" borderId="18" xfId="0" applyFont="1" applyBorder="1" applyAlignment="1">
      <alignment horizontal="center" vertical="center" wrapText="1"/>
    </xf>
    <xf numFmtId="1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10" fontId="4" fillId="0" borderId="16" xfId="0" applyNumberFormat="1" applyFont="1" applyBorder="1" applyAlignment="1">
      <alignment horizontal="center" vertical="center"/>
    </xf>
    <xf numFmtId="10" fontId="4" fillId="0" borderId="1" xfId="1" applyNumberFormat="1" applyFont="1" applyFill="1" applyBorder="1" applyAlignment="1">
      <alignment horizontal="center" vertical="center"/>
    </xf>
    <xf numFmtId="10" fontId="7" fillId="0" borderId="5"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4" xfId="1" applyNumberFormat="1" applyFont="1" applyFill="1" applyBorder="1" applyAlignment="1">
      <alignment horizontal="center" vertical="center"/>
    </xf>
    <xf numFmtId="10" fontId="4" fillId="0" borderId="3" xfId="1" applyNumberFormat="1"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1" xfId="0" applyFont="1" applyFill="1" applyBorder="1" applyAlignment="1">
      <alignment horizontal="center" vertical="center"/>
    </xf>
    <xf numFmtId="0" fontId="7" fillId="0" borderId="1" xfId="0" applyFont="1" applyBorder="1" applyAlignment="1">
      <alignment horizontal="center" vertical="center"/>
    </xf>
    <xf numFmtId="2" fontId="4" fillId="0" borderId="5" xfId="0" applyNumberFormat="1" applyFont="1" applyBorder="1" applyAlignment="1">
      <alignment horizontal="center" vertical="center"/>
    </xf>
    <xf numFmtId="10" fontId="4" fillId="0" borderId="12" xfId="0" quotePrefix="1" applyNumberFormat="1" applyFont="1" applyBorder="1" applyAlignment="1">
      <alignment vertical="center" wrapText="1"/>
    </xf>
    <xf numFmtId="10" fontId="6" fillId="0" borderId="27" xfId="0" applyNumberFormat="1" applyFont="1" applyFill="1" applyBorder="1" applyAlignment="1">
      <alignment horizontal="left" vertical="center" wrapText="1"/>
    </xf>
    <xf numFmtId="10" fontId="6" fillId="0" borderId="25" xfId="0" applyNumberFormat="1" applyFont="1" applyFill="1" applyBorder="1" applyAlignment="1">
      <alignment horizontal="left" vertical="center" wrapText="1"/>
    </xf>
    <xf numFmtId="10" fontId="4" fillId="0" borderId="2" xfId="1" applyNumberFormat="1" applyFont="1" applyBorder="1" applyAlignment="1">
      <alignment horizontal="center" vertical="center"/>
    </xf>
    <xf numFmtId="10" fontId="4" fillId="0" borderId="8" xfId="1" quotePrefix="1" applyNumberFormat="1" applyFont="1" applyBorder="1" applyAlignment="1">
      <alignment horizontal="center" vertical="center"/>
    </xf>
    <xf numFmtId="10" fontId="4" fillId="0" borderId="12"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4" xfId="1" applyNumberFormat="1" applyFont="1" applyBorder="1" applyAlignment="1">
      <alignment horizontal="center" vertical="center"/>
    </xf>
    <xf numFmtId="0" fontId="4" fillId="0" borderId="25" xfId="0" quotePrefix="1" applyFont="1" applyBorder="1" applyAlignment="1">
      <alignment vertical="center" wrapText="1"/>
    </xf>
    <xf numFmtId="10" fontId="6" fillId="0" borderId="12" xfId="0" applyNumberFormat="1" applyFont="1" applyFill="1" applyBorder="1" applyAlignment="1">
      <alignment horizontal="left" vertical="center" wrapText="1"/>
    </xf>
    <xf numFmtId="10" fontId="4" fillId="0" borderId="3" xfId="1" applyNumberFormat="1" applyFont="1" applyBorder="1" applyAlignment="1">
      <alignment horizontal="center" vertical="center"/>
    </xf>
    <xf numFmtId="10" fontId="4" fillId="0" borderId="12"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5" fillId="3" borderId="49" xfId="0" applyFont="1" applyFill="1" applyBorder="1" applyAlignment="1">
      <alignment horizontal="center" vertical="center" wrapText="1"/>
    </xf>
    <xf numFmtId="10" fontId="4" fillId="0" borderId="5" xfId="1" applyNumberFormat="1" applyFont="1" applyFill="1" applyBorder="1" applyAlignment="1">
      <alignment horizontal="center" vertical="center"/>
    </xf>
    <xf numFmtId="10" fontId="4" fillId="0" borderId="5" xfId="1" applyNumberFormat="1" applyFont="1" applyBorder="1" applyAlignment="1">
      <alignment horizontal="center" vertical="center"/>
    </xf>
    <xf numFmtId="10" fontId="4" fillId="0" borderId="1" xfId="1" applyNumberFormat="1" applyFont="1" applyBorder="1" applyAlignment="1">
      <alignment horizontal="center" vertical="center"/>
    </xf>
    <xf numFmtId="10" fontId="4" fillId="0" borderId="8" xfId="1" applyNumberFormat="1" applyFont="1" applyBorder="1" applyAlignment="1">
      <alignment horizontal="center" vertical="center"/>
    </xf>
    <xf numFmtId="10" fontId="4" fillId="0" borderId="3" xfId="1" applyNumberFormat="1" applyFont="1" applyBorder="1" applyAlignment="1">
      <alignment horizontal="center" vertical="center"/>
    </xf>
    <xf numFmtId="10" fontId="4" fillId="0" borderId="6" xfId="1" applyNumberFormat="1" applyFont="1" applyBorder="1" applyAlignment="1">
      <alignment horizontal="center" vertical="center"/>
    </xf>
    <xf numFmtId="10" fontId="4" fillId="0" borderId="24" xfId="1" applyNumberFormat="1" applyFont="1" applyFill="1" applyBorder="1" applyAlignment="1">
      <alignment horizontal="center" vertical="center"/>
    </xf>
    <xf numFmtId="10" fontId="4" fillId="0" borderId="1" xfId="1" applyNumberFormat="1" applyFont="1" applyFill="1" applyBorder="1" applyAlignment="1">
      <alignment horizontal="center" vertical="center"/>
    </xf>
    <xf numFmtId="10" fontId="4" fillId="0" borderId="24" xfId="1" applyNumberFormat="1" applyFont="1" applyBorder="1" applyAlignment="1">
      <alignment horizontal="center" vertical="center"/>
    </xf>
    <xf numFmtId="0" fontId="4" fillId="0" borderId="1"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8" xfId="0" applyFont="1" applyFill="1" applyBorder="1" applyAlignment="1">
      <alignment horizontal="center" vertical="center"/>
    </xf>
    <xf numFmtId="0" fontId="4" fillId="0" borderId="5" xfId="0" applyFont="1" applyBorder="1" applyAlignment="1">
      <alignment horizontal="center" vertical="center" wrapText="1"/>
    </xf>
    <xf numFmtId="10" fontId="4" fillId="0" borderId="11" xfId="1" applyNumberFormat="1" applyFont="1" applyBorder="1" applyAlignment="1">
      <alignment horizontal="center" vertical="center"/>
    </xf>
    <xf numFmtId="10" fontId="4" fillId="0" borderId="10" xfId="1" applyNumberFormat="1" applyFont="1" applyBorder="1" applyAlignment="1">
      <alignment horizontal="center" vertical="center"/>
    </xf>
    <xf numFmtId="10" fontId="4" fillId="0" borderId="7" xfId="1" applyNumberFormat="1" applyFont="1" applyBorder="1" applyAlignment="1">
      <alignment horizontal="center" vertical="center"/>
    </xf>
    <xf numFmtId="10" fontId="4" fillId="0" borderId="5" xfId="1" applyNumberFormat="1" applyFont="1" applyFill="1" applyBorder="1" applyAlignment="1">
      <alignment horizontal="center" vertical="center"/>
    </xf>
    <xf numFmtId="10" fontId="4" fillId="0" borderId="5" xfId="1" applyNumberFormat="1" applyFont="1" applyBorder="1" applyAlignment="1">
      <alignment horizontal="center" vertical="center"/>
    </xf>
    <xf numFmtId="10" fontId="4" fillId="0" borderId="7" xfId="1" applyNumberFormat="1" applyFont="1" applyFill="1" applyBorder="1" applyAlignment="1">
      <alignment horizontal="center" vertical="center"/>
    </xf>
    <xf numFmtId="10" fontId="4" fillId="0" borderId="25" xfId="1" applyNumberFormat="1" applyFont="1" applyFill="1" applyBorder="1" applyAlignment="1">
      <alignment horizontal="center" vertical="center"/>
    </xf>
    <xf numFmtId="10" fontId="4" fillId="0" borderId="8" xfId="1" applyNumberFormat="1" applyFont="1" applyFill="1" applyBorder="1" applyAlignment="1">
      <alignment horizontal="center" vertical="center"/>
    </xf>
    <xf numFmtId="10" fontId="4" fillId="0" borderId="11" xfId="1" applyNumberFormat="1" applyFont="1" applyFill="1" applyBorder="1" applyAlignment="1">
      <alignment horizontal="center" vertical="center"/>
    </xf>
    <xf numFmtId="0" fontId="4" fillId="0" borderId="8" xfId="0" applyFont="1" applyFill="1" applyBorder="1" applyAlignment="1">
      <alignment horizontal="center" vertical="center" wrapText="1"/>
    </xf>
    <xf numFmtId="10" fontId="4" fillId="0" borderId="38" xfId="1" applyNumberFormat="1" applyFont="1" applyBorder="1" applyAlignment="1">
      <alignment horizontal="center" vertical="center"/>
    </xf>
    <xf numFmtId="10" fontId="4" fillId="0" borderId="39" xfId="1" applyNumberFormat="1" applyFont="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1" xfId="0" applyFont="1" applyFill="1" applyBorder="1" applyAlignment="1">
      <alignment horizontal="center" vertical="center" wrapText="1"/>
    </xf>
    <xf numFmtId="10" fontId="4" fillId="0" borderId="10" xfId="1" applyNumberFormat="1" applyFont="1" applyFill="1" applyBorder="1" applyAlignment="1">
      <alignment horizontal="center" vertical="center"/>
    </xf>
    <xf numFmtId="10" fontId="4" fillId="0" borderId="9" xfId="1" applyNumberFormat="1" applyFont="1" applyBorder="1" applyAlignment="1">
      <alignment horizontal="center" vertical="center"/>
    </xf>
    <xf numFmtId="10" fontId="4" fillId="0" borderId="11" xfId="1" quotePrefix="1" applyNumberFormat="1" applyFont="1" applyBorder="1" applyAlignment="1">
      <alignment horizontal="center" vertical="center"/>
    </xf>
    <xf numFmtId="2" fontId="4" fillId="0" borderId="10" xfId="0" applyNumberFormat="1" applyFont="1" applyBorder="1" applyAlignment="1">
      <alignment horizontal="center" vertical="center"/>
    </xf>
    <xf numFmtId="10" fontId="4" fillId="0" borderId="15" xfId="1" applyNumberFormat="1" applyFont="1" applyBorder="1" applyAlignment="1">
      <alignment horizontal="center" vertical="center"/>
    </xf>
    <xf numFmtId="10" fontId="4" fillId="0" borderId="17" xfId="1" applyNumberFormat="1" applyFont="1" applyBorder="1" applyAlignment="1">
      <alignment horizontal="center" vertical="center"/>
    </xf>
    <xf numFmtId="10" fontId="4" fillId="0" borderId="15" xfId="1" applyNumberFormat="1" applyFont="1" applyBorder="1" applyAlignment="1">
      <alignment horizontal="center" vertical="center"/>
    </xf>
    <xf numFmtId="10" fontId="4" fillId="0" borderId="16" xfId="1" quotePrefix="1" applyNumberFormat="1" applyFont="1" applyBorder="1" applyAlignment="1">
      <alignment horizontal="center" vertical="center"/>
    </xf>
    <xf numFmtId="10" fontId="4" fillId="0" borderId="16" xfId="1" applyNumberFormat="1" applyFont="1" applyBorder="1" applyAlignment="1">
      <alignment horizontal="center" vertical="center"/>
    </xf>
    <xf numFmtId="10" fontId="4" fillId="0" borderId="40" xfId="1" applyNumberFormat="1" applyFont="1" applyFill="1" applyBorder="1" applyAlignment="1">
      <alignment horizontal="center" vertical="center"/>
    </xf>
    <xf numFmtId="10" fontId="4" fillId="0" borderId="19" xfId="1" applyNumberFormat="1" applyFont="1" applyFill="1" applyBorder="1" applyAlignment="1">
      <alignment horizontal="center" vertical="center"/>
    </xf>
    <xf numFmtId="10" fontId="4" fillId="0" borderId="21" xfId="1" applyNumberFormat="1" applyFont="1" applyFill="1" applyBorder="1" applyAlignment="1">
      <alignment horizontal="center" vertical="center"/>
    </xf>
    <xf numFmtId="10" fontId="4" fillId="0" borderId="13" xfId="1" applyNumberFormat="1" applyFont="1" applyFill="1" applyBorder="1" applyAlignment="1">
      <alignment horizontal="center" vertical="center"/>
    </xf>
    <xf numFmtId="10" fontId="6" fillId="0" borderId="13" xfId="0" applyNumberFormat="1" applyFont="1" applyFill="1" applyBorder="1" applyAlignment="1">
      <alignment horizontal="left" vertical="center" wrapText="1"/>
    </xf>
    <xf numFmtId="10" fontId="4" fillId="0" borderId="16" xfId="1" applyNumberFormat="1" applyFont="1" applyFill="1" applyBorder="1" applyAlignment="1">
      <alignment horizontal="center" vertical="center"/>
    </xf>
    <xf numFmtId="165" fontId="7" fillId="0" borderId="1" xfId="4" applyNumberFormat="1" applyFont="1" applyBorder="1" applyAlignment="1">
      <alignment horizontal="center" vertical="center" textRotation="90" wrapText="1"/>
    </xf>
    <xf numFmtId="165" fontId="7" fillId="0" borderId="1" xfId="4" applyNumberFormat="1" applyFont="1" applyFill="1" applyBorder="1" applyAlignment="1">
      <alignment horizontal="center" vertical="center" textRotation="90"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0" fontId="4" fillId="0" borderId="45" xfId="0" applyNumberFormat="1" applyFont="1" applyBorder="1" applyAlignment="1">
      <alignment horizontal="center" vertical="center" wrapText="1"/>
    </xf>
    <xf numFmtId="10" fontId="4" fillId="0" borderId="33" xfId="0" applyNumberFormat="1" applyFont="1" applyBorder="1" applyAlignment="1">
      <alignment horizontal="center" vertical="center" wrapText="1"/>
    </xf>
    <xf numFmtId="10" fontId="4" fillId="0" borderId="43"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7" fillId="0" borderId="3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7" fillId="0" borderId="43" xfId="0" applyFont="1" applyBorder="1" applyAlignment="1">
      <alignment horizontal="center" vertical="center" wrapText="1"/>
    </xf>
    <xf numFmtId="10" fontId="4" fillId="0" borderId="17" xfId="0" applyNumberFormat="1" applyFont="1" applyBorder="1" applyAlignment="1">
      <alignment horizontal="center" vertical="center"/>
    </xf>
    <xf numFmtId="10" fontId="4" fillId="0" borderId="2" xfId="1" applyNumberFormat="1" applyFont="1" applyBorder="1" applyAlignment="1">
      <alignment horizontal="center" vertical="center"/>
    </xf>
    <xf numFmtId="10" fontId="4" fillId="0" borderId="15" xfId="0" applyNumberFormat="1" applyFont="1" applyBorder="1" applyAlignment="1">
      <alignment horizontal="center" vertical="center"/>
    </xf>
    <xf numFmtId="10" fontId="4" fillId="0" borderId="35" xfId="1" applyNumberFormat="1" applyFont="1" applyBorder="1" applyAlignment="1">
      <alignment horizontal="center" vertical="center"/>
    </xf>
    <xf numFmtId="165" fontId="7" fillId="0" borderId="24" xfId="4" applyNumberFormat="1" applyFont="1" applyBorder="1" applyAlignment="1">
      <alignment horizontal="center" vertical="center" textRotation="90" wrapText="1"/>
    </xf>
    <xf numFmtId="165" fontId="7" fillId="0" borderId="16" xfId="4" applyNumberFormat="1" applyFont="1" applyFill="1" applyBorder="1" applyAlignment="1">
      <alignment horizontal="center" vertical="center" textRotation="90" wrapText="1"/>
    </xf>
    <xf numFmtId="10" fontId="7" fillId="0" borderId="16" xfId="0" applyNumberFormat="1" applyFont="1" applyFill="1" applyBorder="1" applyAlignment="1">
      <alignment horizontal="center" vertical="center"/>
    </xf>
    <xf numFmtId="10" fontId="7" fillId="0" borderId="16" xfId="0" applyNumberFormat="1" applyFont="1" applyBorder="1" applyAlignment="1">
      <alignment horizontal="center" vertical="center"/>
    </xf>
    <xf numFmtId="10" fontId="7" fillId="0" borderId="17"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6" fillId="0" borderId="19" xfId="0" applyFont="1" applyFill="1" applyBorder="1" applyAlignment="1">
      <alignment horizontal="center" vertical="center" wrapText="1"/>
    </xf>
    <xf numFmtId="10" fontId="4" fillId="0" borderId="2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0" fontId="4" fillId="0" borderId="2" xfId="1" applyNumberFormat="1" applyFont="1" applyFill="1" applyBorder="1" applyAlignment="1">
      <alignment vertical="center"/>
    </xf>
    <xf numFmtId="10" fontId="4" fillId="0" borderId="3" xfId="1" applyNumberFormat="1" applyFont="1" applyBorder="1" applyAlignment="1">
      <alignment vertical="center"/>
    </xf>
    <xf numFmtId="2" fontId="4" fillId="0" borderId="4"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45" xfId="0" applyFont="1" applyBorder="1" applyAlignment="1">
      <alignment horizontal="center" vertical="center" wrapText="1"/>
    </xf>
    <xf numFmtId="0" fontId="6" fillId="0" borderId="5" xfId="0" applyFont="1" applyBorder="1" applyAlignment="1">
      <alignment horizontal="center" vertical="center" wrapText="1"/>
    </xf>
    <xf numFmtId="2" fontId="7" fillId="0" borderId="4" xfId="4" applyNumberFormat="1" applyFont="1" applyBorder="1" applyAlignment="1">
      <alignment horizontal="center" vertical="center" wrapText="1"/>
    </xf>
    <xf numFmtId="2" fontId="7" fillId="0" borderId="5" xfId="4" applyNumberFormat="1" applyFont="1" applyBorder="1" applyAlignment="1">
      <alignment horizontal="center" vertical="center" wrapText="1"/>
    </xf>
    <xf numFmtId="2" fontId="7" fillId="0" borderId="5" xfId="4" applyNumberFormat="1" applyFont="1" applyFill="1" applyBorder="1" applyAlignment="1">
      <alignment horizontal="center" vertical="center" wrapText="1"/>
    </xf>
    <xf numFmtId="2" fontId="7" fillId="0" borderId="17" xfId="4" applyNumberFormat="1" applyFont="1" applyFill="1" applyBorder="1" applyAlignment="1">
      <alignment horizontal="center" vertical="center" wrapText="1"/>
    </xf>
    <xf numFmtId="0" fontId="4" fillId="0" borderId="43" xfId="0" applyFont="1" applyBorder="1" applyAlignment="1">
      <alignment horizontal="center" vertical="center" wrapText="1"/>
    </xf>
    <xf numFmtId="10" fontId="7" fillId="0" borderId="15" xfId="0" applyNumberFormat="1" applyFont="1" applyFill="1" applyBorder="1" applyAlignment="1">
      <alignment horizontal="center" vertical="center"/>
    </xf>
    <xf numFmtId="0" fontId="7" fillId="0" borderId="45" xfId="0" applyFont="1" applyFill="1" applyBorder="1" applyAlignment="1">
      <alignment horizontal="center" vertical="center" wrapText="1"/>
    </xf>
    <xf numFmtId="10" fontId="7" fillId="0" borderId="17" xfId="0" applyNumberFormat="1" applyFont="1" applyFill="1" applyBorder="1" applyAlignment="1">
      <alignment horizontal="center" vertical="center"/>
    </xf>
    <xf numFmtId="0" fontId="7" fillId="0" borderId="4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64" fontId="7" fillId="0" borderId="3" xfId="1" applyNumberFormat="1" applyFont="1" applyFill="1" applyBorder="1" applyAlignment="1">
      <alignment horizontal="center" vertical="center"/>
    </xf>
    <xf numFmtId="10" fontId="7" fillId="0" borderId="3" xfId="1" applyNumberFormat="1" applyFont="1" applyFill="1" applyBorder="1" applyAlignment="1">
      <alignment horizontal="center" vertical="center"/>
    </xf>
    <xf numFmtId="10" fontId="7" fillId="0" borderId="4" xfId="1" applyNumberFormat="1" applyFont="1" applyBorder="1" applyAlignment="1">
      <alignment horizontal="center" vertical="center"/>
    </xf>
    <xf numFmtId="10" fontId="7" fillId="0" borderId="3" xfId="1" applyNumberFormat="1" applyFont="1" applyBorder="1" applyAlignment="1">
      <alignment horizontal="center" vertical="center"/>
    </xf>
    <xf numFmtId="10" fontId="7" fillId="0" borderId="15" xfId="0" applyNumberFormat="1" applyFont="1" applyBorder="1" applyAlignment="1">
      <alignment horizontal="center" vertical="center"/>
    </xf>
    <xf numFmtId="0" fontId="4" fillId="0" borderId="45"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0" fontId="4" fillId="0" borderId="55" xfId="1" applyNumberFormat="1" applyFont="1" applyFill="1" applyBorder="1" applyAlignment="1">
      <alignment horizontal="center" vertical="center"/>
    </xf>
    <xf numFmtId="10" fontId="4" fillId="0" borderId="58" xfId="1" applyNumberFormat="1" applyFont="1" applyFill="1" applyBorder="1" applyAlignment="1">
      <alignment horizontal="center" vertical="center"/>
    </xf>
    <xf numFmtId="2" fontId="4" fillId="0" borderId="58" xfId="0" applyNumberFormat="1" applyFont="1" applyFill="1" applyBorder="1"/>
    <xf numFmtId="10" fontId="4" fillId="0" borderId="56" xfId="1" applyNumberFormat="1" applyFont="1" applyFill="1" applyBorder="1" applyAlignment="1">
      <alignment horizontal="center" vertical="center"/>
    </xf>
    <xf numFmtId="0" fontId="7" fillId="0" borderId="0" xfId="0" applyFont="1" applyFill="1" applyBorder="1" applyAlignment="1">
      <alignment horizontal="center" vertical="center" wrapText="1"/>
    </xf>
    <xf numFmtId="10" fontId="4" fillId="0" borderId="47" xfId="0" applyNumberFormat="1" applyFont="1" applyBorder="1" applyAlignment="1">
      <alignment horizontal="left" vertical="center" wrapText="1"/>
    </xf>
    <xf numFmtId="0" fontId="4" fillId="0" borderId="40" xfId="0" applyFont="1" applyBorder="1" applyAlignment="1">
      <alignment horizontal="center" vertical="center" wrapText="1"/>
    </xf>
    <xf numFmtId="10" fontId="7" fillId="0" borderId="20" xfId="0" applyNumberFormat="1" applyFont="1" applyBorder="1" applyAlignment="1">
      <alignment horizontal="center" vertical="center"/>
    </xf>
    <xf numFmtId="0" fontId="7" fillId="0" borderId="28" xfId="0" applyFont="1" applyBorder="1" applyAlignment="1">
      <alignment horizontal="center" vertical="center" wrapText="1"/>
    </xf>
    <xf numFmtId="10" fontId="4" fillId="0" borderId="22" xfId="0" applyNumberFormat="1" applyFont="1" applyBorder="1" applyAlignment="1">
      <alignment horizontal="left" vertical="center" wrapText="1"/>
    </xf>
    <xf numFmtId="10" fontId="4" fillId="0" borderId="23" xfId="0" applyNumberFormat="1" applyFont="1" applyBorder="1" applyAlignment="1">
      <alignment horizontal="left" vertical="center" wrapText="1"/>
    </xf>
    <xf numFmtId="10" fontId="4" fillId="0" borderId="22" xfId="0" applyNumberFormat="1" applyFont="1" applyBorder="1" applyAlignment="1">
      <alignment horizontal="left" vertical="center"/>
    </xf>
    <xf numFmtId="10" fontId="4" fillId="0" borderId="50" xfId="0" applyNumberFormat="1" applyFont="1" applyBorder="1" applyAlignment="1">
      <alignment horizontal="left" vertical="center" wrapText="1"/>
    </xf>
    <xf numFmtId="10" fontId="4" fillId="0" borderId="51" xfId="0" applyNumberFormat="1" applyFont="1" applyBorder="1" applyAlignment="1">
      <alignment horizontal="left" vertical="center" wrapText="1"/>
    </xf>
    <xf numFmtId="0" fontId="0" fillId="0" borderId="0" xfId="0" applyBorder="1"/>
    <xf numFmtId="10" fontId="4" fillId="0" borderId="50" xfId="1" applyNumberFormat="1" applyFont="1" applyBorder="1" applyAlignment="1">
      <alignment horizontal="left" vertical="center" wrapText="1"/>
    </xf>
    <xf numFmtId="10" fontId="4" fillId="0" borderId="51" xfId="1" applyNumberFormat="1" applyFont="1" applyBorder="1" applyAlignment="1">
      <alignment horizontal="left" vertical="center" wrapText="1"/>
    </xf>
    <xf numFmtId="10" fontId="4" fillId="0" borderId="20" xfId="0" applyNumberFormat="1" applyFont="1" applyFill="1" applyBorder="1" applyAlignment="1">
      <alignment horizontal="center" vertical="center"/>
    </xf>
    <xf numFmtId="10" fontId="4" fillId="0" borderId="13" xfId="0" applyNumberFormat="1" applyFont="1" applyFill="1" applyBorder="1" applyAlignment="1">
      <alignment horizontal="left" vertical="center" wrapText="1"/>
    </xf>
    <xf numFmtId="10" fontId="4" fillId="0" borderId="17" xfId="0" applyNumberFormat="1" applyFont="1" applyFill="1" applyBorder="1" applyAlignment="1">
      <alignment horizontal="center" vertical="center"/>
    </xf>
    <xf numFmtId="10" fontId="4" fillId="0" borderId="43" xfId="0" applyNumberFormat="1" applyFont="1" applyFill="1" applyBorder="1" applyAlignment="1">
      <alignment horizontal="center" vertical="center" wrapText="1"/>
    </xf>
    <xf numFmtId="10" fontId="4" fillId="0" borderId="25" xfId="0" applyNumberFormat="1" applyFont="1" applyFill="1" applyBorder="1" applyAlignment="1">
      <alignment horizontal="left" vertical="center" wrapText="1"/>
    </xf>
    <xf numFmtId="0" fontId="9" fillId="2" borderId="1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2" xfId="0" applyFont="1" applyFill="1" applyBorder="1" applyAlignment="1">
      <alignment horizontal="center" vertical="center"/>
    </xf>
    <xf numFmtId="0" fontId="8" fillId="0" borderId="2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14" xfId="0" applyFont="1" applyFill="1" applyBorder="1" applyAlignment="1">
      <alignment horizontal="center"/>
    </xf>
    <xf numFmtId="0" fontId="5" fillId="4" borderId="28" xfId="0" applyFont="1" applyFill="1" applyBorder="1" applyAlignment="1">
      <alignment horizontal="center"/>
    </xf>
    <xf numFmtId="0" fontId="5" fillId="4" borderId="23" xfId="0" applyFont="1" applyFill="1" applyBorder="1" applyAlignment="1">
      <alignment horizontal="center"/>
    </xf>
    <xf numFmtId="0" fontId="5" fillId="4" borderId="2"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10" fontId="4" fillId="0" borderId="1" xfId="1" applyNumberFormat="1" applyFont="1" applyFill="1" applyBorder="1" applyAlignment="1">
      <alignment horizontal="center" vertical="center"/>
    </xf>
    <xf numFmtId="10" fontId="4" fillId="0" borderId="8" xfId="1" applyNumberFormat="1" applyFont="1" applyFill="1" applyBorder="1" applyAlignment="1">
      <alignment horizontal="center" vertical="center"/>
    </xf>
    <xf numFmtId="10" fontId="4" fillId="0" borderId="11" xfId="1" applyNumberFormat="1" applyFont="1" applyBorder="1" applyAlignment="1">
      <alignment horizontal="center" vertical="center"/>
    </xf>
    <xf numFmtId="10" fontId="4" fillId="0" borderId="1" xfId="1" applyNumberFormat="1" applyFont="1" applyBorder="1" applyAlignment="1">
      <alignment horizontal="center" vertical="center"/>
    </xf>
    <xf numFmtId="10" fontId="4" fillId="0" borderId="8" xfId="1"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10" fontId="4" fillId="0" borderId="9" xfId="1" applyNumberFormat="1" applyFont="1" applyBorder="1" applyAlignment="1">
      <alignment horizontal="center" vertical="center"/>
    </xf>
    <xf numFmtId="10" fontId="4" fillId="0" borderId="3" xfId="1" applyNumberFormat="1" applyFont="1" applyBorder="1" applyAlignment="1">
      <alignment horizontal="center" vertical="center"/>
    </xf>
    <xf numFmtId="10" fontId="4" fillId="0" borderId="6" xfId="1" applyNumberFormat="1" applyFont="1" applyBorder="1" applyAlignment="1">
      <alignment horizontal="center" vertical="center"/>
    </xf>
    <xf numFmtId="10" fontId="4" fillId="0" borderId="15" xfId="1" applyNumberFormat="1" applyFont="1" applyBorder="1" applyAlignment="1">
      <alignment horizontal="center" vertical="center"/>
    </xf>
    <xf numFmtId="10" fontId="4" fillId="0" borderId="9" xfId="1" applyNumberFormat="1" applyFont="1" applyFill="1" applyBorder="1" applyAlignment="1">
      <alignment horizontal="center" vertical="center"/>
    </xf>
    <xf numFmtId="10" fontId="4" fillId="0" borderId="3" xfId="1" applyNumberFormat="1" applyFont="1" applyFill="1" applyBorder="1" applyAlignment="1">
      <alignment horizontal="center" vertical="center"/>
    </xf>
    <xf numFmtId="10" fontId="4" fillId="0" borderId="6" xfId="1" applyNumberFormat="1" applyFont="1" applyFill="1" applyBorder="1" applyAlignment="1">
      <alignment horizontal="center" vertical="center"/>
    </xf>
    <xf numFmtId="10" fontId="4" fillId="0" borderId="2" xfId="1" applyNumberFormat="1" applyFont="1" applyFill="1" applyBorder="1" applyAlignment="1">
      <alignment horizontal="center" vertical="center"/>
    </xf>
    <xf numFmtId="10" fontId="4" fillId="0" borderId="24" xfId="1" applyNumberFormat="1" applyFont="1" applyFill="1" applyBorder="1" applyAlignment="1">
      <alignment horizontal="center" vertical="center"/>
    </xf>
    <xf numFmtId="10" fontId="4" fillId="0" borderId="16" xfId="1" applyNumberFormat="1" applyFont="1" applyBorder="1" applyAlignment="1">
      <alignment horizontal="center" vertical="center"/>
    </xf>
    <xf numFmtId="0" fontId="5" fillId="0" borderId="4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64" fontId="4" fillId="0" borderId="8" xfId="1" applyNumberFormat="1" applyFont="1" applyFill="1" applyBorder="1" applyAlignment="1">
      <alignment horizontal="center" vertical="center"/>
    </xf>
    <xf numFmtId="164" fontId="4" fillId="0" borderId="33" xfId="1" applyNumberFormat="1" applyFont="1" applyFill="1" applyBorder="1" applyAlignment="1">
      <alignment horizontal="center" vertical="center"/>
    </xf>
    <xf numFmtId="164" fontId="4" fillId="0" borderId="50" xfId="1" applyNumberFormat="1" applyFont="1" applyFill="1" applyBorder="1" applyAlignment="1">
      <alignment horizontal="center" vertical="center"/>
    </xf>
    <xf numFmtId="10" fontId="4" fillId="0" borderId="11" xfId="1" applyNumberFormat="1" applyFont="1" applyFill="1" applyBorder="1" applyAlignment="1">
      <alignment horizontal="center" vertical="center"/>
    </xf>
    <xf numFmtId="10" fontId="4" fillId="0" borderId="24" xfId="1" applyNumberFormat="1" applyFont="1" applyBorder="1" applyAlignment="1">
      <alignment horizontal="center" vertical="center"/>
    </xf>
    <xf numFmtId="10" fontId="4" fillId="0" borderId="46" xfId="1" applyNumberFormat="1" applyFont="1" applyFill="1" applyBorder="1" applyAlignment="1">
      <alignment horizontal="center" vertical="center"/>
    </xf>
    <xf numFmtId="10" fontId="4" fillId="0" borderId="33" xfId="1" applyNumberFormat="1" applyFont="1" applyFill="1" applyBorder="1" applyAlignment="1">
      <alignment horizontal="center" vertical="center"/>
    </xf>
    <xf numFmtId="0" fontId="5" fillId="2" borderId="25" xfId="0" applyFont="1" applyFill="1" applyBorder="1" applyAlignment="1">
      <alignment horizontal="center" vertical="center"/>
    </xf>
    <xf numFmtId="0" fontId="4" fillId="0" borderId="0" xfId="0" applyFont="1" applyBorder="1" applyAlignment="1">
      <alignment horizontal="center"/>
    </xf>
    <xf numFmtId="0" fontId="5" fillId="2" borderId="22"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10" fontId="4" fillId="0" borderId="34" xfId="0" applyNumberFormat="1" applyFont="1" applyBorder="1" applyAlignment="1">
      <alignment horizontal="center" vertical="center"/>
    </xf>
    <xf numFmtId="10" fontId="4" fillId="0" borderId="35" xfId="0" applyNumberFormat="1" applyFont="1" applyBorder="1" applyAlignment="1">
      <alignment horizontal="center" vertical="center"/>
    </xf>
    <xf numFmtId="10" fontId="4" fillId="0" borderId="1" xfId="0" applyNumberFormat="1" applyFont="1" applyBorder="1" applyAlignment="1">
      <alignment horizontal="center" vertical="center"/>
    </xf>
    <xf numFmtId="10" fontId="4" fillId="0" borderId="16" xfId="0" applyNumberFormat="1" applyFont="1" applyBorder="1" applyAlignment="1">
      <alignment horizontal="center" vertical="center"/>
    </xf>
    <xf numFmtId="0" fontId="5" fillId="2" borderId="18" xfId="0" applyFont="1" applyFill="1" applyBorder="1" applyAlignment="1">
      <alignment horizontal="center" vertical="center"/>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10" fontId="4" fillId="0" borderId="16" xfId="1"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10" fontId="4" fillId="0" borderId="30" xfId="0" applyNumberFormat="1" applyFont="1" applyBorder="1" applyAlignment="1">
      <alignment horizontal="center" vertical="center"/>
    </xf>
    <xf numFmtId="10" fontId="4" fillId="0" borderId="29" xfId="0" applyNumberFormat="1" applyFont="1" applyBorder="1" applyAlignment="1">
      <alignment horizontal="center" vertical="center"/>
    </xf>
    <xf numFmtId="10" fontId="4" fillId="0" borderId="19" xfId="0" applyNumberFormat="1" applyFont="1" applyBorder="1" applyAlignment="1">
      <alignment horizontal="center" vertical="center"/>
    </xf>
    <xf numFmtId="10" fontId="4" fillId="0" borderId="20" xfId="0" applyNumberFormat="1" applyFont="1" applyBorder="1" applyAlignment="1">
      <alignment horizontal="center" vertical="center"/>
    </xf>
    <xf numFmtId="10" fontId="4" fillId="0" borderId="46" xfId="1" applyNumberFormat="1" applyFont="1" applyBorder="1" applyAlignment="1">
      <alignment horizontal="center" vertical="center"/>
    </xf>
    <xf numFmtId="10" fontId="4" fillId="0" borderId="33" xfId="1" applyNumberFormat="1" applyFont="1" applyBorder="1" applyAlignment="1">
      <alignment horizontal="center" vertical="center"/>
    </xf>
    <xf numFmtId="10" fontId="4" fillId="0" borderId="50" xfId="1" applyNumberFormat="1" applyFont="1" applyBorder="1" applyAlignment="1">
      <alignment horizontal="center" vertical="center"/>
    </xf>
    <xf numFmtId="10" fontId="4" fillId="0" borderId="44" xfId="1" applyNumberFormat="1" applyFont="1" applyBorder="1" applyAlignment="1">
      <alignment horizontal="center" vertical="center"/>
    </xf>
    <xf numFmtId="10" fontId="4" fillId="0" borderId="43" xfId="1" applyNumberFormat="1" applyFont="1" applyBorder="1" applyAlignment="1">
      <alignment horizontal="center" vertical="center"/>
    </xf>
    <xf numFmtId="10" fontId="4" fillId="0" borderId="10" xfId="1" applyNumberFormat="1" applyFont="1" applyBorder="1" applyAlignment="1">
      <alignment horizontal="center" vertical="center"/>
    </xf>
    <xf numFmtId="10" fontId="4" fillId="0" borderId="7" xfId="1" applyNumberFormat="1" applyFont="1" applyBorder="1" applyAlignment="1">
      <alignment horizontal="center" vertical="center"/>
    </xf>
    <xf numFmtId="10" fontId="4" fillId="0" borderId="51" xfId="1" applyNumberFormat="1" applyFont="1" applyBorder="1" applyAlignment="1">
      <alignment horizontal="center" vertical="center"/>
    </xf>
    <xf numFmtId="10" fontId="4" fillId="0" borderId="50" xfId="1" applyNumberFormat="1" applyFont="1" applyFill="1" applyBorder="1" applyAlignment="1">
      <alignment horizontal="center" vertical="center"/>
    </xf>
    <xf numFmtId="10" fontId="4" fillId="0" borderId="14" xfId="1" applyNumberFormat="1" applyFont="1" applyFill="1" applyBorder="1" applyAlignment="1">
      <alignment horizontal="center" vertical="center"/>
    </xf>
    <xf numFmtId="10" fontId="4" fillId="0" borderId="28" xfId="1" applyNumberFormat="1" applyFont="1" applyFill="1" applyBorder="1" applyAlignment="1">
      <alignment horizontal="center" vertical="center"/>
    </xf>
    <xf numFmtId="10" fontId="4" fillId="0" borderId="40" xfId="1" applyNumberFormat="1" applyFont="1" applyFill="1" applyBorder="1" applyAlignment="1">
      <alignment horizontal="center" vertical="center"/>
    </xf>
    <xf numFmtId="10" fontId="7" fillId="0" borderId="24" xfId="1" applyNumberFormat="1" applyFont="1" applyFill="1" applyBorder="1" applyAlignment="1">
      <alignment horizontal="center" vertical="center"/>
    </xf>
    <xf numFmtId="10" fontId="7" fillId="0" borderId="1" xfId="1" applyNumberFormat="1" applyFont="1" applyFill="1" applyBorder="1" applyAlignment="1">
      <alignment horizontal="center" vertical="center"/>
    </xf>
    <xf numFmtId="10" fontId="4" fillId="0" borderId="19" xfId="1" applyNumberFormat="1" applyFont="1" applyFill="1" applyBorder="1" applyAlignment="1">
      <alignment horizontal="center" vertical="center"/>
    </xf>
    <xf numFmtId="10" fontId="4" fillId="0" borderId="5" xfId="1" applyNumberFormat="1" applyFont="1" applyFill="1" applyBorder="1" applyAlignment="1">
      <alignment horizontal="center" vertical="center"/>
    </xf>
    <xf numFmtId="0" fontId="5" fillId="0" borderId="0" xfId="0" applyFont="1" applyBorder="1" applyAlignment="1">
      <alignment horizontal="center" vertical="center" wrapText="1"/>
    </xf>
    <xf numFmtId="0" fontId="5" fillId="0" borderId="42" xfId="0" applyFont="1" applyBorder="1" applyAlignment="1">
      <alignment horizontal="center" vertical="center" wrapText="1"/>
    </xf>
    <xf numFmtId="10" fontId="4" fillId="0" borderId="2" xfId="1" applyNumberFormat="1" applyFont="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4" borderId="45"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30" xfId="0" applyFont="1" applyFill="1" applyBorder="1" applyAlignment="1">
      <alignment horizontal="center" vertical="center" wrapText="1"/>
    </xf>
    <xf numFmtId="0" fontId="5" fillId="4" borderId="3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1" xfId="0" applyFont="1" applyFill="1" applyBorder="1" applyAlignment="1">
      <alignment horizontal="center" vertical="center"/>
    </xf>
    <xf numFmtId="10" fontId="7" fillId="0" borderId="18" xfId="1" applyNumberFormat="1" applyFont="1" applyBorder="1" applyAlignment="1">
      <alignment horizontal="center" vertical="center"/>
    </xf>
    <xf numFmtId="10" fontId="7" fillId="0" borderId="19" xfId="1" applyNumberFormat="1" applyFont="1" applyBorder="1" applyAlignment="1">
      <alignment horizontal="center" vertical="center"/>
    </xf>
    <xf numFmtId="10" fontId="7" fillId="0" borderId="4" xfId="1" applyNumberFormat="1" applyFont="1" applyFill="1" applyBorder="1" applyAlignment="1">
      <alignment horizontal="center" vertical="center"/>
    </xf>
    <xf numFmtId="10" fontId="7" fillId="0" borderId="5" xfId="1" applyNumberFormat="1" applyFont="1" applyFill="1" applyBorder="1" applyAlignment="1">
      <alignment horizontal="center" vertical="center"/>
    </xf>
    <xf numFmtId="10" fontId="7" fillId="0" borderId="2" xfId="1" applyNumberFormat="1" applyFont="1" applyFill="1" applyBorder="1" applyAlignment="1">
      <alignment horizontal="center" vertical="center"/>
    </xf>
    <xf numFmtId="10" fontId="7" fillId="0" borderId="3" xfId="1" applyNumberFormat="1" applyFont="1" applyFill="1" applyBorder="1" applyAlignment="1">
      <alignment horizontal="center" vertical="center"/>
    </xf>
    <xf numFmtId="10" fontId="7" fillId="0" borderId="8" xfId="1" applyNumberFormat="1" applyFont="1" applyBorder="1" applyAlignment="1">
      <alignment horizontal="center" vertical="center"/>
    </xf>
    <xf numFmtId="10" fontId="7" fillId="0" borderId="33" xfId="1" applyNumberFormat="1" applyFont="1" applyBorder="1" applyAlignment="1">
      <alignment horizontal="center" vertical="center"/>
    </xf>
    <xf numFmtId="10" fontId="7" fillId="0" borderId="11" xfId="1" applyNumberFormat="1" applyFont="1" applyBorder="1" applyAlignment="1">
      <alignment horizontal="center" vertical="center"/>
    </xf>
    <xf numFmtId="0" fontId="5" fillId="4" borderId="32" xfId="0" applyFont="1" applyFill="1" applyBorder="1" applyAlignment="1">
      <alignment horizontal="center" vertical="center"/>
    </xf>
    <xf numFmtId="10" fontId="4" fillId="0" borderId="4" xfId="1" applyNumberFormat="1" applyFont="1" applyFill="1" applyBorder="1" applyAlignment="1">
      <alignment horizontal="center" vertical="center"/>
    </xf>
    <xf numFmtId="10" fontId="4" fillId="0" borderId="5" xfId="1" applyNumberFormat="1" applyFont="1" applyBorder="1" applyAlignment="1">
      <alignment horizontal="center" vertical="center"/>
    </xf>
    <xf numFmtId="10" fontId="4" fillId="0" borderId="18" xfId="1" applyNumberFormat="1" applyFont="1" applyFill="1" applyBorder="1" applyAlignment="1">
      <alignment horizontal="center" vertical="center"/>
    </xf>
    <xf numFmtId="10" fontId="7" fillId="0" borderId="7" xfId="1" applyNumberFormat="1" applyFont="1" applyFill="1" applyBorder="1" applyAlignment="1">
      <alignment horizontal="center" vertical="center"/>
    </xf>
    <xf numFmtId="10" fontId="7" fillId="0" borderId="43" xfId="1" applyNumberFormat="1" applyFont="1" applyFill="1" applyBorder="1" applyAlignment="1">
      <alignment horizontal="center" vertical="center"/>
    </xf>
    <xf numFmtId="10" fontId="7" fillId="0" borderId="10" xfId="1" applyNumberFormat="1" applyFont="1" applyFill="1" applyBorder="1" applyAlignment="1">
      <alignment horizontal="center" vertical="center"/>
    </xf>
    <xf numFmtId="10" fontId="7" fillId="0" borderId="52" xfId="1" applyNumberFormat="1" applyFont="1" applyBorder="1" applyAlignment="1">
      <alignment horizontal="center" vertical="center"/>
    </xf>
    <xf numFmtId="10" fontId="7" fillId="0" borderId="45" xfId="1" applyNumberFormat="1" applyFont="1" applyBorder="1" applyAlignment="1">
      <alignment horizontal="center" vertical="center"/>
    </xf>
    <xf numFmtId="10" fontId="7" fillId="0" borderId="9" xfId="1" applyNumberFormat="1" applyFont="1" applyBorder="1" applyAlignment="1">
      <alignment horizontal="center" vertical="center"/>
    </xf>
    <xf numFmtId="10" fontId="7" fillId="0" borderId="6" xfId="1" applyNumberFormat="1" applyFont="1" applyBorder="1" applyAlignment="1">
      <alignment horizontal="center" vertical="center"/>
    </xf>
    <xf numFmtId="10" fontId="7" fillId="0" borderId="46" xfId="1" applyNumberFormat="1" applyFont="1" applyBorder="1" applyAlignment="1">
      <alignment horizontal="center" vertical="center"/>
    </xf>
  </cellXfs>
  <cellStyles count="6">
    <cellStyle name="Moneda" xfId="4" builtinId="4"/>
    <cellStyle name="Normal" xfId="0" builtinId="0"/>
    <cellStyle name="Normal 2 4" xfId="2"/>
    <cellStyle name="Normal 5" xfId="5"/>
    <cellStyle name="Porcentaje" xfId="1" builtinId="5"/>
    <cellStyle name="Porcentu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222517</xdr:colOff>
      <xdr:row>0</xdr:row>
      <xdr:rowOff>88636</xdr:rowOff>
    </xdr:from>
    <xdr:to>
      <xdr:col>1</xdr:col>
      <xdr:colOff>1223697</xdr:colOff>
      <xdr:row>0</xdr:row>
      <xdr:rowOff>607219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861" y="88636"/>
          <a:ext cx="1001180" cy="518583"/>
        </a:xfrm>
        <a:prstGeom prst="rect">
          <a:avLst/>
        </a:prstGeom>
      </xdr:spPr>
    </xdr:pic>
    <xdr:clientData/>
  </xdr:twoCellAnchor>
  <xdr:twoCellAnchor editAs="oneCell">
    <xdr:from>
      <xdr:col>20</xdr:col>
      <xdr:colOff>325621</xdr:colOff>
      <xdr:row>0</xdr:row>
      <xdr:rowOff>110181</xdr:rowOff>
    </xdr:from>
    <xdr:to>
      <xdr:col>20</xdr:col>
      <xdr:colOff>1504907</xdr:colOff>
      <xdr:row>0</xdr:row>
      <xdr:rowOff>597014</xdr:rowOff>
    </xdr:to>
    <xdr:pic>
      <xdr:nvPicPr>
        <xdr:cNvPr id="3"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24777" y="110181"/>
          <a:ext cx="1179286" cy="486833"/>
        </a:xfrm>
        <a:prstGeom prst="rect">
          <a:avLst/>
        </a:prstGeom>
      </xdr:spPr>
    </xdr:pic>
    <xdr:clientData/>
  </xdr:twoCellAnchor>
  <xdr:twoCellAnchor editAs="oneCell">
    <xdr:from>
      <xdr:col>21</xdr:col>
      <xdr:colOff>317500</xdr:colOff>
      <xdr:row>0</xdr:row>
      <xdr:rowOff>74083</xdr:rowOff>
    </xdr:from>
    <xdr:to>
      <xdr:col>21</xdr:col>
      <xdr:colOff>1318680</xdr:colOff>
      <xdr:row>0</xdr:row>
      <xdr:rowOff>592666</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5583" y="74083"/>
          <a:ext cx="1001180" cy="518583"/>
        </a:xfrm>
        <a:prstGeom prst="rect">
          <a:avLst/>
        </a:prstGeom>
      </xdr:spPr>
    </xdr:pic>
    <xdr:clientData/>
  </xdr:twoCellAnchor>
  <xdr:twoCellAnchor editAs="oneCell">
    <xdr:from>
      <xdr:col>21</xdr:col>
      <xdr:colOff>14288301</xdr:colOff>
      <xdr:row>0</xdr:row>
      <xdr:rowOff>90447</xdr:rowOff>
    </xdr:from>
    <xdr:to>
      <xdr:col>21</xdr:col>
      <xdr:colOff>15370968</xdr:colOff>
      <xdr:row>0</xdr:row>
      <xdr:rowOff>577280</xdr:rowOff>
    </xdr:to>
    <xdr:pic>
      <xdr:nvPicPr>
        <xdr:cNvPr id="5"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47239" y="90447"/>
          <a:ext cx="1082667" cy="486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235217</xdr:colOff>
      <xdr:row>0</xdr:row>
      <xdr:rowOff>67204</xdr:rowOff>
    </xdr:from>
    <xdr:to>
      <xdr:col>0</xdr:col>
      <xdr:colOff>1274763</xdr:colOff>
      <xdr:row>0</xdr:row>
      <xdr:rowOff>567796</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17" y="67204"/>
          <a:ext cx="1039546" cy="500592"/>
        </a:xfrm>
        <a:prstGeom prst="rect">
          <a:avLst/>
        </a:prstGeom>
      </xdr:spPr>
    </xdr:pic>
    <xdr:clientData/>
  </xdr:twoCellAnchor>
  <xdr:twoCellAnchor editAs="oneCell">
    <xdr:from>
      <xdr:col>18</xdr:col>
      <xdr:colOff>317499</xdr:colOff>
      <xdr:row>0</xdr:row>
      <xdr:rowOff>100015</xdr:rowOff>
    </xdr:from>
    <xdr:to>
      <xdr:col>19</xdr:col>
      <xdr:colOff>665164</xdr:colOff>
      <xdr:row>0</xdr:row>
      <xdr:rowOff>613835</xdr:rowOff>
    </xdr:to>
    <xdr:pic>
      <xdr:nvPicPr>
        <xdr:cNvPr id="3"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93749" y="100015"/>
          <a:ext cx="1240634" cy="513820"/>
        </a:xfrm>
        <a:prstGeom prst="rect">
          <a:avLst/>
        </a:prstGeom>
      </xdr:spPr>
    </xdr:pic>
    <xdr:clientData/>
  </xdr:twoCellAnchor>
  <xdr:twoCellAnchor editAs="oneCell">
    <xdr:from>
      <xdr:col>20</xdr:col>
      <xdr:colOff>179917</xdr:colOff>
      <xdr:row>0</xdr:row>
      <xdr:rowOff>63500</xdr:rowOff>
    </xdr:from>
    <xdr:to>
      <xdr:col>20</xdr:col>
      <xdr:colOff>1212849</xdr:colOff>
      <xdr:row>0</xdr:row>
      <xdr:rowOff>564092</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18834" y="63500"/>
          <a:ext cx="1032932" cy="500592"/>
        </a:xfrm>
        <a:prstGeom prst="rect">
          <a:avLst/>
        </a:prstGeom>
      </xdr:spPr>
    </xdr:pic>
    <xdr:clientData/>
  </xdr:twoCellAnchor>
  <xdr:twoCellAnchor editAs="oneCell">
    <xdr:from>
      <xdr:col>20</xdr:col>
      <xdr:colOff>13345706</xdr:colOff>
      <xdr:row>0</xdr:row>
      <xdr:rowOff>71440</xdr:rowOff>
    </xdr:from>
    <xdr:to>
      <xdr:col>20</xdr:col>
      <xdr:colOff>14586340</xdr:colOff>
      <xdr:row>0</xdr:row>
      <xdr:rowOff>585260</xdr:rowOff>
    </xdr:to>
    <xdr:pic>
      <xdr:nvPicPr>
        <xdr:cNvPr id="5"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60735" y="71440"/>
          <a:ext cx="1240634" cy="513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2017/Indicadores%20de%20Proceso/Hojas%20de%20Vida%20Indicadores%20de%20procesos%2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P-001"/>
      <sheetName val="IP-002"/>
      <sheetName val="IP-003"/>
      <sheetName val="IP-004"/>
      <sheetName val="IP-005"/>
      <sheetName val="IP-006"/>
      <sheetName val="IP-007"/>
      <sheetName val="IP-008"/>
      <sheetName val="IP-009"/>
      <sheetName val="IP-010"/>
      <sheetName val="IP-011"/>
      <sheetName val="IP-012"/>
      <sheetName val="IP-013"/>
      <sheetName val="IP-014"/>
      <sheetName val="IP-015"/>
      <sheetName val="IP-016"/>
      <sheetName val="IP-017"/>
      <sheetName val="IP-018"/>
      <sheetName val="IP-019"/>
      <sheetName val="IP-020"/>
      <sheetName val="IP-021"/>
      <sheetName val="IP-022"/>
      <sheetName val="IP-023"/>
      <sheetName val="IP-024"/>
      <sheetName val="IP-025"/>
      <sheetName val="IP-026"/>
      <sheetName val="IP-027"/>
      <sheetName val="IP-028"/>
      <sheetName val="IP-029"/>
      <sheetName val="IP-030"/>
      <sheetName val="IP-031"/>
      <sheetName val="IP-032"/>
      <sheetName val="IP-033"/>
      <sheetName val="IP-034"/>
      <sheetName val="IP-035"/>
      <sheetName val="IP-036"/>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F6" sqref="F6"/>
    </sheetView>
  </sheetViews>
  <sheetFormatPr baseColWidth="10" defaultRowHeight="15" x14ac:dyDescent="0.25"/>
  <cols>
    <col min="1" max="1" width="0.85546875" style="2" customWidth="1"/>
    <col min="2" max="2" width="6.28515625" style="2" customWidth="1"/>
    <col min="3" max="4" width="14.140625" customWidth="1"/>
    <col min="5" max="5" width="25.42578125" customWidth="1"/>
    <col min="6" max="6" width="17.5703125" customWidth="1"/>
    <col min="7" max="7" width="31.42578125" customWidth="1"/>
  </cols>
  <sheetData>
    <row r="1" spans="2:7" ht="5.25" customHeight="1" thickBot="1" x14ac:dyDescent="0.3"/>
    <row r="2" spans="2:7" s="44" customFormat="1" ht="17.25" customHeight="1" thickBot="1" x14ac:dyDescent="0.3">
      <c r="B2" s="214" t="s">
        <v>304</v>
      </c>
      <c r="C2" s="215"/>
      <c r="D2" s="215"/>
      <c r="E2" s="215"/>
      <c r="F2" s="215"/>
      <c r="G2" s="216"/>
    </row>
    <row r="3" spans="2:7" s="44" customFormat="1" ht="15" customHeight="1" x14ac:dyDescent="0.25">
      <c r="B3" s="217" t="s">
        <v>1</v>
      </c>
      <c r="C3" s="219" t="s">
        <v>2</v>
      </c>
      <c r="D3" s="221" t="s">
        <v>3</v>
      </c>
      <c r="E3" s="223" t="s">
        <v>5</v>
      </c>
      <c r="F3" s="219" t="s">
        <v>4</v>
      </c>
      <c r="G3" s="225" t="s">
        <v>7</v>
      </c>
    </row>
    <row r="4" spans="2:7" s="44" customFormat="1" ht="15.75" thickBot="1" x14ac:dyDescent="0.3">
      <c r="B4" s="218"/>
      <c r="C4" s="220"/>
      <c r="D4" s="222"/>
      <c r="E4" s="224"/>
      <c r="F4" s="220"/>
      <c r="G4" s="226"/>
    </row>
    <row r="5" spans="2:7" ht="67.5" customHeight="1" x14ac:dyDescent="0.25">
      <c r="B5" s="20" t="s">
        <v>21</v>
      </c>
      <c r="C5" s="5" t="s">
        <v>22</v>
      </c>
      <c r="D5" s="5" t="s">
        <v>23</v>
      </c>
      <c r="E5" s="30" t="s">
        <v>25</v>
      </c>
      <c r="F5" s="5" t="s">
        <v>24</v>
      </c>
      <c r="G5" s="31" t="s">
        <v>299</v>
      </c>
    </row>
    <row r="6" spans="2:7" ht="68.25" thickBot="1" x14ac:dyDescent="0.3">
      <c r="B6" s="22" t="s">
        <v>26</v>
      </c>
      <c r="C6" s="4" t="s">
        <v>27</v>
      </c>
      <c r="D6" s="4" t="s">
        <v>28</v>
      </c>
      <c r="E6" s="28" t="s">
        <v>29</v>
      </c>
      <c r="F6" s="26" t="s">
        <v>296</v>
      </c>
      <c r="G6" s="29" t="s">
        <v>298</v>
      </c>
    </row>
    <row r="7" spans="2:7" ht="60" customHeight="1" x14ac:dyDescent="0.25">
      <c r="B7" s="20" t="s">
        <v>31</v>
      </c>
      <c r="C7" s="5" t="s">
        <v>32</v>
      </c>
      <c r="D7" s="5" t="s">
        <v>33</v>
      </c>
      <c r="E7" s="30" t="s">
        <v>35</v>
      </c>
      <c r="F7" s="5" t="s">
        <v>34</v>
      </c>
      <c r="G7" s="31" t="s">
        <v>279</v>
      </c>
    </row>
    <row r="8" spans="2:7" ht="118.5" customHeight="1" thickBot="1" x14ac:dyDescent="0.3">
      <c r="B8" s="22" t="s">
        <v>36</v>
      </c>
      <c r="C8" s="4" t="s">
        <v>37</v>
      </c>
      <c r="D8" s="4" t="s">
        <v>38</v>
      </c>
      <c r="E8" s="28" t="s">
        <v>40</v>
      </c>
      <c r="F8" s="4" t="s">
        <v>39</v>
      </c>
      <c r="G8" s="43" t="s">
        <v>305</v>
      </c>
    </row>
    <row r="9" spans="2:7" ht="68.25" thickBot="1" x14ac:dyDescent="0.3">
      <c r="B9" s="25" t="s">
        <v>42</v>
      </c>
      <c r="C9" s="8" t="s">
        <v>43</v>
      </c>
      <c r="D9" s="8" t="s">
        <v>44</v>
      </c>
      <c r="E9" s="33" t="s">
        <v>46</v>
      </c>
      <c r="F9" s="8" t="s">
        <v>45</v>
      </c>
      <c r="G9" s="34" t="s">
        <v>284</v>
      </c>
    </row>
    <row r="10" spans="2:7" ht="67.5" customHeight="1" x14ac:dyDescent="0.25">
      <c r="B10" s="20" t="s">
        <v>48</v>
      </c>
      <c r="C10" s="5" t="s">
        <v>49</v>
      </c>
      <c r="D10" s="5" t="s">
        <v>50</v>
      </c>
      <c r="E10" s="30" t="s">
        <v>52</v>
      </c>
      <c r="F10" s="5" t="s">
        <v>51</v>
      </c>
      <c r="G10" s="31" t="s">
        <v>297</v>
      </c>
    </row>
    <row r="11" spans="2:7" ht="45.75" thickBot="1" x14ac:dyDescent="0.3">
      <c r="B11" s="22" t="s">
        <v>53</v>
      </c>
      <c r="C11" s="4" t="s">
        <v>54</v>
      </c>
      <c r="D11" s="4" t="s">
        <v>55</v>
      </c>
      <c r="E11" s="28" t="s">
        <v>57</v>
      </c>
      <c r="F11" s="4" t="s">
        <v>56</v>
      </c>
      <c r="G11" s="29" t="s">
        <v>300</v>
      </c>
    </row>
    <row r="12" spans="2:7" ht="56.25" customHeight="1" x14ac:dyDescent="0.25">
      <c r="B12" s="35" t="s">
        <v>59</v>
      </c>
      <c r="C12" s="7" t="s">
        <v>247</v>
      </c>
      <c r="D12" s="7" t="s">
        <v>60</v>
      </c>
      <c r="E12" s="30" t="s">
        <v>62</v>
      </c>
      <c r="F12" s="7" t="s">
        <v>61</v>
      </c>
      <c r="G12" s="36" t="s">
        <v>286</v>
      </c>
    </row>
    <row r="13" spans="2:7" ht="67.5" x14ac:dyDescent="0.25">
      <c r="B13" s="21" t="s">
        <v>63</v>
      </c>
      <c r="C13" s="3" t="s">
        <v>64</v>
      </c>
      <c r="D13" s="3" t="s">
        <v>65</v>
      </c>
      <c r="E13" s="18" t="s">
        <v>67</v>
      </c>
      <c r="F13" s="3" t="s">
        <v>66</v>
      </c>
      <c r="G13" s="23" t="s">
        <v>274</v>
      </c>
    </row>
    <row r="14" spans="2:7" ht="78.75" x14ac:dyDescent="0.25">
      <c r="B14" s="21" t="s">
        <v>68</v>
      </c>
      <c r="C14" s="3" t="s">
        <v>69</v>
      </c>
      <c r="D14" s="3" t="s">
        <v>70</v>
      </c>
      <c r="E14" s="18" t="s">
        <v>72</v>
      </c>
      <c r="F14" s="3" t="s">
        <v>71</v>
      </c>
      <c r="G14" s="23" t="s">
        <v>289</v>
      </c>
    </row>
    <row r="15" spans="2:7" ht="85.5" customHeight="1" x14ac:dyDescent="0.25">
      <c r="B15" s="21" t="s">
        <v>73</v>
      </c>
      <c r="C15" s="3" t="s">
        <v>69</v>
      </c>
      <c r="D15" s="3" t="s">
        <v>74</v>
      </c>
      <c r="E15" s="18" t="s">
        <v>76</v>
      </c>
      <c r="F15" s="3" t="s">
        <v>75</v>
      </c>
      <c r="G15" s="23" t="s">
        <v>289</v>
      </c>
    </row>
    <row r="16" spans="2:7" ht="56.25" x14ac:dyDescent="0.25">
      <c r="B16" s="21" t="s">
        <v>77</v>
      </c>
      <c r="C16" s="3" t="s">
        <v>69</v>
      </c>
      <c r="D16" s="3" t="s">
        <v>78</v>
      </c>
      <c r="E16" s="18" t="s">
        <v>80</v>
      </c>
      <c r="F16" s="3" t="s">
        <v>79</v>
      </c>
      <c r="G16" s="23" t="s">
        <v>289</v>
      </c>
    </row>
    <row r="17" spans="2:7" ht="123.75" x14ac:dyDescent="0.25">
      <c r="B17" s="21" t="s">
        <v>81</v>
      </c>
      <c r="C17" s="3" t="s">
        <v>82</v>
      </c>
      <c r="D17" s="3" t="s">
        <v>83</v>
      </c>
      <c r="E17" s="18" t="s">
        <v>85</v>
      </c>
      <c r="F17" s="3" t="s">
        <v>84</v>
      </c>
      <c r="G17" s="23" t="s">
        <v>290</v>
      </c>
    </row>
    <row r="18" spans="2:7" ht="111" customHeight="1" x14ac:dyDescent="0.25">
      <c r="B18" s="21" t="s">
        <v>86</v>
      </c>
      <c r="C18" s="3" t="s">
        <v>87</v>
      </c>
      <c r="D18" s="3" t="s">
        <v>88</v>
      </c>
      <c r="E18" s="18" t="s">
        <v>90</v>
      </c>
      <c r="F18" s="3" t="s">
        <v>89</v>
      </c>
      <c r="G18" s="23" t="s">
        <v>301</v>
      </c>
    </row>
    <row r="19" spans="2:7" ht="123.75" x14ac:dyDescent="0.25">
      <c r="B19" s="21" t="s">
        <v>91</v>
      </c>
      <c r="C19" s="3" t="s">
        <v>92</v>
      </c>
      <c r="D19" s="3" t="s">
        <v>93</v>
      </c>
      <c r="E19" s="18" t="s">
        <v>95</v>
      </c>
      <c r="F19" s="3" t="s">
        <v>94</v>
      </c>
      <c r="G19" s="23" t="s">
        <v>302</v>
      </c>
    </row>
    <row r="20" spans="2:7" ht="90" x14ac:dyDescent="0.25">
      <c r="B20" s="21" t="s">
        <v>96</v>
      </c>
      <c r="C20" s="3" t="s">
        <v>97</v>
      </c>
      <c r="D20" s="3" t="s">
        <v>98</v>
      </c>
      <c r="E20" s="18" t="s">
        <v>100</v>
      </c>
      <c r="F20" s="3" t="s">
        <v>99</v>
      </c>
      <c r="G20" s="23" t="s">
        <v>303</v>
      </c>
    </row>
    <row r="21" spans="2:7" ht="95.25" customHeight="1" x14ac:dyDescent="0.25">
      <c r="B21" s="21" t="s">
        <v>101</v>
      </c>
      <c r="C21" s="3" t="s">
        <v>102</v>
      </c>
      <c r="D21" s="3" t="s">
        <v>103</v>
      </c>
      <c r="E21" s="18" t="s">
        <v>105</v>
      </c>
      <c r="F21" s="3" t="s">
        <v>104</v>
      </c>
      <c r="G21" s="23" t="s">
        <v>278</v>
      </c>
    </row>
    <row r="22" spans="2:7" ht="132.75" customHeight="1" x14ac:dyDescent="0.25">
      <c r="B22" s="21" t="s">
        <v>106</v>
      </c>
      <c r="C22" s="3" t="s">
        <v>107</v>
      </c>
      <c r="D22" s="3" t="s">
        <v>108</v>
      </c>
      <c r="E22" s="18" t="s">
        <v>110</v>
      </c>
      <c r="F22" s="10" t="s">
        <v>109</v>
      </c>
      <c r="G22" s="23" t="s">
        <v>277</v>
      </c>
    </row>
    <row r="23" spans="2:7" ht="121.5" customHeight="1" thickBot="1" x14ac:dyDescent="0.3">
      <c r="B23" s="22" t="s">
        <v>111</v>
      </c>
      <c r="C23" s="4" t="s">
        <v>107</v>
      </c>
      <c r="D23" s="4" t="s">
        <v>112</v>
      </c>
      <c r="E23" s="28" t="s">
        <v>114</v>
      </c>
      <c r="F23" s="26" t="s">
        <v>113</v>
      </c>
      <c r="G23" s="29" t="s">
        <v>276</v>
      </c>
    </row>
  </sheetData>
  <mergeCells count="7">
    <mergeCell ref="B2:G2"/>
    <mergeCell ref="B3:B4"/>
    <mergeCell ref="C3:C4"/>
    <mergeCell ref="D3:D4"/>
    <mergeCell ref="F3:F4"/>
    <mergeCell ref="E3:E4"/>
    <mergeCell ref="G3:G4"/>
  </mergeCells>
  <printOptions horizontalCentered="1"/>
  <pageMargins left="0.39370078740157483" right="0.39370078740157483" top="0.39370078740157483" bottom="0.39370078740157483" header="0.31496062992125984" footer="0.31496062992125984"/>
  <pageSetup scale="85"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zoomScaleNormal="100" workbookViewId="0">
      <selection activeCell="F6" sqref="F6"/>
    </sheetView>
  </sheetViews>
  <sheetFormatPr baseColWidth="10" defaultRowHeight="15" x14ac:dyDescent="0.25"/>
  <cols>
    <col min="1" max="1" width="0.7109375" customWidth="1"/>
    <col min="2" max="2" width="15" customWidth="1"/>
    <col min="3" max="3" width="5.28515625" bestFit="1" customWidth="1"/>
    <col min="4" max="4" width="17" customWidth="1"/>
    <col min="5" max="5" width="25.85546875" customWidth="1"/>
    <col min="6" max="6" width="35.85546875" customWidth="1"/>
    <col min="7" max="7" width="13.5703125" style="45" customWidth="1"/>
  </cols>
  <sheetData>
    <row r="1" spans="2:7" ht="15.75" thickBot="1" x14ac:dyDescent="0.3"/>
    <row r="2" spans="2:7" s="2" customFormat="1" ht="15.75" thickBot="1" x14ac:dyDescent="0.3">
      <c r="B2" s="230" t="s">
        <v>306</v>
      </c>
      <c r="C2" s="231"/>
      <c r="D2" s="231"/>
      <c r="E2" s="231"/>
      <c r="F2" s="231"/>
      <c r="G2" s="232"/>
    </row>
    <row r="3" spans="2:7" x14ac:dyDescent="0.25">
      <c r="B3" s="233" t="s">
        <v>2</v>
      </c>
      <c r="C3" s="235" t="s">
        <v>1</v>
      </c>
      <c r="D3" s="237" t="s">
        <v>3</v>
      </c>
      <c r="E3" s="239" t="s">
        <v>4</v>
      </c>
      <c r="F3" s="241" t="s">
        <v>5</v>
      </c>
      <c r="G3" s="228" t="s">
        <v>7</v>
      </c>
    </row>
    <row r="4" spans="2:7" ht="15.75" thickBot="1" x14ac:dyDescent="0.3">
      <c r="B4" s="234"/>
      <c r="C4" s="236"/>
      <c r="D4" s="238"/>
      <c r="E4" s="240"/>
      <c r="F4" s="242"/>
      <c r="G4" s="229"/>
    </row>
    <row r="5" spans="2:7" ht="33.75" x14ac:dyDescent="0.25">
      <c r="B5" s="227" t="s">
        <v>151</v>
      </c>
      <c r="C5" s="39" t="s">
        <v>115</v>
      </c>
      <c r="D5" s="3" t="s">
        <v>163</v>
      </c>
      <c r="E5" s="3" t="s">
        <v>199</v>
      </c>
      <c r="F5" s="38" t="s">
        <v>232</v>
      </c>
      <c r="G5" s="15" t="s">
        <v>295</v>
      </c>
    </row>
    <row r="6" spans="2:7" ht="67.5" x14ac:dyDescent="0.25">
      <c r="B6" s="227"/>
      <c r="C6" s="39" t="s">
        <v>116</v>
      </c>
      <c r="D6" s="3" t="s">
        <v>164</v>
      </c>
      <c r="E6" s="3" t="s">
        <v>200</v>
      </c>
      <c r="F6" s="38" t="s">
        <v>233</v>
      </c>
      <c r="G6" s="16" t="s">
        <v>295</v>
      </c>
    </row>
    <row r="7" spans="2:7" ht="45" x14ac:dyDescent="0.25">
      <c r="B7" s="227"/>
      <c r="C7" s="39" t="s">
        <v>117</v>
      </c>
      <c r="D7" s="3" t="s">
        <v>165</v>
      </c>
      <c r="E7" s="3" t="s">
        <v>201</v>
      </c>
      <c r="F7" s="38" t="s">
        <v>234</v>
      </c>
      <c r="G7" s="16" t="s">
        <v>295</v>
      </c>
    </row>
    <row r="8" spans="2:7" ht="33.75" x14ac:dyDescent="0.25">
      <c r="B8" s="227" t="s">
        <v>152</v>
      </c>
      <c r="C8" s="39" t="s">
        <v>118</v>
      </c>
      <c r="D8" s="3" t="s">
        <v>166</v>
      </c>
      <c r="E8" s="3" t="s">
        <v>202</v>
      </c>
      <c r="F8" s="38" t="s">
        <v>235</v>
      </c>
      <c r="G8" s="16" t="s">
        <v>262</v>
      </c>
    </row>
    <row r="9" spans="2:7" ht="33.75" x14ac:dyDescent="0.25">
      <c r="B9" s="227"/>
      <c r="C9" s="39" t="s">
        <v>119</v>
      </c>
      <c r="D9" s="3" t="s">
        <v>167</v>
      </c>
      <c r="E9" s="3" t="s">
        <v>203</v>
      </c>
      <c r="F9" s="38" t="s">
        <v>236</v>
      </c>
      <c r="G9" s="16" t="s">
        <v>263</v>
      </c>
    </row>
    <row r="10" spans="2:7" ht="56.25" x14ac:dyDescent="0.25">
      <c r="B10" s="227" t="s">
        <v>153</v>
      </c>
      <c r="C10" s="39" t="s">
        <v>120</v>
      </c>
      <c r="D10" s="11" t="s">
        <v>168</v>
      </c>
      <c r="E10" s="11" t="s">
        <v>204</v>
      </c>
      <c r="F10" s="18" t="s">
        <v>237</v>
      </c>
      <c r="G10" s="16" t="s">
        <v>280</v>
      </c>
    </row>
    <row r="11" spans="2:7" ht="67.5" x14ac:dyDescent="0.25">
      <c r="B11" s="227"/>
      <c r="C11" s="39" t="s">
        <v>121</v>
      </c>
      <c r="D11" s="11" t="s">
        <v>169</v>
      </c>
      <c r="E11" s="11" t="s">
        <v>204</v>
      </c>
      <c r="F11" s="18" t="s">
        <v>238</v>
      </c>
      <c r="G11" s="16" t="s">
        <v>280</v>
      </c>
    </row>
    <row r="12" spans="2:7" ht="78.75" x14ac:dyDescent="0.25">
      <c r="B12" s="227"/>
      <c r="C12" s="39" t="s">
        <v>122</v>
      </c>
      <c r="D12" s="11" t="s">
        <v>170</v>
      </c>
      <c r="E12" s="11" t="s">
        <v>204</v>
      </c>
      <c r="F12" s="18" t="s">
        <v>239</v>
      </c>
      <c r="G12" s="16" t="s">
        <v>280</v>
      </c>
    </row>
    <row r="13" spans="2:7" ht="78.75" x14ac:dyDescent="0.25">
      <c r="B13" s="227"/>
      <c r="C13" s="39" t="s">
        <v>123</v>
      </c>
      <c r="D13" s="11" t="s">
        <v>171</v>
      </c>
      <c r="E13" s="11" t="s">
        <v>205</v>
      </c>
      <c r="F13" s="18" t="s">
        <v>240</v>
      </c>
      <c r="G13" s="16" t="s">
        <v>280</v>
      </c>
    </row>
    <row r="14" spans="2:7" ht="33.75" x14ac:dyDescent="0.25">
      <c r="B14" s="37" t="s">
        <v>154</v>
      </c>
      <c r="C14" s="39" t="s">
        <v>124</v>
      </c>
      <c r="D14" s="11" t="s">
        <v>172</v>
      </c>
      <c r="E14" s="11" t="s">
        <v>206</v>
      </c>
      <c r="F14" s="18" t="s">
        <v>241</v>
      </c>
      <c r="G14" s="16" t="s">
        <v>307</v>
      </c>
    </row>
    <row r="15" spans="2:7" ht="33.75" x14ac:dyDescent="0.25">
      <c r="B15" s="227" t="s">
        <v>155</v>
      </c>
      <c r="C15" s="39" t="s">
        <v>125</v>
      </c>
      <c r="D15" s="11" t="s">
        <v>173</v>
      </c>
      <c r="E15" s="11" t="s">
        <v>207</v>
      </c>
      <c r="F15" s="18" t="s">
        <v>242</v>
      </c>
      <c r="G15" s="16" t="s">
        <v>285</v>
      </c>
    </row>
    <row r="16" spans="2:7" ht="45" x14ac:dyDescent="0.25">
      <c r="B16" s="227"/>
      <c r="C16" s="39" t="s">
        <v>126</v>
      </c>
      <c r="D16" s="3" t="s">
        <v>174</v>
      </c>
      <c r="E16" s="3" t="s">
        <v>208</v>
      </c>
      <c r="F16" s="18" t="s">
        <v>243</v>
      </c>
      <c r="G16" s="16" t="s">
        <v>285</v>
      </c>
    </row>
    <row r="17" spans="2:7" ht="33.75" x14ac:dyDescent="0.25">
      <c r="B17" s="227" t="s">
        <v>156</v>
      </c>
      <c r="C17" s="39" t="s">
        <v>127</v>
      </c>
      <c r="D17" s="11" t="s">
        <v>175</v>
      </c>
      <c r="E17" s="10" t="s">
        <v>209</v>
      </c>
      <c r="F17" s="18" t="s">
        <v>281</v>
      </c>
      <c r="G17" s="16" t="s">
        <v>283</v>
      </c>
    </row>
    <row r="18" spans="2:7" ht="67.5" x14ac:dyDescent="0.25">
      <c r="B18" s="227"/>
      <c r="C18" s="39" t="s">
        <v>128</v>
      </c>
      <c r="D18" s="10" t="s">
        <v>176</v>
      </c>
      <c r="E18" s="10" t="s">
        <v>210</v>
      </c>
      <c r="F18" s="18" t="s">
        <v>282</v>
      </c>
      <c r="G18" s="16" t="s">
        <v>283</v>
      </c>
    </row>
    <row r="19" spans="2:7" ht="67.5" x14ac:dyDescent="0.25">
      <c r="B19" s="227" t="s">
        <v>157</v>
      </c>
      <c r="C19" s="39" t="s">
        <v>129</v>
      </c>
      <c r="D19" s="12" t="s">
        <v>177</v>
      </c>
      <c r="E19" s="3" t="s">
        <v>211</v>
      </c>
      <c r="F19" s="38" t="s">
        <v>248</v>
      </c>
      <c r="G19" s="17" t="s">
        <v>255</v>
      </c>
    </row>
    <row r="20" spans="2:7" ht="45" x14ac:dyDescent="0.25">
      <c r="B20" s="227"/>
      <c r="C20" s="39" t="s">
        <v>130</v>
      </c>
      <c r="D20" s="12" t="s">
        <v>178</v>
      </c>
      <c r="E20" s="3" t="s">
        <v>212</v>
      </c>
      <c r="F20" s="38" t="s">
        <v>249</v>
      </c>
      <c r="G20" s="17" t="s">
        <v>256</v>
      </c>
    </row>
    <row r="21" spans="2:7" ht="45" x14ac:dyDescent="0.25">
      <c r="B21" s="227"/>
      <c r="C21" s="39" t="s">
        <v>131</v>
      </c>
      <c r="D21" s="12" t="s">
        <v>179</v>
      </c>
      <c r="E21" s="3" t="s">
        <v>212</v>
      </c>
      <c r="F21" s="38" t="s">
        <v>250</v>
      </c>
      <c r="G21" s="17" t="s">
        <v>256</v>
      </c>
    </row>
    <row r="22" spans="2:7" ht="56.25" x14ac:dyDescent="0.25">
      <c r="B22" s="227"/>
      <c r="C22" s="39" t="s">
        <v>132</v>
      </c>
      <c r="D22" s="12" t="s">
        <v>180</v>
      </c>
      <c r="E22" s="10" t="s">
        <v>213</v>
      </c>
      <c r="F22" s="38" t="s">
        <v>251</v>
      </c>
      <c r="G22" s="17" t="s">
        <v>257</v>
      </c>
    </row>
    <row r="23" spans="2:7" ht="45" x14ac:dyDescent="0.25">
      <c r="B23" s="227"/>
      <c r="C23" s="39" t="s">
        <v>133</v>
      </c>
      <c r="D23" s="12" t="s">
        <v>181</v>
      </c>
      <c r="E23" s="10" t="s">
        <v>287</v>
      </c>
      <c r="F23" s="38" t="s">
        <v>252</v>
      </c>
      <c r="G23" s="17" t="s">
        <v>258</v>
      </c>
    </row>
    <row r="24" spans="2:7" ht="45" x14ac:dyDescent="0.25">
      <c r="B24" s="227"/>
      <c r="C24" s="39" t="s">
        <v>134</v>
      </c>
      <c r="D24" s="12" t="s">
        <v>182</v>
      </c>
      <c r="E24" s="10" t="s">
        <v>214</v>
      </c>
      <c r="F24" s="38" t="s">
        <v>253</v>
      </c>
      <c r="G24" s="17" t="s">
        <v>258</v>
      </c>
    </row>
    <row r="25" spans="2:7" ht="45" x14ac:dyDescent="0.25">
      <c r="B25" s="227"/>
      <c r="C25" s="39" t="s">
        <v>135</v>
      </c>
      <c r="D25" s="12" t="s">
        <v>183</v>
      </c>
      <c r="E25" s="10" t="s">
        <v>215</v>
      </c>
      <c r="F25" s="38" t="s">
        <v>254</v>
      </c>
      <c r="G25" s="17" t="s">
        <v>258</v>
      </c>
    </row>
    <row r="26" spans="2:7" ht="56.25" x14ac:dyDescent="0.25">
      <c r="B26" s="227" t="s">
        <v>158</v>
      </c>
      <c r="C26" s="39" t="s">
        <v>136</v>
      </c>
      <c r="D26" s="3" t="s">
        <v>184</v>
      </c>
      <c r="E26" s="3" t="s">
        <v>216</v>
      </c>
      <c r="F26" s="18" t="s">
        <v>244</v>
      </c>
      <c r="G26" s="41" t="s">
        <v>308</v>
      </c>
    </row>
    <row r="27" spans="2:7" ht="33.75" x14ac:dyDescent="0.25">
      <c r="B27" s="227"/>
      <c r="C27" s="39" t="s">
        <v>137</v>
      </c>
      <c r="D27" s="3" t="s">
        <v>185</v>
      </c>
      <c r="E27" s="3" t="s">
        <v>217</v>
      </c>
      <c r="F27" s="18" t="s">
        <v>245</v>
      </c>
      <c r="G27" s="41" t="s">
        <v>308</v>
      </c>
    </row>
    <row r="28" spans="2:7" ht="78.75" x14ac:dyDescent="0.25">
      <c r="B28" s="227"/>
      <c r="C28" s="39" t="s">
        <v>138</v>
      </c>
      <c r="D28" s="10" t="s">
        <v>186</v>
      </c>
      <c r="E28" s="10" t="s">
        <v>218</v>
      </c>
      <c r="F28" s="18" t="s">
        <v>292</v>
      </c>
      <c r="G28" s="41" t="s">
        <v>308</v>
      </c>
    </row>
    <row r="29" spans="2:7" ht="90" x14ac:dyDescent="0.25">
      <c r="B29" s="227"/>
      <c r="C29" s="39" t="s">
        <v>139</v>
      </c>
      <c r="D29" s="10" t="s">
        <v>187</v>
      </c>
      <c r="E29" s="3" t="s">
        <v>219</v>
      </c>
      <c r="F29" s="18" t="s">
        <v>293</v>
      </c>
      <c r="G29" s="41" t="s">
        <v>308</v>
      </c>
    </row>
    <row r="30" spans="2:7" ht="45" x14ac:dyDescent="0.25">
      <c r="B30" s="227"/>
      <c r="C30" s="39" t="s">
        <v>140</v>
      </c>
      <c r="D30" s="3" t="s">
        <v>188</v>
      </c>
      <c r="E30" s="3" t="s">
        <v>220</v>
      </c>
      <c r="F30" s="18" t="s">
        <v>291</v>
      </c>
      <c r="G30" s="41" t="s">
        <v>308</v>
      </c>
    </row>
    <row r="31" spans="2:7" ht="33.75" x14ac:dyDescent="0.25">
      <c r="B31" s="227"/>
      <c r="C31" s="39" t="s">
        <v>141</v>
      </c>
      <c r="D31" s="3" t="s">
        <v>189</v>
      </c>
      <c r="E31" s="3" t="s">
        <v>221</v>
      </c>
      <c r="F31" s="18" t="s">
        <v>294</v>
      </c>
      <c r="G31" s="41" t="s">
        <v>308</v>
      </c>
    </row>
    <row r="32" spans="2:7" ht="67.5" x14ac:dyDescent="0.25">
      <c r="B32" s="227" t="s">
        <v>159</v>
      </c>
      <c r="C32" s="39" t="s">
        <v>142</v>
      </c>
      <c r="D32" s="11" t="s">
        <v>190</v>
      </c>
      <c r="E32" s="11" t="s">
        <v>288</v>
      </c>
      <c r="F32" s="18" t="s">
        <v>310</v>
      </c>
      <c r="G32" s="17" t="s">
        <v>309</v>
      </c>
    </row>
    <row r="33" spans="2:7" ht="33.75" x14ac:dyDescent="0.25">
      <c r="B33" s="227"/>
      <c r="C33" s="39" t="s">
        <v>143</v>
      </c>
      <c r="D33" s="11" t="s">
        <v>191</v>
      </c>
      <c r="E33" s="11" t="s">
        <v>222</v>
      </c>
      <c r="F33" s="18" t="s">
        <v>259</v>
      </c>
      <c r="G33" s="17" t="s">
        <v>260</v>
      </c>
    </row>
    <row r="34" spans="2:7" ht="75.75" customHeight="1" x14ac:dyDescent="0.25">
      <c r="B34" s="227" t="s">
        <v>160</v>
      </c>
      <c r="C34" s="39" t="s">
        <v>144</v>
      </c>
      <c r="D34" s="11" t="s">
        <v>192</v>
      </c>
      <c r="E34" s="11" t="s">
        <v>223</v>
      </c>
      <c r="F34" s="18" t="s">
        <v>266</v>
      </c>
      <c r="G34" s="41" t="s">
        <v>271</v>
      </c>
    </row>
    <row r="35" spans="2:7" ht="75" customHeight="1" x14ac:dyDescent="0.25">
      <c r="B35" s="227"/>
      <c r="C35" s="39" t="s">
        <v>145</v>
      </c>
      <c r="D35" s="11" t="s">
        <v>193</v>
      </c>
      <c r="E35" s="11" t="s">
        <v>223</v>
      </c>
      <c r="F35" s="18" t="s">
        <v>267</v>
      </c>
      <c r="G35" s="41" t="s">
        <v>271</v>
      </c>
    </row>
    <row r="36" spans="2:7" ht="81.75" customHeight="1" x14ac:dyDescent="0.25">
      <c r="B36" s="227"/>
      <c r="C36" s="39" t="s">
        <v>146</v>
      </c>
      <c r="D36" s="11" t="s">
        <v>194</v>
      </c>
      <c r="E36" s="11" t="s">
        <v>208</v>
      </c>
      <c r="F36" s="18" t="s">
        <v>268</v>
      </c>
      <c r="G36" s="41" t="s">
        <v>271</v>
      </c>
    </row>
    <row r="37" spans="2:7" ht="109.5" customHeight="1" x14ac:dyDescent="0.25">
      <c r="B37" s="227"/>
      <c r="C37" s="39" t="s">
        <v>147</v>
      </c>
      <c r="D37" s="11" t="s">
        <v>195</v>
      </c>
      <c r="E37" s="11" t="s">
        <v>224</v>
      </c>
      <c r="F37" s="18" t="s">
        <v>269</v>
      </c>
      <c r="G37" s="41" t="s">
        <v>272</v>
      </c>
    </row>
    <row r="38" spans="2:7" ht="45" x14ac:dyDescent="0.25">
      <c r="B38" s="227"/>
      <c r="C38" s="39" t="s">
        <v>148</v>
      </c>
      <c r="D38" s="11" t="s">
        <v>196</v>
      </c>
      <c r="E38" s="11" t="s">
        <v>225</v>
      </c>
      <c r="F38" s="18" t="s">
        <v>270</v>
      </c>
      <c r="G38" s="41" t="s">
        <v>273</v>
      </c>
    </row>
    <row r="39" spans="2:7" ht="57" thickBot="1" x14ac:dyDescent="0.3">
      <c r="B39" s="37" t="s">
        <v>161</v>
      </c>
      <c r="C39" s="39" t="s">
        <v>149</v>
      </c>
      <c r="D39" s="10" t="s">
        <v>197</v>
      </c>
      <c r="E39" s="26" t="s">
        <v>296</v>
      </c>
      <c r="F39" s="18" t="s">
        <v>29</v>
      </c>
      <c r="G39" s="41" t="s">
        <v>261</v>
      </c>
    </row>
    <row r="40" spans="2:7" ht="68.25" thickBot="1" x14ac:dyDescent="0.3">
      <c r="B40" s="19" t="s">
        <v>162</v>
      </c>
      <c r="C40" s="40" t="s">
        <v>150</v>
      </c>
      <c r="D40" s="13" t="s">
        <v>198</v>
      </c>
      <c r="E40" s="13" t="s">
        <v>226</v>
      </c>
      <c r="F40" s="28" t="s">
        <v>264</v>
      </c>
      <c r="G40" s="46" t="s">
        <v>265</v>
      </c>
    </row>
  </sheetData>
  <mergeCells count="16">
    <mergeCell ref="B26:B31"/>
    <mergeCell ref="B32:B33"/>
    <mergeCell ref="B34:B38"/>
    <mergeCell ref="G3:G4"/>
    <mergeCell ref="B2:G2"/>
    <mergeCell ref="B5:B7"/>
    <mergeCell ref="B8:B9"/>
    <mergeCell ref="B10:B13"/>
    <mergeCell ref="B15:B16"/>
    <mergeCell ref="B17:B18"/>
    <mergeCell ref="B19:B25"/>
    <mergeCell ref="B3:B4"/>
    <mergeCell ref="C3:C4"/>
    <mergeCell ref="D3:D4"/>
    <mergeCell ref="E3:E4"/>
    <mergeCell ref="F3:F4"/>
  </mergeCells>
  <printOptions horizontalCentered="1"/>
  <pageMargins left="0.39370078740157483" right="0.39370078740157483" top="0.39370078740157483" bottom="0.39370078740157483" header="0.31496062992125984" footer="0.31496062992125984"/>
  <pageSetup scale="85"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[1]Hoja1!#REF!</xm:f>
          </x14:formula1>
          <xm:sqref>B40 B5 B8 B10 B14:B15 B17 B19 B26 B32 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abSelected="1" view="pageBreakPreview" zoomScale="80" zoomScaleNormal="80" zoomScaleSheetLayoutView="80" workbookViewId="0">
      <pane ySplit="4" topLeftCell="A5" activePane="bottomLeft" state="frozen"/>
      <selection activeCell="B1" sqref="B1"/>
      <selection pane="bottomLeft" activeCell="B3" sqref="B3:B4"/>
    </sheetView>
  </sheetViews>
  <sheetFormatPr baseColWidth="10" defaultRowHeight="15" x14ac:dyDescent="0.25"/>
  <cols>
    <col min="1" max="1" width="1.28515625" customWidth="1"/>
    <col min="2" max="2" width="22.7109375" customWidth="1"/>
    <col min="3" max="3" width="11.85546875" customWidth="1"/>
    <col min="4" max="4" width="16.85546875" customWidth="1"/>
    <col min="5" max="5" width="19.140625" customWidth="1"/>
    <col min="6" max="7" width="27.7109375" customWidth="1"/>
    <col min="8" max="13" width="7.85546875" customWidth="1"/>
    <col min="14" max="19" width="7.5703125" hidden="1" customWidth="1"/>
    <col min="20" max="20" width="12.42578125" customWidth="1"/>
    <col min="21" max="21" width="30.85546875" customWidth="1"/>
    <col min="22" max="22" width="234.5703125" customWidth="1"/>
  </cols>
  <sheetData>
    <row r="1" spans="1:22" ht="52.5" customHeight="1" thickBot="1" x14ac:dyDescent="0.3">
      <c r="A1" s="1"/>
      <c r="B1" s="284" t="s">
        <v>340</v>
      </c>
      <c r="C1" s="285"/>
      <c r="D1" s="285"/>
      <c r="E1" s="285"/>
      <c r="F1" s="285"/>
      <c r="G1" s="285"/>
      <c r="H1" s="285"/>
      <c r="I1" s="285"/>
      <c r="J1" s="285"/>
      <c r="K1" s="285"/>
      <c r="L1" s="285"/>
      <c r="M1" s="285"/>
      <c r="N1" s="285"/>
      <c r="O1" s="285"/>
      <c r="P1" s="285"/>
      <c r="Q1" s="285"/>
      <c r="R1" s="285"/>
      <c r="S1" s="285"/>
      <c r="T1" s="285"/>
      <c r="U1" s="286"/>
      <c r="V1" s="32" t="s">
        <v>340</v>
      </c>
    </row>
    <row r="2" spans="1:22" s="2" customFormat="1" ht="7.5" customHeight="1" thickBot="1" x14ac:dyDescent="0.3">
      <c r="A2" s="1"/>
      <c r="B2" s="272"/>
      <c r="C2" s="272"/>
      <c r="D2" s="272"/>
      <c r="E2" s="272"/>
      <c r="F2" s="272"/>
      <c r="G2" s="272"/>
      <c r="H2" s="272"/>
      <c r="I2" s="272"/>
      <c r="J2" s="272"/>
      <c r="K2" s="272"/>
      <c r="L2" s="272"/>
      <c r="M2" s="272"/>
      <c r="N2" s="272"/>
      <c r="O2" s="272"/>
      <c r="P2" s="272"/>
      <c r="Q2" s="272"/>
      <c r="R2" s="272"/>
      <c r="S2" s="272"/>
      <c r="T2" s="272"/>
      <c r="U2" s="272"/>
      <c r="V2" s="206"/>
    </row>
    <row r="3" spans="1:22" ht="15" customHeight="1" thickBot="1" x14ac:dyDescent="0.3">
      <c r="A3" s="2"/>
      <c r="B3" s="278" t="s">
        <v>0</v>
      </c>
      <c r="C3" s="217" t="s">
        <v>1</v>
      </c>
      <c r="D3" s="219" t="s">
        <v>2</v>
      </c>
      <c r="E3" s="221" t="s">
        <v>3</v>
      </c>
      <c r="F3" s="219" t="s">
        <v>4</v>
      </c>
      <c r="G3" s="223" t="s">
        <v>5</v>
      </c>
      <c r="H3" s="275" t="s">
        <v>6</v>
      </c>
      <c r="I3" s="276"/>
      <c r="J3" s="276"/>
      <c r="K3" s="276"/>
      <c r="L3" s="276"/>
      <c r="M3" s="276"/>
      <c r="N3" s="276"/>
      <c r="O3" s="276"/>
      <c r="P3" s="276"/>
      <c r="Q3" s="276"/>
      <c r="R3" s="276"/>
      <c r="S3" s="276"/>
      <c r="T3" s="277"/>
      <c r="U3" s="273" t="s">
        <v>7</v>
      </c>
      <c r="V3" s="225" t="s">
        <v>275</v>
      </c>
    </row>
    <row r="4" spans="1:22" ht="26.25" customHeight="1" thickBot="1" x14ac:dyDescent="0.3">
      <c r="A4" s="2"/>
      <c r="B4" s="279"/>
      <c r="C4" s="283"/>
      <c r="D4" s="280"/>
      <c r="E4" s="281"/>
      <c r="F4" s="280"/>
      <c r="G4" s="282"/>
      <c r="H4" s="99" t="s">
        <v>8</v>
      </c>
      <c r="I4" s="97" t="s">
        <v>9</v>
      </c>
      <c r="J4" s="97" t="s">
        <v>10</v>
      </c>
      <c r="K4" s="97" t="s">
        <v>11</v>
      </c>
      <c r="L4" s="97" t="s">
        <v>12</v>
      </c>
      <c r="M4" s="98" t="s">
        <v>13</v>
      </c>
      <c r="N4" s="55" t="s">
        <v>14</v>
      </c>
      <c r="O4" s="97" t="s">
        <v>15</v>
      </c>
      <c r="P4" s="97" t="s">
        <v>16</v>
      </c>
      <c r="Q4" s="97" t="s">
        <v>17</v>
      </c>
      <c r="R4" s="97" t="s">
        <v>18</v>
      </c>
      <c r="S4" s="52" t="s">
        <v>19</v>
      </c>
      <c r="T4" s="47" t="s">
        <v>339</v>
      </c>
      <c r="U4" s="274"/>
      <c r="V4" s="271"/>
    </row>
    <row r="5" spans="1:22" ht="81.75" customHeight="1" x14ac:dyDescent="0.25">
      <c r="B5" s="248" t="s">
        <v>20</v>
      </c>
      <c r="C5" s="20" t="s">
        <v>21</v>
      </c>
      <c r="D5" s="5" t="s">
        <v>22</v>
      </c>
      <c r="E5" s="5" t="s">
        <v>23</v>
      </c>
      <c r="F5" s="5" t="s">
        <v>337</v>
      </c>
      <c r="G5" s="113" t="s">
        <v>338</v>
      </c>
      <c r="H5" s="144">
        <f>956099/1200000</f>
        <v>0.79674916666666662</v>
      </c>
      <c r="I5" s="91">
        <f>980149/1200000</f>
        <v>0.81679083333333335</v>
      </c>
      <c r="J5" s="91">
        <f>996376/1200000</f>
        <v>0.83031333333333335</v>
      </c>
      <c r="K5" s="91">
        <f>1048766/1200000</f>
        <v>0.8739716666666667</v>
      </c>
      <c r="L5" s="91">
        <f>1084259/1200000</f>
        <v>0.90354916666666663</v>
      </c>
      <c r="M5" s="122">
        <f>1104671/1200000</f>
        <v>0.92055916666666671</v>
      </c>
      <c r="N5" s="117"/>
      <c r="O5" s="91"/>
      <c r="P5" s="91"/>
      <c r="Q5" s="91"/>
      <c r="R5" s="91"/>
      <c r="S5" s="92"/>
      <c r="T5" s="78">
        <f>+M5</f>
        <v>0.92055916666666671</v>
      </c>
      <c r="U5" s="201" t="s">
        <v>299</v>
      </c>
      <c r="V5" s="73" t="s">
        <v>341</v>
      </c>
    </row>
    <row r="6" spans="1:22" ht="162.75" customHeight="1" thickBot="1" x14ac:dyDescent="0.3">
      <c r="B6" s="249"/>
      <c r="C6" s="22" t="s">
        <v>26</v>
      </c>
      <c r="D6" s="100" t="s">
        <v>27</v>
      </c>
      <c r="E6" s="100" t="s">
        <v>28</v>
      </c>
      <c r="F6" s="26" t="s">
        <v>342</v>
      </c>
      <c r="G6" s="114" t="s">
        <v>29</v>
      </c>
      <c r="H6" s="80">
        <f>25/64</f>
        <v>0.390625</v>
      </c>
      <c r="I6" s="105">
        <f>74/60</f>
        <v>1.2333333333333334</v>
      </c>
      <c r="J6" s="105">
        <f>57/47</f>
        <v>1.2127659574468086</v>
      </c>
      <c r="K6" s="105">
        <f>45/48</f>
        <v>0.9375</v>
      </c>
      <c r="L6" s="105">
        <f>69/60</f>
        <v>1.1499999999999999</v>
      </c>
      <c r="M6" s="121">
        <f>43/50</f>
        <v>0.86</v>
      </c>
      <c r="N6" s="102"/>
      <c r="O6" s="105"/>
      <c r="P6" s="105"/>
      <c r="Q6" s="105"/>
      <c r="R6" s="105"/>
      <c r="S6" s="103"/>
      <c r="T6" s="79">
        <f>314/329</f>
        <v>0.95440729483282671</v>
      </c>
      <c r="U6" s="205" t="s">
        <v>298</v>
      </c>
      <c r="V6" s="81" t="s">
        <v>343</v>
      </c>
    </row>
    <row r="7" spans="1:22" ht="84" customHeight="1" x14ac:dyDescent="0.25">
      <c r="B7" s="248" t="s">
        <v>30</v>
      </c>
      <c r="C7" s="20" t="s">
        <v>31</v>
      </c>
      <c r="D7" s="5" t="s">
        <v>32</v>
      </c>
      <c r="E7" s="5" t="s">
        <v>33</v>
      </c>
      <c r="F7" s="5" t="s">
        <v>34</v>
      </c>
      <c r="G7" s="113" t="s">
        <v>464</v>
      </c>
      <c r="H7" s="111">
        <f>3580/4000</f>
        <v>0.89500000000000002</v>
      </c>
      <c r="I7" s="112">
        <f>4480/4000</f>
        <v>1.1200000000000001</v>
      </c>
      <c r="J7" s="112">
        <f>3550/4000</f>
        <v>0.88749999999999996</v>
      </c>
      <c r="K7" s="91">
        <f>3050/4000</f>
        <v>0.76249999999999996</v>
      </c>
      <c r="L7" s="91">
        <f>9100/4000</f>
        <v>2.2749999999999999</v>
      </c>
      <c r="M7" s="122">
        <f>5030/4000</f>
        <v>1.2575000000000001</v>
      </c>
      <c r="N7" s="117"/>
      <c r="O7" s="91"/>
      <c r="P7" s="91"/>
      <c r="Q7" s="91"/>
      <c r="R7" s="91"/>
      <c r="S7" s="92"/>
      <c r="T7" s="78">
        <f>+AVERAGE(H7:M7)</f>
        <v>1.1995833333333332</v>
      </c>
      <c r="U7" s="201" t="s">
        <v>279</v>
      </c>
      <c r="V7" s="82" t="s">
        <v>344</v>
      </c>
    </row>
    <row r="8" spans="1:22" s="2" customFormat="1" ht="96.75" customHeight="1" x14ac:dyDescent="0.25">
      <c r="B8" s="250"/>
      <c r="C8" s="21" t="s">
        <v>36</v>
      </c>
      <c r="D8" s="96" t="s">
        <v>37</v>
      </c>
      <c r="E8" s="96" t="s">
        <v>345</v>
      </c>
      <c r="F8" s="96" t="s">
        <v>346</v>
      </c>
      <c r="G8" s="110" t="s">
        <v>347</v>
      </c>
      <c r="H8" s="259">
        <f>41/180</f>
        <v>0.22777777777777777</v>
      </c>
      <c r="I8" s="243"/>
      <c r="J8" s="243"/>
      <c r="K8" s="244">
        <f>132/180</f>
        <v>0.73333333333333328</v>
      </c>
      <c r="L8" s="270"/>
      <c r="M8" s="316"/>
      <c r="N8" s="109"/>
      <c r="O8" s="94"/>
      <c r="P8" s="94"/>
      <c r="Q8" s="94"/>
      <c r="R8" s="94"/>
      <c r="S8" s="108"/>
      <c r="T8" s="54">
        <f>+K8</f>
        <v>0.73333333333333328</v>
      </c>
      <c r="U8" s="207" t="s">
        <v>325</v>
      </c>
      <c r="V8" s="74" t="s">
        <v>467</v>
      </c>
    </row>
    <row r="9" spans="1:22" ht="90" customHeight="1" thickBot="1" x14ac:dyDescent="0.3">
      <c r="B9" s="249"/>
      <c r="C9" s="22" t="s">
        <v>348</v>
      </c>
      <c r="D9" s="100" t="s">
        <v>37</v>
      </c>
      <c r="E9" s="100" t="s">
        <v>349</v>
      </c>
      <c r="F9" s="100" t="s">
        <v>39</v>
      </c>
      <c r="G9" s="114" t="s">
        <v>350</v>
      </c>
      <c r="H9" s="259">
        <f>41/57</f>
        <v>0.7192982456140351</v>
      </c>
      <c r="I9" s="243"/>
      <c r="J9" s="243"/>
      <c r="K9" s="244">
        <f>132/105</f>
        <v>1.2571428571428571</v>
      </c>
      <c r="L9" s="270"/>
      <c r="M9" s="316"/>
      <c r="N9" s="116"/>
      <c r="O9" s="104"/>
      <c r="P9" s="104"/>
      <c r="Q9" s="104"/>
      <c r="R9" s="104"/>
      <c r="S9" s="106"/>
      <c r="T9" s="107">
        <f>+K9</f>
        <v>1.2571428571428571</v>
      </c>
      <c r="U9" s="208" t="s">
        <v>325</v>
      </c>
      <c r="V9" s="74" t="s">
        <v>468</v>
      </c>
    </row>
    <row r="10" spans="1:22" ht="129.75" customHeight="1" thickBot="1" x14ac:dyDescent="0.3">
      <c r="B10" s="32" t="s">
        <v>41</v>
      </c>
      <c r="C10" s="58" t="s">
        <v>42</v>
      </c>
      <c r="D10" s="8" t="s">
        <v>43</v>
      </c>
      <c r="E10" s="8" t="s">
        <v>44</v>
      </c>
      <c r="F10" s="8" t="s">
        <v>45</v>
      </c>
      <c r="G10" s="115" t="s">
        <v>46</v>
      </c>
      <c r="H10" s="317">
        <f>199518472/425830000</f>
        <v>0.46854019679214709</v>
      </c>
      <c r="I10" s="318"/>
      <c r="J10" s="319"/>
      <c r="K10" s="317">
        <f>199518472/425830000</f>
        <v>0.46854019679214709</v>
      </c>
      <c r="L10" s="318"/>
      <c r="M10" s="319"/>
      <c r="N10" s="125"/>
      <c r="O10" s="126"/>
      <c r="P10" s="126"/>
      <c r="Q10" s="126"/>
      <c r="R10" s="126"/>
      <c r="S10" s="127"/>
      <c r="T10" s="128">
        <f>+K10</f>
        <v>0.46854019679214709</v>
      </c>
      <c r="U10" s="202" t="s">
        <v>284</v>
      </c>
      <c r="V10" s="129" t="s">
        <v>466</v>
      </c>
    </row>
    <row r="11" spans="1:22" ht="97.5" customHeight="1" x14ac:dyDescent="0.25">
      <c r="B11" s="248" t="s">
        <v>47</v>
      </c>
      <c r="C11" s="20" t="s">
        <v>48</v>
      </c>
      <c r="D11" s="5" t="s">
        <v>49</v>
      </c>
      <c r="E11" s="5" t="s">
        <v>352</v>
      </c>
      <c r="F11" s="5" t="s">
        <v>353</v>
      </c>
      <c r="G11" s="113" t="s">
        <v>354</v>
      </c>
      <c r="H11" s="258">
        <f>127205346/110000000</f>
        <v>1.1564122363636364</v>
      </c>
      <c r="I11" s="256"/>
      <c r="J11" s="256"/>
      <c r="K11" s="252">
        <f>215762690/150000000</f>
        <v>1.4384179333333333</v>
      </c>
      <c r="L11" s="252"/>
      <c r="M11" s="254"/>
      <c r="N11" s="251"/>
      <c r="O11" s="252"/>
      <c r="P11" s="252"/>
      <c r="Q11" s="252"/>
      <c r="R11" s="252"/>
      <c r="S11" s="253"/>
      <c r="T11" s="84">
        <f>342968036/361590000</f>
        <v>0.94849978152050662</v>
      </c>
      <c r="U11" s="201" t="s">
        <v>359</v>
      </c>
      <c r="V11" s="82" t="s">
        <v>355</v>
      </c>
    </row>
    <row r="12" spans="1:22" s="2" customFormat="1" ht="102" customHeight="1" x14ac:dyDescent="0.25">
      <c r="B12" s="250"/>
      <c r="C12" s="21" t="s">
        <v>53</v>
      </c>
      <c r="D12" s="96" t="s">
        <v>49</v>
      </c>
      <c r="E12" s="96" t="s">
        <v>356</v>
      </c>
      <c r="F12" s="96" t="s">
        <v>357</v>
      </c>
      <c r="G12" s="110" t="s">
        <v>358</v>
      </c>
      <c r="H12" s="259">
        <f>327898482/810000000</f>
        <v>0.40481294074074076</v>
      </c>
      <c r="I12" s="243"/>
      <c r="J12" s="243"/>
      <c r="K12" s="246">
        <f>593396291/1450000000</f>
        <v>0.40923882137931034</v>
      </c>
      <c r="L12" s="246"/>
      <c r="M12" s="260"/>
      <c r="N12" s="101"/>
      <c r="O12" s="89"/>
      <c r="P12" s="89"/>
      <c r="Q12" s="89"/>
      <c r="R12" s="89"/>
      <c r="S12" s="90"/>
      <c r="T12" s="54">
        <f>921294773/2260000000</f>
        <v>0.40765255442477877</v>
      </c>
      <c r="U12" s="204" t="s">
        <v>360</v>
      </c>
      <c r="V12" s="74" t="s">
        <v>361</v>
      </c>
    </row>
    <row r="13" spans="1:22" s="2" customFormat="1" ht="152.25" customHeight="1" x14ac:dyDescent="0.25">
      <c r="B13" s="250"/>
      <c r="C13" s="21" t="s">
        <v>351</v>
      </c>
      <c r="D13" s="96" t="s">
        <v>49</v>
      </c>
      <c r="E13" s="96" t="s">
        <v>362</v>
      </c>
      <c r="F13" s="96" t="s">
        <v>363</v>
      </c>
      <c r="G13" s="110" t="s">
        <v>364</v>
      </c>
      <c r="H13" s="93">
        <f>575755932/925055826.967</f>
        <v>0.62240128132346684</v>
      </c>
      <c r="I13" s="94">
        <f>1509850845/2427773060.8</f>
        <v>0.62190773486154172</v>
      </c>
      <c r="J13" s="94">
        <f>3162905265/3415255157.6</f>
        <v>0.92611096947223892</v>
      </c>
      <c r="K13" s="94">
        <f>3874048726/4615255157.6</f>
        <v>0.83940076847550971</v>
      </c>
      <c r="L13" s="94">
        <f>4229717204/5815255157.6</f>
        <v>0.72734851513302057</v>
      </c>
      <c r="M13" s="130">
        <f>5921859788/7415255157.6</f>
        <v>0.7986049922949181</v>
      </c>
      <c r="N13" s="101"/>
      <c r="O13" s="89"/>
      <c r="P13" s="89"/>
      <c r="Q13" s="89"/>
      <c r="R13" s="89"/>
      <c r="S13" s="90"/>
      <c r="T13" s="54">
        <f>+M13</f>
        <v>0.7986049922949181</v>
      </c>
      <c r="U13" s="204" t="s">
        <v>365</v>
      </c>
      <c r="V13" s="74" t="s">
        <v>366</v>
      </c>
    </row>
    <row r="14" spans="1:22" ht="90" customHeight="1" thickBot="1" x14ac:dyDescent="0.3">
      <c r="B14" s="249"/>
      <c r="C14" s="22" t="s">
        <v>414</v>
      </c>
      <c r="D14" s="100" t="s">
        <v>54</v>
      </c>
      <c r="E14" s="100" t="s">
        <v>55</v>
      </c>
      <c r="F14" s="100" t="s">
        <v>367</v>
      </c>
      <c r="G14" s="114" t="s">
        <v>368</v>
      </c>
      <c r="H14" s="80">
        <f t="shared" ref="H14:M14" si="0">1/1</f>
        <v>1</v>
      </c>
      <c r="I14" s="105">
        <f t="shared" si="0"/>
        <v>1</v>
      </c>
      <c r="J14" s="105">
        <f t="shared" si="0"/>
        <v>1</v>
      </c>
      <c r="K14" s="105">
        <f t="shared" si="0"/>
        <v>1</v>
      </c>
      <c r="L14" s="105">
        <f t="shared" si="0"/>
        <v>1</v>
      </c>
      <c r="M14" s="121">
        <f t="shared" si="0"/>
        <v>1</v>
      </c>
      <c r="N14" s="102"/>
      <c r="O14" s="105"/>
      <c r="P14" s="105"/>
      <c r="Q14" s="105"/>
      <c r="R14" s="105"/>
      <c r="S14" s="103"/>
      <c r="T14" s="79">
        <f>6/6</f>
        <v>1</v>
      </c>
      <c r="U14" s="205" t="s">
        <v>300</v>
      </c>
      <c r="V14" s="75" t="s">
        <v>369</v>
      </c>
    </row>
    <row r="15" spans="1:22" ht="150" customHeight="1" x14ac:dyDescent="0.25">
      <c r="B15" s="261" t="s">
        <v>58</v>
      </c>
      <c r="C15" s="35" t="s">
        <v>59</v>
      </c>
      <c r="D15" s="7" t="s">
        <v>247</v>
      </c>
      <c r="E15" s="7" t="s">
        <v>60</v>
      </c>
      <c r="F15" s="7" t="s">
        <v>370</v>
      </c>
      <c r="G15" s="113" t="s">
        <v>62</v>
      </c>
      <c r="H15" s="258">
        <f>20/100</f>
        <v>0.2</v>
      </c>
      <c r="I15" s="256"/>
      <c r="J15" s="256"/>
      <c r="K15" s="252">
        <f>80/100</f>
        <v>0.8</v>
      </c>
      <c r="L15" s="252"/>
      <c r="M15" s="254"/>
      <c r="N15" s="255"/>
      <c r="O15" s="256"/>
      <c r="P15" s="256"/>
      <c r="Q15" s="256"/>
      <c r="R15" s="256"/>
      <c r="S15" s="257"/>
      <c r="T15" s="78">
        <f>+K15</f>
        <v>0.8</v>
      </c>
      <c r="U15" s="203" t="s">
        <v>286</v>
      </c>
      <c r="V15" s="82" t="s">
        <v>371</v>
      </c>
    </row>
    <row r="16" spans="1:22" ht="75.75" customHeight="1" x14ac:dyDescent="0.25">
      <c r="B16" s="262"/>
      <c r="C16" s="21" t="s">
        <v>63</v>
      </c>
      <c r="D16" s="96" t="s">
        <v>64</v>
      </c>
      <c r="E16" s="96" t="s">
        <v>65</v>
      </c>
      <c r="F16" s="96" t="s">
        <v>66</v>
      </c>
      <c r="G16" s="110" t="s">
        <v>67</v>
      </c>
      <c r="H16" s="269">
        <f>10/30</f>
        <v>0.33333333333333331</v>
      </c>
      <c r="I16" s="270"/>
      <c r="J16" s="267"/>
      <c r="K16" s="264">
        <f>24/30</f>
        <v>0.8</v>
      </c>
      <c r="L16" s="265"/>
      <c r="M16" s="266"/>
      <c r="N16" s="267"/>
      <c r="O16" s="243"/>
      <c r="P16" s="243"/>
      <c r="Q16" s="243"/>
      <c r="R16" s="243"/>
      <c r="S16" s="244"/>
      <c r="T16" s="54">
        <f>+K16</f>
        <v>0.8</v>
      </c>
      <c r="U16" s="204" t="s">
        <v>274</v>
      </c>
      <c r="V16" s="74" t="s">
        <v>469</v>
      </c>
    </row>
    <row r="17" spans="2:22" s="2" customFormat="1" ht="146.25" customHeight="1" x14ac:dyDescent="0.25">
      <c r="B17" s="262"/>
      <c r="C17" s="21" t="s">
        <v>68</v>
      </c>
      <c r="D17" s="96" t="s">
        <v>64</v>
      </c>
      <c r="E17" s="96" t="s">
        <v>372</v>
      </c>
      <c r="F17" s="96" t="s">
        <v>373</v>
      </c>
      <c r="G17" s="110" t="s">
        <v>374</v>
      </c>
      <c r="H17" s="259">
        <f>20%/100%</f>
        <v>0.2</v>
      </c>
      <c r="I17" s="243"/>
      <c r="J17" s="243"/>
      <c r="K17" s="243">
        <f>54.67%/100%</f>
        <v>0.54669999999999996</v>
      </c>
      <c r="L17" s="243"/>
      <c r="M17" s="300"/>
      <c r="N17" s="267"/>
      <c r="O17" s="243"/>
      <c r="P17" s="243"/>
      <c r="Q17" s="243"/>
      <c r="R17" s="243"/>
      <c r="S17" s="244"/>
      <c r="T17" s="54">
        <f>+K17</f>
        <v>0.54669999999999996</v>
      </c>
      <c r="U17" s="204" t="s">
        <v>274</v>
      </c>
      <c r="V17" s="74" t="s">
        <v>470</v>
      </c>
    </row>
    <row r="18" spans="2:22" ht="82.5" customHeight="1" x14ac:dyDescent="0.25">
      <c r="B18" s="262"/>
      <c r="C18" s="21" t="s">
        <v>73</v>
      </c>
      <c r="D18" s="96" t="s">
        <v>69</v>
      </c>
      <c r="E18" s="96" t="s">
        <v>375</v>
      </c>
      <c r="F18" s="96" t="s">
        <v>376</v>
      </c>
      <c r="G18" s="110" t="s">
        <v>377</v>
      </c>
      <c r="H18" s="95">
        <f>2/2</f>
        <v>1</v>
      </c>
      <c r="I18" s="89" t="s">
        <v>246</v>
      </c>
      <c r="J18" s="9">
        <f>0/1</f>
        <v>0</v>
      </c>
      <c r="K18" s="89" t="e">
        <f>1/0</f>
        <v>#DIV/0!</v>
      </c>
      <c r="L18" s="89" t="e">
        <f>1/0</f>
        <v>#DIV/0!</v>
      </c>
      <c r="M18" s="123">
        <f>1/1</f>
        <v>1</v>
      </c>
      <c r="N18" s="118"/>
      <c r="O18" s="9"/>
      <c r="P18" s="89"/>
      <c r="Q18" s="9"/>
      <c r="R18" s="89"/>
      <c r="S18" s="77"/>
      <c r="T18" s="27">
        <f>5/4</f>
        <v>1.25</v>
      </c>
      <c r="U18" s="204" t="s">
        <v>289</v>
      </c>
      <c r="V18" s="74" t="s">
        <v>378</v>
      </c>
    </row>
    <row r="19" spans="2:22" ht="179.25" customHeight="1" x14ac:dyDescent="0.25">
      <c r="B19" s="262"/>
      <c r="C19" s="21" t="s">
        <v>77</v>
      </c>
      <c r="D19" s="96" t="s">
        <v>69</v>
      </c>
      <c r="E19" s="96" t="s">
        <v>379</v>
      </c>
      <c r="F19" s="96" t="s">
        <v>75</v>
      </c>
      <c r="G19" s="110" t="s">
        <v>76</v>
      </c>
      <c r="H19" s="95" t="s">
        <v>246</v>
      </c>
      <c r="I19" s="89">
        <f>2/3</f>
        <v>0.66666666666666663</v>
      </c>
      <c r="J19" s="89">
        <f>4/2</f>
        <v>2</v>
      </c>
      <c r="K19" s="89">
        <f>3/2</f>
        <v>1.5</v>
      </c>
      <c r="L19" s="89">
        <f>6/2</f>
        <v>3</v>
      </c>
      <c r="M19" s="124">
        <f>1/3</f>
        <v>0.33333333333333331</v>
      </c>
      <c r="N19" s="101"/>
      <c r="O19" s="89"/>
      <c r="P19" s="89"/>
      <c r="Q19" s="89"/>
      <c r="R19" s="89"/>
      <c r="S19" s="90"/>
      <c r="T19" s="27">
        <f>16/12</f>
        <v>1.3333333333333333</v>
      </c>
      <c r="U19" s="204" t="s">
        <v>289</v>
      </c>
      <c r="V19" s="74" t="s">
        <v>380</v>
      </c>
    </row>
    <row r="20" spans="2:22" ht="103.5" customHeight="1" x14ac:dyDescent="0.25">
      <c r="B20" s="262"/>
      <c r="C20" s="21" t="s">
        <v>81</v>
      </c>
      <c r="D20" s="96" t="s">
        <v>69</v>
      </c>
      <c r="E20" s="96" t="s">
        <v>381</v>
      </c>
      <c r="F20" s="96" t="s">
        <v>79</v>
      </c>
      <c r="G20" s="110" t="s">
        <v>382</v>
      </c>
      <c r="H20" s="95">
        <f>4/4</f>
        <v>1</v>
      </c>
      <c r="I20" s="89">
        <f>6/6</f>
        <v>1</v>
      </c>
      <c r="J20" s="89">
        <f>10/11</f>
        <v>0.90909090909090906</v>
      </c>
      <c r="K20" s="89">
        <f>8/9</f>
        <v>0.88888888888888884</v>
      </c>
      <c r="L20" s="89">
        <f>8/8</f>
        <v>1</v>
      </c>
      <c r="M20" s="124">
        <f>10/10</f>
        <v>1</v>
      </c>
      <c r="N20" s="101"/>
      <c r="O20" s="89"/>
      <c r="P20" s="89"/>
      <c r="Q20" s="89"/>
      <c r="R20" s="89"/>
      <c r="S20" s="90"/>
      <c r="T20" s="27">
        <f>46/48</f>
        <v>0.95833333333333337</v>
      </c>
      <c r="U20" s="204" t="s">
        <v>289</v>
      </c>
      <c r="V20" s="74" t="s">
        <v>383</v>
      </c>
    </row>
    <row r="21" spans="2:22" ht="261.75" customHeight="1" x14ac:dyDescent="0.25">
      <c r="B21" s="262"/>
      <c r="C21" s="21" t="s">
        <v>86</v>
      </c>
      <c r="D21" s="96" t="s">
        <v>82</v>
      </c>
      <c r="E21" s="96" t="s">
        <v>83</v>
      </c>
      <c r="F21" s="96" t="s">
        <v>84</v>
      </c>
      <c r="G21" s="110" t="s">
        <v>384</v>
      </c>
      <c r="H21" s="95" t="s">
        <v>246</v>
      </c>
      <c r="I21" s="89" t="s">
        <v>246</v>
      </c>
      <c r="J21" s="89">
        <f>12/13</f>
        <v>0.92307692307692313</v>
      </c>
      <c r="K21" s="89">
        <f>4/4</f>
        <v>1</v>
      </c>
      <c r="L21" s="89">
        <f>5/5</f>
        <v>1</v>
      </c>
      <c r="M21" s="124">
        <f>5/5</f>
        <v>1</v>
      </c>
      <c r="N21" s="245"/>
      <c r="O21" s="246"/>
      <c r="P21" s="246"/>
      <c r="Q21" s="246"/>
      <c r="R21" s="246"/>
      <c r="S21" s="247"/>
      <c r="T21" s="27">
        <f>26/27</f>
        <v>0.96296296296296291</v>
      </c>
      <c r="U21" s="204" t="s">
        <v>290</v>
      </c>
      <c r="V21" s="74" t="s">
        <v>385</v>
      </c>
    </row>
    <row r="22" spans="2:22" ht="310.5" customHeight="1" x14ac:dyDescent="0.25">
      <c r="B22" s="262"/>
      <c r="C22" s="21" t="s">
        <v>91</v>
      </c>
      <c r="D22" s="96" t="s">
        <v>87</v>
      </c>
      <c r="E22" s="96" t="s">
        <v>88</v>
      </c>
      <c r="F22" s="96" t="s">
        <v>386</v>
      </c>
      <c r="G22" s="110" t="s">
        <v>387</v>
      </c>
      <c r="H22" s="95">
        <f>0/1</f>
        <v>0</v>
      </c>
      <c r="I22" s="89">
        <f>1/2</f>
        <v>0.5</v>
      </c>
      <c r="J22" s="89">
        <f>6/9</f>
        <v>0.66666666666666663</v>
      </c>
      <c r="K22" s="89">
        <f>5/5</f>
        <v>1</v>
      </c>
      <c r="L22" s="89">
        <f>5/5</f>
        <v>1</v>
      </c>
      <c r="M22" s="124">
        <f>11/12</f>
        <v>0.91666666666666663</v>
      </c>
      <c r="N22" s="245"/>
      <c r="O22" s="246"/>
      <c r="P22" s="246"/>
      <c r="Q22" s="246"/>
      <c r="R22" s="246"/>
      <c r="S22" s="247"/>
      <c r="T22" s="27">
        <f>28/34</f>
        <v>0.82352941176470584</v>
      </c>
      <c r="U22" s="204" t="s">
        <v>301</v>
      </c>
      <c r="V22" s="74" t="s">
        <v>388</v>
      </c>
    </row>
    <row r="23" spans="2:22" s="2" customFormat="1" ht="123" customHeight="1" x14ac:dyDescent="0.25">
      <c r="B23" s="262"/>
      <c r="C23" s="21" t="s">
        <v>96</v>
      </c>
      <c r="D23" s="96" t="s">
        <v>390</v>
      </c>
      <c r="E23" s="96" t="s">
        <v>389</v>
      </c>
      <c r="F23" s="96" t="s">
        <v>391</v>
      </c>
      <c r="G23" s="110" t="s">
        <v>392</v>
      </c>
      <c r="H23" s="308">
        <f>338/342</f>
        <v>0.98830409356725146</v>
      </c>
      <c r="I23" s="309"/>
      <c r="J23" s="245"/>
      <c r="K23" s="247">
        <f>933/933</f>
        <v>1</v>
      </c>
      <c r="L23" s="309"/>
      <c r="M23" s="310"/>
      <c r="N23" s="101"/>
      <c r="O23" s="89"/>
      <c r="P23" s="89"/>
      <c r="Q23" s="89"/>
      <c r="R23" s="89"/>
      <c r="S23" s="90"/>
      <c r="T23" s="27">
        <f>1271/1275</f>
        <v>0.99686274509803918</v>
      </c>
      <c r="U23" s="204" t="s">
        <v>302</v>
      </c>
      <c r="V23" s="74" t="s">
        <v>393</v>
      </c>
    </row>
    <row r="24" spans="2:22" s="2" customFormat="1" ht="122.25" customHeight="1" x14ac:dyDescent="0.25">
      <c r="B24" s="262"/>
      <c r="C24" s="21" t="s">
        <v>101</v>
      </c>
      <c r="D24" s="96" t="s">
        <v>390</v>
      </c>
      <c r="E24" s="96" t="s">
        <v>394</v>
      </c>
      <c r="F24" s="96" t="s">
        <v>395</v>
      </c>
      <c r="G24" s="110" t="s">
        <v>331</v>
      </c>
      <c r="H24" s="308">
        <f>1/3</f>
        <v>0.33333333333333331</v>
      </c>
      <c r="I24" s="309"/>
      <c r="J24" s="245"/>
      <c r="K24" s="247">
        <f>1/3</f>
        <v>0.33333333333333331</v>
      </c>
      <c r="L24" s="309"/>
      <c r="M24" s="310"/>
      <c r="N24" s="101"/>
      <c r="O24" s="89"/>
      <c r="P24" s="89"/>
      <c r="Q24" s="89"/>
      <c r="R24" s="89"/>
      <c r="S24" s="90"/>
      <c r="T24" s="27">
        <f>1/3</f>
        <v>0.33333333333333331</v>
      </c>
      <c r="U24" s="204" t="s">
        <v>302</v>
      </c>
      <c r="V24" s="74" t="s">
        <v>396</v>
      </c>
    </row>
    <row r="25" spans="2:22" ht="339.75" customHeight="1" x14ac:dyDescent="0.25">
      <c r="B25" s="262"/>
      <c r="C25" s="21" t="s">
        <v>106</v>
      </c>
      <c r="D25" s="96" t="s">
        <v>97</v>
      </c>
      <c r="E25" s="96" t="s">
        <v>98</v>
      </c>
      <c r="F25" s="96" t="s">
        <v>99</v>
      </c>
      <c r="G25" s="110" t="s">
        <v>397</v>
      </c>
      <c r="H25" s="268">
        <f>4/4</f>
        <v>1</v>
      </c>
      <c r="I25" s="246"/>
      <c r="J25" s="246"/>
      <c r="K25" s="246">
        <f>5/5</f>
        <v>1</v>
      </c>
      <c r="L25" s="246"/>
      <c r="M25" s="260"/>
      <c r="N25" s="245"/>
      <c r="O25" s="246"/>
      <c r="P25" s="246"/>
      <c r="Q25" s="246"/>
      <c r="R25" s="246"/>
      <c r="S25" s="247"/>
      <c r="T25" s="27">
        <f>9/9</f>
        <v>1</v>
      </c>
      <c r="U25" s="204" t="s">
        <v>303</v>
      </c>
      <c r="V25" s="74" t="s">
        <v>452</v>
      </c>
    </row>
    <row r="26" spans="2:22" ht="240.75" customHeight="1" x14ac:dyDescent="0.25">
      <c r="B26" s="262"/>
      <c r="C26" s="21" t="s">
        <v>111</v>
      </c>
      <c r="D26" s="96" t="s">
        <v>102</v>
      </c>
      <c r="E26" s="96" t="s">
        <v>398</v>
      </c>
      <c r="F26" s="96" t="s">
        <v>104</v>
      </c>
      <c r="G26" s="110" t="s">
        <v>399</v>
      </c>
      <c r="H26" s="308">
        <f>8/8</f>
        <v>1</v>
      </c>
      <c r="I26" s="309"/>
      <c r="J26" s="245"/>
      <c r="K26" s="247">
        <f>13/13</f>
        <v>1</v>
      </c>
      <c r="L26" s="309"/>
      <c r="M26" s="310"/>
      <c r="N26" s="101"/>
      <c r="O26" s="89"/>
      <c r="P26" s="89"/>
      <c r="Q26" s="89"/>
      <c r="R26" s="89"/>
      <c r="S26" s="90"/>
      <c r="T26" s="27">
        <f>21/21</f>
        <v>1</v>
      </c>
      <c r="U26" s="204" t="s">
        <v>400</v>
      </c>
      <c r="V26" s="74" t="s">
        <v>401</v>
      </c>
    </row>
    <row r="27" spans="2:22" s="2" customFormat="1" ht="224.25" customHeight="1" x14ac:dyDescent="0.25">
      <c r="B27" s="262"/>
      <c r="C27" s="21" t="s">
        <v>402</v>
      </c>
      <c r="D27" s="96" t="s">
        <v>102</v>
      </c>
      <c r="E27" s="96" t="s">
        <v>403</v>
      </c>
      <c r="F27" s="96" t="s">
        <v>404</v>
      </c>
      <c r="G27" s="110" t="s">
        <v>405</v>
      </c>
      <c r="H27" s="308">
        <f>1/1</f>
        <v>1</v>
      </c>
      <c r="I27" s="309"/>
      <c r="J27" s="245"/>
      <c r="K27" s="247">
        <f>6/6</f>
        <v>1</v>
      </c>
      <c r="L27" s="309"/>
      <c r="M27" s="310"/>
      <c r="N27" s="101"/>
      <c r="O27" s="89"/>
      <c r="P27" s="89"/>
      <c r="Q27" s="89"/>
      <c r="R27" s="89"/>
      <c r="S27" s="90"/>
      <c r="T27" s="27">
        <f>7/7</f>
        <v>1</v>
      </c>
      <c r="U27" s="204" t="s">
        <v>406</v>
      </c>
      <c r="V27" s="74" t="s">
        <v>407</v>
      </c>
    </row>
    <row r="28" spans="2:22" ht="207.75" customHeight="1" x14ac:dyDescent="0.25">
      <c r="B28" s="262"/>
      <c r="C28" s="21" t="s">
        <v>408</v>
      </c>
      <c r="D28" s="96" t="s">
        <v>107</v>
      </c>
      <c r="E28" s="96" t="s">
        <v>409</v>
      </c>
      <c r="F28" s="10" t="s">
        <v>410</v>
      </c>
      <c r="G28" s="110" t="s">
        <v>411</v>
      </c>
      <c r="H28" s="268">
        <f>20/22</f>
        <v>0.90909090909090906</v>
      </c>
      <c r="I28" s="246"/>
      <c r="J28" s="246"/>
      <c r="K28" s="246">
        <f>35/38</f>
        <v>0.92105263157894735</v>
      </c>
      <c r="L28" s="246"/>
      <c r="M28" s="260"/>
      <c r="N28" s="245"/>
      <c r="O28" s="246"/>
      <c r="P28" s="246"/>
      <c r="Q28" s="246"/>
      <c r="R28" s="246"/>
      <c r="S28" s="247"/>
      <c r="T28" s="27">
        <f>55/60</f>
        <v>0.91666666666666663</v>
      </c>
      <c r="U28" s="204" t="s">
        <v>419</v>
      </c>
      <c r="V28" s="74" t="s">
        <v>412</v>
      </c>
    </row>
    <row r="29" spans="2:22" ht="113.25" customHeight="1" thickBot="1" x14ac:dyDescent="0.3">
      <c r="B29" s="263"/>
      <c r="C29" s="22" t="s">
        <v>413</v>
      </c>
      <c r="D29" s="100" t="s">
        <v>107</v>
      </c>
      <c r="E29" s="100" t="s">
        <v>415</v>
      </c>
      <c r="F29" s="26" t="s">
        <v>416</v>
      </c>
      <c r="G29" s="114" t="s">
        <v>417</v>
      </c>
      <c r="H29" s="311">
        <f>12/34</f>
        <v>0.35294117647058826</v>
      </c>
      <c r="I29" s="312"/>
      <c r="J29" s="312"/>
      <c r="K29" s="313"/>
      <c r="L29" s="314"/>
      <c r="M29" s="315"/>
      <c r="N29" s="119"/>
      <c r="O29" s="72"/>
      <c r="P29" s="105"/>
      <c r="Q29" s="72"/>
      <c r="R29" s="72"/>
      <c r="S29" s="103"/>
      <c r="T29" s="79">
        <f>+H29</f>
        <v>0.35294117647058826</v>
      </c>
      <c r="U29" s="205" t="s">
        <v>420</v>
      </c>
      <c r="V29" s="75" t="s">
        <v>418</v>
      </c>
    </row>
    <row r="30" spans="2:22" ht="12" customHeight="1" x14ac:dyDescent="0.25"/>
    <row r="31" spans="2:22" ht="12" customHeight="1" thickBot="1" x14ac:dyDescent="0.3"/>
    <row r="32" spans="2:22" ht="27" customHeight="1" thickBot="1" x14ac:dyDescent="0.3">
      <c r="B32" s="296" t="s">
        <v>311</v>
      </c>
      <c r="C32" s="290"/>
      <c r="D32" s="290"/>
      <c r="E32" s="290"/>
      <c r="F32" s="291"/>
      <c r="G32" s="55" t="s">
        <v>312</v>
      </c>
      <c r="H32" s="53" t="s">
        <v>336</v>
      </c>
      <c r="I32" s="290" t="s">
        <v>313</v>
      </c>
      <c r="J32" s="291"/>
    </row>
    <row r="33" spans="2:10" ht="34.5" customHeight="1" x14ac:dyDescent="0.25">
      <c r="B33" s="297" t="s">
        <v>319</v>
      </c>
      <c r="C33" s="298"/>
      <c r="D33" s="298"/>
      <c r="E33" s="298"/>
      <c r="F33" s="299"/>
      <c r="G33" s="51" t="s">
        <v>314</v>
      </c>
      <c r="H33" s="48">
        <v>2</v>
      </c>
      <c r="I33" s="292">
        <f>+AVERAGE(T5:T6)</f>
        <v>0.93748323074974671</v>
      </c>
      <c r="J33" s="293"/>
    </row>
    <row r="34" spans="2:10" ht="28.5" customHeight="1" x14ac:dyDescent="0.25">
      <c r="B34" s="287" t="s">
        <v>320</v>
      </c>
      <c r="C34" s="288"/>
      <c r="D34" s="288"/>
      <c r="E34" s="288"/>
      <c r="F34" s="289"/>
      <c r="G34" s="6" t="s">
        <v>315</v>
      </c>
      <c r="H34" s="49">
        <v>3</v>
      </c>
      <c r="I34" s="294">
        <f>+AVERAGE(T7:T9)</f>
        <v>1.0633531746031746</v>
      </c>
      <c r="J34" s="295"/>
    </row>
    <row r="35" spans="2:10" ht="39.75" customHeight="1" x14ac:dyDescent="0.25">
      <c r="B35" s="287" t="s">
        <v>321</v>
      </c>
      <c r="C35" s="288"/>
      <c r="D35" s="288"/>
      <c r="E35" s="288"/>
      <c r="F35" s="289"/>
      <c r="G35" s="6" t="s">
        <v>316</v>
      </c>
      <c r="H35" s="49">
        <v>1</v>
      </c>
      <c r="I35" s="294">
        <f>+T10</f>
        <v>0.46854019679214709</v>
      </c>
      <c r="J35" s="295"/>
    </row>
    <row r="36" spans="2:10" ht="28.5" customHeight="1" x14ac:dyDescent="0.25">
      <c r="B36" s="287" t="s">
        <v>322</v>
      </c>
      <c r="C36" s="288"/>
      <c r="D36" s="288"/>
      <c r="E36" s="288"/>
      <c r="F36" s="289"/>
      <c r="G36" s="6" t="s">
        <v>317</v>
      </c>
      <c r="H36" s="49">
        <v>4</v>
      </c>
      <c r="I36" s="294">
        <f>+AVERAGE(T11:T14)</f>
        <v>0.78868933206005087</v>
      </c>
      <c r="J36" s="295"/>
    </row>
    <row r="37" spans="2:10" ht="51" customHeight="1" thickBot="1" x14ac:dyDescent="0.3">
      <c r="B37" s="301" t="s">
        <v>323</v>
      </c>
      <c r="C37" s="302"/>
      <c r="D37" s="302"/>
      <c r="E37" s="302"/>
      <c r="F37" s="303"/>
      <c r="G37" s="57" t="s">
        <v>318</v>
      </c>
      <c r="H37" s="50">
        <v>15</v>
      </c>
      <c r="I37" s="304">
        <f>+AVERAGE(T15:T29)</f>
        <v>0.8716441975308642</v>
      </c>
      <c r="J37" s="305"/>
    </row>
    <row r="38" spans="2:10" ht="18" customHeight="1" thickBot="1" x14ac:dyDescent="0.3">
      <c r="B38" s="296" t="s">
        <v>324</v>
      </c>
      <c r="C38" s="290"/>
      <c r="D38" s="290"/>
      <c r="E38" s="290"/>
      <c r="F38" s="290"/>
      <c r="G38" s="290"/>
      <c r="H38" s="56">
        <f>+SUM(H33:H37)</f>
        <v>25</v>
      </c>
      <c r="I38" s="306">
        <f>+((I33*H33)+(I34*H34)+(I35*H35)+(I36*H36)+(I37*H37))/25</f>
        <v>0.8705194589321732</v>
      </c>
      <c r="J38" s="307"/>
    </row>
  </sheetData>
  <mergeCells count="74">
    <mergeCell ref="K8:M8"/>
    <mergeCell ref="H8:J8"/>
    <mergeCell ref="H9:J9"/>
    <mergeCell ref="K9:M9"/>
    <mergeCell ref="H10:J10"/>
    <mergeCell ref="K10:M10"/>
    <mergeCell ref="Q17:S17"/>
    <mergeCell ref="H23:J23"/>
    <mergeCell ref="K23:M23"/>
    <mergeCell ref="H29:K29"/>
    <mergeCell ref="L29:M29"/>
    <mergeCell ref="H24:J24"/>
    <mergeCell ref="K24:M24"/>
    <mergeCell ref="H26:J26"/>
    <mergeCell ref="K26:M26"/>
    <mergeCell ref="H27:J27"/>
    <mergeCell ref="K27:M27"/>
    <mergeCell ref="K25:M25"/>
    <mergeCell ref="K28:M28"/>
    <mergeCell ref="B36:F36"/>
    <mergeCell ref="B37:F37"/>
    <mergeCell ref="B38:G38"/>
    <mergeCell ref="I37:J37"/>
    <mergeCell ref="I38:J38"/>
    <mergeCell ref="I36:J36"/>
    <mergeCell ref="B1:U1"/>
    <mergeCell ref="B34:F34"/>
    <mergeCell ref="B35:F35"/>
    <mergeCell ref="I32:J32"/>
    <mergeCell ref="I33:J33"/>
    <mergeCell ref="I34:J34"/>
    <mergeCell ref="I35:J35"/>
    <mergeCell ref="B32:F32"/>
    <mergeCell ref="B33:F33"/>
    <mergeCell ref="N28:P28"/>
    <mergeCell ref="Q28:S28"/>
    <mergeCell ref="N22:P22"/>
    <mergeCell ref="Q22:S22"/>
    <mergeCell ref="N25:P25"/>
    <mergeCell ref="Q25:S25"/>
    <mergeCell ref="K17:M17"/>
    <mergeCell ref="V3:V4"/>
    <mergeCell ref="B2:U2"/>
    <mergeCell ref="U3:U4"/>
    <mergeCell ref="H3:T3"/>
    <mergeCell ref="B3:B4"/>
    <mergeCell ref="D3:D4"/>
    <mergeCell ref="E3:E4"/>
    <mergeCell ref="F3:F4"/>
    <mergeCell ref="G3:G4"/>
    <mergeCell ref="C3:C4"/>
    <mergeCell ref="H15:J15"/>
    <mergeCell ref="K15:M15"/>
    <mergeCell ref="N16:P16"/>
    <mergeCell ref="H28:J28"/>
    <mergeCell ref="H16:J16"/>
    <mergeCell ref="H25:J25"/>
    <mergeCell ref="N17:P17"/>
    <mergeCell ref="Q16:S16"/>
    <mergeCell ref="N21:P21"/>
    <mergeCell ref="Q21:S21"/>
    <mergeCell ref="B5:B6"/>
    <mergeCell ref="B7:B9"/>
    <mergeCell ref="N11:P11"/>
    <mergeCell ref="Q11:S11"/>
    <mergeCell ref="B11:B14"/>
    <mergeCell ref="K11:M11"/>
    <mergeCell ref="N15:S15"/>
    <mergeCell ref="H11:J11"/>
    <mergeCell ref="H12:J12"/>
    <mergeCell ref="K12:M12"/>
    <mergeCell ref="H17:J17"/>
    <mergeCell ref="B15:B29"/>
    <mergeCell ref="K16:M16"/>
  </mergeCells>
  <printOptions horizontalCentered="1"/>
  <pageMargins left="0.15748031496062992" right="0.15748031496062992" top="0.39370078740157483" bottom="0.39370078740157483" header="0.31496062992125984" footer="0.31496062992125984"/>
  <pageSetup scale="60" pageOrder="overThenDown" orientation="landscape"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view="pageBreakPreview" zoomScale="80" zoomScaleNormal="80" zoomScaleSheetLayoutView="80" workbookViewId="0">
      <pane ySplit="4" topLeftCell="A5" activePane="bottomLeft" state="frozen"/>
      <selection pane="bottomLeft" activeCell="F5" sqref="F5"/>
    </sheetView>
  </sheetViews>
  <sheetFormatPr baseColWidth="10" defaultRowHeight="15" x14ac:dyDescent="0.25"/>
  <cols>
    <col min="1" max="1" width="20.42578125" style="2" customWidth="1"/>
    <col min="2" max="2" width="7.42578125" style="2" customWidth="1"/>
    <col min="3" max="3" width="22.5703125" style="2" customWidth="1"/>
    <col min="4" max="4" width="25.42578125" style="2" customWidth="1"/>
    <col min="5" max="5" width="31.140625" style="2" customWidth="1"/>
    <col min="6" max="6" width="31.7109375" style="2" customWidth="1"/>
    <col min="7" max="12" width="7.42578125" style="2" customWidth="1"/>
    <col min="13" max="17" width="7.42578125" style="2" hidden="1" customWidth="1"/>
    <col min="18" max="18" width="8.5703125" style="2" hidden="1" customWidth="1"/>
    <col min="19" max="19" width="13.42578125" style="2" customWidth="1"/>
    <col min="20" max="20" width="18.5703125" style="2" customWidth="1"/>
    <col min="21" max="21" width="220.42578125" style="24" customWidth="1"/>
    <col min="22" max="16384" width="11.42578125" style="2"/>
  </cols>
  <sheetData>
    <row r="1" spans="1:21" ht="52.5" customHeight="1" thickBot="1" x14ac:dyDescent="0.3">
      <c r="A1" s="284" t="s">
        <v>453</v>
      </c>
      <c r="B1" s="285"/>
      <c r="C1" s="285"/>
      <c r="D1" s="285"/>
      <c r="E1" s="285"/>
      <c r="F1" s="285"/>
      <c r="G1" s="285"/>
      <c r="H1" s="285"/>
      <c r="I1" s="285"/>
      <c r="J1" s="285"/>
      <c r="K1" s="285"/>
      <c r="L1" s="285"/>
      <c r="M1" s="285"/>
      <c r="N1" s="285"/>
      <c r="O1" s="285"/>
      <c r="P1" s="285"/>
      <c r="Q1" s="285"/>
      <c r="R1" s="285"/>
      <c r="S1" s="285"/>
      <c r="T1" s="286"/>
      <c r="U1" s="32" t="str">
        <f>+A1</f>
        <v>REPORTE INDICADORES CANAL CAPITAL
Indicadores de proceso
Reporte Semestre 1 - 2018
Fecha de informe: 31/08/2018</v>
      </c>
    </row>
    <row r="2" spans="1:21" ht="7.5" customHeight="1" thickBot="1" x14ac:dyDescent="0.3">
      <c r="A2" s="324"/>
      <c r="B2" s="324"/>
      <c r="C2" s="324"/>
      <c r="D2" s="324"/>
      <c r="E2" s="324"/>
      <c r="F2" s="324"/>
      <c r="G2" s="324"/>
      <c r="H2" s="324"/>
      <c r="I2" s="324"/>
      <c r="J2" s="324"/>
      <c r="K2" s="324"/>
      <c r="L2" s="324"/>
      <c r="M2" s="324"/>
      <c r="N2" s="324"/>
      <c r="O2" s="324"/>
      <c r="P2" s="324"/>
      <c r="Q2" s="324"/>
      <c r="R2" s="324"/>
      <c r="S2" s="324"/>
      <c r="T2" s="325"/>
    </row>
    <row r="3" spans="1:21" ht="15.75" thickBot="1" x14ac:dyDescent="0.3">
      <c r="A3" s="233" t="s">
        <v>2</v>
      </c>
      <c r="B3" s="235" t="s">
        <v>1</v>
      </c>
      <c r="C3" s="331" t="s">
        <v>0</v>
      </c>
      <c r="D3" s="237" t="s">
        <v>3</v>
      </c>
      <c r="E3" s="239" t="s">
        <v>4</v>
      </c>
      <c r="F3" s="337" t="s">
        <v>5</v>
      </c>
      <c r="G3" s="339" t="s">
        <v>6</v>
      </c>
      <c r="H3" s="340"/>
      <c r="I3" s="340"/>
      <c r="J3" s="340"/>
      <c r="K3" s="340"/>
      <c r="L3" s="340"/>
      <c r="M3" s="340"/>
      <c r="N3" s="340"/>
      <c r="O3" s="340"/>
      <c r="P3" s="340"/>
      <c r="Q3" s="340"/>
      <c r="R3" s="340"/>
      <c r="S3" s="341"/>
      <c r="T3" s="329" t="s">
        <v>7</v>
      </c>
      <c r="U3" s="228" t="s">
        <v>275</v>
      </c>
    </row>
    <row r="4" spans="1:21" ht="24" customHeight="1" thickBot="1" x14ac:dyDescent="0.3">
      <c r="A4" s="334"/>
      <c r="B4" s="333"/>
      <c r="C4" s="332"/>
      <c r="D4" s="335"/>
      <c r="E4" s="336"/>
      <c r="F4" s="338"/>
      <c r="G4" s="68" t="s">
        <v>8</v>
      </c>
      <c r="H4" s="69" t="s">
        <v>9</v>
      </c>
      <c r="I4" s="69" t="s">
        <v>10</v>
      </c>
      <c r="J4" s="69" t="s">
        <v>11</v>
      </c>
      <c r="K4" s="69" t="s">
        <v>12</v>
      </c>
      <c r="L4" s="69" t="s">
        <v>13</v>
      </c>
      <c r="M4" s="69" t="s">
        <v>14</v>
      </c>
      <c r="N4" s="69" t="s">
        <v>15</v>
      </c>
      <c r="O4" s="69" t="s">
        <v>16</v>
      </c>
      <c r="P4" s="69" t="s">
        <v>17</v>
      </c>
      <c r="Q4" s="69" t="s">
        <v>18</v>
      </c>
      <c r="R4" s="70" t="s">
        <v>19</v>
      </c>
      <c r="S4" s="86" t="s">
        <v>339</v>
      </c>
      <c r="T4" s="330"/>
      <c r="U4" s="351"/>
    </row>
    <row r="5" spans="1:21" ht="182.25" customHeight="1" x14ac:dyDescent="0.25">
      <c r="A5" s="327" t="s">
        <v>151</v>
      </c>
      <c r="B5" s="154" t="s">
        <v>115</v>
      </c>
      <c r="C5" s="152" t="s">
        <v>227</v>
      </c>
      <c r="D5" s="5" t="s">
        <v>421</v>
      </c>
      <c r="E5" s="5" t="s">
        <v>422</v>
      </c>
      <c r="F5" s="134" t="s">
        <v>423</v>
      </c>
      <c r="G5" s="258">
        <f>3/3</f>
        <v>1</v>
      </c>
      <c r="H5" s="256"/>
      <c r="I5" s="256"/>
      <c r="J5" s="256">
        <f>3.3/4</f>
        <v>0.82499999999999996</v>
      </c>
      <c r="K5" s="256"/>
      <c r="L5" s="256"/>
      <c r="M5" s="256"/>
      <c r="N5" s="256"/>
      <c r="O5" s="256"/>
      <c r="P5" s="256"/>
      <c r="Q5" s="256"/>
      <c r="R5" s="256"/>
      <c r="S5" s="120">
        <f>6.3/7</f>
        <v>0.9</v>
      </c>
      <c r="T5" s="136" t="s">
        <v>295</v>
      </c>
      <c r="U5" s="31" t="s">
        <v>424</v>
      </c>
    </row>
    <row r="6" spans="1:21" ht="93.75" customHeight="1" x14ac:dyDescent="0.25">
      <c r="A6" s="227"/>
      <c r="B6" s="39" t="s">
        <v>116</v>
      </c>
      <c r="C6" s="6" t="s">
        <v>228</v>
      </c>
      <c r="D6" s="60" t="s">
        <v>164</v>
      </c>
      <c r="E6" s="60" t="s">
        <v>200</v>
      </c>
      <c r="F6" s="133" t="s">
        <v>426</v>
      </c>
      <c r="G6" s="259">
        <f>2566081158/5261854676</f>
        <v>0.48767617427828786</v>
      </c>
      <c r="H6" s="243"/>
      <c r="I6" s="243"/>
      <c r="J6" s="243">
        <f>2687751209/5261854676</f>
        <v>0.51079920949911084</v>
      </c>
      <c r="K6" s="243"/>
      <c r="L6" s="243"/>
      <c r="M6" s="243"/>
      <c r="N6" s="243"/>
      <c r="O6" s="243"/>
      <c r="P6" s="243"/>
      <c r="Q6" s="243"/>
      <c r="R6" s="243"/>
      <c r="S6" s="124">
        <f>+J6</f>
        <v>0.51079920949911084</v>
      </c>
      <c r="T6" s="137" t="s">
        <v>295</v>
      </c>
      <c r="U6" s="23" t="s">
        <v>427</v>
      </c>
    </row>
    <row r="7" spans="1:21" ht="74.25" customHeight="1" thickBot="1" x14ac:dyDescent="0.3">
      <c r="A7" s="328"/>
      <c r="B7" s="40" t="s">
        <v>117</v>
      </c>
      <c r="C7" s="153" t="s">
        <v>228</v>
      </c>
      <c r="D7" s="61" t="s">
        <v>165</v>
      </c>
      <c r="E7" s="61" t="s">
        <v>201</v>
      </c>
      <c r="F7" s="135" t="s">
        <v>234</v>
      </c>
      <c r="G7" s="352">
        <f>2881148652/6836877731</f>
        <v>0.42141292639126765</v>
      </c>
      <c r="H7" s="323"/>
      <c r="I7" s="323"/>
      <c r="J7" s="353">
        <f>2962915009/6872188545</f>
        <v>0.43114576813462557</v>
      </c>
      <c r="K7" s="353"/>
      <c r="L7" s="353"/>
      <c r="M7" s="353"/>
      <c r="N7" s="353"/>
      <c r="O7" s="353"/>
      <c r="P7" s="353"/>
      <c r="Q7" s="353"/>
      <c r="R7" s="353"/>
      <c r="S7" s="143">
        <f>+J7</f>
        <v>0.43114576813462557</v>
      </c>
      <c r="T7" s="138" t="s">
        <v>295</v>
      </c>
      <c r="U7" s="29" t="s">
        <v>428</v>
      </c>
    </row>
    <row r="8" spans="1:21" ht="57.75" customHeight="1" x14ac:dyDescent="0.25">
      <c r="A8" s="327" t="s">
        <v>152</v>
      </c>
      <c r="B8" s="154" t="s">
        <v>118</v>
      </c>
      <c r="C8" s="152" t="s">
        <v>229</v>
      </c>
      <c r="D8" s="5" t="s">
        <v>166</v>
      </c>
      <c r="E8" s="5" t="s">
        <v>202</v>
      </c>
      <c r="F8" s="134" t="s">
        <v>429</v>
      </c>
      <c r="G8" s="326">
        <f>100/100</f>
        <v>1</v>
      </c>
      <c r="H8" s="252"/>
      <c r="I8" s="252"/>
      <c r="J8" s="252">
        <f>100/100</f>
        <v>1</v>
      </c>
      <c r="K8" s="252"/>
      <c r="L8" s="252"/>
      <c r="M8" s="252"/>
      <c r="N8" s="252"/>
      <c r="O8" s="252"/>
      <c r="P8" s="252"/>
      <c r="Q8" s="252"/>
      <c r="R8" s="252"/>
      <c r="S8" s="145">
        <f>+J8</f>
        <v>1</v>
      </c>
      <c r="T8" s="136" t="s">
        <v>262</v>
      </c>
      <c r="U8" s="31" t="s">
        <v>430</v>
      </c>
    </row>
    <row r="9" spans="1:21" ht="70.5" customHeight="1" thickBot="1" x14ac:dyDescent="0.3">
      <c r="A9" s="328"/>
      <c r="B9" s="40" t="s">
        <v>119</v>
      </c>
      <c r="C9" s="153" t="s">
        <v>229</v>
      </c>
      <c r="D9" s="61" t="s">
        <v>431</v>
      </c>
      <c r="E9" s="61" t="s">
        <v>203</v>
      </c>
      <c r="F9" s="135" t="s">
        <v>236</v>
      </c>
      <c r="G9" s="80">
        <f>21/21</f>
        <v>1</v>
      </c>
      <c r="H9" s="88">
        <f>60/60</f>
        <v>1</v>
      </c>
      <c r="I9" s="88">
        <f>44/44</f>
        <v>1</v>
      </c>
      <c r="J9" s="88">
        <f>72/72</f>
        <v>1</v>
      </c>
      <c r="K9" s="88">
        <f>95/95</f>
        <v>1</v>
      </c>
      <c r="L9" s="88">
        <f>82/82</f>
        <v>1</v>
      </c>
      <c r="M9" s="88"/>
      <c r="N9" s="88"/>
      <c r="O9" s="88"/>
      <c r="P9" s="88"/>
      <c r="Q9" s="88"/>
      <c r="R9" s="88"/>
      <c r="S9" s="121">
        <f>436/436</f>
        <v>1</v>
      </c>
      <c r="T9" s="138" t="s">
        <v>332</v>
      </c>
      <c r="U9" s="29" t="s">
        <v>432</v>
      </c>
    </row>
    <row r="10" spans="1:21" ht="79.5" customHeight="1" x14ac:dyDescent="0.25">
      <c r="A10" s="327" t="s">
        <v>153</v>
      </c>
      <c r="B10" s="154" t="s">
        <v>120</v>
      </c>
      <c r="C10" s="152" t="s">
        <v>230</v>
      </c>
      <c r="D10" s="85" t="s">
        <v>168</v>
      </c>
      <c r="E10" s="85" t="s">
        <v>204</v>
      </c>
      <c r="F10" s="113" t="s">
        <v>237</v>
      </c>
      <c r="G10" s="76">
        <f>36/26</f>
        <v>1.3846153846153846</v>
      </c>
      <c r="H10" s="83">
        <f>25/26</f>
        <v>0.96153846153846156</v>
      </c>
      <c r="I10" s="83">
        <f>22/28</f>
        <v>0.7857142857142857</v>
      </c>
      <c r="J10" s="83">
        <f>34/26</f>
        <v>1.3076923076923077</v>
      </c>
      <c r="K10" s="83">
        <f>36/26</f>
        <v>1.3846153846153846</v>
      </c>
      <c r="L10" s="83">
        <f>23/28</f>
        <v>0.8214285714285714</v>
      </c>
      <c r="M10" s="83"/>
      <c r="N10" s="83"/>
      <c r="O10" s="83"/>
      <c r="P10" s="83"/>
      <c r="Q10" s="83"/>
      <c r="R10" s="83"/>
      <c r="S10" s="120">
        <f>176/160</f>
        <v>1.1000000000000001</v>
      </c>
      <c r="T10" s="136" t="s">
        <v>280</v>
      </c>
      <c r="U10" s="31" t="s">
        <v>433</v>
      </c>
    </row>
    <row r="11" spans="1:21" ht="70.5" customHeight="1" x14ac:dyDescent="0.25">
      <c r="A11" s="227"/>
      <c r="B11" s="39" t="s">
        <v>121</v>
      </c>
      <c r="C11" s="6" t="s">
        <v>230</v>
      </c>
      <c r="D11" s="11" t="s">
        <v>169</v>
      </c>
      <c r="E11" s="11" t="s">
        <v>204</v>
      </c>
      <c r="F11" s="110" t="s">
        <v>238</v>
      </c>
      <c r="G11" s="65">
        <f>103/15</f>
        <v>6.8666666666666663</v>
      </c>
      <c r="H11" s="59">
        <f>129/15</f>
        <v>8.6</v>
      </c>
      <c r="I11" s="59">
        <f>137/15</f>
        <v>9.1333333333333329</v>
      </c>
      <c r="J11" s="59">
        <f>100/15</f>
        <v>6.666666666666667</v>
      </c>
      <c r="K11" s="59">
        <f>95/15</f>
        <v>6.333333333333333</v>
      </c>
      <c r="L11" s="59">
        <f>97/15</f>
        <v>6.4666666666666668</v>
      </c>
      <c r="M11" s="59"/>
      <c r="N11" s="59"/>
      <c r="O11" s="59"/>
      <c r="P11" s="59"/>
      <c r="Q11" s="59"/>
      <c r="R11" s="59"/>
      <c r="S11" s="146">
        <f>661/90</f>
        <v>7.3444444444444441</v>
      </c>
      <c r="T11" s="137" t="s">
        <v>280</v>
      </c>
      <c r="U11" s="23" t="s">
        <v>434</v>
      </c>
    </row>
    <row r="12" spans="1:21" ht="86.25" customHeight="1" x14ac:dyDescent="0.25">
      <c r="A12" s="227"/>
      <c r="B12" s="39" t="s">
        <v>122</v>
      </c>
      <c r="C12" s="6" t="s">
        <v>230</v>
      </c>
      <c r="D12" s="11" t="s">
        <v>170</v>
      </c>
      <c r="E12" s="11" t="s">
        <v>204</v>
      </c>
      <c r="F12" s="110" t="s">
        <v>327</v>
      </c>
      <c r="G12" s="66">
        <f>100%/100%</f>
        <v>1</v>
      </c>
      <c r="H12" s="63">
        <f>100%/100%</f>
        <v>1</v>
      </c>
      <c r="I12" s="63">
        <f t="shared" ref="I12:L12" si="0">100%/100%</f>
        <v>1</v>
      </c>
      <c r="J12" s="63">
        <f t="shared" si="0"/>
        <v>1</v>
      </c>
      <c r="K12" s="63">
        <f t="shared" si="0"/>
        <v>1</v>
      </c>
      <c r="L12" s="63">
        <f t="shared" si="0"/>
        <v>1</v>
      </c>
      <c r="M12" s="63"/>
      <c r="N12" s="63"/>
      <c r="O12" s="63"/>
      <c r="P12" s="63"/>
      <c r="Q12" s="63"/>
      <c r="R12" s="63"/>
      <c r="S12" s="62">
        <f>100/100</f>
        <v>1</v>
      </c>
      <c r="T12" s="137" t="s">
        <v>280</v>
      </c>
      <c r="U12" s="23" t="s">
        <v>435</v>
      </c>
    </row>
    <row r="13" spans="1:21" ht="93" customHeight="1" thickBot="1" x14ac:dyDescent="0.3">
      <c r="A13" s="328"/>
      <c r="B13" s="40" t="s">
        <v>123</v>
      </c>
      <c r="C13" s="153" t="s">
        <v>230</v>
      </c>
      <c r="D13" s="13" t="s">
        <v>171</v>
      </c>
      <c r="E13" s="13" t="s">
        <v>205</v>
      </c>
      <c r="F13" s="114" t="s">
        <v>328</v>
      </c>
      <c r="G13" s="80">
        <f>264/31</f>
        <v>8.5161290322580641</v>
      </c>
      <c r="H13" s="88">
        <f>242/28</f>
        <v>8.6428571428571423</v>
      </c>
      <c r="I13" s="88">
        <f>336/31</f>
        <v>10.838709677419354</v>
      </c>
      <c r="J13" s="88">
        <f>387/30</f>
        <v>12.9</v>
      </c>
      <c r="K13" s="88">
        <f>579/31</f>
        <v>18.677419354838708</v>
      </c>
      <c r="L13" s="88">
        <f>502/30</f>
        <v>16.733333333333334</v>
      </c>
      <c r="M13" s="88"/>
      <c r="N13" s="88"/>
      <c r="O13" s="88"/>
      <c r="P13" s="88"/>
      <c r="Q13" s="88"/>
      <c r="R13" s="88"/>
      <c r="S13" s="143">
        <f>2310/181</f>
        <v>12.762430939226519</v>
      </c>
      <c r="T13" s="138" t="s">
        <v>280</v>
      </c>
      <c r="U13" s="29" t="s">
        <v>436</v>
      </c>
    </row>
    <row r="14" spans="1:21" ht="85.5" hidden="1" customHeight="1" thickBot="1" x14ac:dyDescent="0.3">
      <c r="A14" s="155" t="s">
        <v>154</v>
      </c>
      <c r="B14" s="156" t="s">
        <v>124</v>
      </c>
      <c r="C14" s="157" t="s">
        <v>228</v>
      </c>
      <c r="D14" s="158" t="s">
        <v>172</v>
      </c>
      <c r="E14" s="158" t="s">
        <v>206</v>
      </c>
      <c r="F14" s="115" t="s">
        <v>241</v>
      </c>
      <c r="G14" s="354"/>
      <c r="H14" s="322"/>
      <c r="I14" s="322"/>
      <c r="J14" s="322"/>
      <c r="K14" s="322"/>
      <c r="L14" s="322"/>
      <c r="M14" s="322"/>
      <c r="N14" s="322"/>
      <c r="O14" s="322"/>
      <c r="P14" s="322"/>
      <c r="Q14" s="322"/>
      <c r="R14" s="322"/>
      <c r="S14" s="209"/>
      <c r="T14" s="159" t="s">
        <v>333</v>
      </c>
      <c r="U14" s="210" t="s">
        <v>425</v>
      </c>
    </row>
    <row r="15" spans="1:21" ht="98.25" customHeight="1" x14ac:dyDescent="0.25">
      <c r="A15" s="327" t="s">
        <v>155</v>
      </c>
      <c r="B15" s="154" t="s">
        <v>125</v>
      </c>
      <c r="C15" s="160" t="s">
        <v>231</v>
      </c>
      <c r="D15" s="85" t="s">
        <v>173</v>
      </c>
      <c r="E15" s="85" t="s">
        <v>207</v>
      </c>
      <c r="F15" s="113" t="s">
        <v>242</v>
      </c>
      <c r="G15" s="161">
        <f>0/44640</f>
        <v>0</v>
      </c>
      <c r="H15" s="67">
        <f>0/40320</f>
        <v>0</v>
      </c>
      <c r="I15" s="67">
        <f>1320/44640</f>
        <v>2.9569892473118281E-2</v>
      </c>
      <c r="J15" s="83">
        <f>0/43200</f>
        <v>0</v>
      </c>
      <c r="K15" s="83">
        <f>120/44640</f>
        <v>2.6881720430107529E-3</v>
      </c>
      <c r="L15" s="162">
        <f>0/43200</f>
        <v>0</v>
      </c>
      <c r="M15" s="83"/>
      <c r="N15" s="83"/>
      <c r="O15" s="83"/>
      <c r="P15" s="83"/>
      <c r="Q15" s="83"/>
      <c r="R15" s="83"/>
      <c r="S15" s="145">
        <f>1440/260640</f>
        <v>5.5248618784530384E-3</v>
      </c>
      <c r="T15" s="136" t="s">
        <v>285</v>
      </c>
      <c r="U15" s="31" t="s">
        <v>437</v>
      </c>
    </row>
    <row r="16" spans="1:21" ht="96.75" customHeight="1" thickBot="1" x14ac:dyDescent="0.3">
      <c r="A16" s="328"/>
      <c r="B16" s="40" t="s">
        <v>126</v>
      </c>
      <c r="C16" s="153" t="s">
        <v>231</v>
      </c>
      <c r="D16" s="61" t="s">
        <v>174</v>
      </c>
      <c r="E16" s="61" t="s">
        <v>208</v>
      </c>
      <c r="F16" s="114" t="s">
        <v>329</v>
      </c>
      <c r="G16" s="163" t="s">
        <v>246</v>
      </c>
      <c r="H16" s="87">
        <f>136/544</f>
        <v>0.25</v>
      </c>
      <c r="I16" s="164" t="s">
        <v>246</v>
      </c>
      <c r="J16" s="164" t="s">
        <v>246</v>
      </c>
      <c r="K16" s="87">
        <f>272/544</f>
        <v>0.5</v>
      </c>
      <c r="L16" s="164" t="s">
        <v>246</v>
      </c>
      <c r="M16" s="164"/>
      <c r="N16" s="87"/>
      <c r="O16" s="164"/>
      <c r="P16" s="164"/>
      <c r="Q16" s="87"/>
      <c r="R16" s="164"/>
      <c r="S16" s="121">
        <f>+K16</f>
        <v>0.5</v>
      </c>
      <c r="T16" s="138" t="s">
        <v>285</v>
      </c>
      <c r="U16" s="29" t="s">
        <v>438</v>
      </c>
    </row>
    <row r="17" spans="1:21" ht="119.25" customHeight="1" thickBot="1" x14ac:dyDescent="0.3">
      <c r="A17" s="327" t="s">
        <v>156</v>
      </c>
      <c r="B17" s="154" t="s">
        <v>127</v>
      </c>
      <c r="C17" s="160" t="s">
        <v>228</v>
      </c>
      <c r="D17" s="85" t="s">
        <v>175</v>
      </c>
      <c r="E17" s="7" t="s">
        <v>209</v>
      </c>
      <c r="F17" s="113" t="s">
        <v>281</v>
      </c>
      <c r="G17" s="326">
        <f>6/9</f>
        <v>0.66666666666666663</v>
      </c>
      <c r="H17" s="252"/>
      <c r="I17" s="252"/>
      <c r="J17" s="252">
        <f>9/11</f>
        <v>0.81818181818181823</v>
      </c>
      <c r="K17" s="252"/>
      <c r="L17" s="252"/>
      <c r="M17" s="252"/>
      <c r="N17" s="252"/>
      <c r="O17" s="252"/>
      <c r="P17" s="252"/>
      <c r="Q17" s="252"/>
      <c r="R17" s="252"/>
      <c r="S17" s="145">
        <f>15/20</f>
        <v>0.75</v>
      </c>
      <c r="T17" s="136" t="s">
        <v>283</v>
      </c>
      <c r="U17" s="31" t="s">
        <v>439</v>
      </c>
    </row>
    <row r="18" spans="1:21" ht="73.5" hidden="1" customHeight="1" thickBot="1" x14ac:dyDescent="0.3">
      <c r="A18" s="328"/>
      <c r="B18" s="40" t="s">
        <v>128</v>
      </c>
      <c r="C18" s="165" t="s">
        <v>228</v>
      </c>
      <c r="D18" s="26" t="s">
        <v>176</v>
      </c>
      <c r="E18" s="26" t="s">
        <v>210</v>
      </c>
      <c r="F18" s="114" t="s">
        <v>334</v>
      </c>
      <c r="G18" s="352"/>
      <c r="H18" s="323"/>
      <c r="I18" s="323"/>
      <c r="J18" s="323"/>
      <c r="K18" s="323"/>
      <c r="L18" s="323"/>
      <c r="M18" s="323"/>
      <c r="N18" s="323"/>
      <c r="O18" s="323"/>
      <c r="P18" s="323"/>
      <c r="Q18" s="323"/>
      <c r="R18" s="323"/>
      <c r="S18" s="211"/>
      <c r="T18" s="212" t="s">
        <v>283</v>
      </c>
      <c r="U18" s="213" t="s">
        <v>425</v>
      </c>
    </row>
    <row r="19" spans="1:21" ht="125.25" customHeight="1" x14ac:dyDescent="0.25">
      <c r="A19" s="327" t="s">
        <v>157</v>
      </c>
      <c r="B19" s="154" t="s">
        <v>129</v>
      </c>
      <c r="C19" s="152" t="s">
        <v>228</v>
      </c>
      <c r="D19" s="166" t="s">
        <v>177</v>
      </c>
      <c r="E19" s="5" t="s">
        <v>211</v>
      </c>
      <c r="F19" s="134" t="s">
        <v>465</v>
      </c>
      <c r="G19" s="76">
        <f>9820609/384000000</f>
        <v>2.5574502604166667E-2</v>
      </c>
      <c r="H19" s="83">
        <f>23524950/384000000</f>
        <v>6.1262890624999997E-2</v>
      </c>
      <c r="I19" s="83">
        <f>28418374/384000000</f>
        <v>7.4006182291666667E-2</v>
      </c>
      <c r="J19" s="83">
        <f>36655280/384000000</f>
        <v>9.5456458333333327E-2</v>
      </c>
      <c r="K19" s="83">
        <f>42507143/384000000</f>
        <v>0.11069568489583333</v>
      </c>
      <c r="L19" s="83">
        <f>138256778/384000000</f>
        <v>0.36004369270833331</v>
      </c>
      <c r="M19" s="83"/>
      <c r="N19" s="83"/>
      <c r="O19" s="83"/>
      <c r="P19" s="83"/>
      <c r="Q19" s="83"/>
      <c r="R19" s="83"/>
      <c r="S19" s="145">
        <f>+L19</f>
        <v>0.36004369270833331</v>
      </c>
      <c r="T19" s="167" t="s">
        <v>255</v>
      </c>
      <c r="U19" s="31" t="s">
        <v>440</v>
      </c>
    </row>
    <row r="20" spans="1:21" ht="189" customHeight="1" x14ac:dyDescent="0.25">
      <c r="A20" s="227"/>
      <c r="B20" s="39" t="s">
        <v>130</v>
      </c>
      <c r="C20" s="6" t="s">
        <v>228</v>
      </c>
      <c r="D20" s="12" t="s">
        <v>178</v>
      </c>
      <c r="E20" s="60" t="s">
        <v>212</v>
      </c>
      <c r="F20" s="133" t="s">
        <v>249</v>
      </c>
      <c r="G20" s="65">
        <f>6107014984/49224255000</f>
        <v>0.12406515820300379</v>
      </c>
      <c r="H20" s="59">
        <f>12323144064/49224255000</f>
        <v>0.25034698979192271</v>
      </c>
      <c r="I20" s="59">
        <f>21759474811/49224255000</f>
        <v>0.44204782400464976</v>
      </c>
      <c r="J20" s="59">
        <f>6514779480/49224255000</f>
        <v>0.13234897064465476</v>
      </c>
      <c r="K20" s="59">
        <f>25760238245/50772264458</f>
        <v>0.50736831457083165</v>
      </c>
      <c r="L20" s="59">
        <f>29474245798/50772264458</f>
        <v>0.58051863773737689</v>
      </c>
      <c r="M20" s="59"/>
      <c r="N20" s="59"/>
      <c r="O20" s="59"/>
      <c r="P20" s="59"/>
      <c r="Q20" s="59"/>
      <c r="R20" s="59"/>
      <c r="S20" s="62">
        <f>+L20</f>
        <v>0.58051863773737689</v>
      </c>
      <c r="T20" s="139" t="s">
        <v>256</v>
      </c>
      <c r="U20" s="23" t="s">
        <v>441</v>
      </c>
    </row>
    <row r="21" spans="1:21" ht="203.25" customHeight="1" x14ac:dyDescent="0.25">
      <c r="A21" s="227"/>
      <c r="B21" s="39" t="s">
        <v>131</v>
      </c>
      <c r="C21" s="6" t="s">
        <v>228</v>
      </c>
      <c r="D21" s="12" t="s">
        <v>179</v>
      </c>
      <c r="E21" s="60" t="s">
        <v>335</v>
      </c>
      <c r="F21" s="133" t="s">
        <v>250</v>
      </c>
      <c r="G21" s="65">
        <f>22975102736/49224255000</f>
        <v>0.46674353397527296</v>
      </c>
      <c r="H21" s="59">
        <f>23588697209/49224255000</f>
        <v>0.47920882111877572</v>
      </c>
      <c r="I21" s="59">
        <f>24557688156/49224255000</f>
        <v>0.49889405448594398</v>
      </c>
      <c r="J21" s="59">
        <f>25462893849/49224255000</f>
        <v>0.51728347841932798</v>
      </c>
      <c r="K21" s="59">
        <f>26249296595/50772264458</f>
        <v>0.51700070649230212</v>
      </c>
      <c r="L21" s="59">
        <f>27185504278/50772264458</f>
        <v>0.53544005902057967</v>
      </c>
      <c r="M21" s="59"/>
      <c r="N21" s="59"/>
      <c r="O21" s="59"/>
      <c r="P21" s="59"/>
      <c r="Q21" s="59"/>
      <c r="R21" s="59"/>
      <c r="S21" s="62">
        <f>+L21</f>
        <v>0.53544005902057967</v>
      </c>
      <c r="T21" s="139" t="s">
        <v>256</v>
      </c>
      <c r="U21" s="23" t="s">
        <v>442</v>
      </c>
    </row>
    <row r="22" spans="1:21" ht="114.75" customHeight="1" x14ac:dyDescent="0.25">
      <c r="A22" s="227"/>
      <c r="B22" s="39" t="s">
        <v>132</v>
      </c>
      <c r="C22" s="6" t="s">
        <v>228</v>
      </c>
      <c r="D22" s="12" t="s">
        <v>180</v>
      </c>
      <c r="E22" s="10" t="s">
        <v>213</v>
      </c>
      <c r="F22" s="133" t="s">
        <v>251</v>
      </c>
      <c r="G22" s="268">
        <f>5022472120/7160617169</f>
        <v>0.70140212798185408</v>
      </c>
      <c r="H22" s="246"/>
      <c r="I22" s="246"/>
      <c r="J22" s="246">
        <f>8194515798/9902884228</f>
        <v>0.82748779136792716</v>
      </c>
      <c r="K22" s="246"/>
      <c r="L22" s="246"/>
      <c r="M22" s="246"/>
      <c r="N22" s="246"/>
      <c r="O22" s="246"/>
      <c r="P22" s="246"/>
      <c r="Q22" s="246"/>
      <c r="R22" s="246"/>
      <c r="S22" s="62">
        <f>+J22</f>
        <v>0.82748779136792716</v>
      </c>
      <c r="T22" s="139" t="s">
        <v>257</v>
      </c>
      <c r="U22" s="23" t="s">
        <v>443</v>
      </c>
    </row>
    <row r="23" spans="1:21" ht="105" customHeight="1" x14ac:dyDescent="0.25">
      <c r="A23" s="227"/>
      <c r="B23" s="39" t="s">
        <v>133</v>
      </c>
      <c r="C23" s="6" t="s">
        <v>228</v>
      </c>
      <c r="D23" s="12" t="s">
        <v>181</v>
      </c>
      <c r="E23" s="10" t="s">
        <v>287</v>
      </c>
      <c r="F23" s="133" t="s">
        <v>252</v>
      </c>
      <c r="G23" s="65">
        <f>8905446328/28214437983</f>
        <v>0.31563436894847186</v>
      </c>
      <c r="H23" s="59">
        <f>7893714221/28215962019</f>
        <v>0.27976059138740506</v>
      </c>
      <c r="I23" s="59">
        <f>7080083442/29545700119</f>
        <v>0.23963160167076222</v>
      </c>
      <c r="J23" s="59">
        <f>7319346407/27899031343</f>
        <v>0.26235127367016842</v>
      </c>
      <c r="K23" s="59">
        <f>6290700783/25232487536</f>
        <v>0.24930957655383185</v>
      </c>
      <c r="L23" s="59">
        <f>6229359108/27458674903</f>
        <v>0.22686306349471405</v>
      </c>
      <c r="M23" s="59"/>
      <c r="N23" s="59"/>
      <c r="O23" s="59"/>
      <c r="P23" s="59"/>
      <c r="Q23" s="59"/>
      <c r="R23" s="59"/>
      <c r="S23" s="62">
        <f>+L23</f>
        <v>0.22686306349471405</v>
      </c>
      <c r="T23" s="139" t="s">
        <v>258</v>
      </c>
      <c r="U23" s="23" t="s">
        <v>444</v>
      </c>
    </row>
    <row r="24" spans="1:21" ht="90" customHeight="1" x14ac:dyDescent="0.25">
      <c r="A24" s="227"/>
      <c r="B24" s="39" t="s">
        <v>134</v>
      </c>
      <c r="C24" s="6" t="s">
        <v>228</v>
      </c>
      <c r="D24" s="12" t="s">
        <v>182</v>
      </c>
      <c r="E24" s="10" t="s">
        <v>214</v>
      </c>
      <c r="F24" s="133" t="s">
        <v>253</v>
      </c>
      <c r="G24" s="147">
        <f>15744583124-8905446328</f>
        <v>6839136796</v>
      </c>
      <c r="H24" s="131">
        <f>15585215559-7893714221</f>
        <v>7691501338</v>
      </c>
      <c r="I24" s="131">
        <f>17073631928-7080083442</f>
        <v>9993548486</v>
      </c>
      <c r="J24" s="131">
        <f>15871004278-7319346407</f>
        <v>8551657871</v>
      </c>
      <c r="K24" s="131">
        <f>25232487536-6290700783</f>
        <v>18941786753</v>
      </c>
      <c r="L24" s="131">
        <f>27458674903-6229357108</f>
        <v>21229317795</v>
      </c>
      <c r="M24" s="131"/>
      <c r="N24" s="131"/>
      <c r="O24" s="131"/>
      <c r="P24" s="131"/>
      <c r="Q24" s="131"/>
      <c r="R24" s="132"/>
      <c r="S24" s="148">
        <f>L24</f>
        <v>21229317795</v>
      </c>
      <c r="T24" s="139" t="s">
        <v>258</v>
      </c>
      <c r="U24" s="23" t="s">
        <v>445</v>
      </c>
    </row>
    <row r="25" spans="1:21" ht="81" customHeight="1" thickBot="1" x14ac:dyDescent="0.3">
      <c r="A25" s="328"/>
      <c r="B25" s="40" t="s">
        <v>135</v>
      </c>
      <c r="C25" s="153" t="s">
        <v>228</v>
      </c>
      <c r="D25" s="168" t="s">
        <v>183</v>
      </c>
      <c r="E25" s="26" t="s">
        <v>215</v>
      </c>
      <c r="F25" s="135" t="s">
        <v>254</v>
      </c>
      <c r="G25" s="169">
        <f>15744583124/8905446328</f>
        <v>1.7679723782621397</v>
      </c>
      <c r="H25" s="170">
        <f>15585215559/7893714221</f>
        <v>1.9743830499383872</v>
      </c>
      <c r="I25" s="170">
        <f>17073631928/7080083442</f>
        <v>2.4115015123574586</v>
      </c>
      <c r="J25" s="170">
        <f>15871004278/7319346407</f>
        <v>2.1683635936156067</v>
      </c>
      <c r="K25" s="170">
        <f>25232487536/6290700783</f>
        <v>4.0110773674354876</v>
      </c>
      <c r="L25" s="170">
        <f>27458674903/6229357108</f>
        <v>4.4079468277290488</v>
      </c>
      <c r="M25" s="170"/>
      <c r="N25" s="170"/>
      <c r="O25" s="170"/>
      <c r="P25" s="170"/>
      <c r="Q25" s="170"/>
      <c r="R25" s="171"/>
      <c r="S25" s="172">
        <f>+L25</f>
        <v>4.4079468277290488</v>
      </c>
      <c r="T25" s="173" t="s">
        <v>258</v>
      </c>
      <c r="U25" s="29" t="s">
        <v>446</v>
      </c>
    </row>
    <row r="26" spans="1:21" ht="113.25" customHeight="1" x14ac:dyDescent="0.25">
      <c r="A26" s="327" t="s">
        <v>158</v>
      </c>
      <c r="B26" s="154" t="s">
        <v>136</v>
      </c>
      <c r="C26" s="152" t="s">
        <v>227</v>
      </c>
      <c r="D26" s="5" t="s">
        <v>184</v>
      </c>
      <c r="E26" s="5" t="s">
        <v>216</v>
      </c>
      <c r="F26" s="113" t="s">
        <v>244</v>
      </c>
      <c r="G26" s="346">
        <f>411/411</f>
        <v>1</v>
      </c>
      <c r="H26" s="347"/>
      <c r="I26" s="347"/>
      <c r="J26" s="347">
        <f>14/14</f>
        <v>1</v>
      </c>
      <c r="K26" s="347"/>
      <c r="L26" s="347"/>
      <c r="M26" s="347"/>
      <c r="N26" s="347"/>
      <c r="O26" s="347"/>
      <c r="P26" s="347"/>
      <c r="Q26" s="347"/>
      <c r="R26" s="347"/>
      <c r="S26" s="174">
        <f>+G26</f>
        <v>1</v>
      </c>
      <c r="T26" s="175" t="s">
        <v>326</v>
      </c>
      <c r="U26" s="31" t="s">
        <v>463</v>
      </c>
    </row>
    <row r="27" spans="1:21" ht="102.75" customHeight="1" x14ac:dyDescent="0.25">
      <c r="A27" s="227"/>
      <c r="B27" s="39" t="s">
        <v>137</v>
      </c>
      <c r="C27" s="6" t="s">
        <v>227</v>
      </c>
      <c r="D27" s="60" t="s">
        <v>185</v>
      </c>
      <c r="E27" s="60" t="s">
        <v>217</v>
      </c>
      <c r="F27" s="110" t="s">
        <v>245</v>
      </c>
      <c r="G27" s="320">
        <f>0/4</f>
        <v>0</v>
      </c>
      <c r="H27" s="321"/>
      <c r="I27" s="321"/>
      <c r="J27" s="321">
        <f>0/4</f>
        <v>0</v>
      </c>
      <c r="K27" s="321"/>
      <c r="L27" s="321"/>
      <c r="M27" s="321"/>
      <c r="N27" s="321"/>
      <c r="O27" s="321"/>
      <c r="P27" s="321"/>
      <c r="Q27" s="321"/>
      <c r="R27" s="321"/>
      <c r="S27" s="149">
        <f>+J27</f>
        <v>0</v>
      </c>
      <c r="T27" s="140" t="s">
        <v>326</v>
      </c>
      <c r="U27" s="23" t="s">
        <v>447</v>
      </c>
    </row>
    <row r="28" spans="1:21" ht="119.25" customHeight="1" x14ac:dyDescent="0.25">
      <c r="A28" s="227"/>
      <c r="B28" s="39" t="s">
        <v>138</v>
      </c>
      <c r="C28" s="6" t="s">
        <v>227</v>
      </c>
      <c r="D28" s="10" t="s">
        <v>186</v>
      </c>
      <c r="E28" s="10" t="s">
        <v>218</v>
      </c>
      <c r="F28" s="110" t="s">
        <v>292</v>
      </c>
      <c r="G28" s="320">
        <f>4/4</f>
        <v>1</v>
      </c>
      <c r="H28" s="321"/>
      <c r="I28" s="321"/>
      <c r="J28" s="321">
        <f>8/8</f>
        <v>1</v>
      </c>
      <c r="K28" s="321"/>
      <c r="L28" s="321"/>
      <c r="M28" s="321"/>
      <c r="N28" s="321"/>
      <c r="O28" s="321"/>
      <c r="P28" s="321"/>
      <c r="Q28" s="321"/>
      <c r="R28" s="321"/>
      <c r="S28" s="149">
        <f>12/12</f>
        <v>1</v>
      </c>
      <c r="T28" s="140" t="s">
        <v>326</v>
      </c>
      <c r="U28" s="23" t="s">
        <v>448</v>
      </c>
    </row>
    <row r="29" spans="1:21" ht="93.75" customHeight="1" x14ac:dyDescent="0.25">
      <c r="A29" s="227"/>
      <c r="B29" s="39" t="s">
        <v>139</v>
      </c>
      <c r="C29" s="6" t="s">
        <v>227</v>
      </c>
      <c r="D29" s="10" t="s">
        <v>187</v>
      </c>
      <c r="E29" s="60" t="s">
        <v>219</v>
      </c>
      <c r="F29" s="110" t="s">
        <v>293</v>
      </c>
      <c r="G29" s="320" t="s">
        <v>246</v>
      </c>
      <c r="H29" s="321"/>
      <c r="I29" s="321"/>
      <c r="J29" s="321" t="s">
        <v>246</v>
      </c>
      <c r="K29" s="321"/>
      <c r="L29" s="321"/>
      <c r="M29" s="321"/>
      <c r="N29" s="321"/>
      <c r="O29" s="321"/>
      <c r="P29" s="321"/>
      <c r="Q29" s="321"/>
      <c r="R29" s="321"/>
      <c r="S29" s="149" t="s">
        <v>246</v>
      </c>
      <c r="T29" s="140" t="s">
        <v>326</v>
      </c>
      <c r="U29" s="23" t="s">
        <v>449</v>
      </c>
    </row>
    <row r="30" spans="1:21" ht="93.75" customHeight="1" x14ac:dyDescent="0.25">
      <c r="A30" s="227"/>
      <c r="B30" s="39" t="s">
        <v>140</v>
      </c>
      <c r="C30" s="6" t="s">
        <v>227</v>
      </c>
      <c r="D30" s="60" t="s">
        <v>188</v>
      </c>
      <c r="E30" s="60" t="s">
        <v>220</v>
      </c>
      <c r="F30" s="110" t="s">
        <v>291</v>
      </c>
      <c r="G30" s="320">
        <f>411/411</f>
        <v>1</v>
      </c>
      <c r="H30" s="321"/>
      <c r="I30" s="321"/>
      <c r="J30" s="321">
        <f>14/14</f>
        <v>1</v>
      </c>
      <c r="K30" s="321"/>
      <c r="L30" s="321"/>
      <c r="M30" s="321"/>
      <c r="N30" s="321"/>
      <c r="O30" s="321"/>
      <c r="P30" s="321"/>
      <c r="Q30" s="321"/>
      <c r="R30" s="321"/>
      <c r="S30" s="149">
        <f>425/425</f>
        <v>1</v>
      </c>
      <c r="T30" s="140" t="s">
        <v>326</v>
      </c>
      <c r="U30" s="23" t="s">
        <v>450</v>
      </c>
    </row>
    <row r="31" spans="1:21" ht="92.25" customHeight="1" thickBot="1" x14ac:dyDescent="0.3">
      <c r="A31" s="328"/>
      <c r="B31" s="40" t="s">
        <v>141</v>
      </c>
      <c r="C31" s="153" t="s">
        <v>227</v>
      </c>
      <c r="D31" s="61" t="s">
        <v>189</v>
      </c>
      <c r="E31" s="61" t="s">
        <v>221</v>
      </c>
      <c r="F31" s="114" t="s">
        <v>294</v>
      </c>
      <c r="G31" s="344">
        <f>12/19</f>
        <v>0.63157894736842102</v>
      </c>
      <c r="H31" s="345"/>
      <c r="I31" s="345"/>
      <c r="J31" s="345">
        <f>9/19</f>
        <v>0.47368421052631576</v>
      </c>
      <c r="K31" s="345"/>
      <c r="L31" s="345"/>
      <c r="M31" s="345"/>
      <c r="N31" s="345"/>
      <c r="O31" s="345"/>
      <c r="P31" s="345"/>
      <c r="Q31" s="345"/>
      <c r="R31" s="345"/>
      <c r="S31" s="176">
        <f>+AVERAGE(12,9)/19</f>
        <v>0.55263157894736847</v>
      </c>
      <c r="T31" s="177" t="s">
        <v>326</v>
      </c>
      <c r="U31" s="29" t="s">
        <v>451</v>
      </c>
    </row>
    <row r="32" spans="1:21" ht="134.25" customHeight="1" x14ac:dyDescent="0.25">
      <c r="A32" s="327" t="s">
        <v>159</v>
      </c>
      <c r="B32" s="154" t="s">
        <v>142</v>
      </c>
      <c r="C32" s="160" t="s">
        <v>227</v>
      </c>
      <c r="D32" s="85" t="s">
        <v>190</v>
      </c>
      <c r="E32" s="85" t="s">
        <v>288</v>
      </c>
      <c r="F32" s="113" t="s">
        <v>455</v>
      </c>
      <c r="G32" s="178" t="s">
        <v>246</v>
      </c>
      <c r="H32" s="179" t="s">
        <v>246</v>
      </c>
      <c r="I32" s="180">
        <f>4/5</f>
        <v>0.8</v>
      </c>
      <c r="J32" s="179" t="s">
        <v>246</v>
      </c>
      <c r="K32" s="180">
        <f>3.3/5</f>
        <v>0.65999999999999992</v>
      </c>
      <c r="L32" s="181" t="s">
        <v>246</v>
      </c>
      <c r="M32" s="179"/>
      <c r="N32" s="179"/>
      <c r="O32" s="181"/>
      <c r="P32" s="179"/>
      <c r="Q32" s="179"/>
      <c r="R32" s="181"/>
      <c r="S32" s="174">
        <f>+AVERAGE(I32,K32)</f>
        <v>0.73</v>
      </c>
      <c r="T32" s="175" t="s">
        <v>260</v>
      </c>
      <c r="U32" s="31" t="s">
        <v>454</v>
      </c>
    </row>
    <row r="33" spans="1:21" ht="86.25" customHeight="1" thickBot="1" x14ac:dyDescent="0.3">
      <c r="A33" s="328"/>
      <c r="B33" s="40" t="s">
        <v>143</v>
      </c>
      <c r="C33" s="153" t="s">
        <v>227</v>
      </c>
      <c r="D33" s="13" t="s">
        <v>191</v>
      </c>
      <c r="E33" s="13" t="s">
        <v>222</v>
      </c>
      <c r="F33" s="114" t="s">
        <v>259</v>
      </c>
      <c r="G33" s="182">
        <f>1/30</f>
        <v>3.3333333333333333E-2</v>
      </c>
      <c r="H33" s="64" t="s">
        <v>246</v>
      </c>
      <c r="I33" s="64">
        <f t="shared" ref="I33" si="1">1/30</f>
        <v>3.3333333333333333E-2</v>
      </c>
      <c r="J33" s="64" t="s">
        <v>246</v>
      </c>
      <c r="K33" s="64">
        <f t="shared" ref="K33" si="2">1/30</f>
        <v>3.3333333333333333E-2</v>
      </c>
      <c r="L33" s="64" t="s">
        <v>246</v>
      </c>
      <c r="M33" s="64"/>
      <c r="N33" s="64"/>
      <c r="O33" s="64"/>
      <c r="P33" s="64"/>
      <c r="Q33" s="64"/>
      <c r="R33" s="64"/>
      <c r="S33" s="176">
        <v>0.1</v>
      </c>
      <c r="T33" s="142" t="s">
        <v>260</v>
      </c>
      <c r="U33" s="29" t="s">
        <v>456</v>
      </c>
    </row>
    <row r="34" spans="1:21" ht="143.25" customHeight="1" x14ac:dyDescent="0.25">
      <c r="A34" s="327" t="s">
        <v>160</v>
      </c>
      <c r="B34" s="154" t="s">
        <v>144</v>
      </c>
      <c r="C34" s="152" t="s">
        <v>227</v>
      </c>
      <c r="D34" s="85" t="s">
        <v>192</v>
      </c>
      <c r="E34" s="85" t="s">
        <v>223</v>
      </c>
      <c r="F34" s="113" t="s">
        <v>330</v>
      </c>
      <c r="G34" s="358">
        <f>338/342</f>
        <v>0.98830409356725146</v>
      </c>
      <c r="H34" s="359"/>
      <c r="I34" s="360"/>
      <c r="J34" s="361">
        <f>933/933</f>
        <v>1</v>
      </c>
      <c r="K34" s="359"/>
      <c r="L34" s="360"/>
      <c r="M34" s="183"/>
      <c r="N34" s="183"/>
      <c r="O34" s="183"/>
      <c r="P34" s="183"/>
      <c r="Q34" s="183"/>
      <c r="R34" s="183"/>
      <c r="S34" s="184">
        <f>1271/1275</f>
        <v>0.99686274509803918</v>
      </c>
      <c r="T34" s="185" t="s">
        <v>271</v>
      </c>
      <c r="U34" s="31" t="s">
        <v>457</v>
      </c>
    </row>
    <row r="35" spans="1:21" ht="129" customHeight="1" x14ac:dyDescent="0.25">
      <c r="A35" s="227"/>
      <c r="B35" s="39" t="s">
        <v>145</v>
      </c>
      <c r="C35" s="6" t="s">
        <v>227</v>
      </c>
      <c r="D35" s="11" t="s">
        <v>193</v>
      </c>
      <c r="E35" s="11" t="s">
        <v>223</v>
      </c>
      <c r="F35" s="110" t="s">
        <v>267</v>
      </c>
      <c r="G35" s="362">
        <f>3/3</f>
        <v>1</v>
      </c>
      <c r="H35" s="349"/>
      <c r="I35" s="350"/>
      <c r="J35" s="348">
        <f>2/2</f>
        <v>1</v>
      </c>
      <c r="K35" s="349"/>
      <c r="L35" s="350"/>
      <c r="M35" s="14"/>
      <c r="N35" s="14"/>
      <c r="O35" s="14"/>
      <c r="P35" s="14"/>
      <c r="Q35" s="14"/>
      <c r="R35" s="14"/>
      <c r="S35" s="150">
        <f>5/5</f>
        <v>1</v>
      </c>
      <c r="T35" s="141" t="s">
        <v>271</v>
      </c>
      <c r="U35" s="23" t="s">
        <v>458</v>
      </c>
    </row>
    <row r="36" spans="1:21" ht="140.25" customHeight="1" x14ac:dyDescent="0.25">
      <c r="A36" s="227"/>
      <c r="B36" s="39" t="s">
        <v>146</v>
      </c>
      <c r="C36" s="6" t="s">
        <v>227</v>
      </c>
      <c r="D36" s="11" t="s">
        <v>194</v>
      </c>
      <c r="E36" s="11" t="s">
        <v>208</v>
      </c>
      <c r="F36" s="110" t="s">
        <v>331</v>
      </c>
      <c r="G36" s="362">
        <f>1/3</f>
        <v>0.33333333333333331</v>
      </c>
      <c r="H36" s="349"/>
      <c r="I36" s="350"/>
      <c r="J36" s="348">
        <f>1/3</f>
        <v>0.33333333333333331</v>
      </c>
      <c r="K36" s="349"/>
      <c r="L36" s="350"/>
      <c r="M36" s="71"/>
      <c r="N36" s="71"/>
      <c r="O36" s="14"/>
      <c r="P36" s="71"/>
      <c r="Q36" s="71"/>
      <c r="R36" s="14"/>
      <c r="S36" s="150">
        <f>+J36</f>
        <v>0.33333333333333331</v>
      </c>
      <c r="T36" s="141" t="s">
        <v>271</v>
      </c>
      <c r="U36" s="23" t="s">
        <v>459</v>
      </c>
    </row>
    <row r="37" spans="1:21" ht="333.75" customHeight="1" x14ac:dyDescent="0.25">
      <c r="A37" s="227"/>
      <c r="B37" s="39" t="s">
        <v>147</v>
      </c>
      <c r="C37" s="6" t="s">
        <v>227</v>
      </c>
      <c r="D37" s="11" t="s">
        <v>195</v>
      </c>
      <c r="E37" s="11" t="s">
        <v>224</v>
      </c>
      <c r="F37" s="110" t="s">
        <v>269</v>
      </c>
      <c r="G37" s="320">
        <f>4/4</f>
        <v>1</v>
      </c>
      <c r="H37" s="321"/>
      <c r="I37" s="321"/>
      <c r="J37" s="321">
        <f>5/5</f>
        <v>1</v>
      </c>
      <c r="K37" s="321"/>
      <c r="L37" s="321"/>
      <c r="M37" s="321"/>
      <c r="N37" s="321"/>
      <c r="O37" s="321"/>
      <c r="P37" s="321"/>
      <c r="Q37" s="321"/>
      <c r="R37" s="321"/>
      <c r="S37" s="150">
        <f>9/9</f>
        <v>1</v>
      </c>
      <c r="T37" s="141" t="s">
        <v>272</v>
      </c>
      <c r="U37" s="74" t="s">
        <v>452</v>
      </c>
    </row>
    <row r="38" spans="1:21" ht="229.5" customHeight="1" thickBot="1" x14ac:dyDescent="0.3">
      <c r="A38" s="328"/>
      <c r="B38" s="40" t="s">
        <v>148</v>
      </c>
      <c r="C38" s="153" t="s">
        <v>227</v>
      </c>
      <c r="D38" s="13" t="s">
        <v>196</v>
      </c>
      <c r="E38" s="13" t="s">
        <v>225</v>
      </c>
      <c r="F38" s="114" t="s">
        <v>270</v>
      </c>
      <c r="G38" s="344">
        <f>1/1</f>
        <v>1</v>
      </c>
      <c r="H38" s="345"/>
      <c r="I38" s="345"/>
      <c r="J38" s="355">
        <f>6/6</f>
        <v>1</v>
      </c>
      <c r="K38" s="356"/>
      <c r="L38" s="357"/>
      <c r="M38" s="345"/>
      <c r="N38" s="345"/>
      <c r="O38" s="345"/>
      <c r="P38" s="345"/>
      <c r="Q38" s="345"/>
      <c r="R38" s="345"/>
      <c r="S38" s="151">
        <f>7/7</f>
        <v>1</v>
      </c>
      <c r="T38" s="186" t="s">
        <v>460</v>
      </c>
      <c r="U38" s="75" t="s">
        <v>407</v>
      </c>
    </row>
    <row r="39" spans="1:21" s="42" customFormat="1" ht="108" hidden="1" customHeight="1" thickBot="1" x14ac:dyDescent="0.3">
      <c r="A39" s="187" t="s">
        <v>161</v>
      </c>
      <c r="B39" s="188" t="s">
        <v>149</v>
      </c>
      <c r="C39" s="189" t="s">
        <v>229</v>
      </c>
      <c r="D39" s="190" t="s">
        <v>197</v>
      </c>
      <c r="E39" s="190" t="s">
        <v>296</v>
      </c>
      <c r="F39" s="191" t="s">
        <v>29</v>
      </c>
      <c r="G39" s="192">
        <f>20/22</f>
        <v>0.90909090909090906</v>
      </c>
      <c r="H39" s="193">
        <f>50/45</f>
        <v>1.1111111111111112</v>
      </c>
      <c r="I39" s="193">
        <f>53/67</f>
        <v>0.79104477611940294</v>
      </c>
      <c r="J39" s="193">
        <f>61/34</f>
        <v>1.7941176470588236</v>
      </c>
      <c r="K39" s="193">
        <f>71/57</f>
        <v>1.2456140350877194</v>
      </c>
      <c r="L39" s="193">
        <f>105/84</f>
        <v>1.25</v>
      </c>
      <c r="M39" s="194"/>
      <c r="N39" s="194"/>
      <c r="O39" s="194"/>
      <c r="P39" s="194"/>
      <c r="Q39" s="194"/>
      <c r="R39" s="194"/>
      <c r="S39" s="195"/>
      <c r="T39" s="196" t="s">
        <v>261</v>
      </c>
      <c r="U39" s="197" t="s">
        <v>425</v>
      </c>
    </row>
    <row r="40" spans="1:21" ht="212.25" customHeight="1" thickBot="1" x14ac:dyDescent="0.3">
      <c r="A40" s="155" t="s">
        <v>162</v>
      </c>
      <c r="B40" s="156" t="s">
        <v>150</v>
      </c>
      <c r="C40" s="198" t="s">
        <v>227</v>
      </c>
      <c r="D40" s="158" t="s">
        <v>461</v>
      </c>
      <c r="E40" s="158" t="s">
        <v>226</v>
      </c>
      <c r="F40" s="115" t="s">
        <v>264</v>
      </c>
      <c r="G40" s="342">
        <f>7/14</f>
        <v>0.5</v>
      </c>
      <c r="H40" s="343"/>
      <c r="I40" s="343"/>
      <c r="J40" s="343">
        <f>14/15</f>
        <v>0.93333333333333335</v>
      </c>
      <c r="K40" s="343"/>
      <c r="L40" s="343"/>
      <c r="M40" s="343"/>
      <c r="N40" s="343"/>
      <c r="O40" s="343"/>
      <c r="P40" s="343"/>
      <c r="Q40" s="343"/>
      <c r="R40" s="343"/>
      <c r="S40" s="199">
        <f>+J40</f>
        <v>0.93333333333333335</v>
      </c>
      <c r="T40" s="200" t="s">
        <v>265</v>
      </c>
      <c r="U40" s="34" t="s">
        <v>462</v>
      </c>
    </row>
  </sheetData>
  <mergeCells count="91">
    <mergeCell ref="M31:O31"/>
    <mergeCell ref="P31:R31"/>
    <mergeCell ref="M40:O40"/>
    <mergeCell ref="P40:R40"/>
    <mergeCell ref="G37:I37"/>
    <mergeCell ref="J37:L37"/>
    <mergeCell ref="M37:O37"/>
    <mergeCell ref="P37:R37"/>
    <mergeCell ref="J38:L38"/>
    <mergeCell ref="M38:O38"/>
    <mergeCell ref="P38:R38"/>
    <mergeCell ref="G34:I34"/>
    <mergeCell ref="J34:L34"/>
    <mergeCell ref="G35:I35"/>
    <mergeCell ref="J35:L35"/>
    <mergeCell ref="G36:I36"/>
    <mergeCell ref="M28:R28"/>
    <mergeCell ref="G30:I30"/>
    <mergeCell ref="J30:L30"/>
    <mergeCell ref="M30:O30"/>
    <mergeCell ref="P30:R30"/>
    <mergeCell ref="G29:I29"/>
    <mergeCell ref="J29:L29"/>
    <mergeCell ref="M29:R29"/>
    <mergeCell ref="M22:O22"/>
    <mergeCell ref="P22:R22"/>
    <mergeCell ref="M26:O26"/>
    <mergeCell ref="P26:R26"/>
    <mergeCell ref="M27:O27"/>
    <mergeCell ref="P27:R27"/>
    <mergeCell ref="U3:U4"/>
    <mergeCell ref="G17:I17"/>
    <mergeCell ref="G18:I18"/>
    <mergeCell ref="J17:L17"/>
    <mergeCell ref="J18:L18"/>
    <mergeCell ref="G6:I6"/>
    <mergeCell ref="J6:L6"/>
    <mergeCell ref="G7:I7"/>
    <mergeCell ref="J7:L7"/>
    <mergeCell ref="G14:I14"/>
    <mergeCell ref="J14:L14"/>
    <mergeCell ref="P6:R6"/>
    <mergeCell ref="M7:O7"/>
    <mergeCell ref="P7:R7"/>
    <mergeCell ref="M8:O8"/>
    <mergeCell ref="A17:A18"/>
    <mergeCell ref="A19:A25"/>
    <mergeCell ref="A26:A31"/>
    <mergeCell ref="A32:A33"/>
    <mergeCell ref="A34:A38"/>
    <mergeCell ref="G40:I40"/>
    <mergeCell ref="G38:I38"/>
    <mergeCell ref="J8:L8"/>
    <mergeCell ref="J40:L40"/>
    <mergeCell ref="J22:L22"/>
    <mergeCell ref="G26:I26"/>
    <mergeCell ref="J26:L26"/>
    <mergeCell ref="G27:I27"/>
    <mergeCell ref="J27:L27"/>
    <mergeCell ref="G31:I31"/>
    <mergeCell ref="J31:L31"/>
    <mergeCell ref="J36:L36"/>
    <mergeCell ref="A15:A16"/>
    <mergeCell ref="T3:T4"/>
    <mergeCell ref="C3:C4"/>
    <mergeCell ref="B3:B4"/>
    <mergeCell ref="A3:A4"/>
    <mergeCell ref="D3:D4"/>
    <mergeCell ref="E3:E4"/>
    <mergeCell ref="F3:F4"/>
    <mergeCell ref="G3:S3"/>
    <mergeCell ref="M5:R5"/>
    <mergeCell ref="M6:O6"/>
    <mergeCell ref="G5:I5"/>
    <mergeCell ref="J5:L5"/>
    <mergeCell ref="A1:T1"/>
    <mergeCell ref="G28:I28"/>
    <mergeCell ref="J28:L28"/>
    <mergeCell ref="P8:R8"/>
    <mergeCell ref="M14:O14"/>
    <mergeCell ref="P14:R14"/>
    <mergeCell ref="M18:O18"/>
    <mergeCell ref="P18:R18"/>
    <mergeCell ref="M17:O17"/>
    <mergeCell ref="P17:R17"/>
    <mergeCell ref="A2:T2"/>
    <mergeCell ref="G8:I8"/>
    <mergeCell ref="G22:I22"/>
    <mergeCell ref="A5:A7"/>
    <mergeCell ref="A8:A9"/>
    <mergeCell ref="A10:A13"/>
  </mergeCells>
  <printOptions horizontalCentered="1"/>
  <pageMargins left="0.15748031496062992" right="0.15748031496062992" top="0.39370078740157483" bottom="0.39370078740157483" header="0.31496062992125984" footer="0.31496062992125984"/>
  <pageSetup scale="60" pageOrder="overThenDown" orientation="landscape" horizont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9CFA42D2385C49BAF161840AA51F6E" ma:contentTypeVersion="0" ma:contentTypeDescription="Crear nuevo documento." ma:contentTypeScope="" ma:versionID="666fe1cd5b7e6e0fd54154ac0f7fbc67">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542454-55A7-4169-93A3-668A12F7C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632E6BD-FE41-49F4-AD7E-A1CCC86125EE}">
  <ds:schemaRefs>
    <ds:schemaRef ds:uri="http://schemas.microsoft.com/sharepoint/v3/contenttype/forms"/>
  </ds:schemaRefs>
</ds:datastoreItem>
</file>

<file path=customXml/itemProps3.xml><?xml version="1.0" encoding="utf-8"?>
<ds:datastoreItem xmlns:ds="http://schemas.openxmlformats.org/officeDocument/2006/customXml" ds:itemID="{22E3BB28-B00F-4080-884E-FB49EF77A735}">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Resumen Plan de Acción</vt:lpstr>
      <vt:lpstr>Resumen Indicadores Procesos</vt:lpstr>
      <vt:lpstr>Reporte - Plan de acción</vt:lpstr>
      <vt:lpstr>Reporte - Ind de proceso</vt:lpstr>
      <vt:lpstr>'Reporte - Ind de proceso'!Títulos_a_imprimir</vt:lpstr>
      <vt:lpstr>'Reporte - Plan de acción'!Títulos_a_imprimir</vt:lpstr>
      <vt:lpstr>'Resumen Indicadores Procesos'!Títulos_a_imprimir</vt:lpstr>
      <vt:lpstr>'Resumen Plan de Acción'!Títulos_a_imprimir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2018-08-31T16:46:53Z</cp:lastPrinted>
  <dcterms:created xsi:type="dcterms:W3CDTF">2017-05-22T20:08:31Z</dcterms:created>
  <dcterms:modified xsi:type="dcterms:W3CDTF">2018-09-03T20:45:15Z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0x010100259CFA42D2385C49BAF161840AA51F6E</vt:lpwstr>
  </property>
</Properties>
</file>