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05" windowWidth="19440" windowHeight="9375" tabRatio="937" firstSheet="2" activeTab="2"/>
  </bookViews>
  <sheets>
    <sheet name="Resumen Plan de Acción" sheetId="5" state="hidden" r:id="rId1"/>
    <sheet name="Resumen Indicadores Procesos" sheetId="6" state="hidden" r:id="rId2"/>
    <sheet name="Reporte - Plan de acción" sheetId="1" r:id="rId3"/>
    <sheet name="Reporte - Ind de proceso" sheetId="4" r:id="rId4"/>
  </sheets>
  <externalReferences>
    <externalReference r:id="rId5"/>
  </externalReferences>
  <definedNames>
    <definedName name="_xlnm._FilterDatabase" localSheetId="3" hidden="1">'Reporte - Ind de proceso'!$A$4:$V$40</definedName>
    <definedName name="_xlnm._FilterDatabase" localSheetId="2" hidden="1">'Reporte - Plan de acción'!$A$4:$V$29</definedName>
    <definedName name="_xlnm._FilterDatabase" localSheetId="1" hidden="1">'Resumen Indicadores Procesos'!$B$3:$G$4</definedName>
    <definedName name="_xlnm.Print_Area" localSheetId="2">'Reporte - Plan de acción'!$A$1:$V$30</definedName>
    <definedName name="_xlnm.Print_Titles" localSheetId="3">'Reporte - Ind de proceso'!$1:$4</definedName>
    <definedName name="_xlnm.Print_Titles" localSheetId="2">'Reporte - Plan de acción'!$1:$4</definedName>
    <definedName name="_xlnm.Print_Titles" localSheetId="1">'Resumen Indicadores Procesos'!$1:$4</definedName>
    <definedName name="_xlnm.Print_Titles" localSheetId="0">'Resumen Plan de Acción'!$1:$4</definedName>
  </definedNames>
  <calcPr calcId="144525"/>
</workbook>
</file>

<file path=xl/calcChain.xml><?xml version="1.0" encoding="utf-8"?>
<calcChain xmlns="http://schemas.openxmlformats.org/spreadsheetml/2006/main">
  <c r="S26" i="4" l="1"/>
  <c r="P26" i="4"/>
  <c r="S36" i="4" l="1"/>
  <c r="P36" i="4"/>
  <c r="M36" i="4"/>
  <c r="S34" i="4"/>
  <c r="P34" i="4"/>
  <c r="M34" i="4"/>
  <c r="J34" i="4"/>
  <c r="S24" i="1" l="1"/>
  <c r="P24" i="1"/>
  <c r="M24" i="1"/>
  <c r="S23" i="1"/>
  <c r="P23" i="1"/>
  <c r="S31" i="4" l="1"/>
  <c r="P31" i="4"/>
  <c r="S29" i="4"/>
  <c r="P29" i="4"/>
  <c r="S28" i="4"/>
  <c r="M28" i="4"/>
  <c r="S27" i="4"/>
  <c r="P27" i="4"/>
  <c r="S30" i="4" l="1"/>
  <c r="P30" i="4"/>
  <c r="S40" i="4" l="1"/>
  <c r="P40" i="4"/>
  <c r="S25" i="4" l="1"/>
  <c r="Q25" i="4"/>
  <c r="P25" i="4"/>
  <c r="S23" i="4"/>
  <c r="Q24" i="4"/>
  <c r="P24" i="4"/>
  <c r="Q23" i="4"/>
  <c r="P23" i="4"/>
  <c r="S17" i="4"/>
  <c r="P17" i="4"/>
  <c r="S7" i="4" l="1"/>
  <c r="P7" i="4"/>
  <c r="M7" i="4"/>
  <c r="J7" i="4"/>
  <c r="S6" i="4"/>
  <c r="P6" i="4"/>
  <c r="S5" i="4"/>
  <c r="P5" i="4"/>
  <c r="O29" i="1" l="1"/>
  <c r="S29" i="1" s="1"/>
  <c r="P28" i="1"/>
  <c r="S28" i="1" s="1"/>
  <c r="S38" i="4" l="1"/>
  <c r="P38" i="4"/>
  <c r="M38" i="4"/>
  <c r="S37" i="4" l="1"/>
  <c r="P37" i="4"/>
  <c r="M37" i="4"/>
  <c r="J37" i="4"/>
  <c r="G37" i="4"/>
  <c r="S35" i="4" l="1"/>
  <c r="P35" i="4"/>
  <c r="S32" i="4" l="1"/>
  <c r="Q32" i="4"/>
  <c r="S22" i="4" l="1"/>
  <c r="P22" i="4"/>
  <c r="S21" i="4"/>
  <c r="R21" i="4"/>
  <c r="Q21" i="4"/>
  <c r="P21" i="4"/>
  <c r="S20" i="4"/>
  <c r="R20" i="4"/>
  <c r="Q20" i="4"/>
  <c r="P20" i="4"/>
  <c r="S19" i="4"/>
  <c r="R19" i="4"/>
  <c r="Q19" i="4"/>
  <c r="P19" i="4"/>
  <c r="R13" i="1"/>
  <c r="Q13" i="1"/>
  <c r="P13" i="1"/>
  <c r="S16" i="4" l="1"/>
  <c r="Q16" i="4"/>
  <c r="S15" i="4"/>
  <c r="R15" i="4"/>
  <c r="Q15" i="4"/>
  <c r="P15" i="4"/>
  <c r="S14" i="4" l="1"/>
  <c r="P14" i="4"/>
  <c r="S13" i="4" l="1"/>
  <c r="R13" i="4"/>
  <c r="Q13" i="4"/>
  <c r="P13" i="4"/>
  <c r="S12" i="4"/>
  <c r="R12" i="4"/>
  <c r="Q12" i="4"/>
  <c r="P12" i="4"/>
  <c r="S11" i="4"/>
  <c r="R11" i="4"/>
  <c r="Q11" i="4"/>
  <c r="P11" i="4"/>
  <c r="S10" i="4"/>
  <c r="R10" i="4"/>
  <c r="Q10" i="4"/>
  <c r="P10" i="4"/>
  <c r="S9" i="4" l="1"/>
  <c r="R9" i="4"/>
  <c r="Q9" i="4"/>
  <c r="P9" i="4"/>
  <c r="S8" i="4"/>
  <c r="P8" i="4"/>
  <c r="S27" i="1" l="1"/>
  <c r="P27" i="1"/>
  <c r="M27" i="1"/>
  <c r="S26" i="1"/>
  <c r="P26" i="1"/>
  <c r="S25" i="1" l="1"/>
  <c r="P25" i="1"/>
  <c r="M25" i="1"/>
  <c r="J25" i="1"/>
  <c r="G25" i="1"/>
  <c r="S22" i="1" l="1"/>
  <c r="R22" i="1"/>
  <c r="Q22" i="1"/>
  <c r="P22" i="1"/>
  <c r="S21" i="1" l="1"/>
  <c r="R21" i="1"/>
  <c r="Q21" i="1"/>
  <c r="P21" i="1"/>
  <c r="S20" i="1"/>
  <c r="R20" i="1"/>
  <c r="Q20" i="1"/>
  <c r="P20" i="1"/>
  <c r="S19" i="1"/>
  <c r="R19" i="1"/>
  <c r="Q19" i="1"/>
  <c r="P19" i="1"/>
  <c r="S18" i="1"/>
  <c r="Q18" i="1"/>
  <c r="P18" i="1"/>
  <c r="S17" i="1" l="1"/>
  <c r="P17" i="1"/>
  <c r="P16" i="1"/>
  <c r="S16" i="1" s="1"/>
  <c r="M16" i="1"/>
  <c r="S15" i="1" l="1"/>
  <c r="S14" i="1" l="1"/>
  <c r="R14" i="1"/>
  <c r="Q14" i="1"/>
  <c r="P14" i="1"/>
  <c r="O14" i="1"/>
  <c r="N14" i="1"/>
  <c r="M14" i="1"/>
  <c r="L14" i="1"/>
  <c r="K14" i="1"/>
  <c r="J14" i="1"/>
  <c r="I14" i="1"/>
  <c r="H14" i="1"/>
  <c r="G14" i="1"/>
  <c r="S13" i="1"/>
  <c r="S12" i="1"/>
  <c r="P12" i="1"/>
  <c r="S11" i="1"/>
  <c r="P11" i="1"/>
  <c r="P10" i="1" l="1"/>
  <c r="S10" i="1" s="1"/>
  <c r="P9" i="1" l="1"/>
  <c r="S9" i="1" s="1"/>
  <c r="P8" i="1"/>
  <c r="S8" i="1" s="1"/>
  <c r="R7" i="1" l="1"/>
  <c r="Q7" i="1"/>
  <c r="P7" i="1"/>
  <c r="S6" i="1" l="1"/>
  <c r="R6" i="1"/>
  <c r="Q6" i="1"/>
  <c r="P6" i="1"/>
  <c r="J6" i="1"/>
  <c r="S5" i="1" l="1"/>
  <c r="R5" i="1"/>
  <c r="Q5" i="1"/>
  <c r="P5" i="1"/>
  <c r="M40" i="4" l="1"/>
  <c r="M35" i="4" l="1"/>
  <c r="O32" i="4" l="1"/>
  <c r="N32" i="4"/>
  <c r="M32" i="4"/>
  <c r="M31" i="4" l="1"/>
  <c r="M30" i="4"/>
  <c r="M29" i="4"/>
  <c r="M27" i="4"/>
  <c r="M26" i="4"/>
  <c r="O13" i="1" l="1"/>
  <c r="N13" i="1"/>
  <c r="M13" i="1"/>
  <c r="O25" i="4" l="1"/>
  <c r="N25" i="4"/>
  <c r="M25" i="4"/>
  <c r="S24" i="4"/>
  <c r="O24" i="4"/>
  <c r="N24" i="4"/>
  <c r="M24" i="4"/>
  <c r="O23" i="4"/>
  <c r="N23" i="4"/>
  <c r="M23" i="4"/>
  <c r="M22" i="4"/>
  <c r="O21" i="4"/>
  <c r="N21" i="4"/>
  <c r="M21" i="4"/>
  <c r="L21" i="4"/>
  <c r="K21" i="4"/>
  <c r="J21" i="4"/>
  <c r="I21" i="4"/>
  <c r="H21" i="4"/>
  <c r="G21" i="4"/>
  <c r="O20" i="4"/>
  <c r="N20" i="4"/>
  <c r="M20" i="4"/>
  <c r="L20" i="4"/>
  <c r="K20" i="4"/>
  <c r="J20" i="4"/>
  <c r="I20" i="4"/>
  <c r="H20" i="4"/>
  <c r="G20" i="4"/>
  <c r="O19" i="4"/>
  <c r="N19" i="4"/>
  <c r="M19" i="4"/>
  <c r="L19" i="4"/>
  <c r="K19" i="4"/>
  <c r="J19" i="4"/>
  <c r="I19" i="4"/>
  <c r="H19" i="4"/>
  <c r="G19" i="4"/>
  <c r="M17" i="4"/>
  <c r="N16" i="4"/>
  <c r="O15" i="4"/>
  <c r="N15" i="4"/>
  <c r="M15" i="4"/>
  <c r="M14" i="4" l="1"/>
  <c r="J14" i="4"/>
  <c r="G14" i="4"/>
  <c r="O13" i="4" l="1"/>
  <c r="N13" i="4"/>
  <c r="M13" i="4"/>
  <c r="O12" i="4"/>
  <c r="N12" i="4"/>
  <c r="M12" i="4"/>
  <c r="O11" i="4"/>
  <c r="N11" i="4"/>
  <c r="M11" i="4"/>
  <c r="O10" i="4"/>
  <c r="N10" i="4"/>
  <c r="M10" i="4"/>
  <c r="O9" i="4" l="1"/>
  <c r="N9" i="4"/>
  <c r="M9" i="4"/>
  <c r="M8" i="4"/>
  <c r="M6" i="4" l="1"/>
  <c r="M5" i="4"/>
  <c r="M10" i="1" l="1"/>
  <c r="K29" i="1" l="1"/>
  <c r="M28" i="1"/>
  <c r="O6" i="1" l="1"/>
  <c r="N6" i="1"/>
  <c r="M6" i="1"/>
  <c r="M26" i="1" l="1"/>
  <c r="M23" i="1" l="1"/>
  <c r="O22" i="1" l="1"/>
  <c r="N22" i="1"/>
  <c r="M22" i="1"/>
  <c r="M21" i="1" l="1"/>
  <c r="N21" i="1"/>
  <c r="O21" i="1"/>
  <c r="O20" i="1"/>
  <c r="N20" i="1"/>
  <c r="M20" i="1"/>
  <c r="O19" i="1"/>
  <c r="N19" i="1"/>
  <c r="M19" i="1"/>
  <c r="O18" i="1"/>
  <c r="N18" i="1"/>
  <c r="M18" i="1"/>
  <c r="M17" i="1" l="1"/>
  <c r="M12" i="1" l="1"/>
  <c r="J12" i="1"/>
  <c r="G12" i="1"/>
  <c r="M11" i="1"/>
  <c r="M9" i="1" l="1"/>
  <c r="M8" i="1"/>
  <c r="O7" i="1" l="1"/>
  <c r="N7" i="1"/>
  <c r="M7" i="1"/>
  <c r="O5" i="1" l="1"/>
  <c r="N5" i="1"/>
  <c r="M5" i="1"/>
  <c r="U1" i="1" l="1"/>
  <c r="J9" i="1" l="1"/>
  <c r="J8" i="1"/>
  <c r="J17" i="1" l="1"/>
  <c r="J16" i="1"/>
  <c r="J10" i="1" l="1"/>
  <c r="J40" i="4" l="1"/>
  <c r="G40" i="4"/>
  <c r="J38" i="4" l="1"/>
  <c r="G38" i="4"/>
  <c r="J36" i="4" l="1"/>
  <c r="G36" i="4"/>
  <c r="J35" i="4"/>
  <c r="G35" i="4"/>
  <c r="G34" i="4"/>
  <c r="K32" i="4"/>
  <c r="I32" i="4"/>
  <c r="U1" i="4" l="1"/>
  <c r="G17" i="1" l="1"/>
  <c r="G16" i="1"/>
  <c r="G10" i="1" l="1"/>
  <c r="G9" i="1" l="1"/>
  <c r="G8" i="1"/>
  <c r="J31" i="4" l="1"/>
  <c r="G31" i="4"/>
  <c r="J30" i="4"/>
  <c r="G30" i="4"/>
  <c r="J26" i="4"/>
  <c r="J28" i="4"/>
  <c r="G28" i="4"/>
  <c r="G26" i="4"/>
  <c r="L25" i="4" l="1"/>
  <c r="K25" i="4"/>
  <c r="J25" i="4"/>
  <c r="I25" i="4"/>
  <c r="H25" i="4"/>
  <c r="G25" i="4"/>
  <c r="L24" i="4"/>
  <c r="K24" i="4"/>
  <c r="J24" i="4"/>
  <c r="I24" i="4"/>
  <c r="H24" i="4"/>
  <c r="G24" i="4"/>
  <c r="L23" i="4"/>
  <c r="K23" i="4"/>
  <c r="J23" i="4"/>
  <c r="I23" i="4"/>
  <c r="H23" i="4"/>
  <c r="G23" i="4"/>
  <c r="J22" i="4"/>
  <c r="G22" i="4"/>
  <c r="J17" i="4"/>
  <c r="G17" i="4"/>
  <c r="K16" i="4" l="1"/>
  <c r="H16" i="4"/>
  <c r="K15" i="4"/>
  <c r="I15" i="4"/>
  <c r="L15" i="4"/>
  <c r="J15" i="4"/>
  <c r="G15" i="4"/>
  <c r="L13" i="4" l="1"/>
  <c r="K13" i="4"/>
  <c r="J13" i="4"/>
  <c r="I13" i="4"/>
  <c r="H13" i="4"/>
  <c r="G13" i="4"/>
  <c r="L11" i="4"/>
  <c r="K11" i="4"/>
  <c r="J11" i="4"/>
  <c r="I11" i="4"/>
  <c r="H11" i="4"/>
  <c r="G11" i="4"/>
  <c r="L10" i="4"/>
  <c r="K10" i="4"/>
  <c r="J10" i="4"/>
  <c r="I10" i="4"/>
  <c r="H10" i="4"/>
  <c r="G10" i="4"/>
  <c r="L9" i="4" l="1"/>
  <c r="K9" i="4"/>
  <c r="J9" i="4"/>
  <c r="I9" i="4"/>
  <c r="H9" i="4"/>
  <c r="G9" i="4"/>
  <c r="G7" i="4" l="1"/>
  <c r="J6" i="4"/>
  <c r="G6" i="4"/>
  <c r="J5" i="4"/>
  <c r="G5" i="4"/>
  <c r="G29" i="1" l="1"/>
  <c r="G38" i="1"/>
  <c r="J28" i="1" l="1"/>
  <c r="G28" i="1"/>
  <c r="J27" i="1"/>
  <c r="G27" i="1"/>
  <c r="J26" i="1"/>
  <c r="G26" i="1"/>
  <c r="J24" i="1"/>
  <c r="G24" i="1"/>
  <c r="J23" i="1"/>
  <c r="G23" i="1"/>
  <c r="L22" i="1" l="1"/>
  <c r="J22" i="1"/>
  <c r="I22" i="1"/>
  <c r="H22" i="1"/>
  <c r="G22" i="1"/>
  <c r="K22" i="1"/>
  <c r="L21" i="1"/>
  <c r="K21" i="1"/>
  <c r="J21" i="1"/>
  <c r="I21" i="1"/>
  <c r="L20" i="1"/>
  <c r="K20" i="1"/>
  <c r="J20" i="1"/>
  <c r="I20" i="1"/>
  <c r="H20" i="1"/>
  <c r="G20" i="1"/>
  <c r="L19" i="1"/>
  <c r="K19" i="1"/>
  <c r="J19" i="1"/>
  <c r="I19" i="1"/>
  <c r="H19" i="1"/>
  <c r="L18" i="1"/>
  <c r="K18" i="1"/>
  <c r="J18" i="1"/>
  <c r="I18" i="1"/>
  <c r="G18" i="1"/>
  <c r="J15" i="1" l="1"/>
  <c r="G15" i="1"/>
  <c r="L13" i="1"/>
  <c r="K13" i="1"/>
  <c r="J13" i="1"/>
  <c r="I13" i="1"/>
  <c r="H13" i="1"/>
  <c r="G13" i="1"/>
  <c r="J11" i="1" l="1"/>
  <c r="G11" i="1"/>
  <c r="L7" i="1" l="1"/>
  <c r="K7" i="1"/>
  <c r="J7" i="1"/>
  <c r="I7" i="1"/>
  <c r="H7" i="1"/>
  <c r="G7" i="1"/>
  <c r="S7" i="1" s="1"/>
  <c r="H34" i="1" s="1"/>
  <c r="L6" i="1" l="1"/>
  <c r="K6" i="1"/>
  <c r="I6" i="1"/>
  <c r="H6" i="1"/>
  <c r="G6" i="1"/>
  <c r="L5" i="1"/>
  <c r="K5" i="1"/>
  <c r="J5" i="1"/>
  <c r="I5" i="1"/>
  <c r="H5" i="1"/>
  <c r="G5" i="1"/>
  <c r="J27" i="4" l="1"/>
  <c r="G27" i="4"/>
  <c r="H36" i="1" l="1"/>
  <c r="H15" i="4" l="1"/>
  <c r="H35" i="1" l="1"/>
  <c r="L12" i="4" l="1"/>
  <c r="K12" i="4"/>
  <c r="J12" i="4"/>
  <c r="I12" i="4"/>
  <c r="H12" i="4"/>
  <c r="G12" i="4"/>
  <c r="J8" i="4" l="1"/>
  <c r="H33" i="1" l="1"/>
  <c r="H37" i="1" l="1"/>
  <c r="G8" i="4" l="1"/>
  <c r="H38" i="1" l="1"/>
</calcChain>
</file>

<file path=xl/comments1.xml><?xml version="1.0" encoding="utf-8"?>
<comments xmlns="http://schemas.openxmlformats.org/spreadsheetml/2006/main">
  <authors>
    <author>John Fredy Garcia Lopez</author>
  </authors>
  <commentList>
    <comment ref="S23" authorId="0">
      <text>
        <r>
          <rPr>
            <b/>
            <sz val="9"/>
            <color indexed="81"/>
            <rFont val="Tahoma"/>
            <family val="2"/>
          </rPr>
          <t>Información a 30 de noviembre</t>
        </r>
      </text>
    </comment>
    <comment ref="S24" authorId="0">
      <text>
        <r>
          <rPr>
            <b/>
            <sz val="9"/>
            <color indexed="81"/>
            <rFont val="Tahoma"/>
            <family val="2"/>
          </rPr>
          <t>Información a 30 de noviembre</t>
        </r>
      </text>
    </comment>
    <comment ref="S25" authorId="0">
      <text>
        <r>
          <rPr>
            <b/>
            <sz val="9"/>
            <color indexed="81"/>
            <rFont val="Tahoma"/>
            <family val="2"/>
          </rPr>
          <t>Información a 30 de noviembre</t>
        </r>
      </text>
    </comment>
    <comment ref="G37" authorId="0">
      <text>
        <r>
          <rPr>
            <b/>
            <sz val="9"/>
            <color indexed="81"/>
            <rFont val="Tahoma"/>
            <family val="2"/>
          </rPr>
          <t>Numerador en valores promedio de la información reportada / 7</t>
        </r>
      </text>
    </comment>
    <comment ref="J37" authorId="0">
      <text>
        <r>
          <rPr>
            <b/>
            <sz val="9"/>
            <color indexed="81"/>
            <rFont val="Tahoma"/>
            <family val="2"/>
          </rPr>
          <t>Numerador en valores promedio de la información reportada / 7</t>
        </r>
        <r>
          <rPr>
            <sz val="9"/>
            <color indexed="81"/>
            <rFont val="Tahoma"/>
            <family val="2"/>
          </rPr>
          <t xml:space="preserve">
</t>
        </r>
      </text>
    </comment>
    <comment ref="M37" authorId="0">
      <text>
        <r>
          <rPr>
            <b/>
            <sz val="9"/>
            <color indexed="81"/>
            <rFont val="Tahoma"/>
            <family val="2"/>
          </rPr>
          <t>Numerador en valores promedio de la información reportada / 7</t>
        </r>
      </text>
    </comment>
    <comment ref="P37" authorId="0">
      <text>
        <r>
          <rPr>
            <b/>
            <sz val="9"/>
            <color indexed="81"/>
            <rFont val="Tahoma"/>
            <family val="2"/>
          </rPr>
          <t>Numerador en valores promedio de la información reportada / 7</t>
        </r>
      </text>
    </comment>
  </commentList>
</comments>
</file>

<file path=xl/sharedStrings.xml><?xml version="1.0" encoding="utf-8"?>
<sst xmlns="http://schemas.openxmlformats.org/spreadsheetml/2006/main" count="898" uniqueCount="476">
  <si>
    <t>OBJETIVO ESTRATÉGICO</t>
  </si>
  <si>
    <t>CÓD.</t>
  </si>
  <si>
    <t>PROCESO</t>
  </si>
  <si>
    <t>NOMBRE DEL INDICADOR</t>
  </si>
  <si>
    <t>FÓRMULA</t>
  </si>
  <si>
    <t>META</t>
  </si>
  <si>
    <t>REPORTE</t>
  </si>
  <si>
    <t>FUENTE</t>
  </si>
  <si>
    <t>ENE</t>
  </si>
  <si>
    <t>FEB</t>
  </si>
  <si>
    <t>MAR</t>
  </si>
  <si>
    <t>ABR</t>
  </si>
  <si>
    <t>MAY</t>
  </si>
  <si>
    <t>JUN</t>
  </si>
  <si>
    <t>JUL</t>
  </si>
  <si>
    <t>AGO</t>
  </si>
  <si>
    <t>SEP</t>
  </si>
  <si>
    <t>OCT</t>
  </si>
  <si>
    <t>NOV</t>
  </si>
  <si>
    <t>DIC</t>
  </si>
  <si>
    <t>OE1 - Incrementar los mecanismos de interacción de Canal Capital con la ciudadanía para lograr ser reconocido como paradigma de televisión pública más humana en 2025.</t>
  </si>
  <si>
    <t>(OE1)-1</t>
  </si>
  <si>
    <t>Gestión de las comunicaciones.</t>
  </si>
  <si>
    <t>Mecanismos de interacción con la ciudadanía (redes sociales).</t>
  </si>
  <si>
    <t>Número de seguidores / Meta propuesta para 2017.</t>
  </si>
  <si>
    <t>Lograr la interacción de Canal Capital con 900.000 seguidores en las diferentes redes sociales.</t>
  </si>
  <si>
    <t>(OE1)-2</t>
  </si>
  <si>
    <t>Servicio al ciudadano y defensor del televidente.</t>
  </si>
  <si>
    <t>Eficacia en la atención a los PQRS.</t>
  </si>
  <si>
    <t>Verificar que las respuestas a la totalidad de las peticiones, quejas, reclamos y/o sugerencias sean atendidas en los términos establecidos por la Ley.</t>
  </si>
  <si>
    <t>OE2 - Aumentar la participación de contenidos con énfasis en defensa de los derechos humanos y en cultura de paz en la programación de Canal Capital.</t>
  </si>
  <si>
    <t>(OE2)-1</t>
  </si>
  <si>
    <t>Diseño y creación de contenidos.</t>
  </si>
  <si>
    <t>Rating.</t>
  </si>
  <si>
    <t>Promedio de personas viendo la programación en el mes / Meta planteada para 2017.</t>
  </si>
  <si>
    <t>Impactar mensualmente un promedio de 8.000 personas radicadas en la zona centro de Colombia y afiliadas por suscripción a un cableoperador.</t>
  </si>
  <si>
    <t>(OE2)-2</t>
  </si>
  <si>
    <t>Producción de televisión.</t>
  </si>
  <si>
    <t>Transmisiones especiales.</t>
  </si>
  <si>
    <t>(Número de transmisiones especiales realizadas durante el mes) / Número de transmisiones realizadas en el mismo mes de la vigencia anterior) * 100%.</t>
  </si>
  <si>
    <t>Incrementar en un 10% el número de transmisiones especiales realizadas en la vigencia 2016.</t>
  </si>
  <si>
    <t>OE3 - Fortalecer tecnológicamente a Canal Capital para facilitar el acceso de la ciudadanía a los contenidos a través de diferentes plataformas audiovisuales.</t>
  </si>
  <si>
    <t>(OE3)-1</t>
  </si>
  <si>
    <t>Emisión de contenidos.</t>
  </si>
  <si>
    <t>Plan de renovación tecnológica.</t>
  </si>
  <si>
    <t>(Recursos ejecutados del plan de renovación tecnológica / Recursos asignados al plan de renovación tecnológica) * 100%.</t>
  </si>
  <si>
    <t>Ejecutar al menos el 85% de los recursos disponibles para el plan de renovación tecnológica.</t>
  </si>
  <si>
    <t>OE4 - Fortalecer la gestión financiera para conducir a Canal Capital a la realización de su planteamiento misional.</t>
  </si>
  <si>
    <t>(OE4)-1</t>
  </si>
  <si>
    <t>Comercialización.</t>
  </si>
  <si>
    <t>Ventas de productos y/o servicios de la entidad.</t>
  </si>
  <si>
    <t>(Ingresos por ventas trimestrales / Ingresos por ventas proyectadas para la vigencia) * 100%.</t>
  </si>
  <si>
    <t>Obtener $5.500.000.000 en ingresos por concepto de ventas de bienes y/o servicios del Canal</t>
  </si>
  <si>
    <t>(OE4)-2</t>
  </si>
  <si>
    <t>Gestión financiera y facturación.</t>
  </si>
  <si>
    <t>Seguimiento a la información financiera.</t>
  </si>
  <si>
    <t>(Número de informes emitidos / Número de informes proyectados para emitir)*100%.</t>
  </si>
  <si>
    <t>Publicar la totalidad de la información financiera requerida dentro de los tiempos establecidos por Ley</t>
  </si>
  <si>
    <t>OE5 - Implementar el Sistema Integrado de Gestión basado en un modelo de mejoramiento continuo que oriente a Canal Capital a consolidarse como actor de construcción de cultura de paz y defensa de los derechos humanos.</t>
  </si>
  <si>
    <t>(OE5)-1</t>
  </si>
  <si>
    <t>Plataforma estratégica.</t>
  </si>
  <si>
    <t>(Acciones ejecutadas / Acciones programadas)*100%.</t>
  </si>
  <si>
    <t>Cumplir con el 100% de las actividades programadas para la actualización de la plataforma estratégica vigente de la entidad.</t>
  </si>
  <si>
    <t>(OE5)-2</t>
  </si>
  <si>
    <t>Gestión jurídica y contractual.</t>
  </si>
  <si>
    <t>Revisión del manual de funciones.</t>
  </si>
  <si>
    <t>(Número de cargos del manual de funciones revisados / Total de cargos del manual de funciones de la entidad)*100%.</t>
  </si>
  <si>
    <t>Realizar al 100% la revisión del documento "Manual de funciones" de la entidad y sus respectivos ajustes.</t>
  </si>
  <si>
    <t>(OE5)-3</t>
  </si>
  <si>
    <t>Gestión del talento humano.</t>
  </si>
  <si>
    <t>Programa de inducción y reinducción 2017.</t>
  </si>
  <si>
    <t>(Acciones realizadas del programa de inducción y reinducción / Acciones establecidas en el programa de inducción y reinducción)*100%.</t>
  </si>
  <si>
    <t>Ejecutar al menos el 81% de las acciones establecidas en el programa de inducción y reinducción.</t>
  </si>
  <si>
    <t>(OE5)-4</t>
  </si>
  <si>
    <t>Plan de capacitación 2017.</t>
  </si>
  <si>
    <t>(Acciones realizadas del plan de capacitación / Acciones programadas en el plan de capacitación)*100%.</t>
  </si>
  <si>
    <t>Ejecutar al menos el 91% de las acciones programadas en el plan de capacitaciones</t>
  </si>
  <si>
    <t>(OE5)-5</t>
  </si>
  <si>
    <t>Plan de bienestar 2017.</t>
  </si>
  <si>
    <t>(Acciones realizadas del plan de bienestar / Acciones programadas en el plan de bienestar)*100%.</t>
  </si>
  <si>
    <t>Ejecutar al menos el 91% de las acciones programadas en el plan de bienestar</t>
  </si>
  <si>
    <t>(OE5)-6</t>
  </si>
  <si>
    <t>Gestión de recursos y administración de la información - Subsistema de Gestión de Seguridad y Salud en el Trabajo -SGSST-.</t>
  </si>
  <si>
    <t>Plan del Subsistema de Gestión de Seguridad y Salud en el Trabajo, SGSST.</t>
  </si>
  <si>
    <t>(Acciones realizadas del plan  del Subsistema de Gestión de Seguridad y Salud en el Trabajo, SGSST / Acciones programadas del plan del Subsistema de Gestión de Seguridad y Salud en el Trabajo, SGSST)*100%.</t>
  </si>
  <si>
    <t>Ejecutar al 100% las acciones programadas en el plan del Subsistema de Gestión de Seguridad y Salud en el Trabajo -SGSST-</t>
  </si>
  <si>
    <t>(OE5)-7</t>
  </si>
  <si>
    <t>Gestión de recursos y administración de la información - Subsistema de Gestión Ambiental - SGA-.</t>
  </si>
  <si>
    <t>Plan Institucional de Gestión Ambiental, PIGA.</t>
  </si>
  <si>
    <t>(Acciones realizadas del Plan Institucional de Gestión Ambiental, PIGA / Acciones programadas del Plan Institucional de Gestión Ambiental, PIGA)*100%.</t>
  </si>
  <si>
    <t>Ejecutar al menos el 95% de las acciones programadas en el Plan Institucional de Gestión Ambiental - PIGA</t>
  </si>
  <si>
    <t>(OE5)-8</t>
  </si>
  <si>
    <t>Gestión de recursos y administración de la información - Subsistema de Gestión de Seguridad de la Información -SGSI-.</t>
  </si>
  <si>
    <t>Plan Estratégico de Tecnología de la Información y las Comunicaciones, PETIC.</t>
  </si>
  <si>
    <t>(Gestión de recursos y administración de la información - Subsistema de Gestión de Seguridad de la Información -SGSI-./Plan Estratégico de Tecnología de la Información y las Comunicaciones, PETIC.)</t>
  </si>
  <si>
    <t>Documentar al menos el 50% el Plan Estratégico de Tecnología de la Información y las Comunicaciones -PETIC- de Canal Capital para la vigencia 2016 al 2020</t>
  </si>
  <si>
    <t>(OE5)-9</t>
  </si>
  <si>
    <t>Gestión de recursos y administración de la información - Subsistema de Gestión Documental y Archivo -SIGA-.</t>
  </si>
  <si>
    <t>Plan de Acción del Subsistema de Gestión Documental y Archivo - Plan de Mejoramiento Archivístico (PMA).</t>
  </si>
  <si>
    <t>(Acciones realizadas del plan de mejoramiento archivístico / Acciones programadas del plan de mejoramiento archivístico)*100%.</t>
  </si>
  <si>
    <t>Ejecutar al menos el 81% de las acciones programadas en el plan de acción del Subsistema Interno de Gestión Documental y Archivo  - Plan de Mejoramiento Archivístico (PMA)</t>
  </si>
  <si>
    <t>(OE5)-10</t>
  </si>
  <si>
    <t>Gestión de recursos y administración de la información - Servicios administrativos.</t>
  </si>
  <si>
    <t>Plan de mantenimiento locativo 2017.</t>
  </si>
  <si>
    <t>(Acciones realizadas del plan de mantenimiento locativo / Acciones programadas en el plan de mantenimiento locativo)*100%.</t>
  </si>
  <si>
    <t xml:space="preserve">Ejecutar al menos el 90% de las acciones programadas en el plan de mantenimiento locativo para la vigencia de 2017 </t>
  </si>
  <si>
    <t>(OE5)-11</t>
  </si>
  <si>
    <t>Control, seguimiento y evaluación.</t>
  </si>
  <si>
    <t>Cumplimiento del Programa Anual de Auditorías.</t>
  </si>
  <si>
    <t>(Número de actividades cumplidas del Programa Anual de Auditorías a la fecha de corte / Número de actividades planeadas en el Programa Anual de Auditorías a la fecha de corte)*100%.</t>
  </si>
  <si>
    <t>Cumplir con el 94% de las actividades programadas, incluidas todas la actividades adicionales que puedan surgir durante la vigencia</t>
  </si>
  <si>
    <t>(OE5)-12</t>
  </si>
  <si>
    <t>Cumplimiento de acciones del Plan de Mejoramiento.</t>
  </si>
  <si>
    <t>(Número de acciones cumplidas o cerradas del Plan de Mejoramiento a la fecha de corte / Número de acciones formuladas del Plan de Mejoramiento a la fecha de corte)*100%.</t>
  </si>
  <si>
    <t>Cumplir el 70% de las acciones formuladas en plan de mejoramiento cuya fecha de finalización se encuentre prevista a la fecha de corte de seguimiento</t>
  </si>
  <si>
    <t>IP-001</t>
  </si>
  <si>
    <t>IP-002</t>
  </si>
  <si>
    <t>IP-003</t>
  </si>
  <si>
    <t>IP-004</t>
  </si>
  <si>
    <t>IP-005</t>
  </si>
  <si>
    <t>IP-006</t>
  </si>
  <si>
    <t>IP-007</t>
  </si>
  <si>
    <t>IP-008</t>
  </si>
  <si>
    <t>IP-009</t>
  </si>
  <si>
    <t>IP-010</t>
  </si>
  <si>
    <t>IP-011</t>
  </si>
  <si>
    <t>IP-012</t>
  </si>
  <si>
    <t>IP-013</t>
  </si>
  <si>
    <t>IP-014</t>
  </si>
  <si>
    <t>IP-015</t>
  </si>
  <si>
    <t>IP-016</t>
  </si>
  <si>
    <t>IP-017</t>
  </si>
  <si>
    <t>IP-018</t>
  </si>
  <si>
    <t>IP-019</t>
  </si>
  <si>
    <t>IP-020</t>
  </si>
  <si>
    <t>IP-021</t>
  </si>
  <si>
    <t>IP-022</t>
  </si>
  <si>
    <t>IP-023</t>
  </si>
  <si>
    <t>IP-024</t>
  </si>
  <si>
    <t>IP-025</t>
  </si>
  <si>
    <t>IP-026</t>
  </si>
  <si>
    <t>IP-027</t>
  </si>
  <si>
    <t>IP-028</t>
  </si>
  <si>
    <t>IP-029</t>
  </si>
  <si>
    <t>IP-030</t>
  </si>
  <si>
    <t>IP-031</t>
  </si>
  <si>
    <t>IP-032</t>
  </si>
  <si>
    <t>IP-033</t>
  </si>
  <si>
    <t>IP-034</t>
  </si>
  <si>
    <t>IP-035</t>
  </si>
  <si>
    <t>IP-036</t>
  </si>
  <si>
    <t>Planeación Estratégica</t>
  </si>
  <si>
    <t xml:space="preserve">Gestión de las Comunicaciones </t>
  </si>
  <si>
    <t>Diseño y Creación de Contenidos</t>
  </si>
  <si>
    <t>Producción de Televisión</t>
  </si>
  <si>
    <t>Emisión de Contenidos</t>
  </si>
  <si>
    <t>Comercialización</t>
  </si>
  <si>
    <t>Gestión Financiera y Facturación</t>
  </si>
  <si>
    <t>Gestión Jurídica y Contractual</t>
  </si>
  <si>
    <t>Gestión del Talento Humano</t>
  </si>
  <si>
    <t xml:space="preserve">Gestión de Recursos y Administración de la Información </t>
  </si>
  <si>
    <t>Servicio a la Ciudadanía y Defensor del Televidente</t>
  </si>
  <si>
    <t>Control, Seguimiento y Evaluación</t>
  </si>
  <si>
    <t>Sistema Integrado de Gestión -SIG-</t>
  </si>
  <si>
    <t>Recursos - Autoridad Nacional de Televisión -ANTV-</t>
  </si>
  <si>
    <t>Recursos - proyectos de inversión</t>
  </si>
  <si>
    <t>Seguimiento al plan de comunicaciones</t>
  </si>
  <si>
    <t>Publicación de requerimientos en los boletines y carteleras</t>
  </si>
  <si>
    <t>Cumplimiento de las horas de emisión de programación infantil  según el acuerdo 002 de 2011 de la CNTV</t>
  </si>
  <si>
    <t>Cumplimiento de las horas de emisión de programación adolescente, según el acuerdo 002 de 2011 de la CNTV</t>
  </si>
  <si>
    <t>Cumplimiento de la cuota de pantalla para la población con discapacidad auditiva, según la resolución 350 de 2016 (Closed Caption)</t>
  </si>
  <si>
    <t>Cumplimiento de la cuota de pantalla para la población con discapacidad auditiva, según la resolución 350 de 2016 (Lengua de señas colombiana)</t>
  </si>
  <si>
    <t>Administración del presupuesto</t>
  </si>
  <si>
    <t xml:space="preserve">Continuidad del servicio de televisión. </t>
  </si>
  <si>
    <t>Cronograma de mantenimiento preventivo de equipos del área técnica</t>
  </si>
  <si>
    <t>Alianzas de posicionamiento</t>
  </si>
  <si>
    <t>Gestión comercial</t>
  </si>
  <si>
    <t>Rentabilidad de los recursos financieros de la entidad.</t>
  </si>
  <si>
    <t>Ingresos</t>
  </si>
  <si>
    <t>Gastos</t>
  </si>
  <si>
    <t>Gestión de recaudo</t>
  </si>
  <si>
    <t>Nivel de endeudamiento</t>
  </si>
  <si>
    <t>Capital de trabajo</t>
  </si>
  <si>
    <t>Índice de Solvencia</t>
  </si>
  <si>
    <t>Publicación de contratos en el Sistema Electrónico de Contratación Pública -SECOP-</t>
  </si>
  <si>
    <t>Capacitaciones sobre manual de contratación</t>
  </si>
  <si>
    <t>Número de procesos de selección publicados en la página web. (convocatoria pública, licitaciones y/o invitaciones).</t>
  </si>
  <si>
    <t>Legalización de los contratos y/o convenios suscritos por el Canal en calidad de contratista, cuyos expedientes reposen en la coordinación jurídica</t>
  </si>
  <si>
    <t>Elaboración de contratos suscritos por el Canal en calidad de contratante</t>
  </si>
  <si>
    <t>Número de procesos judiciales existentes</t>
  </si>
  <si>
    <t>Eficacia de capacitaciones</t>
  </si>
  <si>
    <t>Rotación de personal</t>
  </si>
  <si>
    <t>Servicios atendidos para los sistemas de información</t>
  </si>
  <si>
    <t>Servicios atendidos infraestructura de información y comunicación</t>
  </si>
  <si>
    <t>Cumplimiento del cronograma de mantenimiento preventivo de equipos de cómputo</t>
  </si>
  <si>
    <t>Estado de la gestión documental de la entidad</t>
  </si>
  <si>
    <t>Control de inventarios</t>
  </si>
  <si>
    <t>Eficacia en la atención a las PQRS</t>
  </si>
  <si>
    <t>Cumplimiento oportuno en la entrega de los informes de Ley planeados en el Programa Anual de Auditorías</t>
  </si>
  <si>
    <t>(Requisitos implementados / Requisitos aplicables) * 100%</t>
  </si>
  <si>
    <t>(Recursos ejecutados provenientes de la Autoridad Nacional de Televisión -ANTV- / Recursos provenientes de la Autoridad Nacional de Televisión -ANTV-) * 100%</t>
  </si>
  <si>
    <t>(Recursos ejecutados en proyectos de inversión / Recursos asignados para proyectos de inversión) * 100%</t>
  </si>
  <si>
    <t xml:space="preserve">(Actividades realizadas / Actividades programadas) * 100% </t>
  </si>
  <si>
    <t>(Comunicaciones realizadas / Comunicaciones requeridas) * 100%</t>
  </si>
  <si>
    <t>(Número de horas emitidas / Número de horas requeridas) *100 %</t>
  </si>
  <si>
    <t>(Número de programas emitidos / Número de programas requeridos)*100%</t>
  </si>
  <si>
    <t>(Gastos ejecutados / Gastos proyectados) *100</t>
  </si>
  <si>
    <t>(Tiempo en minutos de fallas de señal / Tiempo en minutos de señal programada) * 100%</t>
  </si>
  <si>
    <t>(Mantenimientos preventivos realizados / Mantenimientos preventivos programados) * 100%</t>
  </si>
  <si>
    <t>(Alianzas realizadas / Propuestas de alianzas enviadas)*100%</t>
  </si>
  <si>
    <t>(Negocios efectuados / Propuestas de negocios enviadas)*100%</t>
  </si>
  <si>
    <t>Total rendimientos generados mensualmente (Cuentas de ahorros y CDT´s) / Total de rendimientos proyectados al final de la vigencia</t>
  </si>
  <si>
    <t>(Presupuesto ejecutado / Presupuesto aprobado) * 100%</t>
  </si>
  <si>
    <t>(Total recaudo / Total servicios cobrados al cierre del trimestre) * 100%</t>
  </si>
  <si>
    <t>Activo Corriente - Pasivo Corriente</t>
  </si>
  <si>
    <t>Activo Corriente / Pasivo Corriente</t>
  </si>
  <si>
    <t>(Número de contratos publicados en el SECOP / Número de contratos por publicar en el SECOP) * 100%</t>
  </si>
  <si>
    <t>(Capacitaciones realizadas / Capacitaciones programadas) * 100%</t>
  </si>
  <si>
    <t>(Procesos de selección publicados / Total procesos convocados)*100%</t>
  </si>
  <si>
    <t>(Número de contratos y/o convenios legalizados en la coordinación jurídica / Número de contratos y/o convenios entregados en la coordinación jurídica)*100%</t>
  </si>
  <si>
    <t>(Número de contratos tramitados / Número de solicitudes de contratación)*100%</t>
  </si>
  <si>
    <t>Numero de actuaciones / Total de procesos donde interviene Canal Capital</t>
  </si>
  <si>
    <t>(Número de funcionarios que se desvincularon / Número de funcionarios de planta) * 100</t>
  </si>
  <si>
    <t>Servicios solucionados / (Servicios pendientes mes anterior + servicios requeridos en mes)</t>
  </si>
  <si>
    <t xml:space="preserve"> Cumplimiento del Plan Institucional de Archivos
( Actividades desarrolladas/ Actividades planteadas).</t>
  </si>
  <si>
    <t>(Número de tomas físicas de inventario realizadas / Número de tomas físicas de inventario programadas) * 100%</t>
  </si>
  <si>
    <t>(Total de informes elaborados y entregados oportunamente / Total informes a reportar planeados en el PAA para la vigencia) * 100%</t>
  </si>
  <si>
    <t>5 - Implementar el Sistema Integrado de Gestión basado en un modelo de mejoramiento continuo</t>
  </si>
  <si>
    <t>4 - Fortalecer la gestión financiera para conducir a Canal Capital a la realización de su planteamiento misional</t>
  </si>
  <si>
    <t>1 - Incrementar los mecanismos de interacción de Canal Capital con la ciudadanía</t>
  </si>
  <si>
    <t>2 - Aumentar la participación de contenidos en la programación de Canal Capital</t>
  </si>
  <si>
    <t>3 - Fortalecer tecnológicamente a Canal Capital para facilitar el acceso de la ciudadanía a los contenidos a través de diferentes plataformas audiovisuales</t>
  </si>
  <si>
    <t>Cumplir con el 85% de los requisitos del Sistema Integrado de Gestión -SIG- aplicables a la entidad de acuerdo con la NTD SIG:001 de 2011</t>
  </si>
  <si>
    <t>Ejecutar al ciento por ciento, los recursos provenientes de la Autoridad Nacional de Televisión -ANTV- de acuerdo con el plan de inversión 2017 aprobado por este ente.</t>
  </si>
  <si>
    <t>Ejecutar al 95% los recursos asignados para proyectos de inversión de la entidad</t>
  </si>
  <si>
    <t>Lograr la implementación del 100% del plan para la vigencia 2017</t>
  </si>
  <si>
    <t>Dar cumplimiento al 100% de requerimientos de publicación de información en boletines y carteleras solicitado por las áreas</t>
  </si>
  <si>
    <t>Dar cumplimiento al 100% de horas de emisión de programación infantil  según el acuerdo 002 de 2011 de la CNTV</t>
  </si>
  <si>
    <t>Dar cumplimiento al 100% de horas de emisión de programación adolescente, según el acuerdo 002 de 2011 de la CNTV</t>
  </si>
  <si>
    <t>Dar cumplimiento al 100% de horas de emisión de programación para la población con discapacidad auditiva,discapacidad auditiva, según la resolución 350 de 2016 (Closed Caption)</t>
  </si>
  <si>
    <t>Dar cumplimiento al 100% de horas de emisión de programación para la población con discapacidad auditiva,discapacidad auditiva, según la resolución 350 de 2016 (Lengua de señas colombiana)</t>
  </si>
  <si>
    <t>Ejecutar al 100% el presupuesto asociado a la producción.</t>
  </si>
  <si>
    <t>Garantizar continuidad en la señal de televisión superior al 90%.</t>
  </si>
  <si>
    <t>Dar cumplimiento superior al 85% en el cronograma de mantenimientos preventivos para los equipos del área ténica.</t>
  </si>
  <si>
    <t>Cargar al ciento por ciento los contratos celebrados por la entidad, en el Sistema Electrónico de Contratación Pública -SECOP dentro de los términos previstos por la Ley -</t>
  </si>
  <si>
    <t>Ejecutar el 100% de las capacitaciones programadas a funcionarios y contratistas de la entidad en el manual de contratación</t>
  </si>
  <si>
    <t>-</t>
  </si>
  <si>
    <t>Planeación estratégica.</t>
  </si>
  <si>
    <t>La meta es fijada tomando los recursos que se manejan para la vigencia 2017, a una tasa promedio del mercado actual  y teniendo en cuenta que existen momentos de picos, los cuales  se presentan al momento de  redimir inversiones actuales.</t>
  </si>
  <si>
    <t>Recaudar el 90% del presupuesto aprobado para la vigencia</t>
  </si>
  <si>
    <t>Ejecutar el 90% del presupuesto aprobado para la vigencia</t>
  </si>
  <si>
    <t xml:space="preserve">Evaluar la edad de la cartera del canal, con el fin de conocer la probabilidad de obtención de recursos en caja en un periodo determinado. 
De otra parte, tomar las medidas necesarias para el recaudo oportuno.  </t>
  </si>
  <si>
    <t>Medir la proporción en la cuál participan los acreedores sobre el valor total de la empresa .</t>
  </si>
  <si>
    <t>Medir los recursos que requiere la entidad para desarrollar sus operaciones económicas</t>
  </si>
  <si>
    <t>Medir la capacidad de la entidad para atender el pago de todas sus deudas y compromisos a corto plazo.</t>
  </si>
  <si>
    <t>Reporte Tesorería - Subdirección Financiera</t>
  </si>
  <si>
    <t>Reporte Presupuesto - Subdirección Financiera</t>
  </si>
  <si>
    <t>Reporte Facturación y Cartera - Subdirección Financiera</t>
  </si>
  <si>
    <t>Reporte Contabilidad - Subdirección Financiera</t>
  </si>
  <si>
    <t>Hacer seguimiento a la rotación de personal en el Canal, tanto de personal de libre nombramiento y remoción como trabajadores oficiales.</t>
  </si>
  <si>
    <t>Talento Humano</t>
  </si>
  <si>
    <t>Información suministrada por la Delegada de Servicio al Ciudadano</t>
  </si>
  <si>
    <t>Plan de comunicaciones vigente</t>
  </si>
  <si>
    <t xml:space="preserve">Requerimientos de las diferentes áreas </t>
  </si>
  <si>
    <t>Entregar de forma oportuna con el 82% de los informes de Ley definidos por la OCI</t>
  </si>
  <si>
    <t>Programa Anual de Auditorías - PAA. Seguimiento a la publicación oportuna de informes de ley.</t>
  </si>
  <si>
    <t>Garantizar la atencion de Requerimientos de Soporte presentados vía correo electrónico, asi como gestionar los requerimientos según formato de Solicitud de Servicios TIC AGRI-SI-FT-029, garantizando un porcentaje de cumplimiento superior al 90% para el trimestre.</t>
  </si>
  <si>
    <t>Atender de manera oportuna los requerimientos referentes a la indisponibilidad parcial y/o temporal de servicios tecnológicos de infraestructura y comunicaciones en cumplimiento con la meta superior al 90% para el trimestre.</t>
  </si>
  <si>
    <t>Velar por el cumplimiento del Servicio de Mantenimiento Preventivo y Correctivo con suministro de repuestos para equipos de escritorio, portátiles, impresoras, escáneres y Equipos Mac de Canal Capital que permita evidenciar un indice de meta en el trimestre superior al 90%.</t>
  </si>
  <si>
    <t>Elaborar, socializar e implementar el Plan Institucional de Archivos - PINAR, con el propósito de facilitar la gestión de documentos de Canal  Capital a través del desarrollo de proyectos y planes que permitan la mejora continua en la aplicación de los procesos de producción, recepción, gestión y trámite, organización, disposición final, transferencias, preservación y valoración documental</t>
  </si>
  <si>
    <t>Controlar los insumos y bienes adquiridos por la entidad.</t>
  </si>
  <si>
    <t>Reporte del área de Sistemas</t>
  </si>
  <si>
    <t>Reporte del área de Gestión Documental</t>
  </si>
  <si>
    <t>Reporte de inventarios del área de servicios administrativos</t>
  </si>
  <si>
    <t>Reporte de avance - Secretaría General</t>
  </si>
  <si>
    <t>Observación</t>
  </si>
  <si>
    <t>El indicador se reporta con los datos obtenidos del seguimiento del Plan de Mejoramiento con corte al 31-may-2017.</t>
  </si>
  <si>
    <t>Programa Anual de Auditoria - Oficina de Control Interno</t>
  </si>
  <si>
    <t>Plan de mantenimientos locativos 2017</t>
  </si>
  <si>
    <t>Reporte de la Coordinación de programación</t>
  </si>
  <si>
    <t>Reporte de la Coordinación de Programación</t>
  </si>
  <si>
    <t>Se realizarán estrategias compartidas con los diferentes medios de comunicación para lograr el posicionamiento de Canal Capital</t>
  </si>
  <si>
    <t>Obtener $5.500.000.000 en ventas con los clientes de sector publico tradicionales y con el incremento de los clientes privados, por medio del nuevo  Departamento Comercial, creando nuevas estrategias de ventas  para lograr el objetivo conjuntamente.</t>
  </si>
  <si>
    <t>Reporte del área de ventas y mercadeo</t>
  </si>
  <si>
    <t>Reporte Coordinación Técnica</t>
  </si>
  <si>
    <t>Reporte de la Coordinación Técnica</t>
  </si>
  <si>
    <t>Reporte de Planeación</t>
  </si>
  <si>
    <t>(Total Pasivo / Total Activo)*100%</t>
  </si>
  <si>
    <t>(Promedio de calificación de las capacitaciones / Calificación máxima a obtener) * 100</t>
  </si>
  <si>
    <t>Reporte del área de talento humano</t>
  </si>
  <si>
    <t>Reporte del área de talento humano - Profesional de Seguridad y Salud en el Trabajo</t>
  </si>
  <si>
    <t>Contar con el 100% de información contractual legalizada en los expedientes de la Coordinación jurídica, en los cuales el canal suscribe como calidad de contratante</t>
  </si>
  <si>
    <t>Publicar al 100% en la página web  de la entidad la información contractual asociada a procesos de selección (convocatoria pública, licitaciones y/o invitaciones).</t>
  </si>
  <si>
    <t>Contar con el 100% de información contractual legalizada en los expedientes de la Coordinación jurídica, en los cuales el canal suscribe como calidad de contratista</t>
  </si>
  <si>
    <t>Identificar el grado de avance en relación a las actuaciones dentro de los procesos judiciales en los que interviene Canal Capital.</t>
  </si>
  <si>
    <t>Reporte Planeación</t>
  </si>
  <si>
    <t>(Número de solicitudes atendidas oportunamente durante el mes / Número de solicitudes recibidas durante el mes) * 100%</t>
  </si>
  <si>
    <t>Reporte del área de ventas y mercadeo (sector público y privado)</t>
  </si>
  <si>
    <t>Reporte del área de servicio al Ciudadano, a partir de la información del sistema SDQS</t>
  </si>
  <si>
    <t>Reporte de los comunity managers en relación con el número de seguidores en las redes sociales del Canal. - Coordinación de Prensa y Comunicaciones</t>
  </si>
  <si>
    <t>Reporte de la Subdirección Financiera</t>
  </si>
  <si>
    <t>Reporte referente PIGA - Planeación / Subdirección Administrativa</t>
  </si>
  <si>
    <t>Reporte de la Subdirección Administrativa - Sistemas</t>
  </si>
  <si>
    <t>Reporte de la Subdirección Administrativa - Gestión Documental</t>
  </si>
  <si>
    <t>INDICADORES PLAN DE ACCIÓN INSTITUCIONAL 2017 - VERSIÓN 3</t>
  </si>
  <si>
    <t>Reporte Coordinación de Producción</t>
  </si>
  <si>
    <t>INDICADORES DE PROCESOS - 2017</t>
  </si>
  <si>
    <t>Reporte de la Coordinación de Producción</t>
  </si>
  <si>
    <t>Reporte Coordinación jurídica</t>
  </si>
  <si>
    <t>Reporte del área de Talento Humano</t>
  </si>
  <si>
    <t>El indicador permite medir la eficacia de las capacitaciones realizadas a los funcionarios basada en la calificación que cada uno asigna a la actividad realizada. Se califica la estructura y ocntenido de la capacitación; el capacitador y la organización de la capacitación.</t>
  </si>
  <si>
    <t>Objetivo Estratégico</t>
  </si>
  <si>
    <t>Código</t>
  </si>
  <si>
    <t>% Cumplimiento</t>
  </si>
  <si>
    <t>OE-1</t>
  </si>
  <si>
    <t>OE-2</t>
  </si>
  <si>
    <t>OE-3</t>
  </si>
  <si>
    <t>OE-4</t>
  </si>
  <si>
    <t>OE-5</t>
  </si>
  <si>
    <t>1 - Incrementar los mecanismos de interacción de Canal Capital con la ciudadanía para lograr ser reconocido como paradigma de televisión pública más humana en 2025.</t>
  </si>
  <si>
    <t>2 - Aumentar la participación de contenidos con énfasis en defensa de los derechos humanos y en cultura de paz en la programación de Canal Capital.</t>
  </si>
  <si>
    <t>3 - Fortalecer tecnológicamente a Canal Capital para facilitar el acceso de la ciudadanía a los contenidos a través de diferentes plataformas audiovisuales.</t>
  </si>
  <si>
    <t>4 - Fortalecer la gestión financiera para conducir a Canal Capital a la realización de su planteamiento misional.</t>
  </si>
  <si>
    <t>5 - Implementar el Sistema Integrado de Gestión basado en un modelo de mejoramiento continuo que oriente a Canal Capital a consolidarse como actor de construcción de cultura de paz y defensa de los derechos humanos.</t>
  </si>
  <si>
    <t>TOTAL</t>
  </si>
  <si>
    <t>Reporte de la Coordinación de producción</t>
  </si>
  <si>
    <t>Reporte coordinación jurídica</t>
  </si>
  <si>
    <t>Dar cumplimiento al 100% de horas de emisión de programación para la población con discapacidad auditiva, discapacidad auditiva, según la resolución 350 de 2016 (Closed Caption)</t>
  </si>
  <si>
    <t>Dar cumplimiento al 100% de horas de emisión de programación para la población con discapacidad auditiva, discapacidad auditiva, según la resolución 350 de 2016 (Lengua de señas colombiana)</t>
  </si>
  <si>
    <t>Dar cumplimiento superior al 85% en el cronograma de mantenimientos preventivos para los equipos del área técnica.</t>
  </si>
  <si>
    <t>Garantizar la atención de Requerimientos de Soporte presentados vía correo electrónico, así como gestionar los requerimientos según formato de Solicitud de Servicios TIC AGRI-SI-FT-029, garantizando un porcentaje de cumplimiento superior al 90% para el trimestre.</t>
  </si>
  <si>
    <t>Velar por el cumplimiento del Servicio de Mantenimiento Preventivo y Correctivo con suministro de repuestos para equipos de escritorio, portátiles, impresoras, escáneres y Equipos Mac de Canal Capital que permita evidenciar un índice de meta en el trimestre superior al 90%.</t>
  </si>
  <si>
    <t xml:space="preserve">Requerimientos de comunicación de las diferentes áreas </t>
  </si>
  <si>
    <t>Sistema de presupuesto distrital - PREDIS
Reporte Coordinación de Producción</t>
  </si>
  <si>
    <t>(Presupuesto de gastos ejecutado / Presupuesto de gastos aprobado) * 100%</t>
  </si>
  <si>
    <t>N°</t>
  </si>
  <si>
    <t>Número de seguidores / Meta propuesta para 2018.</t>
  </si>
  <si>
    <t>Lograr la interacción de Canal Capital 1.200.000 seguidores en las diferentes redes sociales.</t>
  </si>
  <si>
    <t>(Número de solicitudes atendidas durante el mes / Número de solicitudes recibidas durante el mes) * 100%</t>
  </si>
  <si>
    <t xml:space="preserve">Eventos o transmisiones especiales que muestran la  diversidad de contenidos deportivos y culturales de la ciudad </t>
  </si>
  <si>
    <t>(Número de eventos o  transmisiones especiales realizadas / número de eventos o transmisiones especiales  planeadas) * 100%.</t>
  </si>
  <si>
    <t>Realizar mínimo 180 transmisiones o eventos especiales.</t>
  </si>
  <si>
    <t>(OE2)-3</t>
  </si>
  <si>
    <t xml:space="preserve">Transmisiones especiales </t>
  </si>
  <si>
    <t>Incrementar en un 10% el número de transmisiones especiales realizadas en la vigencia 2017.</t>
  </si>
  <si>
    <t>(OE4)-3</t>
  </si>
  <si>
    <t>Ventas de productos y/o servicios de la entidad. (clientes sector privado)</t>
  </si>
  <si>
    <t>(Ingresos por ventas del mes con clientes del sector privado /Presupuesto de ventas Sector Privado proyectado para la vigencia) * 100%.</t>
  </si>
  <si>
    <t>Lograr ingresos por concepto de ventas de los clientes del sector privado por valor de $361.590.000.</t>
  </si>
  <si>
    <t>Ventas de productos y/o servicios de la entidad. (clientes sector público).</t>
  </si>
  <si>
    <t>(Ingresos por ventas del periodo con clientes del sector público / Ingresos por ventas proyectadas para la vigencia de clientes del sector público) * 100%.</t>
  </si>
  <si>
    <t>Reporte de ventas del área Comercial.
Reporte final de ventas del  área Financiera (clientes sector privados)</t>
  </si>
  <si>
    <t>Reporte de ventas del área Comercial.
Reporte final de ventas del  área Financiera (clientes sector público)</t>
  </si>
  <si>
    <t>Ventas de productos y/o servicios de la entidad. (clientes nuevos negocios).</t>
  </si>
  <si>
    <t>(Facturación por ventas del periodo de la línea de nuevos negocios / Facturación proyectada por ventas del periodo de la línea de nuevos negocios) * 100%.</t>
  </si>
  <si>
    <t>Facturar como mínimo $21.600 millones, que corresponden al 80% de los contratos vigentes en el 2018 cuya meta de suscripción es de $27.000.000.000 Incluido IVA, de los contratos por concepto de la línea de Nuevos Negocios.</t>
  </si>
  <si>
    <t>Registro de facturación del Apoyo Financiero de Nuevos Negocios, validado con la información de la Subdirección Financiera.</t>
  </si>
  <si>
    <t>(Número de informes emitidos / Número de informes proyectados para emitir) * 100%.</t>
  </si>
  <si>
    <t>Remitir informes mensuales a la alta dirección sobre la situación financiera de Canal Capital.</t>
  </si>
  <si>
    <t>(% ponderado de avance en el proceso de actualización de la plataforma estratégica / 100% (plataforma actualizada))*100%.</t>
  </si>
  <si>
    <t>Cumplimiento de las metas de la Secretaría General .</t>
  </si>
  <si>
    <t>(Porcentaje de avance de las acciones realizadas según la ponderación definida /  Total de acciones programadas)*100%.</t>
  </si>
  <si>
    <t>Lograr el cumplimiento del 100% de las metas planteadas por la  Secretaría General y sus dependencias para la vigencia 2018.</t>
  </si>
  <si>
    <t>Programa de inducción y reinducción 2018.</t>
  </si>
  <si>
    <t>(Acciones realizadas del programa de inducción y reinducción / Acciones establecidas en el programa de inducción y reinducción)*100%</t>
  </si>
  <si>
    <t>Ejecutar al menos el 85% de las acciones establecidas en el programa de inducción y reinducción.</t>
  </si>
  <si>
    <t>Plan de capacitación 2018.</t>
  </si>
  <si>
    <t>Plan de bienestar 2018.</t>
  </si>
  <si>
    <t>Ejecutar al menos el 91% de las acciones programadas en el plan de bienestar.</t>
  </si>
  <si>
    <t>Ejecutar al 80% las acciones programadas en el plan del Subsistema de Gestión de Seguridad y Salud en el Trabajo -SGSST-</t>
  </si>
  <si>
    <t>(Acciones realizadas del Plan Institucional de Gestión Ambiental, PIGA / Acciones programadas del Plan Institucional de Gestión Ambiental, PIGA) * 100%.</t>
  </si>
  <si>
    <t>Ejecutar al menos el 95% de las acciones programadas en el Plan Institucional de Gestión Ambiental – PIGA.</t>
  </si>
  <si>
    <t>Servicios atendidos para los sistemas de información.</t>
  </si>
  <si>
    <t>Gestión de recursos y administración de la información - Subsistema de Gestión de Seguridad de la Información -SGSI-</t>
  </si>
  <si>
    <t>(Servicios solicitados / servicios atendidos) * 100%</t>
  </si>
  <si>
    <t>Garantizar la atención de requerimientos de soporte presentados vía GLPI, así como gestionar los requerimientos según formato de solicitud de servicios TIC AGRI-SI-FT-029, garantizando un porcentaje de cumplimiento superior al 90% para cada uno de los trimestres</t>
  </si>
  <si>
    <t>Cumplimiento del cronograma de mantenimiento preventivo de equipos de cómputo - 2018</t>
  </si>
  <si>
    <t>(Mantenimientos preventivos  realizados / mantenimientos preventivos programados) * 100%.</t>
  </si>
  <si>
    <t>Dar cumplimiento al 90% de las actividades formuladas en el plan de mejoramiento archivístico para la vigencia 2018.</t>
  </si>
  <si>
    <t>Plan de mantenimiento locativo 2018.</t>
  </si>
  <si>
    <t>Ejecutar al menos el 90% de las acciones programadas en el plan de mantenimiento locativo para la vigencia de 2018.</t>
  </si>
  <si>
    <t>Plan de mantenimientos locativos 2018</t>
  </si>
  <si>
    <t>(OE5)-13</t>
  </si>
  <si>
    <t>Control de inventarios 2018.</t>
  </si>
  <si>
    <t>(Número de tomas físicas de inventario realizadas / Número de tomas físicas de inventario programadas) * 100%.</t>
  </si>
  <si>
    <t>Realizar el 92% de las tomas físicas de inventarios programadas para la vigencia 2018.</t>
  </si>
  <si>
    <t>Cronograma de Inventarios 2018</t>
  </si>
  <si>
    <t>(OE5)-14</t>
  </si>
  <si>
    <t>Cumplimiento del Plan Anual de Auditorías.</t>
  </si>
  <si>
    <t>(Número de actividades cumplidas del Plan Anual de Auditorías a la fecha de corte / Número de actividades planeadas en el Plan Anual de Auditorías a la fecha de corte)*100%.</t>
  </si>
  <si>
    <t>(OE5)-15</t>
  </si>
  <si>
    <t>(OE4)-4</t>
  </si>
  <si>
    <t>Cumplimiento de acciones del Plan de Mejoramiento por procesos.</t>
  </si>
  <si>
    <t>(Número de acciones cerradas con fecha vencida del Plan de Mejoramiento por procesos a la fecha de corte / Número de acciones vencidas con estado abierto del Plan de Mejoramiento por procesos a la fecha de corte)*100%.</t>
  </si>
  <si>
    <t>Archivo denominado "Seguimiento al Plan Anual de Auditorías", que contiene la calificación de cada una de las actividades, así como las escalas de medición definidas</t>
  </si>
  <si>
    <t>Informes de Seguimiento al Plan de mejoramiento por procesos y la matriz de seguimiento al Plan de Mejoramiento por procesos</t>
  </si>
  <si>
    <t>Modelo Integrado de Planeación y Gestión - MIPG</t>
  </si>
  <si>
    <t>(Número de actividades ejecutadas en el periodo para la implementación del MIPG. / Número de actividades programadas en el periodo para la implementación del MIPG.) * 100%</t>
  </si>
  <si>
    <t>Cumplir con el 100% de las actividades incluidas en el plan de trabajo del área para la implementación del Modelo Integrado de Planeación y Gestión MIPG.</t>
  </si>
  <si>
    <t>Ejecutar al ciento por ciento, los recursos provenientes de la Autoridad Nacional de Televisión -ANTV- de acuerdo con el plan de inversión 2018 aprobado por este ente.</t>
  </si>
  <si>
    <t>Lograr la implementación del 100% del plan para la vigencia</t>
  </si>
  <si>
    <t>Publicación de requerimientos en los boletines y carteleras, de acuerdo a los requerimientos de las áreas</t>
  </si>
  <si>
    <t>70%. - El indicador permite medir la eficacia de las capacitaciones realizadas a los funcionarios basada en la calificación que cada uno asigna a la actividad realizada. Se califica la estructura y contenido de la capacitación; el capacitador y la organización de la capacitación.</t>
  </si>
  <si>
    <t>Cronograma de Inventarios 2018
Reporte de inventarios del área de servicios administrativos.</t>
  </si>
  <si>
    <t>Cumplimiento oportuno en la entrega de los informes de Ley planeados en el Plan Anual de Auditorías</t>
  </si>
  <si>
    <t>Impactar mensualmente un promedio de 4.000 personas radicadas en la zona centro de Colombia y afiliadas por suscripción a un cableoperador.</t>
  </si>
  <si>
    <t>La meta es fijada tomando los recursos que se manejan para la vigencia, a una tasa promedio del mercado actual  y teniendo en cuenta que existen momentos de picos, los cuales  se presentan al momento de  redimir inversiones actuales.</t>
  </si>
  <si>
    <t>Lograr ingresos por concepto de ventas de los clientes del sector público por valor de $2.023.000.000</t>
  </si>
  <si>
    <t>Eliminado.</t>
  </si>
  <si>
    <t>Rentabilidad de los recursos financieros de la empresa, a través de tasas competitivas en los productos de acuerdo a las políticas de Canal Capital</t>
  </si>
  <si>
    <t>Ejecución del presupuesto de Ingresos</t>
  </si>
  <si>
    <t>Ejecución del presupuesto de Gastos</t>
  </si>
  <si>
    <t>Ejecutar el 90% del presupuesto de gastos aprobado para la vigencia</t>
  </si>
  <si>
    <t>Recaudar el 90% del presupuesto de ingresos aprobado para la vigencia</t>
  </si>
  <si>
    <t>Eliminada</t>
  </si>
  <si>
    <t>Avance 2018 (Trimestre 4)</t>
  </si>
  <si>
    <r>
      <rPr>
        <b/>
        <sz val="8"/>
        <color theme="1"/>
        <rFont val="Arial"/>
        <family val="2"/>
      </rPr>
      <t xml:space="preserve">T1: </t>
    </r>
    <r>
      <rPr>
        <sz val="8"/>
        <color theme="1"/>
        <rFont val="Arial"/>
        <family val="2"/>
      </rPr>
      <t xml:space="preserve"> En el primer trimestre de 2018 las plataformas digitales de Canal Capital afinaron sus procesos en materia de temáticas, formatos y tácticas, destacándose el trabajo de videos, transmisiones en vivo y página web, esto produjo un gran crecimiento de seguidores.
</t>
    </r>
    <r>
      <rPr>
        <b/>
        <sz val="8"/>
        <color theme="1"/>
        <rFont val="Arial"/>
        <family val="2"/>
      </rPr>
      <t>T2:</t>
    </r>
    <r>
      <rPr>
        <sz val="8"/>
        <color theme="1"/>
        <rFont val="Arial"/>
        <family val="2"/>
      </rPr>
      <t xml:space="preserve"> Se ajustaron los procesos para que todos los trinos y post direccionen a la página web del Canal, esto ha generado una comunidad virtual más fuerte que consume mayor cantidad de contenidos ya que nuestros videos e infografías ahora se consumen en entradas web de la página y ha generado una acogida importante.
</t>
    </r>
    <r>
      <rPr>
        <b/>
        <sz val="8"/>
        <color theme="1"/>
        <rFont val="Arial"/>
        <family val="2"/>
      </rPr>
      <t>T3:</t>
    </r>
    <r>
      <rPr>
        <sz val="8"/>
        <color theme="1"/>
        <rFont val="Arial"/>
        <family val="2"/>
      </rPr>
      <t xml:space="preserve"> Se empezó a aplicar la integración digital entre todas las áreas del canal lo que ayudó a crear mejores y diferentes contenidos.
</t>
    </r>
    <r>
      <rPr>
        <b/>
        <sz val="8"/>
        <color theme="1"/>
        <rFont val="Arial"/>
        <family val="2"/>
      </rPr>
      <t xml:space="preserve">T4: </t>
    </r>
    <r>
      <rPr>
        <sz val="8"/>
        <color theme="1"/>
        <rFont val="Arial"/>
        <family val="2"/>
      </rPr>
      <t>Se siguió el lineamiento de gerencia para aumentar la interacción con la audiencia, lo que provocó un incremento en el ritmo de crecimiento.</t>
    </r>
  </si>
  <si>
    <r>
      <rPr>
        <b/>
        <sz val="8"/>
        <color theme="1"/>
        <rFont val="Arial"/>
        <family val="2"/>
      </rPr>
      <t>T1:</t>
    </r>
    <r>
      <rPr>
        <sz val="8"/>
        <color theme="1"/>
        <rFont val="Arial"/>
        <family val="2"/>
      </rPr>
      <t xml:space="preserve"> De acuerdo con los informes mensuales remitidos a la Veeduria Distrital se detalla a continuación la relación de PQRS recibidas y atendidas en la vigencia 2018:
* En  el mes de enero se recibieron 64 peticiones y se repondierón 25, quedando pendientes 39 peticiones por responder para el mes siguiente.
* En el mes de febrero se recibierón 60 peticiones y se atendieron 74 (37 de petiodo actual y 37 del periodo anteror) quedando pendientes 25 peticiones (23 del periodo actual y 2 del periodo anterior).
* En el mes de marzo se recibierón 47 peticiones y se atendieron 57 (33 de petiodo actual  y 24 del periodo anteror) quedando pendientes 15 peticiones (14 del periodo actual y 1 de periodos anteriores).
* En el trimestre se recibieron 171 peticiones en total y se atendieron 151 lo que implica un porcentaje de 91.23% de peticiones atendidas con oportunidad. 
Atendiendo a lo anterior se esta trabajando desde el área de Atención al Ciudadano con la Dirección Operativa para dar respuesta oportuna a las peticiones 
</t>
    </r>
    <r>
      <rPr>
        <b/>
        <sz val="8"/>
        <color theme="1"/>
        <rFont val="Arial"/>
        <family val="2"/>
      </rPr>
      <t>T2:</t>
    </r>
    <r>
      <rPr>
        <sz val="8"/>
        <color theme="1"/>
        <rFont val="Arial"/>
        <family val="2"/>
      </rPr>
      <t xml:space="preserve"> De acuerdo con los informes mensuales remitidos a la Veeduria Distrital se detalla a continuación la relación de PQRS recibidas y atendidas en la vigencia 2018:
* En  el mes de abril se recibieron 48 peticiones y se repondierón 46, quedando pendientes 17 peticiones por responder para el mes siguiente.
* En el mes de mayo se recibierón 60 peticiones y se atendieron 69 (52 de petiodo actual y 17 del periodo anteror) quedando pendientes 8 peticiones del periodo actual.
* En el mes de junio se recibierón 50 peticiones y se atendieron 43 (36 de petiodo actual  y 7 del periodo anteror) quedando pendientes 15 peticiones (14 del periodo actual y 1 de periodos anteriores).
* En el trimestre se recibieron 158 peticiones en total y se atendieron 158 lo que implica un porcentaje de 100% de peticiones atendidas con oportunidad, resondiendo las 15 peticiones del trimestre pasado y quedando pendientes 15 peticiones del presente trimestre.
Conforme lo anterior la Oficina de Atención al Ciudadano convoco a  una reunión el día 9 de agosto con la Oficina de Control Interno y Sistema Informativo para el mejoramiento en tiempos y calidad de las respuestas a los ciudadanos. 
</t>
    </r>
    <r>
      <rPr>
        <b/>
        <sz val="8"/>
        <color theme="1"/>
        <rFont val="Arial"/>
        <family val="2"/>
      </rPr>
      <t xml:space="preserve">T3: </t>
    </r>
    <r>
      <rPr>
        <sz val="8"/>
        <color theme="1"/>
        <rFont val="Arial"/>
        <family val="2"/>
      </rPr>
      <t xml:space="preserve">De acuerdo con los informes mensuales remitidos a la Veeduria Distrital se detalla a continuación la relación de PQRS recibidas y atendidas en la vigencia 2018:
* En  el mes de junio se recibieron 28 peticiones y se repondierón 27, quedando pendientes 17 peticiones por responder para el mes siguiente.
* En el mes de agosto se recibierón 47 peticiones y se atendieron 34 (17 de petiodo actual y 16 del periodo anteror) quedando pendientes 30 peticiones del periodo actual.
* En el mes de septiembre se recibierón 23 peticiones y se atendieron 35 (12 de petiodo actual  y 23 del periodo anteror) quedando pendientes 18 peticiones (11 del periodo actual y 7 de periodos anteriores).
* En el trimestre se recibieron 98 peticiones en total y se atendieron 96 lo que implica un porcentaje de 100% de peticiones atendidas con oportunidad, respondiendo las 15 peticiones del trimestre pasado y quedando pendientes 18 peticiones del presente trimestre.
Conforme lo anterior la Oficina de Atención al Ciudadano se encuentra en revisión de los reportes masivos enviados por la Alcaldia Mayor y el Sistema Bogotá te Escucha SDQS. Dado que prensentan inconsistencias de 1 o 2 peticiones al realizar el presente reporte. 
</t>
    </r>
    <r>
      <rPr>
        <b/>
        <sz val="8"/>
        <color theme="1"/>
        <rFont val="Arial"/>
        <family val="2"/>
      </rPr>
      <t>T4:</t>
    </r>
    <r>
      <rPr>
        <sz val="8"/>
        <color theme="1"/>
        <rFont val="Arial"/>
        <family val="2"/>
      </rPr>
      <t xml:space="preserve"> De acuerdo con los informes mensuales remitidos a la Veeduria Distrital se detalla a continuación la relación de PQRS recibidas y atendidas en la vigencia 2018:
* En  el mes de octubre se recibieron 35 peticiones y se repondierón 35, quedando pendientes 23 peticiones por responder para el mes siguiente.
* En el mes de noviembre se recibierón 25 peticiones y se atendieron 34 (13 de petiodo actual y 21 del periodo anteror) quedando pendientes 14 peticiones, 12 del periodo actual y 2 del periodo anteriorl.
* En el mes de diciembre se recibierón 15 peticiones y se atendieron 26 (12 de petiodo actual  y 14 de periodos anterores) quedando pendientes 3 peticiones del perido actual.
Conforme a lo anterior se evidencia que la Oficina de Atención al Ciudadano en el año recibio 502 peticiones y atendio  505 de la cuales 3 de estas quedan para respuesta el siguiente año y primer trimestre, contando con un porcentaje del 100,60% de de eficiencia en el presente indicador. </t>
    </r>
  </si>
  <si>
    <r>
      <rPr>
        <b/>
        <sz val="8"/>
        <rFont val="Arial"/>
        <family val="2"/>
      </rPr>
      <t>T1:</t>
    </r>
    <r>
      <rPr>
        <sz val="8"/>
        <rFont val="Arial"/>
        <family val="2"/>
      </rPr>
      <t xml:space="preserve"> Durante el primer trimestre de 2018, se vio reflejado un promedio estable, se hicieron cambios de horarios en la parrilla y reorganización de los contenidos. La emisión más vista fue: Conectados del 09 de enero con 61.250 personas.
</t>
    </r>
    <r>
      <rPr>
        <b/>
        <sz val="8"/>
        <rFont val="Arial"/>
        <family val="2"/>
      </rPr>
      <t xml:space="preserve">T2: </t>
    </r>
    <r>
      <rPr>
        <sz val="8"/>
        <rFont val="Arial"/>
        <family val="2"/>
      </rPr>
      <t xml:space="preserve">Durante el segundo trimestre de 2018, se vio reflejado un alza en las audiencias de Mayo y Junio por los cambios en la parrilla y por eventos especiales y transmisiones del Sistema Informativo. La emisión más vista fue: Conectados del 08 de Mayo con 159.920 personas.
</t>
    </r>
    <r>
      <rPr>
        <b/>
        <sz val="8"/>
        <rFont val="Arial"/>
        <family val="2"/>
      </rPr>
      <t>T3:</t>
    </r>
    <r>
      <rPr>
        <sz val="8"/>
        <rFont val="Arial"/>
        <family val="2"/>
      </rPr>
      <t xml:space="preserve"> Durante el tercer trimestre de 2018, se vio reflejado un alza en la audiencias de Agosto y Septiembre por los cambios en la parrilla y por eventos especiales y transmisiónes. La emisión más vista fue: Vocera del televidente del 13 de Septiembre con 59.640 personas
</t>
    </r>
    <r>
      <rPr>
        <b/>
        <sz val="8"/>
        <rFont val="Arial"/>
        <family val="2"/>
      </rPr>
      <t xml:space="preserve">T4: </t>
    </r>
    <r>
      <rPr>
        <sz val="8"/>
        <rFont val="Arial"/>
        <family val="2"/>
      </rPr>
      <t xml:space="preserve">Durante el cuarto trimestre de 2018, se vio reflejado un descenso en el nivel de audiencias, respecto del anterior timestre por los cambios en la parrilla y por eventos especiales y transmisiónes. </t>
    </r>
  </si>
  <si>
    <r>
      <rPr>
        <b/>
        <sz val="8"/>
        <rFont val="Arial"/>
        <family val="2"/>
      </rPr>
      <t>T1:</t>
    </r>
    <r>
      <rPr>
        <sz val="8"/>
        <rFont val="Arial"/>
        <family val="2"/>
      </rPr>
      <t xml:space="preserve"> Con corte a 31 de marzo de 2018 se realizaron 41 transmisiones entre deportivas y culturales. Entre ellas se destacan: Festival Centro, Transmisión de Concierto Cholo Valderrama, Concierto Inaugural de Semana Santa de la Orquesta Filarmónica de Bogotá, entre otros. 
Nota: Inicialmente se estableció una meta de 120 transmisiones, pero al ver el comportamiento del primer trimestre y las proyecciones esperadas para el resto de la vigencia, se decidió aumentar la meta de transmisiones especiales a 180.
</t>
    </r>
    <r>
      <rPr>
        <b/>
        <sz val="8"/>
        <rFont val="Arial"/>
        <family val="2"/>
      </rPr>
      <t xml:space="preserve">T2: </t>
    </r>
    <r>
      <rPr>
        <sz val="8"/>
        <rFont val="Arial"/>
        <family val="2"/>
      </rPr>
      <t xml:space="preserve">Con corte a 30 de junio de 2018 se realizaron 91 transmisiones adicionales al primer trimestre, entre deportivas y culturales. Entre ellas se destacan: La Feria del Libro, la transmisión de premios Biohó (inclusión), campeonatos de microfútbol como el de taxistas y el de Rusos, entre otros.  Este incremento en el número de transmisiones se debe a la dinámica misma de la programación cultural y deportiva de la ciudad, lo que hace que la dinámica de producción y transmisión de eventos aumente.
</t>
    </r>
    <r>
      <rPr>
        <b/>
        <sz val="8"/>
        <rFont val="Arial"/>
        <family val="2"/>
      </rPr>
      <t xml:space="preserve">T3: </t>
    </r>
    <r>
      <rPr>
        <sz val="8"/>
        <rFont val="Arial"/>
        <family val="2"/>
      </rPr>
      <t xml:space="preserve">Con corte a 30 de septiembre de 2018 se realizaron 105 transmisiones adicionales al segundo trimestre, entre deportivas y culturales. Entre ellas se destacan: Los festivales al parque como Colombia al Parque, Rock al parque y hip hop al parque, más las transmisiones de los deportes novedosos o poco conocidos como el ultimate que hacen parte de convenios que suscribe el Canal para variar su programación sin alejarse del objetivo de educar por medio del deporte. En este período se alcanzó y superó la meta, debido a los diferentes y frecuentes nuevos convenios con ligas deportivas, en su mayoría, que se suscribieron. No obstante, las transmisiones pueden disminuir en la medida en que no se gestionen nuevos contenidos.
</t>
    </r>
    <r>
      <rPr>
        <b/>
        <sz val="8"/>
        <rFont val="Arial"/>
        <family val="2"/>
      </rPr>
      <t>T4:</t>
    </r>
    <r>
      <rPr>
        <sz val="8"/>
        <rFont val="Arial"/>
        <family val="2"/>
      </rPr>
      <t xml:space="preserve"> Con corte a 31 de diciembre se realizaron 86 transmisiones adicionales al tercer trimestre, entre deportivas y culturales. Entre ellas se destacan: los festivales al parque Hip Hop, Salsa al parque,  transmisiones de deportes como: lucha libre, ultimate, boxeo, artes marciales y  baloncesto; también se llevaron a cabo eventos culturales como: senderos del arte indigena, Bogotá corazón de la economía naranja, dance company, la noche de los mejores, noche de luz "ni con el pétalo de una rosa". De igual forma se hicieron transmisiones de navidad que fueron: noche de velitas, canta Bogotá canta, concierto de navidad, más cerca de las estrellas y las novenas de navidad que fueron realizadas en las diferentes locacidades de la ciudad. Frente al periodo anterior la menta en promedio se mantuvo y se cumplieron con los convenios con deportes, cultura y los eventos de navidad más relevantes para la época de diciembre acercando a los hogares capitalinos los eventos que proporcionaba la ciudad. Se recomienda mantener el nivel y estilo de transmisiones culturales y deportivas que brindan variedad en la programción del Canal.</t>
    </r>
  </si>
  <si>
    <r>
      <rPr>
        <b/>
        <sz val="8"/>
        <rFont val="Arial"/>
        <family val="2"/>
      </rPr>
      <t>T1:</t>
    </r>
    <r>
      <rPr>
        <sz val="8"/>
        <rFont val="Arial"/>
        <family val="2"/>
      </rPr>
      <t xml:space="preserve"> En este primer trimestre de 2018, se han realizado las transmisiones que están incluidas en los convenios previamente firmados. Se observa que el año pasado la realización de transmisiones especiales fue más alta, dado que podían suscribir nuevos convenios y alianzas porque no estaban supeditados a la ley de garantías.
</t>
    </r>
    <r>
      <rPr>
        <b/>
        <sz val="8"/>
        <rFont val="Arial"/>
        <family val="2"/>
      </rPr>
      <t>T2:</t>
    </r>
    <r>
      <rPr>
        <sz val="8"/>
        <rFont val="Arial"/>
        <family val="2"/>
      </rPr>
      <t xml:space="preserve"> En este segundo trimestre de 2018, se incrementó el número de transmisiones en comparación con la vigencia anterior, debido a varios factores: a) para estos meses aumenta la dinámica misma de la programación cultural y deportiva de la ciudad, lo que hace que la dinámica de producción y transmisión  de eventos del Canal también aumente. b) Dentro de los eventos especiales, para 2018, se consideran todas y cada una de las transmisiones culturales y deportivas que se hagan en exteriores con las unidades móviles.
</t>
    </r>
    <r>
      <rPr>
        <b/>
        <sz val="8"/>
        <rFont val="Arial"/>
        <family val="2"/>
      </rPr>
      <t xml:space="preserve">T3: </t>
    </r>
    <r>
      <rPr>
        <sz val="8"/>
        <rFont val="Arial"/>
        <family val="2"/>
      </rPr>
      <t xml:space="preserve">En este tercer trimestre de 2018, se incrementó en aproximadamente 20 %, el número de transmisiones en comparación con la vigencia anterior,  debido a varios factores: a) para estos meses aumenta la dinámica misma de la programación cultural y deportiva de la ciudad, lo que hace que la dinámica de producción y transmisión  de eventos del Canal también aumente. b) Dentro de los eventos especiales, para 2018, se consideran todas y cada una de las transmisiones culturales y deportivas que se hagan en exteriores con las unidades móviles. c) Se creó el cargo de Coordinador (a) de transmisiones quién principalmente gestionó la suscripción de nuevos convenios o acuerdos de colaboración para renovar el contenido de las transmisiones, donde se incluyeron nuevas disciplinas deportivas.
</t>
    </r>
    <r>
      <rPr>
        <b/>
        <sz val="8"/>
        <rFont val="Arial"/>
        <family val="2"/>
      </rPr>
      <t xml:space="preserve">T4: </t>
    </r>
    <r>
      <rPr>
        <sz val="8"/>
        <rFont val="Arial"/>
        <family val="2"/>
      </rPr>
      <t>En el cuarto trimestre, aumento significativamente el número de transmisiones,esto se logra gran parte apoyado por el cargo de coordinador de eventos que hizo que los contratos y convenios suscritos empezarán a encaminarce para las transmisiones, esto sumando a la agenda cultural y deportiva de la ciudad y a la época navideña, ampliando así el contenido y la variedad en el canal. Como recomendación la coordinación de producción propone para el equipo de transmisiones un equipo de investigador, realizador y cámarografo que se encargen exclusivamente de apoyar la investigación y realización de los eventosde las transmisiones culturales y deportivas para crear un contenido distinto pero enlazado con la transmisión que se lleve a cabo. Por otro lado, el área debería tener un abogado de derechos del autor al cual se le pueda consultar fácil y rápidamente los temas competentes a la producción.</t>
    </r>
  </si>
  <si>
    <r>
      <rPr>
        <b/>
        <sz val="8"/>
        <rFont val="Arial"/>
        <family val="2"/>
      </rPr>
      <t>T1:</t>
    </r>
    <r>
      <rPr>
        <sz val="8"/>
        <rFont val="Arial"/>
        <family val="2"/>
      </rPr>
      <t xml:space="preserve"> Para dar continuidad al plan de renovación tecnológica, para la presente vigencia se tienen asignados recursos por inversión y por recursos propios. Se realizaron inversiones en torno a poder adquirir infraestructura y equipos que pemitan atender las nuevas demandas tecnológicas del canal. Para el primer trimestre se realizó inversión por $ 199.518.472 en la adquisición actualización del sistema de automatización de emisión, incluyendo la implementación de un sistema de redundancia.
</t>
    </r>
    <r>
      <rPr>
        <b/>
        <sz val="8"/>
        <rFont val="Arial"/>
        <family val="2"/>
      </rPr>
      <t xml:space="preserve">T2: </t>
    </r>
    <r>
      <rPr>
        <sz val="8"/>
        <rFont val="Arial"/>
        <family val="2"/>
      </rPr>
      <t xml:space="preserve">Para dar continuidad al plan de renovación tecnológica, para la presente vigencia se tienen asignados recursos por inversión y por recursos propios. Se realizaron inversiones en torno a poder adquirir infraestructura y equipos que permitan atender las nuevas demandas tecnológicas del canal. Para el segundo trimestre no se realizó inversión en el plan de renovación tecnológica, por lo cual el avance sigue igual al primer trimestre reportado.
</t>
    </r>
    <r>
      <rPr>
        <b/>
        <sz val="8"/>
        <rFont val="Arial"/>
        <family val="2"/>
      </rPr>
      <t xml:space="preserve">T3: </t>
    </r>
    <r>
      <rPr>
        <sz val="8"/>
        <rFont val="Arial"/>
        <family val="2"/>
      </rPr>
      <t xml:space="preserve">Para dar continuidad al plan de renovación tecnológica, para la presente vigencia se tienen asignados recursos por inversión y por recursos propios. Se realizaron inversiones en torno a poder adquirir infraestructura y equipos que permitan atender las nuevas demandas tecnológicas del canal. Para el segundo trimestre no se realizó inversión en el plan de renovación tecnológica, por lo cual el avance sigue igual al primer semestre reportado.
</t>
    </r>
    <r>
      <rPr>
        <b/>
        <sz val="8"/>
        <rFont val="Arial"/>
        <family val="2"/>
      </rPr>
      <t xml:space="preserve">T4: </t>
    </r>
    <r>
      <rPr>
        <sz val="8"/>
        <rFont val="Arial"/>
        <family val="2"/>
      </rPr>
      <t>Para dar continuidad al plan de renovación tecnológica, para la presente vigencia se tienen asignados recursos por inversión y por recursos propios. Se realizaron inversiones en torno a poder adquirir infraestructura y equipos que permitan atender las nuevas demandas tecnológicas del canal. Para el cuarto trimestre se realizó inversión por $ 210.838.298 en la adquisición de un sistema de replay, tres cámaras GoPro y cuatro micrófonos con escudo.</t>
    </r>
  </si>
  <si>
    <r>
      <rPr>
        <b/>
        <sz val="8"/>
        <rFont val="Arial"/>
        <family val="2"/>
      </rPr>
      <t>T1:</t>
    </r>
    <r>
      <rPr>
        <sz val="8"/>
        <rFont val="Arial"/>
        <family val="2"/>
      </rPr>
      <t xml:space="preserve"> Para este periodo se registran ingresos de por concepto de facturación efectuadas durante el primer trimestre, de las negociaciones efectuadas del año 2017 y 2018, realizadas por el área de Ventas y Mercadeo y la comercializadora HB Medios.
Observaciones: Atendiendo las observaciones del área de Control Interno en el informe de seguimiento al plan de acción memorando No. 1619- 2018, se hace un ajuste en la información reportada en el primer trimestre dejando la información de la facturación mensual de los servicios prestados sin IVA.
</t>
    </r>
    <r>
      <rPr>
        <b/>
        <sz val="8"/>
        <rFont val="Arial"/>
        <family val="2"/>
      </rPr>
      <t xml:space="preserve">T2: </t>
    </r>
    <r>
      <rPr>
        <sz val="8"/>
        <rFont val="Arial"/>
        <family val="2"/>
      </rPr>
      <t xml:space="preserve">Para este periodo se registran los ingresos por concepto de facturación efectuados durante el según trimestre producto de las ventas efectuadas en el 2018, realizadas por el área de Ventas y Mercadeo y la comercialización de HB Medios de los servicios de emisión de pauta publicitaria y producción de los siguientes clientes: Lotería del Meta, Universal Group, Logros Publicitarios, Glasir, Mundo Marketing, IPG Media Brans, Inversiones Kyria, Comercializadora ARVE, Go Sport Media, Universal Mccann, Prensa &amp; Entretenimiento, Estrella Grupo Empresarial, Grupo One, TV Ideas, Ideamos Publicidad.
Observaciones: Teniendo en cuenta que por indicaciones del área jurídica del Canal, el área de Ventas y Mercadeo no puede realizar gestiones comerciales (suscribir contratos, convenios y ordenes de servicio) ya que el Canal se encuentra en Ley de Garantías,  se espera que a partir de Junio reanudar  las negociaciones con las entidades privadas para lograr la meta, la información suministrada fue tomada de la facturación del trimestre teniendo en cuenta las ordenes de servicios y contratos suscritos antes de la Ley de Garantías.
</t>
    </r>
    <r>
      <rPr>
        <b/>
        <sz val="8"/>
        <rFont val="Arial"/>
        <family val="2"/>
      </rPr>
      <t xml:space="preserve">T3: </t>
    </r>
    <r>
      <rPr>
        <sz val="8"/>
        <rFont val="Arial"/>
        <family val="2"/>
      </rPr>
      <t xml:space="preserve">Para este periodo se registran los ingresos por concepto de facturación efectuados durante el tercer  trimestre producto de las ventas efectuadas en el 2018, realizadas por el área de Ventas y Mercadeo y la comercialización de HB Medios de los servicios de emisión de pauta publicitaria y producción de los siguientes clientes: Lotería del Meta, Logros Públicitarios, Glasir, Mundo Marketing,Inversiones Kyria, Comercializadora ARVE, Universal Group,  Acomedios, SAVI, entre otros. Para este periodo la meta de ventas fue superada ya que en este reporte se suscribieron ordenes de servicios con entidades privadas para cumplir eventos y/o producción de entidades del Distrito lo cual hizo que las ventas del sector privado aumentaran.
</t>
    </r>
    <r>
      <rPr>
        <b/>
        <sz val="8"/>
        <rFont val="Arial"/>
        <family val="2"/>
      </rPr>
      <t xml:space="preserve">T4: </t>
    </r>
    <r>
      <rPr>
        <sz val="8"/>
        <rFont val="Arial"/>
        <family val="2"/>
      </rPr>
      <t>Para este periodo se registran los ingresos por concepto de facturación efectuados durante el cuarto  trimestre producto de las ventas efectuadas en el 2018, realizadas por el área de Ventas y Mercadeo y la comercialización de HB Medios de los servicios de emisión de pauta publicitaria y producción de los siguientes clientes: Lotería del Meta, Logros Públicitarios, Glasir, Mundo Marketing,Inversiones Kyria, Big Media, UT Optima IPG Media Brans, entre otras. Para este periodo la meta fue superada gracias a la gestión comercial realizada desde el área de Ventas y Mercadeo con agencias de medios en a las cuales se le ofrecieron los servicios de pauta y emisión de programa del Canal teniendo en cuenta los clientes Institucionales que tiene cada agencia, adicionalmente la gestión realizada desde la comercializadora la cual ha logrado posicionar horarios y clientes de de servicios de Televentas aumentando mes a mes la emisión de programa.</t>
    </r>
  </si>
  <si>
    <r>
      <rPr>
        <b/>
        <sz val="8"/>
        <rFont val="Arial"/>
        <family val="2"/>
      </rPr>
      <t>T1:</t>
    </r>
    <r>
      <rPr>
        <sz val="8"/>
        <rFont val="Arial"/>
        <family val="2"/>
      </rPr>
      <t xml:space="preserve"> A corte del primer trimestre se generaron ingresos por concepto de facturación correspondientes a las negociaciones efectuadas en 2017 y 2018  por parte de las entidades públicas y privadas teniendo en cuenta que son gestiones comerciales y/o contratos realizados en el área de Ventas y Mercadeo.
Observaciones: Atendiendo las observaciones del área de Control Interno en el informe de seguimiento al plan de acción memorando No. 1619- 2018, se hace un ajuste en la información reportada en el primer trimestre dejando la información de la facturación mensual de los servicios prestados sin IVA.
</t>
    </r>
    <r>
      <rPr>
        <b/>
        <sz val="8"/>
        <rFont val="Arial"/>
        <family val="2"/>
      </rPr>
      <t xml:space="preserve">T2: </t>
    </r>
    <r>
      <rPr>
        <sz val="8"/>
        <rFont val="Arial"/>
        <family val="2"/>
      </rPr>
      <t xml:space="preserve">Para este periodo se registran los ingresos por concepto de facturación efectuados durante el según trimestre producto de las ventas efectuadas en el 2018, realizadas por el área de Ventas y Mercadeo de los servicios de emisión de pauta publicitaria y producción de TV de los siguientes clientes: Empresa de Telecomunicaciones de Bogotá, Secretaría de Hacienda.
Observaciones: Teniendo en cuenta que por indicaciones del área jurídica del Canal, el área de Ventas y Mercadeo no puede realizar gestiones comerciales (suscribir contratos, convenios y ordenes de servicio) ya que el Canal se encuentra en Ley de Garantías,  se espera que a partir de Junio reanudar  las negociaciones con las entidades privadas para lograr la meta, la información suministrada fue tomada de la facturación del trimestre teniendo en cuenta las ordenes de servicios y contratos suscritos antes de la Ley de Garantías.
</t>
    </r>
    <r>
      <rPr>
        <b/>
        <sz val="8"/>
        <rFont val="Arial"/>
        <family val="2"/>
      </rPr>
      <t>T3:</t>
    </r>
    <r>
      <rPr>
        <sz val="8"/>
        <rFont val="Arial"/>
        <family val="2"/>
      </rPr>
      <t xml:space="preserve"> Teniendo en cuenta que para la versión tres (03) del plan de acción se hizo el ajuste de la meta para el presente indicador pasando de $5.500 millones a $2.023 millones, que corresponden al valor real de lo proyectado en la planeación de ingresos por ventas con el sector público de la vigencia 2018, se hizo necesario hacer la redistribución de la meta trimestral </t>
    </r>
    <r>
      <rPr>
        <u/>
        <sz val="8"/>
        <rFont val="Arial"/>
        <family val="2"/>
      </rPr>
      <t>en proporción</t>
    </r>
    <r>
      <rPr>
        <sz val="8"/>
        <rFont val="Arial"/>
        <family val="2"/>
      </rPr>
      <t xml:space="preserve"> a lo planeado inicialmente. Para este periodo se registrarón ingresos por concepto de facturación efectuados durante el tercer trimestre producto de las ventas efectudas y realizadas por el área de Ventas y Mercadeo de los srvicios de emisión de pauta publicitaria y producción de TV de los siguientes clientes: Secretaría de Hacienda (Consejo de Bogotá), Empresa de Telecomunicaciones de Bogotá, Jurisdicción Especial para la Paz, Canal Trece, Orquesta Filarmonica de Bogotá, entre otras.
</t>
    </r>
    <r>
      <rPr>
        <b/>
        <sz val="8"/>
        <rFont val="Arial"/>
        <family val="2"/>
      </rPr>
      <t xml:space="preserve">T4: </t>
    </r>
    <r>
      <rPr>
        <sz val="8"/>
        <rFont val="Arial"/>
        <family val="2"/>
      </rPr>
      <t xml:space="preserve">Para este periodo se registran los ingresos por concepto de facturación efectuados durante el cuarto trimestre producto de las ventas efectuadas en el 2018, de los servicios de  emisión  y producción de TV de los siguientes clientes: Empresa de Telecomunicaciones de Bogotá, Secretaría de Hacienda, Secretaria Distrital de Cultura Recreación y Deporte, Orquesta Filarmonica, Unidad Administrativa Especial Cuerpo Oficial de Bomberos de Bogotá D.C., Jurisdicción Especial para la Paz, entre otras. Para este período se logro cumplir la meta teniendo en cuenta nuevos contratos suscritos con entidades del Distrito en los cuales se ofrecieron los servicios de producción y emisión de Canal Capital. </t>
    </r>
  </si>
  <si>
    <r>
      <rPr>
        <b/>
        <sz val="8"/>
        <rFont val="Arial"/>
        <family val="2"/>
      </rPr>
      <t>T1:</t>
    </r>
    <r>
      <rPr>
        <sz val="8"/>
        <rFont val="Arial"/>
        <family val="2"/>
      </rPr>
      <t xml:space="preserve"> Durante el primer trimestre de la vigencia 2018, la Subdirección Financiera, entregó oportunamente a la alta gerencia mediante los memorandos No. 296 ,884 y 1057, Los informes del plan de acción correspondiente a los meses de enero, febrero y marzo, dando cumplimiento al objetivo estratégico.
Los anteriores informes corresponden al  cierre de cada mes  en donde  se refleja el estado detallado de la situación financiera, mostrando la ejecución de presupuesto de ingresos y gastos,  los estados financieros, el reportes de cartera y el estado del flujo de caja; los cuales permiten identificar si existe o no  cumplimiento de las metas proyectadas para la vigencia en materia financiera y tomar  las decisiones y directrices adecuadas para lograr una eficiencia en el  manejo de los recursos, con el fin de poder cumplir con los compromisos adquiridos al cierre de la vigencia fiscal.
</t>
    </r>
    <r>
      <rPr>
        <b/>
        <sz val="8"/>
        <rFont val="Arial"/>
        <family val="2"/>
      </rPr>
      <t xml:space="preserve">T2: </t>
    </r>
    <r>
      <rPr>
        <sz val="8"/>
        <rFont val="Arial"/>
        <family val="2"/>
      </rPr>
      <t xml:space="preserve">Durante el segundo trimestre de la vigencia 2018, la Subdirección Financiera, entregó oportunamente a la alta gerencia mediante los memorandos No. 1057 ,1556 y 1925, Los informes del plan de acción correspondiente a los meses de abril, mayo y junio, dando cumplimiento al objetivo estratégico, los cuales permiten identificar si existe o no  cumplimiento de las metas proyectadas para la vigencia en materia financiera y tomar  las decisiones y directrices adecuadas para lograr una eficiencia en el  manejo de los recursos, con el fin de poder cumplir con los compromisos adquiridos al cierre de la vigencia fiscal, dichos informes contienen los cierres mensuales los cuales  reflejan el estado detallado de la situación financiera, mostrando la ejecución de presupuesto de ingresos y gastos,  los estados financieros, el reportes de cartera y el estado del flujo de caja.
</t>
    </r>
    <r>
      <rPr>
        <b/>
        <sz val="8"/>
        <rFont val="Arial"/>
        <family val="2"/>
      </rPr>
      <t>T3:</t>
    </r>
    <r>
      <rPr>
        <sz val="8"/>
        <rFont val="Arial"/>
        <family val="2"/>
      </rPr>
      <t xml:space="preserve"> Al finalizar el tercer trimestre de la presente vigencia, se realizó el envío de la información del estado financiero actual de Canal Capital, para de esta manera brindar el sustento adecuado a la Alta Gerencia mediante los informes del Plan de Acción de los meses de julio, agosto y septiembre respectivamente, mediante los memorando N° 2303, 2564 y correo electrónico remitido el  12 de Octubre, detallando temas de suma importancia tales como:  ejecución de presupuesto de ingresos y gastos,  los estados financieros, el reportes de cartera y el estado del flujo de caja. Buscando identificar y cuantificar el cumplimiento de las metas proyectadas para la vigencia actual y así, determinar las acciones a llevar a cabo de acuerdo a los compromisos adquiridos.
</t>
    </r>
    <r>
      <rPr>
        <b/>
        <sz val="8"/>
        <rFont val="Arial"/>
        <family val="2"/>
      </rPr>
      <t xml:space="preserve">T4: </t>
    </r>
    <r>
      <rPr>
        <sz val="8"/>
        <rFont val="Arial"/>
        <family val="2"/>
      </rPr>
      <t>Al culminar la vigencia 2018, se realizó la divulgación a la Alta Gerencia  mediante los informes del Plan de Acción de los meses de octubre, noviembre y diciembre, mediante los memorando N° 3058 y 3313 de 2018 y 0034 de 2019, donde se detalla temas relacionados con la ejecución del presupuestode ingresos y gastos, así mismo, el detalle de la facturación y cartera y el análisis de las cifras detallasdas en el Estado de Situación Financiera y Estado de Resultdos Integral; para de esta manera evaluar el cumplimiento de las metas proyectadas.</t>
    </r>
  </si>
  <si>
    <r>
      <rPr>
        <b/>
        <sz val="8"/>
        <rFont val="Arial"/>
        <family val="2"/>
      </rPr>
      <t>T1:</t>
    </r>
    <r>
      <rPr>
        <sz val="8"/>
        <rFont val="Arial"/>
        <family val="2"/>
      </rPr>
      <t xml:space="preserve"> Para el primer trimestre de la vigencia, se pondera el avance en la actualización de la plataforma estratégica en 20%, de acuerdo con los avances realizados en el periodo y que se describen a continuación:
* Se avanzó en la documentación de una propuesta de plataforma estratégica por parte de planeación, teniendo en cuenta lo requerido para la misma en las jornadas de socialización del MIPG, la revisión de la plataforma vigente y los estatutos internos de la entidad.
* Se programa realizar un ejercicio de revisión de la plataforma junto con el área misional de la entidad, con el fin de generar una propuesta que cuente con la perspectiva de la Dirección Operativa y sus diferentes Coordinaciones; El ejercicio se proyecta a realizar en el transcurso del segundo trimestre de la entidad.
* Igualmente, se programa revisión con la Secretaría General de la entidad, la cual se proyecta para el segundo trimestre de la vigencia.
Observación: El cumplimiento de esta acción está sujeta al compromiso y participación de todas las áreas de la entidad, en su participación en la propuesta de la nueva plataforma estratégica. Así mismo, para los siguientes periodos se programarán las sesiones pertinentes para revisar y mejorar las propuestas que vayan surgiendo.
</t>
    </r>
    <r>
      <rPr>
        <b/>
        <sz val="8"/>
        <rFont val="Arial"/>
        <family val="2"/>
      </rPr>
      <t xml:space="preserve">T2: </t>
    </r>
    <r>
      <rPr>
        <sz val="8"/>
        <rFont val="Arial"/>
        <family val="2"/>
      </rPr>
      <t xml:space="preserve">En el segundo trimestre se convocó desde la Secretaria General a una reunión con las áreas de la entidad que lideran procesos tanto de contenidos como de nivel administrativo y operativo, en dicha reunión se socializo con los miembros asistentes la necesidad de formular una plataforma estratégica que contemplara cada la visión de las áreas que representaban.
Ante dicha solicitud únicamente dos áreas presentaron propuestas y ellas fueron el área de planeación y la Dirección Operativa quien solicitó acompañamiento a planeación para realizar la formulación. 
Posteriormente se presentó una propuesta final de Plataforma Estratégica ante el Comité de Gestión y Desempeño y en ella se avaló la creación de dicha plataforma de manera transitoria.
Observación: Para el tercer trimestre se trabajará a partir de las observaciones generadas desde la alta dirección del Canal con el fin de consolidar y aprobar la versión final de la plataforma estratégica de la entidad.
</t>
    </r>
    <r>
      <rPr>
        <b/>
        <sz val="8"/>
        <rFont val="Arial"/>
        <family val="2"/>
      </rPr>
      <t xml:space="preserve">T3: </t>
    </r>
    <r>
      <rPr>
        <sz val="8"/>
        <rFont val="Arial"/>
        <family val="2"/>
      </rPr>
      <t xml:space="preserve">En el tercer trimestre se trabajó a partir de las observaciones de la alta dirección del canal en la propuesta de plataforma estratégica, dejando la misma en su versión final para la revisión y aprobación de la alta dirección para el cuarto trimestre.
</t>
    </r>
    <r>
      <rPr>
        <b/>
        <sz val="8"/>
        <rFont val="Arial"/>
        <family val="2"/>
      </rPr>
      <t xml:space="preserve">T4: </t>
    </r>
    <r>
      <rPr>
        <sz val="8"/>
        <rFont val="Arial"/>
        <family val="2"/>
      </rPr>
      <t>Para el último trimestre de la vigencia 2018, la Alta Dirección de la entidad revisó la propuesta de plataforma estratégica presentada, considerando que había temas por fortalecer y decidió continuar la meta para la vigencia 2019, por lo que el avance reportado en el tercer trimestre se mantuvo en el cuarto trimestre de 2018. Para la vigencia 2019 se dará continuidad al proceso de actualización de la plataforma estratégica, de acuerdo con los lineamientos que establezca la alta dirección para este fin.</t>
    </r>
  </si>
  <si>
    <r>
      <rPr>
        <b/>
        <sz val="8"/>
        <rFont val="Arial"/>
        <family val="2"/>
      </rPr>
      <t>T1:</t>
    </r>
    <r>
      <rPr>
        <sz val="8"/>
        <rFont val="Arial"/>
        <family val="2"/>
      </rPr>
      <t xml:space="preserve"> En el primer trimestre de 2018 se enviaron desde Talento Humano, correos electrónicos a los jefes de las diferentes áreas, solicitando la revisión de los perfiles a su cargo y el envío de los ajustes o modificaciones. Se recibieron respuestas sobre los diez perfiles enviados para revisión.
</t>
    </r>
    <r>
      <rPr>
        <b/>
        <sz val="8"/>
        <rFont val="Arial"/>
        <family val="2"/>
      </rPr>
      <t xml:space="preserve">T2: </t>
    </r>
    <r>
      <rPr>
        <sz val="8"/>
        <rFont val="Arial"/>
        <family val="2"/>
      </rPr>
      <t xml:space="preserve">Se revisaron los catorce (14) cargos restantes correspondientes a trabajadores oficiales y se proyectó el borrador de resolución por el cual se modifica el manual específico de funciones, requisitos y competencias de Canal Capital.
</t>
    </r>
    <r>
      <rPr>
        <b/>
        <sz val="8"/>
        <rFont val="Arial"/>
        <family val="2"/>
      </rPr>
      <t>T3:</t>
    </r>
    <r>
      <rPr>
        <sz val="8"/>
        <rFont val="Arial"/>
        <family val="2"/>
      </rPr>
      <t xml:space="preserve"> Con la Resolución 110 del 27 de julio de 2018 se completó la revisión de la totalidad de los cargos de la planta de personal de la entidad.
</t>
    </r>
    <r>
      <rPr>
        <b/>
        <sz val="8"/>
        <rFont val="Arial"/>
        <family val="2"/>
      </rPr>
      <t xml:space="preserve">T4: </t>
    </r>
    <r>
      <rPr>
        <sz val="8"/>
        <rFont val="Arial"/>
        <family val="2"/>
      </rPr>
      <t>Con la Resolución 110 del 27 de julio de 2018 se completó la revisión de la totalidad de los cargos de la planta de personal de la entidad teniendo en cuenta que para los seis (6) cargos del nivel directivo se envió para revisión al Servicio Civil Distrital,  el proyecto de actualización del manual de funciones para concepto técnico. El mismo se recibió el 21 de diciembre de 2018.</t>
    </r>
  </si>
  <si>
    <r>
      <rPr>
        <b/>
        <sz val="8"/>
        <rFont val="Arial"/>
        <family val="2"/>
      </rPr>
      <t>T1:</t>
    </r>
    <r>
      <rPr>
        <sz val="8"/>
        <rFont val="Arial"/>
        <family val="2"/>
      </rPr>
      <t xml:space="preserve"> En el primer trimestre de 2018, la Secretaría General formuló las metas 2018 de las áreas que la comprenden para iniciar el respectivo control y seguimiento a partir del segundo trimestre de 2018 lo que corresponde al 20% de la gestión a realizar para las respectivas mediciones en lo corrido de la vigencia. Internamente, la Secretaría General definirá el mecanismo mediante el cual medirá los avances en el cumplimiento de las metas propuestas para 2018.
</t>
    </r>
    <r>
      <rPr>
        <b/>
        <sz val="8"/>
        <rFont val="Arial"/>
        <family val="2"/>
      </rPr>
      <t xml:space="preserve">T2: </t>
    </r>
    <r>
      <rPr>
        <sz val="8"/>
        <rFont val="Arial"/>
        <family val="2"/>
      </rPr>
      <t xml:space="preserve">De acuerdo con la matriz de seguimiento a las metas de las áreas que corresponden a la Secretaría General, se reporta un avance del 54,67% correspondiente a: 
1. Formulación de las metas (20%).
2. Ponderación en los avances de las actividades de las áreas de la Secretaría General (34,67%), que se distribuyen de la siguiente manera:
- Acción 1: Definición de la nueva plataforma estratégica (21,33%).
- Acción 2: Reorganización administrativa (0%).
- Acción 3: Automatización y actualización normativa de procesos contractuales, administrativo y financieros (13,33%).
Como acción para la mejora, por parte de la Secretaría General se revisará y se realizará la gestión necesaria a fin de avanzar en el cumplimiento de las acciones proyectadas por las áreas.
</t>
    </r>
    <r>
      <rPr>
        <b/>
        <sz val="8"/>
        <rFont val="Arial"/>
        <family val="2"/>
      </rPr>
      <t xml:space="preserve">T3: </t>
    </r>
    <r>
      <rPr>
        <sz val="8"/>
        <rFont val="Arial"/>
        <family val="2"/>
      </rPr>
      <t xml:space="preserve">De acuerdo con la matriz de seguimiento a las metas de las áreas que corresponden a la Secretaría General, se reporta un avance del 81,33% correspondiente a: 
1. Formulación de las metas (20%).
2. Ponderación en los avances de las actividades de las áreas de la Secretaría General (61,33%), que se distribuyen de la siguiente manera:
- Acción 1: Definición de la nueva plataforma estratégica (21,33%).
- Acción 2: Reorganización administrativa (21,33%).
- Acción 3: Automatización y actualización normativa de procesos contractuales, administrativo y financieros (18,67%).
Como acción para la mejora, por parte de la Secretaría General se revisará y se realizará la gestión necesaria a fin de avanzar en el cumplimiento de las acciones proyectadas por las áreas.
</t>
    </r>
    <r>
      <rPr>
        <b/>
        <sz val="8"/>
        <rFont val="Arial"/>
        <family val="2"/>
      </rPr>
      <t xml:space="preserve">T4: </t>
    </r>
    <r>
      <rPr>
        <sz val="8"/>
        <rFont val="Arial"/>
        <family val="2"/>
      </rPr>
      <t>De acuerdo con la matriz de seguimiento a las metas de las áreas que corresponden a la Secretaría General, se reporta un avance del 86,67% correspondiente a: 
1. Formulación de las metas (20%).
2. Ponderación en los avances de las actividades de las áreas de la Secretaría General (66,67%), que se distribuyen de la siguiente manera:
- Acción 1: Definición de la nueva plataforma estratégica (21,33%).
- Acción 2: Reorganización administrativa (24%).
- Acción 3: Automatización y actualización normativa de procesos contractuales, administrativo y financieros (21,33%).
Los compromisos pendientes se contemplarán en la vigencia 2019.</t>
    </r>
  </si>
  <si>
    <t>1/0%</t>
  </si>
  <si>
    <r>
      <rPr>
        <b/>
        <sz val="8"/>
        <rFont val="Arial"/>
        <family val="2"/>
      </rPr>
      <t>T1:</t>
    </r>
    <r>
      <rPr>
        <sz val="8"/>
        <rFont val="Arial"/>
        <family val="2"/>
      </rPr>
      <t xml:space="preserve"> Se realizaron inducciones en el cargo para el Jefe de Control Interno y el Director Operativo, estas inducciones se realizaron en el mes de enero de 2018
</t>
    </r>
    <r>
      <rPr>
        <b/>
        <sz val="8"/>
        <rFont val="Arial"/>
        <family val="2"/>
      </rPr>
      <t xml:space="preserve">T2: </t>
    </r>
    <r>
      <rPr>
        <sz val="8"/>
        <rFont val="Arial"/>
        <family val="2"/>
      </rPr>
      <t xml:space="preserve">En marzo estaba planeada la charla de Ambientes laborales inclusivos, no se ha podido realizar, quedando pendiente la fecha de programación por parte de la Dirección de Diversidad Sexual de la Secretaría de Planeación Distrital. En Abril se realizó una reinducción en Gestión Documental no planeada pero necesaria en retención documental y Tablas de Retención Documental, temas que son fundamentales en  la entidad  y en  junio se realizó la reinducción en seguridad informática. Adicional se está realizando una reinducción con el Departamento Administrativo del Servicio Civil Distrital, la cual no estaba planeada pero aprovechó el ofrecimiento de esta reinducción con temas muy importantes para los servidores públicos del Canal.
</t>
    </r>
    <r>
      <rPr>
        <b/>
        <sz val="8"/>
        <rFont val="Arial"/>
        <family val="2"/>
      </rPr>
      <t xml:space="preserve">T3: </t>
    </r>
    <r>
      <rPr>
        <sz val="8"/>
        <rFont val="Arial"/>
        <family val="2"/>
      </rPr>
      <t xml:space="preserve">En julio se realizó el programa de inducción y reinducción virtual del Servicio Civil para los 30 servidores del Canal, esta tema no estaba planeado, por cuanro el servicio civil lo adelanto en en el 2 trimestre de 2018.Se realizó inducción a los contratistas del Canal. Se realizaron inducciones de Lina Fernández y Monica Sarmiento en el mes de agosto. Y se  realizón inducción de Dairo Alberto Oviedo en el mes de septiembre.
</t>
    </r>
    <r>
      <rPr>
        <b/>
        <sz val="8"/>
        <rFont val="Arial"/>
        <family val="2"/>
      </rPr>
      <t xml:space="preserve">T4: </t>
    </r>
    <r>
      <rPr>
        <sz val="8"/>
        <rFont val="Arial"/>
        <family val="2"/>
      </rPr>
      <t xml:space="preserve">En noviembre se realizó una jornada general de reinducción para todo el Canal. Se realizó inducción a Claudia Ximena Marquez. Se realizó una charla en gestión documental. En diciembre se realizó la charla de inducción de la Politica LGTBI. </t>
    </r>
  </si>
  <si>
    <r>
      <rPr>
        <b/>
        <sz val="8"/>
        <rFont val="Arial"/>
        <family val="2"/>
      </rPr>
      <t>T1:</t>
    </r>
    <r>
      <rPr>
        <sz val="8"/>
        <rFont val="Arial"/>
        <family val="2"/>
      </rPr>
      <t xml:space="preserve"> En el primer trimestre se realizaron las siguientes actividades:
Visita Compensar, Día cumpleaños, Campaña Bici al Canal, Actividad prevención, Día de la Mujer, Día del Hombre, Tarjeta cumpleaños.
</t>
    </r>
    <r>
      <rPr>
        <b/>
        <sz val="8"/>
        <rFont val="Arial"/>
        <family val="2"/>
      </rPr>
      <t xml:space="preserve">T2: </t>
    </r>
    <r>
      <rPr>
        <sz val="8"/>
        <rFont val="Arial"/>
        <family val="2"/>
      </rPr>
      <t xml:space="preserve">En abril se realizaron las siguientes actividades: Día de cumpleaños, visitas empresariales, tarjeta virtual de cumpleaños, visita mensual de compensar, tiempo preciado con los bebes (sala amiga), clases de yoga, pilates o rumba, campaña en bici al canal, día de la secretaría. La caminata ecológica se reprogramó para la semana ambiental.
En mayo se realizaron las siguientes actividades: Día de cumpleaños, visitas empresariales, tarjeta virtual de cumpleaños, visita mensual de compensar, tiempo preciado con los bebes (sala amiga), clases de yoga, pilates o rumba, Campaña en bici al canal.
En junio se realizaron las siguientes actividades: Día de cumpleaños, visitas empresariales, tarjeta virtual de cumpleaños, visita mensual de compensar, tiempo preciado con los bebes (sala amiga), clases de yoga, pilates o rumba, Campaña en bici al canal, actividades de prevención y salud. No se realizó el torneo de microfútbol planeado entre junio y julio, se realizará en julio, y la tarde de cine está pendiente por confirmar con el operador la fecha. Se realizó la caminata ecológica el 16 de junio de 2018.
</t>
    </r>
    <r>
      <rPr>
        <b/>
        <sz val="8"/>
        <rFont val="Arial"/>
        <family val="2"/>
      </rPr>
      <t xml:space="preserve">T3: </t>
    </r>
    <r>
      <rPr>
        <sz val="8"/>
        <rFont val="Arial"/>
        <family val="2"/>
      </rPr>
      <t xml:space="preserve">En julio se realizaron las siguientes actividades: Día de cumpleaños, visitas empresariales, tarjeta virtual de cumpleaños, visita mensual de compensar, tiempo preciado con los bebes (sala amiga), clases de yoga, pilates o rumba, Campaña en bici al canal.  No se realizó el torneo de microfutbol planeado entre junio y julio. En agosto se realizó todo lo mencionado anteriomente, adicionalmentee se realizó un setch de acoso laboral relacionado en el manual de convivenica y se inicio el torne interno de microfutbol. No se realizó la semana de la salud por cuanto la sala de capacitación estaba ocupada y era indispensable por todas las actividades que se realizan. En septiembre se acabo el torneo de Microfutbol. No se realizó la noche de teatro por que surgieron inconvenientes ocn los operadores. Y tennis de m esa por que se estaba en ell torne de microfutbol y se cruzaban los horarios y posibles jugadores.
</t>
    </r>
    <r>
      <rPr>
        <b/>
        <sz val="8"/>
        <rFont val="Arial"/>
        <family val="2"/>
      </rPr>
      <t xml:space="preserve">T4: </t>
    </r>
    <r>
      <rPr>
        <sz val="8"/>
        <rFont val="Arial"/>
        <family val="2"/>
      </rPr>
      <t>Se realizaron las siguientes actividades: Día de cumpleaños, visitas empresariales, tarjeta virtual de cumpleaños, visita mensual de compensar, tiempo preciado con los bebes (sala amiga), clases de yoga, pilates o rumba, Campaña en bici al canal, Día del Servidor Público Distrital, Tarde de juego, Entrega de los Bonos Navideños y las novenas navideñas. Entre octubre y noviembre se realizó el torneo de tenis de mesa. Se celebró el cumpleaños del canal, se realizó la tarde de cine, la noche de teatro. El taller de prepensionados se cambio por una taller gourmet, debido al que el DASCD realizo una charla para los prepensionados. Por motivos de logisitca de la sala de capacitación hasta octubre se pudo realizar la semana de la salud. Y en cuanto a reconocimientos se premiaron los ganadores de bolos, tenis de mesa y de microfutbol. En diciembre se realizó el informe final de cierre de gestión en el parque mundo aventura.</t>
    </r>
  </si>
  <si>
    <r>
      <rPr>
        <b/>
        <sz val="8"/>
        <rFont val="Arial"/>
        <family val="2"/>
      </rPr>
      <t>T1:</t>
    </r>
    <r>
      <rPr>
        <sz val="8"/>
        <rFont val="Arial"/>
        <family val="2"/>
      </rPr>
      <t xml:space="preserve"> Dando cumplimiento a las fases establecidas en la resolución 1111 de 2017, las actividades del SG-SST para el 2018 están fundamentadas en la evaluación inicial y el plan de mejoramiento, Este trimestre en conjunto con la ARL las actividades se enfocaron en la estructuración documental del Subsistema.
Enero: Autoevaluación inicial – Plan de mejoramiento.
Febrero: Identificación de riesgos prioritarios y caracterización de los colaboradores que se encuentran expuestos (programa de prevención contra caídas y programa de riesgo químico - Coordinación con ARL plan de trabajo).
Marzo: Estructuración documental -  Estrategia de comunicaciones notas saludables - Reuniones del Copasst y comité de convivencia laboral – Actividades ARL (reclasificación de contratistas – capacitaciones – Jornadas saludables).
Las obligaciones relacionadas con la seguridad y salud en el trabajo deben estar incluidas dentro del contrato de los contratistas, se realiza reunión con el área jurídica para que dichas obligaciones aparezcan para los futuros contratos.
La actividad no ejecutada fue socializada en la entidad varias veces con el objetivo de obtener la información, la respuesta al diligenciamiento no ha sido relevante se realizará mayor socialización para poder cumplir con la meta trazada.
</t>
    </r>
    <r>
      <rPr>
        <b/>
        <sz val="8"/>
        <rFont val="Arial"/>
        <family val="2"/>
      </rPr>
      <t xml:space="preserve">T2: </t>
    </r>
    <r>
      <rPr>
        <sz val="8"/>
        <rFont val="Arial"/>
        <family val="2"/>
      </rPr>
      <t xml:space="preserve">En el segundo trimestre se realizaron las siguientes actividades: • Actualización documentación del SG-SST. • Quedo realizado con corte a Junio 30-2018 el levantamiento perfil sociodemográfico de la totalidad del contratistas. • 2 jornadas de alimentación saludable. • Divulgación de notas saludables a través de correo institucional y televisores. • Actividades de prevención, cuidado de la piel, cuidado de los ojos, manejo del estrés. • Se realizaron 3 reuniones del COPASST  (abril – mayo – junio) • Elección y conformación del COPASST (2018 - 2020) • Se realizó reunión del comité de convivencia laboral correspondiente al segundo trimestre del 2018. • Obra de teatro difundiendo conceptos de acoso laboral. • Gestionar todas las actividades correspondientes a reinversión de aportes con la ARL (Pausas activas- Sensibilización sustancias químicas – Conceptos técnicos referentes al SG – SST). • Gestión de capacitación y formación de forma gratuita en trabajo seguro en alturas para los contratistas del Canal por intermedio del SENA. • Se realizó 2 investigaciones de accidente de trabajo y sus correspondientes procedimientos. Teniendo en cuentas las dificultades presentadas durante el trimestre anterior para el levantamiento de información y diligenciamiento del perfil sociodemográfico de contratistas, para este periodo se planteó la estrategia de realizar este trabajo de forma conjunta con la afiliación a la ARL, esta estrategia debe ser aplicada en los futuros procesos de contratación.
</t>
    </r>
    <r>
      <rPr>
        <b/>
        <sz val="8"/>
        <rFont val="Arial"/>
        <family val="2"/>
      </rPr>
      <t xml:space="preserve">T3: </t>
    </r>
    <r>
      <rPr>
        <sz val="8"/>
        <rFont val="Arial"/>
        <family val="2"/>
      </rPr>
      <t xml:space="preserve">Aplicacion de inducciones de seguridad y salud en el trabajo a 250 contratistas - Consolidacion digital de los examenes medicos ocupacionales de los contratistas - 2 jornadas de alimentación saludable - Divulgación de notas saludables a través de correo institucional y televisores. - Se realizaron 3 reuniones del COPASST  (Julio – Agosto – Septiembre) - Se realizaron actividades referentes al comité de convivencia laboral correspondiente al tercer trimestre del 2018 (Teatro corporativo enfocado a la prevencion del acoso laboral - creacion de correo espefico para recepcion de quejas al comite- Reunion  trimestral - Atencion y tramite de 1 queja - Capacitacion dirigida por personal de la secretaria de la mujer - Conceptos técnicos referentes a la resolucion de conflictos entre contatistas). - Gestionar todas las actividades correspondientes a reinversión de aportes con la ARL (Pausas activas- Asesorias tecnicas en exposicion a radiaciones ionizantes –  SG – SST) - Para este trimestre no hubo reportes de accidentes de trabajo - Capacitacion a la brigada de emeregencias en manejo de extintores y procedimientos de evacuacion - Divulgacion del plan de emergencia y de seguridad del Canal. - Promocion del deporte y habitos de vida saludable atravez del torneo interno de futbol 5 .
</t>
    </r>
    <r>
      <rPr>
        <b/>
        <sz val="8"/>
        <rFont val="Arial"/>
        <family val="2"/>
      </rPr>
      <t xml:space="preserve">T4: </t>
    </r>
    <r>
      <rPr>
        <sz val="8"/>
        <rFont val="Arial"/>
        <family val="2"/>
      </rPr>
      <t>En el cuarto trimestre se realizaron las siguientes actividades: • Actualización permanente del perfil sociodemográfico de los contratistas. • Consolidación digital de los exámenes médicos ocupacionales de los contratistas. • Dos (2) jornadas de alimentación saludable. • Ejecución del programa de seguridad basada en el comportamiento (Capital Seguro). • Se realizaron 3 reuniones del COPASST  (Octubre – Noviembre – Diciembre). • Se realizaron actividades referentes al comité de convivencia laboral correspondiente al cuarto trimestre del 2018 (Capacitación sobre enfoque de género y comunicación no sexista - Informe cierre de gestión del CCL 2018). • Gestionar todas las actividades correspondientes a reinversión de aportes con la ARL (Pausas activas - Sensibilización sobre consumo de alcohol, tabaco y sustancias psicoactivas - Reentrenamiento cursos de altura - Asesorías técnicas sobre el PESV). • Para este trimestre no hubo reportes de accidentes de trabajo. • Capacitación a la brigada de emergencias, preparación y ejecución del simulacro de evacuación. • Ejecución de la semana de la salud 2018 (jornada de donación de sangre, Cuidado de los ojos, Lonchera saludable, prevención cáncer de seno). • Actualización documental matriz de peligros y matriz legal del SGSST. • Evaluación de riesgos psicosocial.  Como acción para la mejora en relación con el plan de seguridad y salud en el trabajo, se propone desde el área consolidar todas las actividades referentes al SG-SST (acciones, verificaciones y capacitaciones) dentro del plan de trabajo anual y de esta forma realizar el correspondiente seguimiento, para la siguiente vigencia.</t>
    </r>
  </si>
  <si>
    <r>
      <rPr>
        <b/>
        <sz val="8"/>
        <rFont val="Arial"/>
        <family val="2"/>
      </rPr>
      <t>T1:</t>
    </r>
    <r>
      <rPr>
        <sz val="8"/>
        <rFont val="Arial"/>
        <family val="2"/>
      </rPr>
      <t xml:space="preserve"> En el primer trimestre del año 2018 se adelantaron actividades enfocadas en la divulgación de información de piezas comunicativas asociadas al cuidado del agua y la energía a través del correo institucional del Canal; así mismo se adelantó el inventario de sistemas hidrosanitarios del Canal en el cual se identificó la cantidad de puntos de agua con sistema ahorrador así como el estado de funcionamiento de los mismos. Con el apoyo del programa de Seguridad y Salud en el Trabajo - SST se realizó la primera charla sobre manejo de sustancias peligrosas, la cual apunta al cumplimiento de la meta de Gestión de Residuos Peligrosos del Canal.  Respecto al programa de compras, en el mes de marzo se realizó la socialización de las herramientas actuales enfocadas a promover prácticas institucionales ambientalmente adecuadas respecto a la contratación de bienes y servicios del Canal. Finalmente se remitió el Plan Integral de Movilidad Sostenible - PIMS del Canal a la Secretaría de Movilidad quedando pendiente el visto bueno de dicha entidad para la aprobación interna del documento en mención.  Nota: Es importante tener en cuenta que para el segundo semestre del año 2018 las acciones tendrán un seguimiento nuevo teniendo en cuenta el ajuste de algunas actividades y metas según las observaciones planteadas por la Secretaría Distrital de Ambiente, si bien esto no impacta el avance si puede representar una variación respecto a lo reportado para el primer trimestre del año.
Como oportunidades de mejora para el periodo, fueron definidas las siguientes:
- Se plantearán seguimientos acumulados del primer y segundo trimestre teniendo en cuenta la facturación entregada por la administración del edificio.
- Los informes sobre los cuales no se ha entregado reporte serán presentados entre los meses de abril y mayo. 
- Las capacitaciones asociadas al manejo de residuos no peligrosos se realizará en el segundo trimestre del año.
- En el mes de abril se presentó un ajuste al Plan de Acción el cual entrará en vigencia a partir del mes de mayo del año en curso en el cual se tuvieron en cuenta las observaciones establecidas por la Secretaría Distrital de Ambiente.
</t>
    </r>
    <r>
      <rPr>
        <b/>
        <sz val="8"/>
        <rFont val="Arial"/>
        <family val="2"/>
      </rPr>
      <t xml:space="preserve">T2: </t>
    </r>
    <r>
      <rPr>
        <sz val="8"/>
        <rFont val="Arial"/>
        <family val="2"/>
      </rPr>
      <t xml:space="preserve">Para  el segundo trimestre se dio continuidad con las actividades asociadas a la Gestión Ambiental en el Marco del Plan de Acción del PIGA, teniendo en cuenta las observaciones generales emitidas por la Secretaría Distrital de Ambiente finalizando el segundo trimestre del año se cambiaron el número general de acciones de algunos de los programas teniendo en cuenta que las ya planteadas presentaban inconsistencias para su seguimiento. De esta forma se desarrollaron las siguientes actividades en el marco del fortalecimiento del PIGA 2018:  
Se realizó la publicación de piezas comunicativas enfocadas en el ahorro y uso eficiente de agua y energía a través de correo institucional, se realizó el inventario de sistemas hidrosanitarios identificando la cantidad de puntos de agua con sistemas ahorradores así como el estado de funcionamiento de todos los puntos de agua. Frente al programa de Gestión de Residuos se realizó la actualización al Plan de Gestión Integral de Residuos Peligrosos y se realizaron actividades asociadas a la gestión adecuada de los mismos dirigidas al personal encargado de la manipulación de sustancias peligrosos así como a la disposición adecuada de RESPEL. Por otro lado respecto a la implementación de buenas prácticas sostenibles, se adelantaron jornadas de movilidad sostenible asociadas a la estrategia de movilidad del distrito, se elaboró el Plan Integral de Movilidad Sostenible del Canal y el mismo se encuentra en proceso de implementación.
Finalmente en el mes de junio se realizó la semana Ambiental en el mes de junio entre el 1 y el 8 de junio con el cierre de actividad el día 16 de junio con la salida ecológica a la alguna el tabacal en el municipio de la Vega.
Como oportunidades de mejora para el periodo, fueron definidas las siguientes: - Reforzar las capacitaciones al personal por parte de la Secretaria Distrital de Ambiente. - Promoción institucional del uso de la bicicleta - coordinación con el área de prensa. - Coordinación con personal de aseo y cafetería  manejo den residuos y limpieza de archivo. - Actualización de documentos ambientales.
</t>
    </r>
    <r>
      <rPr>
        <b/>
        <sz val="8"/>
        <rFont val="Arial"/>
        <family val="2"/>
      </rPr>
      <t xml:space="preserve">T3: </t>
    </r>
    <r>
      <rPr>
        <sz val="8"/>
        <rFont val="Arial"/>
        <family val="2"/>
      </rPr>
      <t xml:space="preserve">Para el tercer trimestre del año 2018 se lograron avances importantes en materia de capacitación, infraestructura y controles operacionales óptimos permitiendo un control oportuno de los impactos ambientales significativos de tipo negativo así como los Riesgos Ambientales Identificados, abordando actividades de gestión en cada uno de los programas ambientales del PIGA. Se ejecutó el contrato  741 de 2018 haciendo la instalación de sistemas de iluminación LED en el área de oficinas y se realizó la firma de contrato 771 de 2018 para la adquisición del gabiente de seguridad para el almacenamiento de sustancias peligrosas del área de laboratorio, así mismo de seralizaron jornadas de capacitación sobre manejo de residuos no peligrosos, residuos peligrosos y compras sostenibles con el apoyo de la Secretaría Distrital de Ambiente y se realizó la semana de la movilidad sostenible con el fin de promover buenas prácticas en materia de movilidad entre los colaboradores del Canal. Es necesario que las areas administrativas y misionales participen activamente en las actividades programadas desde el PIGA, ya que los eventos programados no cuentan con la asistencia sucficiente para generar una reducción de impactos ambietnales negativos mayor.
Se dará continuidad con el desarrollo de las activdades pendientes del Plan de Acción del PIGA de la vigencia 2018. Actualización de documentos ambientales.
</t>
    </r>
    <r>
      <rPr>
        <b/>
        <sz val="8"/>
        <rFont val="Arial"/>
        <family val="2"/>
      </rPr>
      <t xml:space="preserve">T4: </t>
    </r>
    <r>
      <rPr>
        <sz val="8"/>
        <rFont val="Arial"/>
        <family val="2"/>
      </rPr>
      <t>Para el  cuarto trimestre del año se evidencia un cumplimiento superior a la meta programada teniendo en cuenta que se adelantaron las actividades de gestión Ambientales que no habían alcanzado su cumplimiento en periodos anteriores tales como envío de piezas comunicativas a través de los canales institucionales de comunicación interna asociados a los programas de ahorro y uso eficiente de agua y energía, actualización de la guía para elaboración de compras sostenibles, actualización de inventario a sistemas hidrosanitarios e inspecciones asociadas a la disposición adecuada de residuos entre otras, sin embargo es importante aclarar que se cumplió con el 100% de las actividad programadas en el año (59).   Nota: Para el reporte del Plan de Acción del año 2019 se tendrá en cuenta que el primer mes del año está destinada a la rendición de informes a diferentes organismos como la Secretaría Distrital de Ambiente, razón por la cual no se adelantarán actividades de gestión ambiental en el marco del Plan de Acción PIGA 2019, así mismo se manejará la programación atendiendo las actividades individuales asociadas a las acciones de gestión periódicas.</t>
    </r>
  </si>
  <si>
    <r>
      <rPr>
        <b/>
        <sz val="8"/>
        <rFont val="Arial"/>
        <family val="2"/>
      </rPr>
      <t>T1:</t>
    </r>
    <r>
      <rPr>
        <sz val="8"/>
        <rFont val="Arial"/>
        <family val="2"/>
      </rPr>
      <t xml:space="preserve"> 1.  Se da cumplimiento a la Normatividad archivística promulgada por el Archivo General de la Nación y el Archivo Distrital de Bogotá. En Ejecución  2. Se procede a administrar los procesos de recepción, envió y distribución de la correspondencia, conservación, organización, inventario servicio y control de la documentación del archivo. Programada 3. Se realiza Capacitación en el mes de Marzo sobre el SGD. Programada y Ejecutada 4. Formulación y aprobación del Programa de Gestión Documental, PGD y Plan Institucional de Archivo, PINAR, se realizan Actualizaciones. Programada  6, Se adquiere  e inicia la implementación del Software de Gestión Documental ORFEO. Programa 5. Levantamiento de Diagnostico documental para revisar el estado de los Archivos de la Entidad, obteniendo como resultado que las áreas no manejan un adecuado sistema de organización de archivos. Se realiza actualización del AGRI-GD-FT-004 formato de solicitud y préstamo de documentos, en el primer trimestre se hicieron 297 préstamos de Documentos, el su mayoría a la Coordinación Jurídica. Programada y Ejecutada  6. Se están actualizando los instrumentos archivísticos para el cumplimiento  de la normatividad y de la NTD- SIG 001:2011. 7. Desde el 20 de marzo de 2018 el Archivo General de la Nación informo a Canal Capital sobre la inscripción del Registro Único de Series Documentales de las Tablas de Retención Documental de la Entidad. Programada y Ejecutada 8. Se realizó la reiteración al concepto Técnico al Archivo Distrital para cuantificar la pérdida de las unidades documentales, el cual se obtuvo respuesta el día 14 de Marzo por parte del AD y AGN. Programada y Ejecutada 9. Elaboración del cronograma de Capacitaciones de Gestión Documental, para su divulgación y aplicación en la Entidad. Programada 10. Se realizó la legalización de transferencia documental de Control Interno y Correspondencia. Programada y Ejecutada 11. Elaboración del cronograma de Transferencia Documental, para su divulgación y aplicación en la Entidad. Programada.
</t>
    </r>
    <r>
      <rPr>
        <b/>
        <sz val="8"/>
        <rFont val="Arial"/>
        <family val="2"/>
      </rPr>
      <t xml:space="preserve">T2: </t>
    </r>
    <r>
      <rPr>
        <sz val="8"/>
        <rFont val="Arial"/>
        <family val="2"/>
      </rPr>
      <t xml:space="preserve">1. Administrar los procesos de conservación, organización, inventario y control de la documentación del archivo. En Ejecución 2. Orientar en temas archivísticos a las áreas de  producción, administración y archivo de la documentación acorde con las normas archivísticas vigentes a las diferentes áreas del Canal. Programada y en Ejecución 3. Formulación, revisión y presentación del Sistema Integrado de Conservación al comité SIG de Canal Capital. Programada y Ejecutada 4. Asesoría a las áreas de logística, producción y transporte para la organización de archivos. Programada y Ejecutada 5. Recepción de solicitudes de préstamo de expedientes a las áreas de Jurídica, Talento Humano. Ejecutada 6. Se están actualizando los instrumentos archivísticos para el cumplimiento de la normatividad y de la NTD- SIG 001:2011 (Manual de Correspondencia, Programa de Gestión Documental). En Ejecución 7. De acuerdo a la estrategia IGA +10, se están realizando reuniones y mesas de trabajo para la revisión y ajustes al Programa de Gestión Documental en conjunto con el Archivo Distrital. Programada y Ejecutada 8. Se realizó el análisis sobre la cuantificación de perdida de expedientes de acuerdo a las respuestas entregadas por el Archivo Distrital de Bogotá y del Archivo General de la Nación. Programada y en Ejecución 9. Se realizó reunión con el área de jurídica para la revisión del contrato IRON MOUNTAIN y así realizar el informe final de supervisión y luego proceder a su liquidación. Programada y Ejecutada 10. Se generó respuesta a la personería sobre la perdida documental de expedientes. Ejecutada 11. Se realizó capacitación a los gestores documentales en temas de organización de expediente y tabla de retención documental. Programada y Ejecutada 12. Se realizó comunicación para la ANTV paras la solicitud de recursos para la organización y conservación del archivo audiovisual. Ejecutada 13. Se realizó comunicación para la ANTV solicitando el diagnostico que realizó la RTVC, el cual es de soporte para el convenio interadministrativo. Ejecutada 14. Ejecución del convenio interadministrativo 4213000-797- 2017 suscrito entre Canal Capital y la Secretaría General de la Alcaldía Mayor de Bogotá, para el desarrollo de actividades conjuntas que beneficien al Distrito Capital en la gestión del material sonoro y audiovisual. En Ejecución 15. Compilación y entrega de informes sobre la ejecución del convenio interadministrativo 4213000-797- 2017, el cual se envía al Archivo Distrital. En Ejecución
</t>
    </r>
    <r>
      <rPr>
        <b/>
        <sz val="8"/>
        <rFont val="Arial"/>
        <family val="2"/>
      </rPr>
      <t xml:space="preserve">T3: </t>
    </r>
    <r>
      <rPr>
        <sz val="8"/>
        <rFont val="Arial"/>
        <family val="2"/>
      </rPr>
      <t xml:space="preserve">1. Actualización de la política de Gestión Documental, la cual se presentó al Subdirector Administrativo y dio su aval para que se presente al comité SIG y se obtenga su aprobación. 2. Se realizó levantamiento de las Tabla de Acceso, se presentó al Subdirector Administrativo quien dio su aval, se solicitó mesa de trabajo con el área de Jurídica para su verificación frente a la importancia del acceso que se le debe dar a la documentación. 3. Se realizó en agosto de 2018 una capacitación al área Jurídica sobre organización, tablas de retención Documental y Formato único de Inventarios, con el fin de realizar el levantamiento de inventarios documentales del área. 4. Se elaboró un documento llamado Guía de documentos electrónicos, al que se le están realizando ajustes de acuerdo a lo revisado con el Archivo Distrital en conjunto con el área de sistemas. También se asistió al Archivo Distrital para la sensibilización y manejo de Documento electrónico, quienes van nos entregaron lineamiento para la creación e implementación de documento electrónico para el Canal. 5. A fecha no se ha implementado el procesos de TVD, debido a que no se tiene la cantidad de unidades de conservación para realizar el cambio en la documentación. 6. Se realizó traslado del archivo en material Audiovisual, de acuerdo al convenio administrativo 4213000-797- 2017, que se encuentra desarrollando entre Canal Capital y el Archivo Distrital. 7. Levantamiento y elaboración del Plan de Emergencias de archivos, pendiente de terminar para la revisión y aval del Subdirector Administrativo. 8. Se realizaron pruebas para la implementación del software, pero a la fecha se encuentra quieto debido a los costos que este tiene. 9. Se realizó actualización del cronograma de transferencias, pero por espacio en el Archivo Central no se ha ejecutado el cronograma. 10. Envío de comunicación al Archivo Distrital sobre monitoreo y el saneamiento ambiental del archivo Central y de Gestión del Canal Capital. 11. Se cometió un error por parte de la auditoría del Archivo frente al PINAR- Se envió oficio 000512 al archivo para subsanar este hallazgo. se recibió la corrección por parte del Archivo Distrital. 12. Realización y Publicación del Programa de limpieza de archivos. 13. Realización del Plan de Biodeterioro para su publicación. 14. Elaboración del Plan de Emergencias de archivos. 15. Se están actualizando los instrumentos archivísticos para el cumplimiento  de la normatividad y de la NTD- SIG 001:2011.5. Envío de comunicación al Archivo Distrital sobre monitoreo y el saneamiento ambiental del archivo Central y de Gestión del Canal Capital.
</t>
    </r>
    <r>
      <rPr>
        <b/>
        <sz val="8"/>
        <rFont val="Arial"/>
        <family val="2"/>
      </rPr>
      <t xml:space="preserve">T4: </t>
    </r>
    <r>
      <rPr>
        <sz val="8"/>
        <rFont val="Arial"/>
        <family val="2"/>
      </rPr>
      <t>En este último trimestre  se logró en un 118,18% cumplir con el indicador de acuerdo con las actividades propuestas en el Plan de mejoramiento Archivístico para Canal Capital, tal como se describen a continuación: 
1. Actualización y ajuste de la política de gestión documental según lo establecido en el Decreto 2609 de 2012. 20% el porcentaje anteriormente mencionado equivale a la ponderación que se le dio a las 11 actividades para el cumplimiento del Indicador. Se presentó al Comité Institucional de Gestión y Desarrollo la política de gestión documental, la cual se aprobó, se publicó y se realizó sensibilización. 2. No se cuenta con tablas de Control de Acceso para el establecimiento de categorías adecuadas de derechos y restricciones de seguridad aplicables a los documentos. 20% el porcentaje anteriormente mencionado equivale a la ponderación que se le dio a las 11 actividades para el cumplimiento del Indicador. Se envió memorando a las oficinas para la aprobación de las Tablas de Acceso para realizar su publicación en la Intranet. Se realizaron los cambios de acuerdo a lo informado por cada una de las oficinas, se envió a planeación para su publicación y divulgación. 3. En el área Jurídica no se cuenta con Inventarios actualizados desde el año 2015, razón por la que no se han hecho transferencias primarias, de igual manera se identificó que parte de los expedientes no obedecen a lo establecido en la Archivística de la Dependencia. 11% el porcentaje anteriormente mencionado equivale a la ponderación que se le dio a las 11 actividades para el cumplimiento del Indicador. Se realizó capacitación el 27 de agosto de 2018, al área jurídica para el levantamiento y actualización de los inventarios documentales del área. Se realizaron mesas de trabajo para el levantamiento y actualización de los inventarios documentales los cuales se encuentran registrados en las actas del 07 y 30 de Noviembre de 2018. 4. No se cuenta con modelo de requisitos para la gestión de documentos electrónicos. 7% el porcentaje anteriormente mencionado equivale a la ponderación que se le dio a las 11 actividades para el cumplimiento del Indicador. Se elaboró un documento llamado Modelo de documentos electrónicos, se asistió al Archivo Distrital para la sensibilización y manejo de Documento electrónico, quienes van nos entregaron lineamiento para la creación e implementación de documento electrónico para el Canal. Se elaboró política para documento electrónico así como el programa de documento electrónico para la entidad, el cual será presentado al Subdirector Administrativo para su aprobación y publicación, se realizó sensibilización de este documento  para su retroalimentación. 5. No se ha ejecutado intervención al Fondo Documental Acumulado (FDA) de acuerdo a las Tablas de Valoración Documental (TVD). 3% el porcentaje anteriormente mencionado equivale a la ponderación que se le dio a las 11 actividades para el cumplimiento del Indicador. A fecha no se ha implementado el proceso de TVD, debido a que no se tiene la cantidad de unidades de conservación para realizar el cambio en la documentación. 6. 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15% el porcentaje anteriormente mencionado equivale a la ponderación que se le dio a las 11 actividades para el cumplimiento del Indicador. Se realizó traslado del archivo en material Audiovisual, de acuerdo al convenio administrativo que se está realizando con el Archivo Distrital. Sin embargo se realizó un análisis sobre la documentación que cumple con el tiempo de retención y conservación para realizar la transferencia Secundaria. 7. Ajuste del Plan de Emergencias con un Plan Operativo de Normalización que contemple acciones en caso de siniestros según Acuerdo 050 de 2000. 15% el porcentaje anteriormente mencionado equivale a la ponderación que se le dio a las 11 actividades para el cumplimiento del Indicador. Se formuló el plan de emergencias, el cual fue revisado por el Subdirector Administrativo quien realizó comentarios al respecto para su corrección antes de su publicación. Se encuentra pendiente por presentar para su aprobación y publicación. Se realizó revisión por parte del Subdirector Administrativo, quien aprobó el documento y se envió para su publicación, estamos a la espera de su publicación. 8. No se cuenta con aplicativo o herramienta tecnológica integral para las operaciones de Gestión Documental. 2% el porcentaje anteriormente mencionado equivale a la ponderación que se le dio a las 11 actividades para el cumplimiento del Indicador. Se intentó el levantamiento de un Software gratuito para la gestión documental, pero no se concretó. 9. Se evidencia la necesidad de ajustar el cronograma de transferencias primarias de Archivo. 7% el porcentaje anteriormente mencionado equivale a la ponderación que se le dio a las 11 actividades para el cumplimiento del Indicador. Se realizó actualización del cronograma de transferencias. 10. La entidad no ha solicitado monitoreo de condiciones ambientales y carga microbiana al Archivo de Bogotá. 5% el porcentaje anteriormente mencionado equivale a la ponderación que se le dio a las 11 actividades para el cumplimiento del Indicador. Se solicitó al Archivo Distrital monitoreo de condiciones ambientales y carga microbiana a los diferentes espacios en donde se encuentran los Archivos. El 25 de Octubre el archivo Distrital realizó visita para su posterior instalación del monitoreo en el archivo central. EL 2 de Noviembre se remitió comunicación al Archivo Distrital solicitando el informe de la visita que se realizó en el mes de octubre, sobre esta comunicación el 07 de Diciembre el Archivo Distrital envío respuesta donde informan que después del 15 de diciembre realizarán el monitoreo del Archivo Central del Canal 11. La entidad No cuenta con Plan Institucional de Archivos PINAR. 2% el porcentaje anteriormente mencionado equivale a la ponderación que se le dio a las 11 actividades para el cumplimiento del Indicador. Se cometió un error por parte de la auditoría del Archivo frente al ítem del instrumento archivístico PINAR- Se envió oficio 000512 al archivo para subsanar este hallazgo. Se recibió la corrección por parte del Archivo Distrital.</t>
    </r>
  </si>
  <si>
    <r>
      <rPr>
        <b/>
        <sz val="8"/>
        <rFont val="Arial"/>
        <family val="2"/>
      </rPr>
      <t>T1:</t>
    </r>
    <r>
      <rPr>
        <sz val="8"/>
        <rFont val="Arial"/>
        <family val="2"/>
      </rPr>
      <t xml:space="preserve"> Se realizó el mantenimiento de acuerdo al Cronograma 2018 se tenían programadas 8 actividades, las cuales fueron realizadas de manera adecuada.
Se realizaron las siguientes actividades. 1. Mantenimiento Pintura. 2. Mantenimiento Luminarias.  3. Mantenimiento Baños. 4. Mantenimiento Sillas. 5. Revisión de Goteras.
Se vienen ejecutando actividades en el I Trimestre con el objetivo de cumplir con las metas establecidas  en cronograma planteado para el año 2018.
</t>
    </r>
    <r>
      <rPr>
        <b/>
        <sz val="8"/>
        <rFont val="Arial"/>
        <family val="2"/>
      </rPr>
      <t xml:space="preserve">T2: </t>
    </r>
    <r>
      <rPr>
        <sz val="8"/>
        <rFont val="Arial"/>
        <family val="2"/>
      </rPr>
      <t xml:space="preserve">Se realizó el mantenimiento de acuerdo al Cronograma 2018 se tenían programadas 13 actividades, las cuales fueron realizadas de manera adecuada.
Se realizaron las siguientes actividades. 1. Revisión Luminarias (3) 2. Mantenimiento Orinales  (1) 3. Mantenimiento Sillas (2) 4. Mantenimiento Goteras - (3) 5. Limpieza de Cielo Razo - (4) 
Se vienen ejecutando actividades en el II Trimestre con el objetivo de cumplir con las metas establecidas  en cronograma planteado para el año 2018.
</t>
    </r>
    <r>
      <rPr>
        <b/>
        <sz val="8"/>
        <rFont val="Arial"/>
        <family val="2"/>
      </rPr>
      <t xml:space="preserve">T3: </t>
    </r>
    <r>
      <rPr>
        <sz val="8"/>
        <rFont val="Arial"/>
        <family val="2"/>
      </rPr>
      <t xml:space="preserve">Se realizo el mantenimietno de acuerdo al Cronograma 2018 se tenian programadas 11 actividades, las cuales fueron realizadas de manera adecuada.
Se realizaron las siguientes actividades. 1. Revisión Luminarias (2) 2.Mantenimiento Sillas (1) 3, Revision Goteras - (3) 4,Pintura General - (4)
Se vienen ejecutando actividades en el III Trimestre con el objetivo de cumplir con las metas establecidas  en cronograma planteado para el año 2018.
</t>
    </r>
    <r>
      <rPr>
        <b/>
        <sz val="8"/>
        <rFont val="Arial"/>
        <family val="2"/>
      </rPr>
      <t xml:space="preserve">T4: </t>
    </r>
    <r>
      <rPr>
        <sz val="8"/>
        <rFont val="Arial"/>
        <family val="2"/>
      </rPr>
      <t>Se realizó el mantenimiento de acuerdo al Cronograma 2018 se tenían programadas 9 actividades, las cuales fueron realizadas de manera adecuada.
Se realizaron las siguientes actividades. 1. Revisión de Luminarias (3) 2. Mantenimiento de Sillas (1) 3. Revisión de Goteras - (1) 4. Pintura General - (4)</t>
    </r>
  </si>
  <si>
    <r>
      <rPr>
        <b/>
        <sz val="8"/>
        <rFont val="Arial"/>
        <family val="2"/>
      </rPr>
      <t>T1:</t>
    </r>
    <r>
      <rPr>
        <sz val="8"/>
        <rFont val="Arial"/>
        <family val="2"/>
      </rPr>
      <t xml:space="preserve"> Según el cronograma se tenía establecido, se realizó la  toma física de inventarios al área Administrativa.
De igual forma se realizaron toma física a otras áreas debido a la rotación del personal así:
1. Producción 2. Redacción 1  3. Redacción 2 4. Área Jurídica 5. Archivo
Se vienen ejecutando actividades en el I Trimestre con el objetivo de cumplir con las metas establecidas  en cronograma planteado para el año 2018. En este trimestre se adelantó la toma física de Inventarios debido a la Rotación del personal.
</t>
    </r>
    <r>
      <rPr>
        <b/>
        <sz val="8"/>
        <rFont val="Arial"/>
        <family val="2"/>
      </rPr>
      <t xml:space="preserve">T2: </t>
    </r>
    <r>
      <rPr>
        <sz val="8"/>
        <rFont val="Arial"/>
        <family val="2"/>
      </rPr>
      <t xml:space="preserve">Según el cronograma se tenía establecido, se realizó la  toma física de inventarios a las siguientes áreas:
1. Equipos móviles - Producción 2. Equipos móviles  - Técnica 3. Coordinación de producción 4. Centro de Cómputo 5. Graficación  6. Oficina Jefe de emisión.
Se vienen ejecutando actividades en el I Trimestre con el objetivo de cumplir con las metas establecidas  en cronograma planteado para el año 2018. En este trimestre se adelantó la toma física de Inventarios debido a la Rotación del personal.
</t>
    </r>
    <r>
      <rPr>
        <b/>
        <sz val="8"/>
        <rFont val="Arial"/>
        <family val="2"/>
      </rPr>
      <t xml:space="preserve">T3: </t>
    </r>
    <r>
      <rPr>
        <sz val="8"/>
        <rFont val="Arial"/>
        <family val="2"/>
      </rPr>
      <t xml:space="preserve">Según el cronograma se tenía establecido, se realizó la  toma física de inventarios a las siguientes áreas:.
1. Proyecto BTL 2. Cerro el Boquerón 3. Cerro del cable 4. Cerro Chipaque 5. Almacén Técnico 6. Área de Camarógrafos 7. Área eléctrica
Se vienen ejecutando actividades en el III trimestre con el objetivo de cumplir con las metas establecidas  en cronograma planteado para el año 2018. En este trimestre se adelantó la toma física de Inventarios debido a la Rotacion del personal.
</t>
    </r>
    <r>
      <rPr>
        <b/>
        <sz val="8"/>
        <rFont val="Arial"/>
        <family val="2"/>
      </rPr>
      <t xml:space="preserve">T4: </t>
    </r>
    <r>
      <rPr>
        <sz val="8"/>
        <rFont val="Arial"/>
        <family val="2"/>
      </rPr>
      <t>Según el cronograma se tenía establecido, se realizó la  toma física de inventarios a las siguientes áreas:
En total se realizo toma física de inventarios a 80 áreas de la entidad, de acuerdo al  cronograma de inventarios, de la siguiente manera:
1. Dirección operativa (8). 2. Coordinación de producción (11). 3. Profesional de producción (8). 4. Coordinación de programación (4). 5. Operador de tráfico (1). 6. Coordinación del área técnica (8). 7. Auxiliar del área técnica (3). 8. Profesional ventas y mercadeo (2). 9. Coordinación de prensa y comunicaciones (1). 10. Gerencia General (2). 11. Secretaría General (4). 12. Subdirección Administrativa (7). 13. Subdirección Financiera (5). 14. Control Interno (1). 15. Planeación (1). 16. Atención al ciudadano (1). 17. Sistemas (9). 18. Servicios administrativos (4).</t>
    </r>
  </si>
  <si>
    <r>
      <rPr>
        <b/>
        <sz val="8"/>
        <color theme="1"/>
        <rFont val="Arial"/>
        <family val="2"/>
      </rPr>
      <t>T1:</t>
    </r>
    <r>
      <rPr>
        <sz val="8"/>
        <color theme="1"/>
        <rFont val="Arial"/>
        <family val="2"/>
      </rPr>
      <t xml:space="preserve"> El plan de comunicaciones se ha cumplido a cabalidad.
</t>
    </r>
    <r>
      <rPr>
        <b/>
        <sz val="8"/>
        <color theme="1"/>
        <rFont val="Arial"/>
        <family val="2"/>
      </rPr>
      <t>T2:</t>
    </r>
    <r>
      <rPr>
        <sz val="8"/>
        <color theme="1"/>
        <rFont val="Arial"/>
        <family val="2"/>
      </rPr>
      <t xml:space="preserve"> Se han desarrollado todas las actividades descritas en el plan de comunicación.
</t>
    </r>
    <r>
      <rPr>
        <b/>
        <sz val="8"/>
        <color theme="1"/>
        <rFont val="Arial"/>
        <family val="2"/>
      </rPr>
      <t>T3:</t>
    </r>
    <r>
      <rPr>
        <sz val="8"/>
        <color theme="1"/>
        <rFont val="Arial"/>
        <family val="2"/>
      </rPr>
      <t xml:space="preserve"> Se han desarrollado las actividades propuestas en el plan de comunicaciones 
</t>
    </r>
    <r>
      <rPr>
        <b/>
        <sz val="8"/>
        <color theme="1"/>
        <rFont val="Arial"/>
        <family val="2"/>
      </rPr>
      <t xml:space="preserve">T4: </t>
    </r>
    <r>
      <rPr>
        <sz val="8"/>
        <color theme="1"/>
        <rFont val="Arial"/>
        <family val="2"/>
      </rPr>
      <t>El plan de comunicaciones se cumplió y se va a actualizar para el 2019</t>
    </r>
  </si>
  <si>
    <r>
      <rPr>
        <b/>
        <sz val="8"/>
        <color theme="1"/>
        <rFont val="Arial"/>
        <family val="2"/>
      </rPr>
      <t>T1:</t>
    </r>
    <r>
      <rPr>
        <sz val="8"/>
        <color theme="1"/>
        <rFont val="Arial"/>
        <family val="2"/>
      </rPr>
      <t xml:space="preserve"> Se ha cumplido con todos los requerimientos de comunicación interna que se realizan en las diferentes áreas del canal a la mayor brevedad posible.
</t>
    </r>
    <r>
      <rPr>
        <b/>
        <sz val="8"/>
        <color theme="1"/>
        <rFont val="Arial"/>
        <family val="2"/>
      </rPr>
      <t>T2:</t>
    </r>
    <r>
      <rPr>
        <sz val="8"/>
        <color theme="1"/>
        <rFont val="Arial"/>
        <family val="2"/>
      </rPr>
      <t xml:space="preserve"> Se han enviado todos los requerimientos realizados a la oficina de prensa y comunicaciones tanto de Canal Capital como de las otras entidades del distrito.
</t>
    </r>
    <r>
      <rPr>
        <b/>
        <sz val="8"/>
        <color theme="1"/>
        <rFont val="Arial"/>
        <family val="2"/>
      </rPr>
      <t>T3:</t>
    </r>
    <r>
      <rPr>
        <sz val="8"/>
        <color theme="1"/>
        <rFont val="Arial"/>
        <family val="2"/>
      </rPr>
      <t xml:space="preserve"> Se han enviado todos los requerimientos realizados a la oficina de prensa y comunicaciones tanto de Canal Capital como de las otras entidades del distrito 
</t>
    </r>
    <r>
      <rPr>
        <b/>
        <sz val="8"/>
        <color theme="1"/>
        <rFont val="Arial"/>
        <family val="2"/>
      </rPr>
      <t xml:space="preserve">T4: </t>
    </r>
    <r>
      <rPr>
        <sz val="8"/>
        <color theme="1"/>
        <rFont val="Arial"/>
        <family val="2"/>
      </rPr>
      <t>Se han enviado todos los requerimientos realizados a la oficina de prensa y comunicaciones tanto de Canal Capital como de las otras entidades del distrito .</t>
    </r>
  </si>
  <si>
    <r>
      <rPr>
        <b/>
        <sz val="8"/>
        <color theme="1"/>
        <rFont val="Arial"/>
        <family val="2"/>
      </rPr>
      <t>T1:</t>
    </r>
    <r>
      <rPr>
        <sz val="8"/>
        <color theme="1"/>
        <rFont val="Arial"/>
        <family val="2"/>
      </rPr>
      <t xml:space="preserve"> Los anteriores datos son tomados del informe entregado trimestralmente a la ANTV. Contamos con 990 emisiones de programas con contenido infantil.
</t>
    </r>
    <r>
      <rPr>
        <b/>
        <sz val="8"/>
        <color theme="1"/>
        <rFont val="Arial"/>
        <family val="2"/>
      </rPr>
      <t>T2:</t>
    </r>
    <r>
      <rPr>
        <sz val="8"/>
        <color theme="1"/>
        <rFont val="Arial"/>
        <family val="2"/>
      </rPr>
      <t xml:space="preserve"> Los anteriores datos son tomados del informe entregado trimestralmente a la ANTV. Contamos con 695 emisiones de programas con contenido infantil.
</t>
    </r>
    <r>
      <rPr>
        <b/>
        <sz val="8"/>
        <color theme="1"/>
        <rFont val="Arial"/>
        <family val="2"/>
      </rPr>
      <t xml:space="preserve">T3: </t>
    </r>
    <r>
      <rPr>
        <sz val="8"/>
        <color theme="1"/>
        <rFont val="Arial"/>
        <family val="2"/>
      </rPr>
      <t xml:space="preserve">Los anteriores datos son tomados del informe entregado trimestralmente a la ANTV. Contamos con 572 emisiones de programas con contenido infantil.
</t>
    </r>
    <r>
      <rPr>
        <b/>
        <sz val="8"/>
        <color theme="1"/>
        <rFont val="Arial"/>
        <family val="2"/>
      </rPr>
      <t>T4:</t>
    </r>
    <r>
      <rPr>
        <sz val="8"/>
        <color theme="1"/>
        <rFont val="Arial"/>
        <family val="2"/>
      </rPr>
      <t xml:space="preserve"> Los anteriores datos son tomados del informe entregado trimestralmente a la ANTV. Contamos con 823 emisiones de programas con contenido infantil.</t>
    </r>
  </si>
  <si>
    <r>
      <rPr>
        <b/>
        <sz val="8"/>
        <color theme="1"/>
        <rFont val="Arial"/>
        <family val="2"/>
      </rPr>
      <t>T1:</t>
    </r>
    <r>
      <rPr>
        <sz val="8"/>
        <color theme="1"/>
        <rFont val="Arial"/>
        <family val="2"/>
      </rPr>
      <t xml:space="preserve"> Los anteriores datos son tomados del informe entregado trimestralmente a la ANTV. Contamos con 2.416 emisiones de programas con contenido para adolescentes.
</t>
    </r>
    <r>
      <rPr>
        <b/>
        <sz val="8"/>
        <color theme="1"/>
        <rFont val="Arial"/>
        <family val="2"/>
      </rPr>
      <t>T2:</t>
    </r>
    <r>
      <rPr>
        <sz val="8"/>
        <color theme="1"/>
        <rFont val="Arial"/>
        <family val="2"/>
      </rPr>
      <t xml:space="preserve"> Los anteriores datos son tomados del informe entregado trimestralmente a la ANTV. Contamos con 2.939 emisiones de programas con contenido para adolescentes.
</t>
    </r>
    <r>
      <rPr>
        <b/>
        <sz val="8"/>
        <color theme="1"/>
        <rFont val="Arial"/>
        <family val="2"/>
      </rPr>
      <t xml:space="preserve">T3: </t>
    </r>
    <r>
      <rPr>
        <sz val="8"/>
        <color theme="1"/>
        <rFont val="Arial"/>
        <family val="2"/>
      </rPr>
      <t xml:space="preserve">Los anteriores datos son tomados del informe entregado trimestralmente a la ANTV. Contamos con 3.019 emisiones de programas con contenido para adolescentes.
</t>
    </r>
    <r>
      <rPr>
        <b/>
        <sz val="8"/>
        <color theme="1"/>
        <rFont val="Arial"/>
        <family val="2"/>
      </rPr>
      <t xml:space="preserve">T4: </t>
    </r>
    <r>
      <rPr>
        <sz val="8"/>
        <color theme="1"/>
        <rFont val="Arial"/>
        <family val="2"/>
      </rPr>
      <t>Los anteriores datos son tomados del informe entregado trimestralmente a la ANTV. Contamos con 2,962 emisiones de programas con contenido para adolescentes.</t>
    </r>
  </si>
  <si>
    <r>
      <rPr>
        <b/>
        <sz val="8"/>
        <color theme="1"/>
        <rFont val="Arial"/>
        <family val="2"/>
      </rPr>
      <t>T1:</t>
    </r>
    <r>
      <rPr>
        <sz val="8"/>
        <color theme="1"/>
        <rFont val="Arial"/>
        <family val="2"/>
      </rPr>
      <t xml:space="preserve"> Por requerimiento de la ANTV, el 100% de la programación deben contar con el sistema de acceso Closed Caption, por ende los datos reflejados representan un 100%. Los anteriores datos son tomados del informe entregado trimestralmente a la ANTV.
</t>
    </r>
    <r>
      <rPr>
        <b/>
        <sz val="8"/>
        <color theme="1"/>
        <rFont val="Arial"/>
        <family val="2"/>
      </rPr>
      <t>T2:</t>
    </r>
    <r>
      <rPr>
        <sz val="8"/>
        <color theme="1"/>
        <rFont val="Arial"/>
        <family val="2"/>
      </rPr>
      <t xml:space="preserve"> Por requerimiento de la ANTV, el 100% de la programación deben contar con el sistema de acceso Closed Caption, por ende los datos reflejados representan un 100%. Los anteriores datos son tomados del informe entregado trimestralmente a la ANTV.
</t>
    </r>
    <r>
      <rPr>
        <b/>
        <sz val="8"/>
        <color theme="1"/>
        <rFont val="Arial"/>
        <family val="2"/>
      </rPr>
      <t>T3:</t>
    </r>
    <r>
      <rPr>
        <sz val="8"/>
        <color theme="1"/>
        <rFont val="Arial"/>
        <family val="2"/>
      </rPr>
      <t xml:space="preserve"> Por requerimiento de la ANTV, el 100% de la programación deben contar con el sistema de acceso Closed Caption, por ende los datos reflejados representan un 100%. Los anteriores datos son tomados del informe entregado trimestralmente a la ANTV.
</t>
    </r>
    <r>
      <rPr>
        <b/>
        <sz val="8"/>
        <color theme="1"/>
        <rFont val="Arial"/>
        <family val="2"/>
      </rPr>
      <t>T4:</t>
    </r>
    <r>
      <rPr>
        <sz val="8"/>
        <color theme="1"/>
        <rFont val="Arial"/>
        <family val="2"/>
      </rPr>
      <t xml:space="preserve"> Por requerimiento de la ANTV, el 100% de la programación deben contar con el sistema de acceso Closed Caption, por ende los datos reflejados representan un 100%. Los anteriores datos son tomados del informe entregado trimestralmente a la ANTV.</t>
    </r>
  </si>
  <si>
    <r>
      <rPr>
        <b/>
        <sz val="8"/>
        <color theme="1"/>
        <rFont val="Arial"/>
        <family val="2"/>
      </rPr>
      <t>T1:</t>
    </r>
    <r>
      <rPr>
        <sz val="8"/>
        <color theme="1"/>
        <rFont val="Arial"/>
        <family val="2"/>
      </rPr>
      <t xml:space="preserve"> Los anteriores datos son tomados del informe entregado trimestralmente a la ANTV. Contamos con 842 emisiones de programas con interpretación de lenguaje de señas.
</t>
    </r>
    <r>
      <rPr>
        <b/>
        <sz val="8"/>
        <color theme="1"/>
        <rFont val="Arial"/>
        <family val="2"/>
      </rPr>
      <t>T2:</t>
    </r>
    <r>
      <rPr>
        <sz val="8"/>
        <color theme="1"/>
        <rFont val="Arial"/>
        <family val="2"/>
      </rPr>
      <t xml:space="preserve"> Los anteriores datos son tomados del informe entregado trimestralmente a la ANTV. Contamos con 1.468 emisiones de programas con interpretación de lenguaje de señas.
</t>
    </r>
    <r>
      <rPr>
        <b/>
        <sz val="8"/>
        <color theme="1"/>
        <rFont val="Arial"/>
        <family val="2"/>
      </rPr>
      <t>T3:</t>
    </r>
    <r>
      <rPr>
        <sz val="8"/>
        <color theme="1"/>
        <rFont val="Arial"/>
        <family val="2"/>
      </rPr>
      <t xml:space="preserve"> Los anteriores datos son tomados del informe entregado trimestralmente a la ANTV. Contamos con 1.234 emisiones de programas con interpretación de lenguaje de señas.
</t>
    </r>
    <r>
      <rPr>
        <b/>
        <sz val="8"/>
        <color theme="1"/>
        <rFont val="Arial"/>
        <family val="2"/>
      </rPr>
      <t xml:space="preserve">T4: </t>
    </r>
    <r>
      <rPr>
        <sz val="8"/>
        <color theme="1"/>
        <rFont val="Arial"/>
        <family val="2"/>
      </rPr>
      <t>Los anteriores datos son tomados del informe entregado trimestralmente a la ANTV. Contamos con 1.202 emisiones de programas con interpretación de lenguaje de señas.</t>
    </r>
  </si>
  <si>
    <r>
      <rPr>
        <b/>
        <sz val="8"/>
        <color theme="1"/>
        <rFont val="Arial"/>
        <family val="2"/>
      </rPr>
      <t>T1:</t>
    </r>
    <r>
      <rPr>
        <sz val="8"/>
        <color theme="1"/>
        <rFont val="Arial"/>
        <family val="2"/>
      </rPr>
      <t xml:space="preserve"> Honorarios de personal base para el área de producción, mercadeo, comercial, sistema informativo, equipo técnico por 6 meses a excepción del equipo lider del equipo de noticias y presentadores contratados por todo el año. Recursos de producción para ejecutar el contrato No. 374 de 2017 suscrito con la Orquesta Filarmónica de Bogotá, contrato interadministrativo 1801 de 2017 suscrito con la Secretaria de Educación del Distrito y contrato No. 170185-0-2017 suscrito con la Secretaria de Hacienda. 
</t>
    </r>
    <r>
      <rPr>
        <b/>
        <sz val="8"/>
        <color theme="1"/>
        <rFont val="Arial"/>
        <family val="2"/>
      </rPr>
      <t>T2:</t>
    </r>
    <r>
      <rPr>
        <sz val="8"/>
        <color theme="1"/>
        <rFont val="Arial"/>
        <family val="2"/>
      </rPr>
      <t xml:space="preserve"> Administración de edificio y plan de seguros. Internet, streaming, mantenimiento y recursos logísticos para la producción del convenio interdaministrativo  No  1801 de 2017 suscrito con la Secretaria de Educación del Distrito.
</t>
    </r>
    <r>
      <rPr>
        <b/>
        <sz val="8"/>
        <color theme="1"/>
        <rFont val="Arial"/>
        <family val="2"/>
      </rPr>
      <t>T3:</t>
    </r>
    <r>
      <rPr>
        <sz val="8"/>
        <color theme="1"/>
        <rFont val="Arial"/>
        <family val="2"/>
      </rPr>
      <t xml:space="preserve"> Honorarios de personal base para el área de producción, mercadeo, comercial, sistema informativo, equipo técnico por 5 meses. Adiciones y contratación para operación logisitca (transporte y alimentación) Recursos de producción para ejecutar el contrato No. 1400 de 2018 suscrito con la Unidad para la atención y reparación integral a las victimas,  y el contrato No 18021313-0-2018 suscrito con la Secretaria de Hacienda - Concejo de Bogotá.
</t>
    </r>
    <r>
      <rPr>
        <b/>
        <sz val="8"/>
        <color theme="1"/>
        <rFont val="Arial"/>
        <family val="2"/>
      </rPr>
      <t xml:space="preserve">T4: </t>
    </r>
    <r>
      <rPr>
        <sz val="8"/>
        <color theme="1"/>
        <rFont val="Arial"/>
        <family val="2"/>
      </rPr>
      <t>Honorarios de personal base para el área de producción, mercadeo, comercial, sistema informativo, equipo técnico por el mes de diciembre y enero para garantizar el minimo vital con el que opera el canal para atender las necesidades contingentes de fin año y principios de año 2019. Adiciones y contratación para operación logisitca (transporte y alimentación) Recursos de producción para ejecutar el contrato No. 1400 de 2018 suscrito con la Unidad para la atención y reparación integral a las victimas,  y el contrato No 18021313-0-2018 suscrito con la Secretaria de Hacienda - Concejo de Bogotá.</t>
    </r>
  </si>
  <si>
    <r>
      <rPr>
        <b/>
        <sz val="8"/>
        <color theme="1"/>
        <rFont val="Arial"/>
        <family val="2"/>
      </rPr>
      <t>T1:</t>
    </r>
    <r>
      <rPr>
        <sz val="8"/>
        <color theme="1"/>
        <rFont val="Arial"/>
        <family val="2"/>
      </rPr>
      <t xml:space="preserve"> En el mes de marzo se presenta afectación satelital por manchas solares. En el mismo mes se presentó ausencia en de la señal de orígen por fallas eléctricas en la sede del canal. Durante el primer trimestre se tuvo fallas acumuladas por un tiempo total de 22 minutos, lo que representa un porcentaje de fallo acumulado en el trismestre del 0,05%.
</t>
    </r>
    <r>
      <rPr>
        <b/>
        <sz val="8"/>
        <color theme="1"/>
        <rFont val="Arial"/>
        <family val="2"/>
      </rPr>
      <t>T2:</t>
    </r>
    <r>
      <rPr>
        <sz val="8"/>
        <color theme="1"/>
        <rFont val="Arial"/>
        <family val="2"/>
      </rPr>
      <t xml:space="preserve"> El 7 de mayo se tuvo la incidencia de un congelamiento en la señal del canal, en todos los retornos dependientes de RTVC con un tiempo total de 2 minutos, lo cual representa una relación de fallas del 0,005%. La causa de la falla fue técnica en RTVC.
</t>
    </r>
    <r>
      <rPr>
        <b/>
        <sz val="8"/>
        <color theme="1"/>
        <rFont val="Arial"/>
        <family val="2"/>
      </rPr>
      <t>T3:</t>
    </r>
    <r>
      <rPr>
        <sz val="8"/>
        <color theme="1"/>
        <rFont val="Arial"/>
        <family val="2"/>
      </rPr>
      <t xml:space="preserve"> El 5 de julio se presenta problemas técnicos en RTVC, la señal de Canal Capital se congela por dos minutos en todos los operadores y retornos dependientes de la señal satelital. Del 11 al 13 de julio se presenta falla en el enlace de microondas que transmite la señal del canal en SD hasta Calatrava, dejando sin audio el retorno del mismo. Se realiza mantenimiento correctivo en transmisor y receptor. Del 1 al 10 de septiembre se presenta falla en el transmisor de Calatrava. Se realizó la inspección del equipo por parte de ingeniería dando como diagnósitico de bloqueo en el conmutador y backup de transmisión. Del 21 al 28 de septiembre se presenta afectación de la señal de bajada satelital por manchas solares.  Durante el tercer trimestre se tuvo fallas acumuladas por un tiempo total de 4298 minutos, lo que representa un porcentaje de fallo acumulado en el trismestre del 9,63%.
</t>
    </r>
    <r>
      <rPr>
        <b/>
        <sz val="8"/>
        <color theme="1"/>
        <rFont val="Arial"/>
        <family val="2"/>
      </rPr>
      <t xml:space="preserve">T4: </t>
    </r>
    <r>
      <rPr>
        <sz val="8"/>
        <color theme="1"/>
        <rFont val="Arial"/>
        <family val="2"/>
      </rPr>
      <t>El 29 de octubre se presenta ausencia de señal en retorno de Suba; el evento odecece a una rutina de mantenimiento programada en la que fue necesario apagar el transmisor. Durante el cuarto trimestre se tuvo fallas acumuladas por un tiempo total de 25 minutos, lo que representa un porcentaje de fallo acumulado en el trimestre del 0.06 %.</t>
    </r>
  </si>
  <si>
    <r>
      <rPr>
        <b/>
        <sz val="8"/>
        <color theme="1"/>
        <rFont val="Arial"/>
        <family val="2"/>
      </rPr>
      <t>T1:</t>
    </r>
    <r>
      <rPr>
        <sz val="8"/>
        <color theme="1"/>
        <rFont val="Arial"/>
        <family val="2"/>
      </rPr>
      <t xml:space="preserve"> De acuerdo al cronograma de mantenimiento previsto, se realizó mantenimiento para la totalidad de los equipos programados,. Se programa una sesión general de mantenimiento en febrero para grupos de equipos de acuerdo a su ubicación y disponibilidad, ejecutando de manera indivual en mantenimiento para cada uno. En total para este primer trimestre se ejecutó labor de mantenimiento preventivo en canal o contratada para un total de 136 equipos. Se reporta un avance del 100% para el periodo y un acumulado del 25%.     
</t>
    </r>
    <r>
      <rPr>
        <b/>
        <sz val="8"/>
        <color theme="1"/>
        <rFont val="Arial"/>
        <family val="2"/>
      </rPr>
      <t>T2:</t>
    </r>
    <r>
      <rPr>
        <sz val="8"/>
        <color theme="1"/>
        <rFont val="Arial"/>
        <family val="2"/>
      </rPr>
      <t xml:space="preserve"> De acuerdo al cronograma de mantenimiento previsto, se realizó mantenimiento para la totalidad de los equipos programados. Para el trismestre comprendido entre abril y junio se ejecutaron un total de 136 mantenimientpos preventivos a euiqpos del área técnica, lo que representa 100% de ejecución. El acumulado anual es de 272 mantenimientos preventivos, 50% del total programado para el presente año.
</t>
    </r>
    <r>
      <rPr>
        <b/>
        <sz val="8"/>
        <color theme="1"/>
        <rFont val="Arial"/>
        <family val="2"/>
      </rPr>
      <t xml:space="preserve">T3: </t>
    </r>
    <r>
      <rPr>
        <sz val="8"/>
        <color theme="1"/>
        <rFont val="Arial"/>
        <family val="2"/>
      </rPr>
      <t xml:space="preserve">De acuerdo al cronograma de mantenimiento previsto, se realizó mantenimiento para la totalidad de los equipos programados. Para el trismestre comprendido entre abril y junio se ejecutaron un total de 136 mantenimientpos preventivos a euiqpos del área técnica, lo que representa 100% de ejecución. El acumulado anual es de 408 mantenimientos preventivos, 75% del total programado para el presente año.
</t>
    </r>
    <r>
      <rPr>
        <b/>
        <sz val="8"/>
        <color theme="1"/>
        <rFont val="Arial"/>
        <family val="2"/>
      </rPr>
      <t xml:space="preserve">T4: </t>
    </r>
    <r>
      <rPr>
        <sz val="8"/>
        <color theme="1"/>
        <rFont val="Arial"/>
        <family val="2"/>
      </rPr>
      <t>De acuerdo al cronograma de mantenimiento previsto, se realizó mantenimiento para la totalidad de los equipos programados. Para el trismestre comprendido entre octubre y diciembre se ejecutaron un total de 136 mantenimientpos preventivos a euiqpos del área técnica, lo que representa 100% de ejecución. El acumulado anual es de 544 mantenimientos preventivos, 100% del total programado para el presente año.</t>
    </r>
  </si>
  <si>
    <r>
      <rPr>
        <b/>
        <sz val="8"/>
        <rFont val="Arial"/>
        <family val="2"/>
      </rPr>
      <t>T1:</t>
    </r>
    <r>
      <rPr>
        <sz val="8"/>
        <rFont val="Arial"/>
        <family val="2"/>
      </rPr>
      <t xml:space="preserve"> 1. En los meses de enero y febrero de 2018, se tuvieron problemas de facturación por la demora de los Clientes en la aprobación de los informes emitidos por Canal Capital y aclaraciones que quedaron subsanadas.
2. Los contratos que se manejan integralmente (Logística &amp; Ejecutiva) tienen el riesgo de disminuir la gestión de facturación.
Como acciones de mejoramiento se implementaron las siguientes medidas en el proceso:
1. Se implementó el procedimiento de Nuevos Negocios y se entrenó al equipo sobre el "Manual de Contratación, Supervisión e Interventoría"
2. Se aseguró que cada contrato tenga un ejecutivo que realice el control de calidad de los informes y la gestión de facturación, para evitar devoluciones o atrasos en los pagos.
</t>
    </r>
    <r>
      <rPr>
        <b/>
        <sz val="8"/>
        <rFont val="Arial"/>
        <family val="2"/>
      </rPr>
      <t xml:space="preserve">T2: </t>
    </r>
    <r>
      <rPr>
        <sz val="8"/>
        <rFont val="Arial"/>
        <family val="2"/>
      </rPr>
      <t xml:space="preserve">1. La ejecución del contrato con Transmilenio no se ha ejecutado con la celeridad esperada, debido a que el proceso de selección de la Agencia Creativa, requirió varios ajustes en el Brief y en los pliegos por parte del Cliente por cambio de administración y supervisión del contrato en Transmilenio.
Como acciones de mejoramiento se implementaron las siguientes medidas en el proceso:
1. Se dará agilidad al inicio de la ejecución de los nuevos contratos y concretará con los Clientes los planes de ejecución para el segundo semestre de 2018.
Para los siguientes periodos, se tendrá en cuenta lo siguiente:
1. En el siguiente periodo se estará trabajando con cada equipo para lograr facturar mínimo el 80% de lo ejecutado.
2. Se implementará el modelo de indicadores por contrato de Facturación para nuevos negocios.
</t>
    </r>
    <r>
      <rPr>
        <b/>
        <sz val="8"/>
        <rFont val="Arial"/>
        <family val="2"/>
      </rPr>
      <t>T3:</t>
    </r>
    <r>
      <rPr>
        <sz val="8"/>
        <rFont val="Arial"/>
        <family val="2"/>
      </rPr>
      <t xml:space="preserve"> La facturación del periodo no tuvo la celeridad esperada, teniendo en cuenta que los clientes se demoraron en la aprobación de la misma. Como acción para la mejora propuesta es necesario coordinar las areas financiera y de nuevos negocios para lograr una facturación que no dependa de la aprobación del cliente, siempre y cuando se haya cumplido con los requisitos contractuales para el pago.
</t>
    </r>
    <r>
      <rPr>
        <b/>
        <sz val="8"/>
        <rFont val="Arial"/>
        <family val="2"/>
      </rPr>
      <t xml:space="preserve">T4: </t>
    </r>
    <r>
      <rPr>
        <sz val="8"/>
        <rFont val="Arial"/>
        <family val="2"/>
      </rPr>
      <t>Debido a la proximidad de la finalización del plazo de ejecución de los contratos interadministrativos, la mayoría de las entidades incrementaron el ritmo de ejecución y en consecuencia la facturación. Con entidades como la UAESP, Secretaría de Ambiente, Fondo Financiero de Salud e IDPAC; la ejecución realizada no se facturó debido a que las evidencias de los servicios prestados solo se pueden demostrar y soportar en el mes de enero de 2019. Se puede mejorar la facturación solicitando a los proveedores el informe de actividades inmediatamente se ejecute el evento y no hasta que radiquen sus facturas.
Nota: 1. En el siguiente periodo se estará trabajando con cada equipo para lograr facturar mínimo el 80% de los ejecutado.
2. Se implementará el modelo de indicadores por contrato de Facturación para nuevos negocios.</t>
    </r>
  </si>
  <si>
    <r>
      <rPr>
        <b/>
        <sz val="8"/>
        <color theme="1"/>
        <rFont val="Arial"/>
        <family val="2"/>
      </rPr>
      <t>T1:</t>
    </r>
    <r>
      <rPr>
        <sz val="8"/>
        <color theme="1"/>
        <rFont val="Arial"/>
        <family val="2"/>
      </rPr>
      <t xml:space="preserve"> Los rendimientos  proyectados para la  vigencia 2018  son de $384,000 millones; Para el el primer  trimestre la rentabilidad en  las cuentas de ahorrosfue del  3% E.A. En  febrero la rentabilidad aumento debido a que el saldo promedio fue $5,681 millones y se realizó inversión en renta fija a finales del mes( feb.21/18); En relación al mes de marzo, los rendimientos disminuyeron,  teniendo en cuenta que Secretaria Distrital de Hacienda, realizó transferencia de los $3,000 Millones hasta finales del mes (Mar.26/18). A corte de trimestre se cuenta con un 7% recaudado por rendimientos financieros.
</t>
    </r>
    <r>
      <rPr>
        <b/>
        <sz val="8"/>
        <color theme="1"/>
        <rFont val="Arial"/>
        <family val="2"/>
      </rPr>
      <t>T2:</t>
    </r>
    <r>
      <rPr>
        <sz val="8"/>
        <color theme="1"/>
        <rFont val="Arial"/>
        <family val="2"/>
      </rPr>
      <t xml:space="preserve"> Los rendimientos netos recibidos en el segundo trimestre del año en curso fueron de $106,428,635 discriminados a continuación: cuentas de ahorros del Canal (Bancolombia y Occidente): abril ($8,246,906), mayo ($5,841,863) y junio ($7,770,435); cancelación de CDT: junio ($87,979,200); Ahora bien, comparando este resultado frente a los rendimientos obtenidos en el segundo trimestre del año anterior ($109,838,404), se observa un decrecimiento del 3,10%; lo anterior, debido a la disminución de la rentabilidad de  las cuentas de ahorros del canal (antes 3% EA ahora 2,7% E.A. - Bancolombia) y por otra parte, el cronograma de desembolso de las transferencias ordinarias según política de la Secretaría Distrital de Hacienda (antes se recibian todos los recursos en el primer semestre del año, ahora en diferentes meses del año). Por consiguiente, las posibilidades de invertir en CDTs y de obtener mayor rentabilidad en las cuentas de ahorro del canal, son menores. De otra parte, a 30 de junio de 2018, se obtuvo un cumplimiento de la meta del 36%. 
</t>
    </r>
    <r>
      <rPr>
        <b/>
        <sz val="8"/>
        <color theme="1"/>
        <rFont val="Arial"/>
        <family val="2"/>
      </rPr>
      <t xml:space="preserve">T3: </t>
    </r>
    <r>
      <rPr>
        <sz val="8"/>
        <color theme="1"/>
        <rFont val="Arial"/>
        <family val="2"/>
      </rPr>
      <t xml:space="preserve">Para el tercer trimestre de 2018, el comportamiento de los rendimientos financieros fue así:  Jul. $17,427, ago. $10,785 y sep. $10,275. La tasa que se manejo en las  cuentas de ahorros del  Canal,  es del  2.0 % E.A. Podemos ver un aumento representativo  en los rendimientos de Julio, debido a que en la cuenta de ahorros de Bancolombia se manejo un promedio de $7,433 millones,  así mismo  el día  26 de Julio de 2018, se realizó constitución de un CDT por valor de $2,000 millones a 90 días con la entidad BBVA. A cierre de trimestre podemos decir que se lleva un acumulado en rendimientos financieros de $174,765 millones, obteniendo un  46%  sobre el total de lo prespuestado ($384,000 millones).
</t>
    </r>
    <r>
      <rPr>
        <b/>
        <sz val="8"/>
        <color theme="1"/>
        <rFont val="Arial"/>
        <family val="2"/>
      </rPr>
      <t xml:space="preserve">T4: </t>
    </r>
    <r>
      <rPr>
        <sz val="8"/>
        <color theme="1"/>
        <rFont val="Arial"/>
        <family val="2"/>
      </rPr>
      <t>En el cuarto trimestre de 2018, los rendimientos financieros en cuentas de ahorros obtuvieron un valor aproximado de $ 33.548 millones. Conservando un comportamiento muy estable en tasas (2.0 % E.A) En renta, fija hubo incremento, teniendo en cuenta que se realizarón dos redenciones con las entidades financieras  Banco BBVA y Banco Davivienda. Generando rendimientos por valor de $36.182 millones. Al cierre de vigencia se obtuvo un total de $ 244.495 Millones tanto en cuenta de ahorros como en inversiones, lo que nos generó  un 64% recaudado sobre  el  total proyectado.</t>
    </r>
  </si>
  <si>
    <r>
      <rPr>
        <b/>
        <sz val="8"/>
        <color theme="1"/>
        <rFont val="Arial"/>
        <family val="2"/>
      </rPr>
      <t>T1:</t>
    </r>
    <r>
      <rPr>
        <sz val="8"/>
        <color theme="1"/>
        <rFont val="Arial"/>
        <family val="2"/>
      </rPr>
      <t xml:space="preserve"> El comportamiento de ingresos acumulados para el primer trimestre de la vigencia 2018 es del 44,20% por valor de $21.759.474 del total del presupuesto frente a una ejecución del presupuesto de gasto 49.89% por valor $24.557.688.156, es de aclarar que durante el mes de enero la entidad realizo la mayoría de contratación para el primer semestre.
Ingresos corrientes: Hacen referencia a los diferentes servicios que presta el Canal, en desarrollo de las actividades de su objeto social y de los estatutos aprobados por la Junta Administradora Regional, presentan ejecución del 19.10% por valor de $4.779 millones, clasificados así: -Comercialización Directa: corresponde a la gestión de ventas de la vigencia 2018 y al recaudo efectivo, el cual asciende a $77 millones, equivalentes al 0.33% frente a la meta proyectada de $23.411 millones. Estos recursos financian los gastos derivados en el marco de los contratos de nuevos negocios, como también los gastos asociados al funcionamiento y los proyectos de modernización (administrativa e institucional).Teniendo en cuenta lo anterior, el rubro de comercialización directa presenta un bajo porcentaje de ejecución, por lo que se hace necesario realizar los análisis correspondientes sobre las estimaciones presentadas y las necesidades planeadas con cargo a esta fuente de financiación.
</t>
    </r>
    <r>
      <rPr>
        <b/>
        <sz val="8"/>
        <color theme="1"/>
        <rFont val="Arial"/>
        <family val="2"/>
      </rPr>
      <t>T2:</t>
    </r>
    <r>
      <rPr>
        <sz val="8"/>
        <color theme="1"/>
        <rFont val="Arial"/>
        <family val="2"/>
      </rPr>
      <t xml:space="preserve"> El comportamiento de ingresos acumulados para el segundo trimestre de la vigencia 2018, es del 58.05% por valor de $29.474.245.798 del total del presupuesto frente a una ejecución del presupuesto de gasto 62.11% por valor $27.185.504.278, es de aclarar que durante el mes de junio se adelantó el proceso de contratación para el segundo semestre, se estima que durante el mes de julio se materializa la contratación de la vigencia 2018.
Ingresos corrientes: presenta una ejecución del 31,27% equivalente a $7.825 millones, frente a la apropiación de $25.028 millones, estos ingresos incluyen la comercialización directa y las cuentas por cobrar, las cuales contienen valores referentes a BTL, operación logística, plan de medios, etc. clasificados así: Comercialización Directa, tiene un recaudado por $379 millones que equivalen al 3,02% frente a una apropiación presupuestal de $12.574 millones, es importante precisar que en este rubro se refleja el ingreso percibido por las negociaciones de BTL, apoyo logístico y plan de medios, así como las negociaciones tradicionales; el recaudo más representativo  está en los nuevos negocios; dichos ingresos  respaldan financieramente los gastos derivados de los compromisos adquiridos en el marco de los contratos de BTL; Plan de medios y apoyo logístico, como también los gastos asociados al funcionamiento y los proyectos de modernización administrativa e institucional; Canje, no presenta ejecución en este segundo trimestre de 2018;Cuentas por Cobrar, corresponden a recursos de negociación de la vigencia inmediatamente anterior y que tuvo algún porcentaje de ejecución en el mismo año, quedando servicios facturados por recaudar o servicios por prestar durante el 2018, presenta un recaudado por $7.411 millones que equivalen al 59,89% frente a una apropiación presupuestal de $12.373 millones, recursos que cubren los gastos asociados al funcionamiento y los contratos de nuevos negocios suscritos en la vigencia de 2017.
</t>
    </r>
    <r>
      <rPr>
        <b/>
        <sz val="8"/>
        <color theme="1"/>
        <rFont val="Arial"/>
        <family val="2"/>
      </rPr>
      <t>T3:</t>
    </r>
    <r>
      <rPr>
        <sz val="8"/>
        <color theme="1"/>
        <rFont val="Arial"/>
        <family val="2"/>
      </rPr>
      <t xml:space="preserve"> Para el tercer trimestre con corte a 30 de septiembre la entidad presenta una ejecución de los ingresos  del 68,07% equivalente a $34.561 Millones del total de las apropiaciones definitiva, discriminados en: Ingresos corrientes: Presentó ejecución del 48,49% equivalente a $12.136 Millones frente a la apropiación de $25.028 Millones. Transferencias: se han recibido desembolsos por la suma de $17.968 millones, equivalentes al 85,24% frente a la apropiación presupuestal de $21.080. Recursos de Capital: se han recaudado $176 millones que equivalen al 46,03% frente a la apropiación presupuestal de $384 millones. Teniendo en cuenta lo anterior se evidencia el bajo porcentaje de ingresos dentro del rubro de ingresos corrientes, siendo el de menor recaudo  la comercialización directa, por valor de $1.683 millones equivalente al 13,39%.
Frente al  presupuesto de gastos por valor de $37.785,  la entidad no cuenta con el respaldo de ingresos suficientes para cubrir los compromisos adquiridos, reflejando un déficit  a 30 de septiembre por valor de $3.224 millones. , para lo cual la entidad debe revisar las estrategias que incrementen el ingreso esto con el fin de obtener los recursos suficientes para cubrir los compromisos adquiridos y todas aquellas obligaciones que tiene como fuente de financiación los recursos propios.
</t>
    </r>
    <r>
      <rPr>
        <b/>
        <sz val="8"/>
        <color theme="1"/>
        <rFont val="Arial"/>
        <family val="2"/>
      </rPr>
      <t xml:space="preserve">T4: </t>
    </r>
    <r>
      <rPr>
        <sz val="8"/>
        <color theme="1"/>
        <rFont val="Arial"/>
        <family val="2"/>
      </rPr>
      <t>Ingresos corrientes: Presentó ejecución del 70,25% equivalente a $17.589 Millones; Transferencias: se recibieron desembolsos por la suma de $20.509 millones, equivalentes al 97,29%. Recursos de Capital: se recaudó la suma de  $246 millones que equivalen al 64,19%. Teniendo en cuenta lo anterior se evidencia el bajo porcentaje de ingresos dentro del rubro de ingresos corrientes, siendo el de menor recaudo  la comercialización directa, por valor de $6.389 millones equivalente al 50,81%, dejando de recaudar el valor de $6.185 millones.
Para el cierre de la vigencia 2018, la entidad presenta una ejecución de los ingresos  del 83,94% equivalente a $42.617 Millones del total de las apropiaciones definitiva  y quedando un valor por recaudar frente a las proyecciones por valor de $8.154 millones, en comparación  al  presupuesto de gastos por valor de $45.493,  la entidad excedió los gastos en valor de $ 2.876 millones.</t>
    </r>
  </si>
  <si>
    <r>
      <rPr>
        <b/>
        <sz val="8"/>
        <color theme="1"/>
        <rFont val="Arial"/>
        <family val="2"/>
      </rPr>
      <t>T1:</t>
    </r>
    <r>
      <rPr>
        <sz val="8"/>
        <color theme="1"/>
        <rFont val="Arial"/>
        <family val="2"/>
      </rPr>
      <t xml:space="preserve"> Los gastos presupuestales presentan ejecución en compromisos del 49.89% frente al total del presupuesto aprobado
Funcionamiento: se ha ejecutado el 37.70% del total de las necesidades proyectadas, de los cuales se efectuaron pagos equivalentes al 20.83% frente al total apropiado. Reflejando de esta manera que se han realizados las contrataciones de acuerdo a lo planeado y reportado en el PAA. El comportamiento a nivel de rubros fue: Servicios Asociados a la Nómina se ejecutó en un porcentaje del 19.56%, Servicios Personales Indirectos en un 50.84%, Aportes Patronales en 11.59%, Gastos Generales   en un 46.26% y el rubro de Cuentas por Pagar se ejecutó en un 98.26%. 
Revisar y analizar las necesidades de gasto para el segundo semestre de 2018 programadas en el plan anual de adquisiciones, teniendo en cuenta que el cumplimiento del recaudo por venta de servicios en el primer trimestre del año es bajo en relación con las proyecciones, situación que impacta la financiación de los gastos dispuestos con cargo a esta fuente de recurso.  
</t>
    </r>
    <r>
      <rPr>
        <b/>
        <sz val="8"/>
        <color theme="1"/>
        <rFont val="Arial"/>
        <family val="2"/>
      </rPr>
      <t>T2:</t>
    </r>
    <r>
      <rPr>
        <sz val="8"/>
        <color theme="1"/>
        <rFont val="Arial"/>
        <family val="2"/>
      </rPr>
      <t xml:space="preserve"> Los gastos presupuestales presentan ejecución en compromisos del 62.11% frente al total del presupuesto aprobado
Funcionamiento: se ha ejecutado el 54.18% del total de las necesidades proyectadas, de los cuales se efectuaron pagos equivalentes al 39.75% frente al total apropiado. Reflejando de esta manera que se han realizados las contrataciones de acuerdo a lo planeado y reportado en el PAA. El comportamiento a nivel de rubros fue: Servicios Asociados a la Nómina se ejecutó en un porcentaje del 40,12%, Servicios personales se ejecutó en un porcentaje del 41.75%,  Servicios Personales Indirectos en un 51,83%, Aportes Patronales en 29,82%, Gastos Generales   en un 67,43% y el rubro de Cuentas por Pagar se ejecutó en un 99,47%.  Se reitera la necesidad de revisar las estrategias comerciales con el enfoque de la consecución de los recursos que ayuden al apalancamiento de las obligaciones adquiridas derivadas de las necesidades básicas de Canal Capital en los aspectos administrativos y misionales para cubrir los gastos del último semestre de la vigencia 2018. Analizar las necesidades de gasto para el segundo semestre de 2018 programadas en el plan anual de adquisiciones, teniendo en cuenta que el cumplimiento del recaudo por venta de servicios en el primer trimestre del año es bajo en relación con las proyecciones, situación que impacta la financiación de los gastos dispuestos con cargo a esta fuente de recurso.
</t>
    </r>
    <r>
      <rPr>
        <b/>
        <sz val="8"/>
        <color theme="1"/>
        <rFont val="Arial"/>
        <family val="2"/>
      </rPr>
      <t xml:space="preserve">T3: </t>
    </r>
    <r>
      <rPr>
        <sz val="8"/>
        <color theme="1"/>
        <rFont val="Arial"/>
        <family val="2"/>
      </rPr>
      <t xml:space="preserve">Los gastos presupuestales presentan ejecución en compromisos del 74.42% por valor de $ 37.785 millones frente al total del presupuesto aprobado, discriminados así: Funcionamiento: ejecutado en un 73,94% equivalente a $6.338 millones, de los cuales se efectuaron giros del 59,75% por valor de $5.121 millones. Gastos de Operación: ejecutado en un 80,49% por valor de $25.010 millones, de los cuales se efectuaron giros por $15.702 millones equivalentes al 50,53. Gastos de Inversión: presenta ejecución del 87,86% que equivale a $6.436 millones y giros de los compromisos adquiridos del 54,30%, que corresponde a $3.977 millones. A 30 de septiembre la entidad sobre pasa en sus compromisos el total de los ingresos acumulados por valor de $3.224 millones, correspondientes al 9 % mayor comprometido frente a lo recaudado, teniendo en cuenta lo anterior se deben revisar el PAA con el fin de verificar los compromisos pendientes para el cierre de la vigencia y el respaldo de ingresos de los mismos.
</t>
    </r>
    <r>
      <rPr>
        <b/>
        <sz val="8"/>
        <color theme="1"/>
        <rFont val="Arial"/>
        <family val="2"/>
      </rPr>
      <t xml:space="preserve">T4: </t>
    </r>
    <r>
      <rPr>
        <sz val="8"/>
        <color theme="1"/>
        <rFont val="Arial"/>
        <family val="2"/>
      </rPr>
      <t xml:space="preserve">Los gastos presupuestales presentan ejecución en compromisos del 89.60% por valor de $ 45.493 millones frente al total del presupuesto aprobado, discriminados así: Funcionamiento: ejecutado en un 93,58% equivalente a $8.022 millones, de los cuales se efectuaron giros de 87,91% por valor de $7.536 millones. Gastos de Operación: ejecutado en un 97,81% por valor de $30.394 millones, de los cuales se efectuaron giros por $21.002 millones equivalentes al 67,59. Gastos de Inversión: presenta ejecución del 96,61% que equivale a $7.077 millones y giros de los compromisos adquiridos del 92,60%, que corresponde a $6.783 millones. La entidad sobre pasa en sus compromisos el total de los ingresos acumulados por valor de $2.876 millones, correspondientes al 9 % mayor comprometido frente a lo recaudado, teniendo en cuenta lo anterior se deben revisar las cuentas que se deben constituir para la vigencia 2019, con el fin de verificar el respaldo de ingresos de los mismos. </t>
    </r>
  </si>
  <si>
    <r>
      <rPr>
        <b/>
        <sz val="8"/>
        <color theme="1"/>
        <rFont val="Arial"/>
        <family val="2"/>
      </rPr>
      <t>T1:</t>
    </r>
    <r>
      <rPr>
        <sz val="8"/>
        <color theme="1"/>
        <rFont val="Arial"/>
        <family val="2"/>
      </rPr>
      <t xml:space="preserve"> A 31 de marzo de 2018, se obtuvo un recaudo del 70,14% correspondiente a la suma total de $5,022 millones (entre comercialización directa y cuentas por cobrar), frente a un valor total de los servicios cobrados a la misma fecha de $7,160 millones, quedando una cartera al cierre del periodo de $2,138 millones.  
El 50,7% del valor total pendiente de recaudo, corresponde a una facturación no mayor a 30 días (facturación expedida en el mes de marzo); el 17,18% a 60 días, el 27,64% a 90 días y el 4,48% pertenece a  una cartera con más de 90 días; en sintesis, se concluye que la edad de la cartera de Canal Capital oscila de manera corriente, con pocas posibilidades de obtener deudas de díficil cobro. 
</t>
    </r>
    <r>
      <rPr>
        <b/>
        <sz val="8"/>
        <color theme="1"/>
        <rFont val="Arial"/>
        <family val="2"/>
      </rPr>
      <t>T2:</t>
    </r>
    <r>
      <rPr>
        <sz val="8"/>
        <color theme="1"/>
        <rFont val="Arial"/>
        <family val="2"/>
      </rPr>
      <t xml:space="preserve"> A 30 de junio de 2018, se obtuvo un recaudo bruto del 82,75% correspondiente a la suma total de $8,195 millones (entre comercialización directa y cuentas por cobrar), frente a un valor total de los servicios cobrados a la misma fecha de $9,903 millones, quedando una cartera al cierre del periodo de $1,708 millones.   Dicha cartera de Canal Capital oscila de manera corriente, con posibilidades del 100% de su recaudo; con un  71,7% que corresponde a una facturación no mayor a 30 días; el 10,3% a 60 días, el 9,9% a 90 días y el 8,1% pertenece a  una cartera con más de 90 días.  
</t>
    </r>
    <r>
      <rPr>
        <b/>
        <sz val="8"/>
        <color theme="1"/>
        <rFont val="Arial"/>
        <family val="2"/>
      </rPr>
      <t xml:space="preserve">T3: </t>
    </r>
    <r>
      <rPr>
        <sz val="8"/>
        <color theme="1"/>
        <rFont val="Arial"/>
        <family val="2"/>
      </rPr>
      <t xml:space="preserve">A 30 de septiembre de 2018, se obtuvo un recaudo bruto del 91,33% correspondiente a la suma total de $12,821 millones (entre comercialización directa y cuentas por cobrar), frente a un valor total de los servicios cobrados a la misma fecha de $14,039 millones, quedando una cartera al cierre del periodo de $1,217 millones.  La cartera de Canal Capital oscila de manera corriente, con posibilidades de su recuperación del 100%.  
</t>
    </r>
    <r>
      <rPr>
        <b/>
        <sz val="8"/>
        <color theme="1"/>
        <rFont val="Arial"/>
        <family val="2"/>
      </rPr>
      <t xml:space="preserve">T4: </t>
    </r>
    <r>
      <rPr>
        <sz val="8"/>
        <color theme="1"/>
        <rFont val="Arial"/>
        <family val="2"/>
      </rPr>
      <t xml:space="preserve">A 31 de diciembre de 2018, se obtuvo un recaudo bruto del 79,90% del valor total facturado a la misma fecha, quedando una cartera de $4,624 Millones por venta de servicios. Se resalta que en el mes de diciembre se gestionó una facturación de $5,622 Millones, siendo esta cifra el 62,7% del valor total facturado en el último trimestre ($8,968 Millones), de otra parte, el 93% del total de la cartera corresponde a cobros efectuados entre 0 y 30 días. Se concluye que la edad de la cartera de Canal Capital oscila de manera corriente y efectiva. </t>
    </r>
  </si>
  <si>
    <r>
      <rPr>
        <b/>
        <sz val="8"/>
        <color theme="1"/>
        <rFont val="Arial"/>
        <family val="2"/>
      </rPr>
      <t>T1:</t>
    </r>
    <r>
      <rPr>
        <sz val="8"/>
        <color theme="1"/>
        <rFont val="Arial"/>
        <family val="2"/>
      </rPr>
      <t xml:space="preserve"> Se evaluan las capacitaciones que se afectan del presupuesto, en este caso la capacitación de Reforma Tributaria .  Como la medición es semestral se reportara esta evaluación en el próximo trimestre junto con las demas que se realicen.
</t>
    </r>
    <r>
      <rPr>
        <b/>
        <sz val="8"/>
        <color theme="1"/>
        <rFont val="Arial"/>
        <family val="2"/>
      </rPr>
      <t>T2:</t>
    </r>
    <r>
      <rPr>
        <sz val="8"/>
        <color theme="1"/>
        <rFont val="Arial"/>
        <family val="2"/>
      </rPr>
      <t xml:space="preserve"> Se realizaron las capacitaciones de Reforma Tributaria el 14 de marzo de 2018 y de facturación electrónica el 16 de mayo de 2018.
</t>
    </r>
    <r>
      <rPr>
        <b/>
        <sz val="8"/>
        <color theme="1"/>
        <rFont val="Arial"/>
        <family val="2"/>
      </rPr>
      <t>T3:</t>
    </r>
    <r>
      <rPr>
        <sz val="8"/>
        <color theme="1"/>
        <rFont val="Arial"/>
        <family val="2"/>
      </rPr>
      <t xml:space="preserve"> Se realizaron las capacitaciones de Moneda extranjera, Redacción y ortografia, quien eres según la neurociencia, actualización en Derecho Laboral.
</t>
    </r>
    <r>
      <rPr>
        <b/>
        <sz val="8"/>
        <color theme="1"/>
        <rFont val="Arial"/>
        <family val="2"/>
      </rPr>
      <t xml:space="preserve">T4: </t>
    </r>
    <r>
      <rPr>
        <sz val="8"/>
        <color theme="1"/>
        <rFont val="Arial"/>
        <family val="2"/>
      </rPr>
      <t>Se realizó la capacitación de excel.</t>
    </r>
  </si>
  <si>
    <r>
      <rPr>
        <b/>
        <sz val="8"/>
        <color theme="1"/>
        <rFont val="Arial"/>
        <family val="2"/>
      </rPr>
      <t>T1:</t>
    </r>
    <r>
      <rPr>
        <sz val="8"/>
        <color theme="1"/>
        <rFont val="Arial"/>
        <family val="2"/>
      </rPr>
      <t xml:space="preserve"> Se registraton 3 eventos relacionados con el acceso a internet debido a fallas en los sistemas del proveedor de internet, corte en el suministro de energia y posterior  falla de los sistemas de contingencia, al igual que la intermitencia en los servicios de software de secretaria de hacienda los cuales se mitigaron conforme a los procedimientos y acciones correctivas de contingenica tomadas en el área y con apoyo en algunos casos de el área tecnica y proveedores externos. Se deben revisar periodicamente los sistemas de respaldo y contingencia a fallas en el fluido eléctrico, asíc omo proyectar la implementación de un sistema UPS independiente para el centro de datos. 
</t>
    </r>
    <r>
      <rPr>
        <b/>
        <sz val="8"/>
        <color theme="1"/>
        <rFont val="Arial"/>
        <family val="2"/>
      </rPr>
      <t>T2:</t>
    </r>
    <r>
      <rPr>
        <sz val="8"/>
        <color theme="1"/>
        <rFont val="Arial"/>
        <family val="2"/>
      </rPr>
      <t xml:space="preserve"> Se registraton 2 eventos relacionados con la transferencia y ancho de banda dispopnible de la red LAN del Canal generados por Bucles en dispositivos SWITCH que presentaron fallas. Se proyecta contratación para la adquisición de dispositivos SWITCH capa 3 con el objetivo de separar los servicios administrativos y misionales que permitan gestionar el riesgo de disponibilidad de la red del Canal.
</t>
    </r>
    <r>
      <rPr>
        <b/>
        <sz val="8"/>
        <color theme="1"/>
        <rFont val="Arial"/>
        <family val="2"/>
      </rPr>
      <t xml:space="preserve">T3: </t>
    </r>
    <r>
      <rPr>
        <sz val="8"/>
        <color theme="1"/>
        <rFont val="Arial"/>
        <family val="2"/>
      </rPr>
      <t xml:space="preserve">Se registro un evento relacionado con el corte del fluido electrico internitente que afecto la operación y disponibilidad del servicio.
</t>
    </r>
    <r>
      <rPr>
        <b/>
        <sz val="8"/>
        <color theme="1"/>
        <rFont val="Arial"/>
        <family val="2"/>
      </rPr>
      <t>T4:</t>
    </r>
    <r>
      <rPr>
        <sz val="8"/>
        <color theme="1"/>
        <rFont val="Arial"/>
        <family val="2"/>
      </rPr>
      <t xml:space="preserve"> Se presento fallas en el servicio de telefonia IP que se presta a traves de el software USE ONE, de ETB, los cuales ocurrieron por fallas masivas del operador. Se hizo solicitud de soporte y mantenimiento a la plataforma del proveedor ETB</t>
    </r>
  </si>
  <si>
    <r>
      <rPr>
        <b/>
        <sz val="8"/>
        <rFont val="Arial"/>
        <family val="2"/>
      </rPr>
      <t>T1:</t>
    </r>
    <r>
      <rPr>
        <sz val="8"/>
        <rFont val="Arial"/>
        <family val="2"/>
      </rPr>
      <t xml:space="preserve"> 1.  Se da cumplimiento a la Normatividad archivística promulgada por el Archivo General de la Nación y el Archivo Distrital de Bogotá. En Ejecución  2. Se procede a administrar los procesos de recepción, envió y distribución de la correspondencia, conservación, organización, inventario servicio y control de la documentación del archivo. Programada 3. Se realiza Capacitación en el mes de Marzo sobre el SGD. Programada y Ejecutada 4. Formulación y aprobación del Programa de Gestión Documental, PGD y Plan Institucional de Archivo, PINAR, se realizan Actualizaciones. Programada 
6, Se adquiere  e inicia la implementación del Software de Gestión Documental ORFEO. Programa 5. Levantamiento de Diagnostico documental para revisar el estado de los Archivos de la Entidad, obteniendo como resultado que las áreas no manejan un adecuado sistema de organización de archivos. Se realiza actualización del AGRI-GD-FT-004 formato de solicitud y préstamo de documentos, en el primer trimestre se hicieron 297 préstamos de Documentos, el su mayoría a la Coordinación Jurídica. Programada y Ejecutada. 6. Se están actualizando los instrumentos archivísticos para el cumplimiento  de la normatividad y de la NTD- SIG 001:2011. 7. Desde el 20 de marzo de 2018 el Archivo General de la Nación informo a Canal Capital sobre la inscripción del Registro Único de Series Documentales de las Tablas de Retención Documental de la Entidad. Programada y Ejecutada
8. Se realizó la reiteración al concepto Técnico al Archivo Distrital para cuantificar la pérdida de las unidades documentales, el cual se obtuvo respuesta el día 14 de Marzo por parte del AD y AGN. Programada y Ejecutada 9. Elaboración del cronograma de Capacitaciones de Gestión Documental, para su divulgación y aplicación en la Entidad. Programada 10. Se realizó la legalización de transferencia documental de Control Interno y Correspondencia. Programada y Ejecutada 11. Elaboración del cronograma de Transferencia Documental, para su divulgación y aplicación en la Entidad. Programada.
</t>
    </r>
    <r>
      <rPr>
        <b/>
        <sz val="8"/>
        <rFont val="Arial"/>
        <family val="2"/>
      </rPr>
      <t xml:space="preserve">T2: </t>
    </r>
    <r>
      <rPr>
        <sz val="8"/>
        <rFont val="Arial"/>
        <family val="2"/>
      </rPr>
      <t xml:space="preserve">1. Administrar los procesos de conservación, organización, inventario y control de la documentación del archivo. En Ejecución 2. Orientar en temas archivísticos a las áreas de  producción, administración y archivo de la documentación acorde con las normas archivísticas vigentes a las diferentes áreas del Canal. Programada y en Ejecución 3. Formulación, revisión y presentación del Sistema Integrado de Conservación al comité SIG de Canal Capital. Programada y Ejecutada 4. Asesoría a las áreas de logística, producción y transporte para la organización de archivos. Programada y Ejecutada
5. Recepción de solicitudes de préstamo de expedientes a las áreas de Jurídica, Talento Humano. Ejecutada 6. Se están actualizando los instrumentos archivísticos para el cumplimiento de la normatividad y de la NTD- SIG 001:2011 (Manual de Correspondencia, Programa de Gestión Documental). En Ejecución 7. De acuerdo a la estrategia IGA +10, se están realizando reuniones y mesas de trabajo para la revisión y ajustes al Programa de Gestión Documental en conjunto con el Archivo Distrital. Programada y Ejecutada 8. Se realizó el análisis sobre la cuantificación de perdida de expedientes de acuerdo a las respuestas entregadas por el Archivo Distrital de Bogotá y del Archivo General de la Nación. Programada y en Ejecución 9. Se realizó reunión con el área de jurídica para la revisión del contrato IRON MOUNTAIN y así realizar el informe final de supervisión y luego proceder a su liquidación. Programada y Ejecutada 10. Se generó respuesta a la personería sobre la perdida documental de expedientes. Ejecutada 11. Se realizó capacitación a los gestores documentales en temas de organización de expediente y tabla de retención documental. Programada y Ejecutada 12. Se realizó comunicación para la ANTV paras la solicitud de recursos para la organización y conservación del archivo audiovisual. Ejecutada 13. Se realizó comunicación para la ANTV solicitando el diagnostico que realizó la RTVC, el cual es de soporte para el convenio interadministrativo. Ejecutada 14. Ejecución del convenio interadministrativo 4213000-797- 2017 suscrito entre Canal Capital y la Secretaría General de la Alcaldía Mayor de Bogotá, para el desarrollo de actividades conjuntas que beneficien al Distrito Capital en la gestión del material sonoro y audiovisual. En Ejecución 15. Compilación y entrega de informes sobre la ejecución del convenio interadministrativo 4213000-797- 2017, el cual se envía al Archivo Distrital. En Ejecución
</t>
    </r>
    <r>
      <rPr>
        <b/>
        <sz val="8"/>
        <rFont val="Arial"/>
        <family val="2"/>
      </rPr>
      <t>T3:</t>
    </r>
    <r>
      <rPr>
        <sz val="8"/>
        <rFont val="Arial"/>
        <family val="2"/>
      </rPr>
      <t xml:space="preserve"> 1. Contratación del personal del área de Gestión Documental y de la empresa custodia. En ejecución 2. Administrar los procesos de conservación, organización, inventario y control de la documentación del archivo de la Secretaría General. En ejecución 3. Dar las instrucciones pertinentes a producción, administración y archivo de la documentación acorde con las normas archivísticas vigentes la Secretaría General. En ejecución 4. La formulación y presentación del Sistema Integrado de Conservación al comité SIG. En espera de la aprobación por el comité 5. Se están actualizando los instrumentos archivísticos para el cumplimiento  de la normatividad y de la NTD- SIG 001:2011. En ejecución 6. Realización y Publicación del Programa de limpieza de archivos. Completado 7. Realización del Plan de Biodeterioro para su publicación. En ejecución  8. Elaboración del Plan de Emergencias de archivos. En ejecución 9. Presentación del cronograma de actualización de Tablas de Retención Documental. En ejecución 10. Envío de comunicación al Archivo Distrital sobre monitoreo y el saneamiento ambiental del archivo Central y de Gestión del Canal Capital. En espera de respuesta 11. De acuerdo a la estrategia IGA +10, se actualizó y aprobó por el Comité SIG el Programa de Gestión Documental en conjunto con el Archivo Distrital. Completado 12. Se realizó memorando para Jurídica solicitando  concepto sobre el paso a seguir para el cierre final de la perdida documental y liquidar contrato de Tandem. En espera de respuesta 13. Se realizó informe final de supervisión y luego proceder a su liquidación Tandem. En espera de respuesta 14. Se presentó el informe final de supervisión y luego proceder a su liquidación. En espera de respuesta  15. Se generó respuesta a la personería sobre la perdida documental de expedientes. Completado 16. Se realizó comunicación para la ANTV paras la solicitud de recursos para la organización y conservación del archivo audiovisual. En espera de respuesta 17. Se enviaron cartas a diferentes entidades solicitando recursos para el desarrollo del convenio interadministrativo 4213000-797- 2017. En espera de respuesta 18. Ejecución del convenio interadministrativo 4213000-797- 2017 suscrito entre Canal Capital y la Secretaría General de la Alcaldía Mayor de Bogotá, para el desarrollo de actividades conjuntas que beneficien al Distrito  Capital en la gestión del material sonoro y audiovisual. En ejecución 19. Entrega del informe sobre el desarrollo del convenio interadministrativo 4213000-797- 2017. En ejecución 20. Respuesta al memorando del procesos disciplinario 011-2017. Completado
</t>
    </r>
    <r>
      <rPr>
        <b/>
        <sz val="8"/>
        <rFont val="Arial"/>
        <family val="2"/>
      </rPr>
      <t xml:space="preserve">T4: </t>
    </r>
    <r>
      <rPr>
        <sz val="8"/>
        <rFont val="Arial"/>
        <family val="2"/>
      </rPr>
      <t xml:space="preserve">En este último trimestre se logró en un 91.2%, cumplir con el indicador de acuerdo con las actividades propuestas para el estado de la gestión documental para Canal Capital, tal como se describen a continuación: 1. Capacitar y socializar el Subsistema de Gestión Documental y Archivo. 10%, el porcentaje anteriormente mencionado equivale a la ponderación que se le dío a las 7 actividades para el cumplimiento del Indicador, donde se realizaron al 100% las capacitaciones del área en el año 2018. 2. Implementar la primera fase de las TRD, cambiar las unidades de conservación y ordenar la documentación. 0.86% el porcentaje anteriormente mencionado equivale a la ponderación que se le dío a las 7 actividades para el cumplimiento del Indicador, A fecha se ha colaborado con las áreas de Correspondencia, Control Interno, Programación, Secretaria General, Ventas y Mercadeo, Atención al Usuario con asesorías en TRD y demás funciones archivísticas. Es de aclarar que no se ha ejecutado el cronograma de transferencias por falta de espacio en el archivo central.  3. Implementar la primera fase de las TVD, cambiar las unidades de conservación y ordenar la documentación. 2% el porcentaje anteriormente mencionado equivale a la ponderación que se le dío a las 7 actividades para el cumplimiento del Indicador. A fecha no se ha implementado el procesos de TVD, debido a que no se tiene la cantidad de unidades de conservación para realizar el cambio en la documentación. 4. Formular y aprobar el Programa de Gestión Documental, PGD. 30% el porcentaje anteriormente mencionado equivale a la ponderación que se le dío a las 7 actividades para el cumplimiento del Indicador. Se realizó su publicación en la Intranet y en la Página web link de transparencia. 5. Formular y aprobar el Plan Institucional de Archivo, PINAR. 20% el porcentaje anteriormente mencionado equivale a la ponderación que se le dío a las 7 actividades para el cumplimiento del Indicador. El PINAR se encuentra publicado en la Intranet y a la fecha cumple con lo solicitado por el Archivo General de la Nación.  6. Adquirir e Implementar el Software de Gestión Documental. 0.4% el porcentaje anteriormente mencionado equivale a la ponderación que se le dío a las 7 actividades para el cumplimiento del Indicador.Se realizaron pruebas para la implementación del software, pero a la fecha se encuentra quieto debido a los costos que este tiene. 7. Definir y Aprobar el Sistema Integrado de Conservación para la preservación y conservación de Archivos fisicos y electronicos. 28% el porcentaje anteriormente mencionado equivale a la ponderación que se le dío a las 7 actividades para el cumplimiento del Indicador. Se publicó en la Intranet por parte de Planeación. </t>
    </r>
  </si>
  <si>
    <r>
      <rPr>
        <b/>
        <sz val="8"/>
        <rFont val="Arial"/>
        <family val="2"/>
      </rPr>
      <t>T1:</t>
    </r>
    <r>
      <rPr>
        <sz val="8"/>
        <rFont val="Arial"/>
        <family val="2"/>
      </rPr>
      <t xml:space="preserve"> Resultado de los análisis internos frente a la carga de actividades del equipo de la Oficina y el enfoque para una generación de valor a las actividades del Canal, se realizó una reformulación de la periodicidad de los seguimientos a las acciones del plan de mejoramiento pasando de seguimientos trimestrales a seguimientos cuatrimestrales, por lo cual en el periodo evaluado no se cuenta con la medición del indicador solicitado.
</t>
    </r>
    <r>
      <rPr>
        <b/>
        <sz val="8"/>
        <rFont val="Arial"/>
        <family val="2"/>
      </rPr>
      <t xml:space="preserve">T2: </t>
    </r>
    <r>
      <rPr>
        <sz val="8"/>
        <rFont val="Arial"/>
        <family val="2"/>
      </rPr>
      <t xml:space="preserve">Resultado del "informe primer seguimiento al plan de mejoramiento por procesos vigencia 2018" y la matriz de plan de mejoramiento,  se pudo establecer que las acciones vencidas con estado abierto, es decir aquellas que tenían como fecha de terminación hasta abril de la presente vigencia eran 34 cerrándose 12 de ellas para la fecha de reporte. Con las áreas que tenían acciones de mejoramiento próximas a vencerse se realizó un ejercicio de revisión de tiempos de ejecución y reformulación de las actividades planteadas, con la finalidad de actualizar este plan, así mismo, se realizó el instructivo "Administración de acciones correctivas, preventivas y de mejoramiento" correspondiente al diligenciamiento del formato, actualmente el equipo de la OCI se encuentra trabajando el desarrollo de una circular que oriente a los líderes de proceso en la formulación y ejecución de los Planes de Mejoramiento.
</t>
    </r>
    <r>
      <rPr>
        <b/>
        <sz val="8"/>
        <rFont val="Arial"/>
        <family val="2"/>
      </rPr>
      <t xml:space="preserve">T3: </t>
    </r>
    <r>
      <rPr>
        <sz val="8"/>
        <rFont val="Arial"/>
        <family val="2"/>
      </rPr>
      <t xml:space="preserve">Resultado del segundo seguimiento al plan de mejoramiento por procesos vigencia 2018 "Matriz plan mejoramiento II seguimiento",  se estableció que de las 45 acciones con fecha de terminación al 31 de agosto de 2018, se efectuó el cierre de 15 a la fecha de reporte. De conformidad con el seguimiento del plan de mejoramiento por procesos se evidenciaron las siguientes oportunidades de mejora:
a. Replanteamiento de los plazos de ejecución de las acciones planteadas. 
b. Ajuste de áreas y responsables de ejecución de las acciones.
</t>
    </r>
    <r>
      <rPr>
        <b/>
        <sz val="8"/>
        <rFont val="Arial"/>
        <family val="2"/>
      </rPr>
      <t xml:space="preserve">T4: </t>
    </r>
    <r>
      <rPr>
        <sz val="8"/>
        <rFont val="Arial"/>
        <family val="2"/>
      </rPr>
      <t>Como resultado del tercer seguimiento (Tercer Cuatrimestre) al Plan de Mejoramiento por Procesos en la  "Matriz plan mejoramiento III Seguimiento" se cerraron un total de 40 acciones de las 105 acciones que se encontraban vencidas con estado abierto a la fecha de corte (31 de diciembre de 2018).
De conformidad con el resultado del indicador, que se ubica en el nivel crítico se hace necesario: 
a. Adelantar socializaciones a los líderes de procesos y sus equipos de trabajo sobre la forma en que deben ser reportados los soportes de cumplimiento de las acciones.
b. Revisión y ajustes de las variables del indicador, con el fin de incluir en su resultado aquellas acciones propuestas que se califiquen como "Terminada" o "Terminada Extemporánea".
c. Analizar de acuerdo a las propuestas de la Secretaría General de la Alcaldía Mayor, la posibilidad de automatizar el plan de mejoramiento.</t>
    </r>
  </si>
  <si>
    <r>
      <rPr>
        <b/>
        <sz val="8"/>
        <color theme="1"/>
        <rFont val="Arial"/>
        <family val="2"/>
      </rPr>
      <t>T1:</t>
    </r>
    <r>
      <rPr>
        <sz val="8"/>
        <color theme="1"/>
        <rFont val="Arial"/>
        <family val="2"/>
      </rPr>
      <t xml:space="preserve"> Para el trimestre 1 se programaron y realizaron 3 actividades respecto a la implementación del MIPG, de acuerdo con el plan de trabajo del área, las cuales se describen a continuación: 1. Mesa de trabajo con el equipo de Planeación - revisión de diagnóstico inicial FURAG II - MIPG y acciones a implementar, revisión de la segunda dimensión del modelo: Direccionamiento estratégico y Planeación  2. Modificación Resolución 036 de 2015 teniendo en cuenta los lineamientos definidos en el Modelo Integrado de Planeación y gestión respecto al comité institucional de Gestión y desempeño y demás acciones de Gestión  3. Reconocimiento del decreto 1499 de 2017 al interior de la entidad (reuniones con los equipos de trabajo responsables del MIPG). Así mismo, los profesionales del área participaron en las diferentes jornadas de socialización y capacitación en los elementos del modelo.
Dar continuidad a la implementación del MIPG, de acuerdo con el plan de trabajo definido a nivel interno y los lineamientos que se den por parte de las entidades del orden nacional y territorial para este fin.
</t>
    </r>
    <r>
      <rPr>
        <b/>
        <sz val="8"/>
        <color theme="1"/>
        <rFont val="Arial"/>
        <family val="2"/>
      </rPr>
      <t>T2:</t>
    </r>
    <r>
      <rPr>
        <sz val="8"/>
        <color theme="1"/>
        <rFont val="Arial"/>
        <family val="2"/>
      </rPr>
      <t xml:space="preserve">De acuerdo con las actividades establecidas en el Plan de Trabajo del area, se cuenta con el siguiente estado de avance para el periodo:  1. Se realizó el diligenciamiento de los autodiagnósticos de las 15 políticas operativas del MIPG (100%) 2. Se avanzó en la consolidación del informe a partir de los resultados de los autodiagnósticos realizados (60%) 3. Se realizó el primer Comité Institucional de Gestión y Desempeño en el cual se presentó la Resolucipon 040 de 2018,  la propuesta de plataforma estratégica, el informe de PQRS, y el Sistema Integrado de Conservación (100%) 4. Se avanzó en la integración de Planes Institucionales en cumplimiento del Decreto 612 de 2018 del DAFP (70%) Así mismo, los profesionales del área participaron en las diferentes jornadas de socialización y capacitación en los elementos del modelo. Como acción para la mejora, se proyecta dar continuidad a la implementación del MIPG, de acuerdo con el plan de trabajo definido a nivel interno y los lineamientos que se den por parte de las entidades del orden nacional y territorial para este fin. Se relizará la revisión de la Resolución 040 de 2018 atendiendo los lineamientos de la DDDI de la Alcaldía Mayor de Bogotá.
</t>
    </r>
    <r>
      <rPr>
        <b/>
        <sz val="8"/>
        <color theme="1"/>
        <rFont val="Arial"/>
        <family val="2"/>
      </rPr>
      <t xml:space="preserve">T3: </t>
    </r>
    <r>
      <rPr>
        <sz val="8"/>
        <color theme="1"/>
        <rFont val="Arial"/>
        <family val="2"/>
      </rPr>
      <t xml:space="preserve">De acuerdo con las actividades establecidas en el Plan de Trabajo del area, se cuenta con el siguiente estado de avance para el periodo: 1. Se avanzó en la consolidación del informe a partir de los resultados de los autodiagnósticos realizados (80%) 2. Se realizó el ejercicio de integración de Planes Institucionales en cumplimiento del Decreto 612 de 2018 del DAFP (100%). 3. Se consolidó el informe de resultados correspondientes al seguimiento de los indicadores del plan de acción y de procesos del primer trimestre de la vigencia, se presentaron los resultados a la alta dirección y se publicaron los mismos en la página web y en la intranet (100%). 4. Se avanzó en la revisión y ajustes a la propuesta de plataforma estratégica, de acuerdo con los lineamientos de la alta dirección (80%). Así mismo, los profesionales del área participaron en las diferentes jornadas de socialización y capacitación en los elementos del modelo. Quedó como acción pendiente para el periodo iniciar con la estrategia de comunicaciones referente a las generalidades del modelo. Dar continuidad a la implementación del MIPG, de acuerdo con el plan de trabajo definido a nivel interno y los lineamientos que se den por parte de las entidades del orden nacional y territorial para este fin. También es necesario culminar el ejercicio de autodiagnósticos y hacer la socialización de sus resultados, como insumo para la definición de los planes de trabajo de la siguiente vigencia.
</t>
    </r>
    <r>
      <rPr>
        <b/>
        <sz val="8"/>
        <color theme="1"/>
        <rFont val="Arial"/>
        <family val="2"/>
      </rPr>
      <t xml:space="preserve">T4: </t>
    </r>
    <r>
      <rPr>
        <sz val="8"/>
        <color theme="1"/>
        <rFont val="Arial"/>
        <family val="2"/>
      </rPr>
      <t>De acuerdo con las actividades establecidas en el Plan de Trabajo del area, se cuenta con el siguiente estado de avance para el periodo: 1. Frente a la plataforma estratégica y la resolución para su adopción, planeación trabajó en la porpuesta para ambos documentos, sin embargo la alta dirección consideró que era necesario fortalecer este ejercicio frente al proyecto de transformación digital, por lo cual se dará continuidad en la vigencia 2019. (80%). 2. Se presentó en Comité Institucional de Gestión y Desempeño los resultados del estado de avance en la impementación del MIPG a partir de los ejercicios de autodiagnósticos realizados. Estos se publicaron en la página web y en la intranet y se enviaron mediante boletín institucional (100%). 3. Frente a la política de Administración de Riesgo de adelantarion acciones en la estructuración de dichos documentos buscando fortalecer el ejercicio de Gestión del Riesgo del Canal (30%).  4. Se avanzó en la adopción del Acto Administrativo de adopción del MIPG a partir de los lienamientos definidos por la Secretaría General de la Alcaldía Mayor, el mismo está pendiente en su actualización final teniendo en cuenta factores externos (60%). 5. Se reaizaron 4 publicaciones a través de los canales de comunicación internos de la entidad con mensajes alusivos al Modelo Integrado de Planeación y Gestión y sus dimensiones (100%). 6. Se adelantaron reuniones de trabajo con la auxiliar de atención al ciudadano con el fin de hacer la idetificación de los grupos de valor a tener en cuenta en la caracterización de usuarios del Canal (40%). 7. Se avanzó en el proceso de de la normatividad del Canal, en el documento "Normograma Institucional" el cual se publicó en el mes de enero de 2019 (100%). 8. Se adelantó el ejercicio de actualización de los riesgos de gestión de los procesos misionales del Canal (80%) Así mismo, los profesionales del área participaron en las diferentes jornadas de socialización y capacitación en los elementos del modelo.</t>
    </r>
  </si>
  <si>
    <r>
      <rPr>
        <b/>
        <sz val="8"/>
        <color theme="1"/>
        <rFont val="Arial"/>
        <family val="2"/>
      </rPr>
      <t>T1:</t>
    </r>
    <r>
      <rPr>
        <sz val="8"/>
        <color theme="1"/>
        <rFont val="Arial"/>
        <family val="2"/>
      </rPr>
      <t xml:space="preserve"> Como consecuencia del periodo de ley de garantías, para el primer trimestre del año se realizó el proceso de contratación directa para los procesos de transmisiones especiales y del Sistema informativo; quedando pendiente para el segundo trimestre la realización de los procesos de convocatoria pública para minorias y el proyecto conectados.
Dar continuidad a la ejecución de recursos de la Autoridad Nacional de Televisión ANTV de acuerdo con lo programado en el plan de inversiones de la vigencia.
</t>
    </r>
    <r>
      <rPr>
        <b/>
        <sz val="8"/>
        <color theme="1"/>
        <rFont val="Arial"/>
        <family val="2"/>
      </rPr>
      <t>T2:</t>
    </r>
    <r>
      <rPr>
        <sz val="8"/>
        <color theme="1"/>
        <rFont val="Arial"/>
        <family val="2"/>
      </rPr>
      <t xml:space="preserve"> En el segundo trimestre del año la ley de garantías finalizó el 17 de junio y solo hubo 2 contratos en este periodo, adicionalmente gastos de desplazamiento para la producción del especial del mundial. Los procesos de convocatorias tuvieron modificación en los pliegos y no se alcanzó a adjudicar, quedando pendiente para el tercer trimestre.
Dar continuidad a la ejecución de recursos de la Autoridad Nacional de Televisión ANTV de acuerdo con lo programado en el plan de inversiones de la vigencia.
</t>
    </r>
    <r>
      <rPr>
        <b/>
        <sz val="8"/>
        <color theme="1"/>
        <rFont val="Arial"/>
        <family val="2"/>
      </rPr>
      <t>T3:</t>
    </r>
    <r>
      <rPr>
        <sz val="8"/>
        <color theme="1"/>
        <rFont val="Arial"/>
        <family val="2"/>
      </rPr>
      <t xml:space="preserve"> Para el terrrcer periodo del año, se adjudicaron las convocatorias que estaban en curso, quedando pendiente adjudicar una línea de conectados, se contrató el proyecto especial La loca Margarita y se contrató el personal para las transmisiones cuilturales y deportivas para el segubndo sdemestre. Queda pendiente de contratar el Sistema de Replay para la línea de infraestructura , una línea de conectyados y personal para la unidad móvil.
</t>
    </r>
    <r>
      <rPr>
        <b/>
        <sz val="8"/>
        <color theme="1"/>
        <rFont val="Arial"/>
        <family val="2"/>
      </rPr>
      <t xml:space="preserve">T4: </t>
    </r>
    <r>
      <rPr>
        <sz val="8"/>
        <color theme="1"/>
        <rFont val="Arial"/>
        <family val="2"/>
      </rPr>
      <t>En el cuarto trimestre del año, se realizó la adquisición del Sistema de Replay que estaba pendiente en la línea de inversión en infraestructura, también se adjudicó la línea de Valores ciudadanos que estaba pendiente y se realizaron adiciones a contratos de personal para lel sietma informativo y para las transmisiones culturales y deportivas especialmente para los eventos de fin de año.</t>
    </r>
  </si>
  <si>
    <r>
      <rPr>
        <b/>
        <sz val="8"/>
        <color theme="1"/>
        <rFont val="Arial"/>
        <family val="2"/>
      </rPr>
      <t>T1:</t>
    </r>
    <r>
      <rPr>
        <sz val="8"/>
        <color theme="1"/>
        <rFont val="Arial"/>
        <family val="2"/>
      </rPr>
      <t xml:space="preserve"> Para el reporte del primer trimestre, sobre el seguimiento a los recursos del proyecto de inversión se tiene en cuenta la ejecución del proyecto de televisión publica financiado por antv. En el proyecto de Infraestructura se hizo la adquisición de la actualización del sistema de automatización y en el proyecto de Modernización se hizo la contratación por 6 meses del personal encargado de la implementación de los diferentes sistemas de gestión.
</t>
    </r>
    <r>
      <rPr>
        <b/>
        <sz val="8"/>
        <color theme="1"/>
        <rFont val="Arial"/>
        <family val="2"/>
      </rPr>
      <t>T2:</t>
    </r>
    <r>
      <rPr>
        <sz val="8"/>
        <color theme="1"/>
        <rFont val="Arial"/>
        <family val="2"/>
      </rPr>
      <t xml:space="preserve"> La ejecución de los proyectos de inversión en el segundo trimestre se realizó en el proyecto financiado con recursos de la ANTV, ya que para el proyecto de modernización institucional los contratos iniciales fueron a 6 meses los cuales se manteinen en el presente periodo. la variación se da teniendo en cuenta la finalización de la ley de garantías en junio 17.
</t>
    </r>
    <r>
      <rPr>
        <b/>
        <sz val="8"/>
        <color theme="1"/>
        <rFont val="Arial"/>
        <family val="2"/>
      </rPr>
      <t xml:space="preserve">T3: </t>
    </r>
    <r>
      <rPr>
        <sz val="8"/>
        <color theme="1"/>
        <rFont val="Arial"/>
        <family val="2"/>
      </rPr>
      <t xml:space="preserve">Para el terccer trimestre se ejecutaron recursos de proyectos especiales de ANTV, lo mismo que la contratación del segundo se metre de personal para las transmisiones culturales y deportivas; se realizó la contratación del segundo semestre para el proyecto de modernización institucional para el personal encargado de la implementación de los subsistemas.
</t>
    </r>
    <r>
      <rPr>
        <b/>
        <sz val="8"/>
        <color theme="1"/>
        <rFont val="Arial"/>
        <family val="2"/>
      </rPr>
      <t xml:space="preserve">
T4: </t>
    </r>
    <r>
      <rPr>
        <sz val="8"/>
        <color theme="1"/>
        <rFont val="Arial"/>
        <family val="2"/>
      </rPr>
      <t>En el último semestre del año se realizaron adiciones a contratos de ANTV para las transmisiones culturales y deportivas, principalmente para las transmisiones de los eventos relacionados con las actividades decembrinas y de fin de año, lo mismo que para las emisiones del sistema informativo. En Modernización institucional se presentó reducción por liberación. En Modernización administrativa se contrató la adquisición de equipos de cómputo.</t>
    </r>
  </si>
  <si>
    <r>
      <rPr>
        <b/>
        <sz val="8"/>
        <color theme="1"/>
        <rFont val="Arial"/>
        <family val="2"/>
      </rPr>
      <t>T1:</t>
    </r>
    <r>
      <rPr>
        <sz val="8"/>
        <color theme="1"/>
        <rFont val="Arial"/>
        <family val="2"/>
      </rPr>
      <t xml:space="preserve"> Durante este periodo se logro una comunicación con los medios y eventos para establecer estrategias conjuntas en beneficio del posicionamiento de  las marcas. Logrando realizar propuestas de alianzas con:  Kienyke, Champions TV, Revista Maxim, Revista Semana, Minuto 30 y Pulzo. Las alianzas de eventos programadas son: BAM, Torneo de Fútbol Interuniversitario CERROS y Fútbol de Salón.Se realizaron por medio de cartas de invitación los siguientes eventos, como parte de alianzas para reforzar el contenido de Canal Capital: Festival Centro; Gustavo Dudamel y la Orquesta Filarmónica de Viena, el Cholo Valderrama y China Moses en el Teatro Mayor; Filbo y Premios India Catalina. Canal Capital junto con el area de Mercadeo no ha podido realizar las alianzas por Ley de Garantías, estas alianzas se cerrarán entre el mes de Junio y Julio una vez finalice dicha Ley. Igualmente se seguirá continuará trabajando en la estrategia de alianzas con los diferentes medios y eventos de ciudad para continuar con el objetivo de posicionamiento y recordación de la marca entre los ciudadanos de la Capital. 
</t>
    </r>
    <r>
      <rPr>
        <b/>
        <sz val="8"/>
        <color theme="1"/>
        <rFont val="Arial"/>
        <family val="2"/>
      </rPr>
      <t>T2:</t>
    </r>
    <r>
      <rPr>
        <sz val="8"/>
        <color theme="1"/>
        <rFont val="Arial"/>
        <family val="2"/>
      </rPr>
      <t xml:space="preserve"> Durante este periodo se logro una comunicación con los medios y eventos para establecer estrategias conjuntas en beneficio del posicionamiento de  las marcas. Logrando realizar propuestas de alianzas con: Shock, Diario Qhubo. Las alianzas de eventos programadas son: Smartfilms, Premios de Cine Macondo, Festival de Verano, Festivales Al Parque,Día del Rock Colombia, Corferias, C. de Comercio, App Biko y U. Tadeo Lozano. Se realizaron por medio de cartas de invitación los siguientes eventos, como parte de  reforzar el contenido de Canal Capital: Mujéres en la ópera, Festival del Porro, OFB del Teatro Mayor; Tropicana Salsa Festival, Campeonato de Fútbol de Rusos y Taxistas y Concurso de Salto Hípico.  El area de Mercadeo de Canal Capital durante el II Trimestre siguió sin poder realizar las alianzas debido a la Ley de Garantías, que finalizó la última semana de Junio. Se siguió trabajando en la estrategia de alianzas con los medios y eventos de la ciudad, y así cumplir con el objetivo de posicionamientoy recordación de la marca Canal Capital entre los ciudadanos de Bogotá y así también atraer nuevas audiencias. 
</t>
    </r>
    <r>
      <rPr>
        <b/>
        <sz val="8"/>
        <color theme="1"/>
        <rFont val="Arial"/>
        <family val="2"/>
      </rPr>
      <t xml:space="preserve">T3: </t>
    </r>
    <r>
      <rPr>
        <sz val="8"/>
        <color theme="1"/>
        <rFont val="Arial"/>
        <family val="2"/>
      </rPr>
      <t xml:space="preserve">Durante este periodo se logró una comunicación con medios, instituciones, empresas y otros eventos para establecer estrategias conjuntas en beneficio del posicionamiento de las marcas. Se logró cerrar los siguientes convenios y alianzas con: Teatro Mayor Julio Mario Santo Domingo, Festival de Cine por los Derechos Humanos, Festival Mujeres en Escena por la Paz, IDARTES (Conciertos al Parque), Día del Rock, Festival de Verano, Smartfilms, BAM , Caminata de la Solidadridad, Liga de Patinaje, Liga de Tenis.  Se realizaron las siguientes propuestas de alianza: Colombia 4.0, ARTBO, Festival Ojo al Sancocho, Movimiento Click, Mundial de Hockey. El área de Mercadeo durante este trimestre y ya acabada la Ley de Garantias se pudieron realizar los convenios y alianzas ya señaladas. Se segirá trabajando en la misma estratégia y poder aumentar para el siguiente semestre el número de alianzas con medios de comunicación, y así cumplir con el objetivo de posicionamiento y recordación de la marca Canal Capital entre los ciudadanos de Bogotá y seguir atrayendo nuevas audiencias. 
</t>
    </r>
    <r>
      <rPr>
        <b/>
        <sz val="8"/>
        <color theme="1"/>
        <rFont val="Arial"/>
        <family val="2"/>
      </rPr>
      <t xml:space="preserve">T4: </t>
    </r>
    <r>
      <rPr>
        <sz val="8"/>
        <color theme="1"/>
        <rFont val="Arial"/>
        <family val="2"/>
      </rPr>
      <t xml:space="preserve">Durante esté último periodo del año se volvió a lograr una comunicación con medios, instituciones, empresas y otros eventos para establecer estrategias conjuntas en beneficio del posicionamiento de las marcas. Se logró cerrar los siguientes convenios y alianzas con: Festival de Música Sacra, Jazz al Parque,  Club Media Fest,   Finales Torneo Fútbol Interuniversitario Cerros, Salsa al Parque, Evento Startups Summit, Happy Fest, Premios Macondo de Cine, Evento Ciudad Tchiminigagua, Reinado Nacional de la Belleza 2018, 6 Horas Bogotá (Autódromo), Novena con Banco de Alimentos, Eventos Alcaldía de Bogotá (inauguración y velitas), Novenas Olímpica - IDRD, Evento Casa Ensamble “Ni con el Pétalo de Una Rosa. El área de Mercadeo durante este último trimestre del año pudo realizar los convenios y alianzas ya señaladas. Se empieza a trabaja en la estratégia para el año 2019 y poder aumentar y realizar nuevas alianzas con medios, y así volver a cumplir con el objetivo de posicionamiento y recordación de la marca Canal Capital entre los ciudadanos de Bogotá y continuar atrayendo nuevas audiencias. </t>
    </r>
  </si>
  <si>
    <r>
      <rPr>
        <b/>
        <sz val="8"/>
        <color theme="1"/>
        <rFont val="Arial"/>
        <family val="2"/>
      </rPr>
      <t>T1:</t>
    </r>
    <r>
      <rPr>
        <sz val="8"/>
        <color theme="1"/>
        <rFont val="Arial"/>
        <family val="2"/>
      </rPr>
      <t xml:space="preserve"> Se realiza seguimiento del Plan Anual de Auditoría con corte al 31 de marzo observando lo siguiente: De un total de (14) informes de ley, se han realizado (7) correspondiendo a un avance del 50%,  quedando pendiente los siguientes informes:
1. Informe Directiva 03-2013 : Programado desde el 02-04-18 hasta el 15-05-18.
2. Seguimiento Austeridad en el gasto: Se reprograma el informe de seguimiento  (01-10-18 hasta 30-11-2018), de conformidad con el ajuste del Plan Anual de Auditorías vigencia 2018 aprobado mediante Acta No. 001 de 2018 del Comité Institucional de Coordinación de Control Interno del 02 de abril de 2018. 
3. Informe Ejecutivo Anual de Control:  El informe ejecutivo anual de Control Interno se eliminó de conformidad con lo establecido en el Decreto 1499-2017.
4. Informe sobre PQRS: Se realizó Informe de PQRS para el corte julio a diciembre de 2017, el cual puede consultarse en la carpeta compartida de control interno en la siguiente ruta: :\2018\INFORMES\PQRS\II SEM 2017. Quedando pendiente el programado desde el  03-07-18 hasta el 31-07-18.
5. Seguimiento al Mapa de Riesgos por Procesos:  Se realiza el seguimiento al mapa de riesgos por procesos vigencia 2017, se radica mediante memorando 755-2018. Las actividades pueden consultarse en la carpeta compartida de Control Interno en la siguiente ruta: Y:\2018\INFORMES\RIESGOS. Quedando pendiente el programado desde el 01-08-18 hasta el 30-09-18.
6. Seguimiento al reporte y actualización del SIPROJ: Se reprograma el informe de seguimiento  (01-05-18 hasta 30-06-18), de conformidad con el ajuste del Plan Anual de Auditorías vigencia 2018 aprobado mediante Acta No. 001 de 2018 del Comité Institucional de Coordinación de Control Interno del 02 de abril de 2018. 
7. Seguimiento al  Sistema de Información y Gestión del Empleo Público SIDEAP y Reporte al SIGIA: Se reprograma el informe  (01-05-18 hasta 31-05-18), de conformidad con el ajuste del Plan Anual de Auditorías vigencia 2018 aprobado mediante Acta No. 001 de 2018 del Comité Institucional de Coordinación de Control Interno del 02 de abril de 2018.
Como acción para la mejora, se indica que se debe ajustar el Plan Anual de Auditoria considerando los ajustes normativos en relación con el Informe Ejecutivo Anual de Control Interno. Esta ajuste del PAA fue aprobado mediante Acta No. 001 de 2018 del Comité Institucional de Coordinación de Control Interno realizado el pasado 02 de abril de 2018.
</t>
    </r>
    <r>
      <rPr>
        <b/>
        <sz val="8"/>
        <color theme="1"/>
        <rFont val="Arial"/>
        <family val="2"/>
      </rPr>
      <t>T2:</t>
    </r>
    <r>
      <rPr>
        <sz val="8"/>
        <color theme="1"/>
        <rFont val="Arial"/>
        <family val="2"/>
      </rPr>
      <t xml:space="preserve"> Para el periodo reportado únicamente el Informe de seguimiento a las funciones del Comité de Conciliación no se pudo realizar, debido a que no se recibió la información requerida para desarrollarlo, a pesar de que se realizó solicitud mediante memorando 1511 del 13 de junio de 2018. Adicional, mediante correo electrónico del 25 de junio se reitera la solicitud de información sin recibir respuesta.
</t>
    </r>
    <r>
      <rPr>
        <b/>
        <sz val="8"/>
        <color theme="1"/>
        <rFont val="Arial"/>
        <family val="2"/>
      </rPr>
      <t xml:space="preserve">T3: </t>
    </r>
    <r>
      <rPr>
        <sz val="8"/>
        <color theme="1"/>
        <rFont val="Arial"/>
        <family val="2"/>
      </rPr>
      <t xml:space="preserve">Para el periodo reportado se dio cumplimiento a la totalidad de informes de ley programados en el Plan Anual de Auditorías de la vigencia 2018.
</t>
    </r>
    <r>
      <rPr>
        <b/>
        <sz val="8"/>
        <color theme="1"/>
        <rFont val="Arial"/>
        <family val="2"/>
      </rPr>
      <t>T4:</t>
    </r>
    <r>
      <rPr>
        <sz val="8"/>
        <color theme="1"/>
        <rFont val="Arial"/>
        <family val="2"/>
      </rPr>
      <t xml:space="preserve"> Para el periodo reportado se dio cumplimiento a la totalidad de informes de ley programados en el Plan Anual de Auditorías de la vigencia 2018. La unica excepcion fue el informe de seguimiento a las medidas de austeridad en el gasto por razones del servicio. Como accion de mejora, se propone por parte del área de control interno revisar la conducencia de integrar la informacion revisada en el seguimiento a las medidas de austeridad en el gasto en el informe de control interno contable. </t>
    </r>
  </si>
  <si>
    <t>REPORTE INDICADORES CANAL CAPITAL
Plan de Acción Institucional 2018 - Versión 3
Reporte Trimestre 4 - 2018
Fecha de informe: 31/01/2019</t>
  </si>
  <si>
    <t>REPORTE INDICADORES CANAL CAPITAL
Indicadores de proceso
Reporte Trimestre 4 - 2018
Fecha de informe: 31/01/2019</t>
  </si>
  <si>
    <r>
      <rPr>
        <b/>
        <sz val="8"/>
        <color theme="1"/>
        <rFont val="Arial"/>
        <family val="2"/>
      </rPr>
      <t>T1:</t>
    </r>
    <r>
      <rPr>
        <sz val="8"/>
        <color theme="1"/>
        <rFont val="Arial"/>
        <family val="2"/>
      </rPr>
      <t xml:space="preserve"> Canal Capital celebró cuatrociento diez (410) contratos en forma directa y un (1) contrato adjudicado por convocatoria pública  correspondiente al del servicio de transporte.    
</t>
    </r>
    <r>
      <rPr>
        <b/>
        <sz val="8"/>
        <color theme="1"/>
        <rFont val="Arial"/>
        <family val="2"/>
      </rPr>
      <t>T2:</t>
    </r>
    <r>
      <rPr>
        <sz val="8"/>
        <color theme="1"/>
        <rFont val="Arial"/>
        <family val="2"/>
      </rPr>
      <t xml:space="preserve"> Canal Capital celebró durante el segundo trimestre de 2018 catorce (14) contratos de los cuales siete (07) fueron el resultado de las convocatorias públicas adelantadas por la Entidad y los otros siete (7) restantes correspondieron a la causal de contratación directa. 
</t>
    </r>
    <r>
      <rPr>
        <b/>
        <sz val="8"/>
        <color theme="1"/>
        <rFont val="Arial"/>
        <family val="2"/>
      </rPr>
      <t xml:space="preserve">T3: </t>
    </r>
    <r>
      <rPr>
        <sz val="8"/>
        <color theme="1"/>
        <rFont val="Arial"/>
        <family val="2"/>
      </rPr>
      <t xml:space="preserve">Canal Capital celebró durante el tercer ttrimestre de 2018 adelantó la celebración de trescientos cuarenta y dos (342) contratos, de los cuales trescientos treinta y seis (336) contratos a la modalidad de Contratación Directa y seis (06) son el resultado de convocatorias públicas. 
</t>
    </r>
    <r>
      <rPr>
        <b/>
        <sz val="8"/>
        <color theme="1"/>
        <rFont val="Arial"/>
        <family val="2"/>
      </rPr>
      <t xml:space="preserve">T4: </t>
    </r>
    <r>
      <rPr>
        <sz val="8"/>
        <color theme="1"/>
        <rFont val="Arial"/>
        <family val="2"/>
      </rPr>
      <t>Canal Capital durante el cuarto trimestre de 2018 adelantó la celebración de ciento setenta y siete (177) contratos en forma directa y uno (1) en la modalidad de convocatorias públicas, correspondiente a la serie de valores ciudadanos</t>
    </r>
  </si>
  <si>
    <r>
      <rPr>
        <b/>
        <sz val="8"/>
        <color theme="1"/>
        <rFont val="Arial"/>
        <family val="2"/>
      </rPr>
      <t>T1:</t>
    </r>
    <r>
      <rPr>
        <sz val="8"/>
        <color theme="1"/>
        <rFont val="Arial"/>
        <family val="2"/>
      </rPr>
      <t xml:space="preserve"> Durante el primer trimestre de la vigencia 2018, el indicador detalla un respaldo de las obligaciones a corto plazo de manera óptima en concordancia con los activos de la Entidad, dichas obligaciones son las cuentas por pagar de servicios, bienes recibidos y obligaciones laborales, por lo anterior, al cierre del primer trimestre se evidencia un 23.96% de capacidad de endeudamiento, lo que corresponde a un nivel muy satisfactorio. Así mismo, es preciso resaltar que las subvenciones por pagar, que corresponde a los recursos recibidos por la ANTV para los proyectos de la vigencia 2018 equivalen al 76.93% del total de los pasivos al cierre del mes de marzo, estos son transferencias condicionadas.
</t>
    </r>
    <r>
      <rPr>
        <b/>
        <sz val="8"/>
        <color theme="1"/>
        <rFont val="Arial"/>
        <family val="2"/>
      </rPr>
      <t>T2:</t>
    </r>
    <r>
      <rPr>
        <sz val="8"/>
        <color theme="1"/>
        <rFont val="Arial"/>
        <family val="2"/>
      </rPr>
      <t xml:space="preserve"> Al culminar el mes de Junio del 2018 se detalla una disminución de 1.27 puntos porcentuales respecto al porcentaje detallado al culminar el primer trimestre, la cual tiene relación con la disminución en las cuentas por pagar a la fecha ( Subvenciones por pagar orientadas al cumplimiento de lo estipulado con la ANTV). Así las cosas, es preciso resaltar que al culminar el segundo trimestre se destaca que el apalancamiento de la Entidad es adecuado, puesto que los montos de capital para el funcionamiento del Canal son adecuados de acuerdo a los objetivos planteados con anterioridad.
</t>
    </r>
    <r>
      <rPr>
        <b/>
        <sz val="8"/>
        <color theme="1"/>
        <rFont val="Arial"/>
        <family val="2"/>
      </rPr>
      <t xml:space="preserve">T3: </t>
    </r>
    <r>
      <rPr>
        <sz val="8"/>
        <color theme="1"/>
        <rFont val="Arial"/>
        <family val="2"/>
      </rPr>
      <t xml:space="preserve">De acuerdo a lo corrido del tercer trimestre del 2018, se evidencia un buen respaldo de los activos que tiene la entidad frente a las obligaciones (acreedores), aunque en comparación al trimestre anterior se observa una disminución de 0.29%,  lo que quiere decir que el nivel de riesgo asumido por éstos es bajo, puesto que Canal Capital cuenta con el apalancamiento financiero óptimo para el desarrollo cotidiano de la operación.
</t>
    </r>
    <r>
      <rPr>
        <b/>
        <sz val="8"/>
        <color theme="1"/>
        <rFont val="Arial"/>
        <family val="2"/>
      </rPr>
      <t xml:space="preserve">T4: </t>
    </r>
    <r>
      <rPr>
        <sz val="8"/>
        <color theme="1"/>
        <rFont val="Arial"/>
        <family val="2"/>
      </rPr>
      <t>Al finalizar la vigencia 2018, en relación al mes de noviembre es preciso destacar que la entidad cuenta con el respaldo necesario para hacer cumplimiento a las cuentas por pagar, aunque es necesario enfatizar que su porcentaje de apalancamiento es menor respecto al trimestre anterior, puesto que el saldo de los activos disminuye en referencia a los pagos efectuados durante el año.</t>
    </r>
  </si>
  <si>
    <r>
      <rPr>
        <b/>
        <sz val="8"/>
        <color theme="1"/>
        <rFont val="Arial"/>
        <family val="2"/>
      </rPr>
      <t>T1:</t>
    </r>
    <r>
      <rPr>
        <sz val="8"/>
        <color theme="1"/>
        <rFont val="Arial"/>
        <family val="2"/>
      </rPr>
      <t xml:space="preserve"> Al culminar el primer trimestre de la presente vigencia, es adecuado resaltar que se presenta un nivel muy satisfactorio o de razonabilidad del margen de seguridad equivalente al 58,53%, en relación al cubrimiento de las obligaciones a corto plazo para el normal funcionamiento y operación de la entidad; sin embargo, es adecuado mencionar que los  compromisos y las inversiones a futuro se encuentran respaldadas con las transferencias ordinarias y condicionadas
</t>
    </r>
    <r>
      <rPr>
        <b/>
        <sz val="8"/>
        <color theme="1"/>
        <rFont val="Arial"/>
        <family val="2"/>
      </rPr>
      <t>T2:</t>
    </r>
    <r>
      <rPr>
        <sz val="8"/>
        <color theme="1"/>
        <rFont val="Arial"/>
        <family val="2"/>
      </rPr>
      <t xml:space="preserve"> Al cierre del mes de Junio del 2018, se observa que son superiores los activos corrientes en relación a los pasivos corrientes, motivo por el cual se determina que los saldos reflejados como activos corrientes son suficientes para el funcionamiento y operación del Canal, demostrando una buena liquidez de manera tal, que se cuenta con el respaldo financiero adecuado para las obligaciones financieras adquiridas a corto plazo; en concordancia a las transferencias ordinarias y condicionadas.
</t>
    </r>
    <r>
      <rPr>
        <b/>
        <sz val="8"/>
        <color theme="1"/>
        <rFont val="Arial"/>
        <family val="2"/>
      </rPr>
      <t xml:space="preserve">T3: </t>
    </r>
    <r>
      <rPr>
        <sz val="8"/>
        <color theme="1"/>
        <rFont val="Arial"/>
        <family val="2"/>
      </rPr>
      <t xml:space="preserve">En relación al cierre del tercer trimestre de la vigencia 2018, es preciso indicar que se cuenta con el efectivo necesario que apalanca el normal funcionamiento de la empresa, aunque es adecuado resaltar que se detalla una disminución de 38.65% con referencia al trimestre anterior,  puesto que a la fecha el respaldo financiero recae principalmente sobre las transferencias ordinarias y condicionadas; por lo anterior, se sugiere incentivar el tema relacionado con las ventas con la finalidad de generar el efectivo necesario que sustente la eficencia operativa del Canal.
</t>
    </r>
    <r>
      <rPr>
        <b/>
        <sz val="8"/>
        <color theme="1"/>
        <rFont val="Arial"/>
        <family val="2"/>
      </rPr>
      <t>T4:</t>
    </r>
    <r>
      <rPr>
        <sz val="8"/>
        <color theme="1"/>
        <rFont val="Arial"/>
        <family val="2"/>
      </rPr>
      <t xml:space="preserve"> De acuerdo al cierre de la vigencia, es adecuado resaltar que la entidad cuenta con el respaldo financiero adecuado para respaldar las obligaciones contraidas con proveedores y/o contratistas de acuerdo al disponible, aunque es adecuado resaltar que el principal respaldo para el funcionamiento de la Entidad recae sobre las transferencias ordinarias y condicionadas.</t>
    </r>
  </si>
  <si>
    <r>
      <rPr>
        <b/>
        <sz val="8"/>
        <color theme="1"/>
        <rFont val="Arial"/>
        <family val="2"/>
      </rPr>
      <t>T1:</t>
    </r>
    <r>
      <rPr>
        <sz val="8"/>
        <color theme="1"/>
        <rFont val="Arial"/>
        <family val="2"/>
      </rPr>
      <t xml:space="preserve"> Al cierre del primer trimestre, se detalla un nivel  muy satisfactorio en el respaldo de los compromisos y obligaciones adquiridas por parte de la Entidad sin afectar las condiciones y plazos iniciales pactados, guardando la propocionalidad de los recursos recibidos por transferencias ordinarias y condicionadas para la Entidad en la presente vigencia.
</t>
    </r>
    <r>
      <rPr>
        <b/>
        <sz val="8"/>
        <color theme="1"/>
        <rFont val="Arial"/>
        <family val="2"/>
      </rPr>
      <t>T2:</t>
    </r>
    <r>
      <rPr>
        <sz val="8"/>
        <color theme="1"/>
        <rFont val="Arial"/>
        <family val="2"/>
      </rPr>
      <t xml:space="preserve"> Finalizando el mes de junio, se detalla un resultado mayor respecto al trimestre anterior, generando mayores garantías para la Entidad en relación al pago de las obligaciones y compromisos pactados de manera oportuna, puesto que se cuenta con un saldo importante en los activos, los cuales respaldan los pasivos de corto plazo.
</t>
    </r>
    <r>
      <rPr>
        <b/>
        <sz val="8"/>
        <color theme="1"/>
        <rFont val="Arial"/>
        <family val="2"/>
      </rPr>
      <t xml:space="preserve">T3: </t>
    </r>
    <r>
      <rPr>
        <sz val="8"/>
        <color theme="1"/>
        <rFont val="Arial"/>
        <family val="2"/>
      </rPr>
      <t xml:space="preserve">Al finalizar el mes de septiembre del 2018, se observa la buena capacidad que tiene la empresa para dar cumplimiento a todas las obligaciones pactados.
</t>
    </r>
    <r>
      <rPr>
        <b/>
        <sz val="8"/>
        <color theme="1"/>
        <rFont val="Arial"/>
        <family val="2"/>
      </rPr>
      <t xml:space="preserve">T4: </t>
    </r>
    <r>
      <rPr>
        <sz val="8"/>
        <color theme="1"/>
        <rFont val="Arial"/>
        <family val="2"/>
      </rPr>
      <t>Al finalizar la vigencia 2018, se detalla un buen respaldo financiero del Canal para dar cumplimiento a todas las obligaciones adquiridas de acuerdo a las transferencias ordinarias y condicionadas.</t>
    </r>
  </si>
  <si>
    <t>Avance 2018 (Trim. 4)</t>
  </si>
  <si>
    <r>
      <rPr>
        <b/>
        <sz val="8"/>
        <rFont val="Arial"/>
        <family val="2"/>
      </rPr>
      <t>T1:</t>
    </r>
    <r>
      <rPr>
        <sz val="8"/>
        <rFont val="Arial"/>
        <family val="2"/>
      </rPr>
      <t xml:space="preserve"> Se realizaron las Siguientes Capacitaciones así:
1. Derechos de autor febrero
2. Gsuite  febrero
3. Responsabilidad fiscal marzo 
4. EcoConducción 02 de marzo 
5.  reforma tributaria marzo
</t>
    </r>
    <r>
      <rPr>
        <b/>
        <sz val="8"/>
        <rFont val="Arial"/>
        <family val="2"/>
      </rPr>
      <t xml:space="preserve">T2: </t>
    </r>
    <r>
      <rPr>
        <sz val="8"/>
        <rFont val="Arial"/>
        <family val="2"/>
      </rPr>
      <t xml:space="preserve">Se realizaron las Siguientes Capacitaciones así:
Marzo: Reforma tributaria, Proceso de responsabilidad fiscal y Gestión Documental.
Abril: Reglamentación con ANTV, no se ha realizado por cronograma de la ANTV, no las han programado, y la capacitación de certificación en moneda extranjera se realizó en julio por reprogramación con el capacitador y con el área. Mayo: Se realizó la capacitación de facturación electrónica, la capacitación de brigadistas,  y se adelantó la de política pública de discapacidad, porque los señores de la Secretaría no tenían agenda para junio.  Se realizó también la capacitación de Ley de transparencia programada para el mes de julio.
Abril: Se realizaron capacitaciones adicionales: 1) Gestión Interna de residuos, 2) Prevención acoso laboral y 3) Actualización en protección de los datos personales.
Mayo: se realizaron capacitaciones adicionales: 1) Manejo de residuos peligrosos y 2) Socialización Moviapp
Junio: la capacitación de excel no se realizó por falta de espacio, ya que traen computadores y la sala de capacitación está ocupada y una capacitación adicional de Brigadas de Emergencia.
</t>
    </r>
    <r>
      <rPr>
        <b/>
        <sz val="8"/>
        <rFont val="Arial"/>
        <family val="2"/>
      </rPr>
      <t>T3:</t>
    </r>
    <r>
      <rPr>
        <sz val="8"/>
        <rFont val="Arial"/>
        <family val="2"/>
      </rPr>
      <t xml:space="preserve"> Se realizaron las siguientes capacitaciones:  JULIO: Capacitación en moneda extranajera, Taller de seguridad y conformidad en la nube, Capacitación en Redacción y ortografía, capacitación en gestión de riesgos de corrupcción.  AGOSTO: se realizó la capacitación de quien eres según la neurociencia, la de ortografia ya se habia realizado en el mes de Julio. La de DVB-T2 no se realizó por cuanto el área ya no la vió necesaria y conseguir proveedor no fue fácil. Se realizó una capacitación a la brigada de energencia no planeada.Adicional se realizó una capacitación en formato setch para todos los colaboradores del canal. SEPTIEMBRE: La capacitación de after effets se realizará entre octubre y noviembre, la de reglamentacion de la antv se canceló por que no la programaron para este año, y la de convergencia tecnologica se cambio por uan de implementación de ggogle drive realizada el 18 de septiembre. Se realizó una capacitación en Acoso laboral y acoso sexual el 19 de septiembre, se envió a unas servidoras del área de Jurídica al  ° Conversatorio de Compras Efectivas “Una mirada distinta a la contratación estatal el 21 de septiembre, una actualización en derecho laboral aal área de Recursos Humanos el 27 de septiembre.
</t>
    </r>
    <r>
      <rPr>
        <b/>
        <sz val="8"/>
        <rFont val="Arial"/>
        <family val="2"/>
      </rPr>
      <t xml:space="preserve">T4: </t>
    </r>
    <r>
      <rPr>
        <sz val="8"/>
        <rFont val="Arial"/>
        <family val="2"/>
      </rPr>
      <t xml:space="preserve">Se realizaron las siguientes capacitaciones:
OCTUBRE: como está estipulado en el plan el cronograma de capacitación puede variar por necesidades o presupuesto. No se realizaron algunas capacitaciones por cuanto hubo un cambio en el presupuesto. En este mes surgió la necesidad de asistir a la capacitación de Gobernar en la era de datos, realizada por la Universidad de los Andes, y se realizó el taller de comunicación no sexista y lenguaje incluyente. 
NOVIEM BRE se realizó la capacitación de EXCEL programada en el Plan. 
DICIEMBRE: Se realizó la capacitación de After Effects, contratación estatal y la de fortalecimiento de perfiles y competencias para el nivel directivo. </t>
    </r>
  </si>
  <si>
    <r>
      <rPr>
        <b/>
        <sz val="8"/>
        <rFont val="Arial"/>
        <family val="2"/>
      </rPr>
      <t>T1:</t>
    </r>
    <r>
      <rPr>
        <sz val="8"/>
        <rFont val="Arial"/>
        <family val="2"/>
      </rPr>
      <t xml:space="preserve"> El cumplimiento del PAA 2018 para el primer trimestre alcanzó el 90,91%. EL PAA aporta al cumplimiento de la meta propuesta toda vez que las evaluaciones adelantadas desde la Oficina de Control Interno detectan las debilidades del sistema y permite la generación de acciones de mejora del mismo sistema. De las actividades programadas en el Plan Anual de Auditorías con corte a marzo de 2018, de un total de 22 se realizaron 20.
Se han propuesto ajustes en las actividades formuladas en el PAA, enfocando su propósito hacía los proceso que tienen un nivel de riesgo más significativo, razón por la cual, al inicio del mes de abril se presentó ante el Comité Institucional de Coordinación de Control Interno una segunda versión del citado plan.
</t>
    </r>
    <r>
      <rPr>
        <b/>
        <sz val="8"/>
        <rFont val="Arial"/>
        <family val="2"/>
      </rPr>
      <t xml:space="preserve">T2: </t>
    </r>
    <r>
      <rPr>
        <sz val="8"/>
        <rFont val="Arial"/>
        <family val="2"/>
      </rPr>
      <t xml:space="preserve">En cumplimiento del PAA 2018v2  para el segundo trimestre alcanzó un cumplimiento del 92.11% de las actividades programadas.  EL PAA aporta al cumplimiento de la meta propuesta toda vez que las evaluaciones adelantadas desde la Oficina de Control Interno detectan las debilidades del sistema y permite la generación de acciones de mejora del mismo.  De las actividades programadas en el Plan Anual de Auditorías con corte a junio de 2018, de un total de 38 actividades se realizaron 35.
A continuación se relacionan las dificultades presentadas en el periodo reportado:
1. Auditoría de  Gestión de Recursos – Admon. Información (Administración de Activos): No se ha realizado el informe final, teniendo en cuenta  que se presentaron retrasos respecto a la ejecución de la prueba de verificación de elementos en proceso de baja, lo cual se manifiesta mediante correo electrónico del 21 de junio de 2018 remitido al Subdirector Administrativo se indicó lo siguiente: "De acuerdo a lo conversado telefónicamente el día de hoy frente a las actividades finales de la auditoría programada por control interno al proceso de Gestión de Recursos Físicos y Administración de la Información el cual usted lidera, y conforme a las diversas situaciones que se han venido presentando frente al traslado y organización de los elementos en proceso de baja, los cuales han derivado en retrasos frente a la ejecución de la prueba de verificación de dichos elementos"(subrayado fuera de texto). De conformidad con lo anterior, se está realizando el informe preliminar de auditoría.
2. Auditoría Comercialización - Nuevos Negocios: Se encuentra en proceso el informe preliminar teniendo en cuenta el volumen y complejidad de la información, por lo cual se  requirió un análisis adicional.
3. Informe de seguimiento a las funciones del Comité de Conciliación: A la fecha no se ha recibido la información para realizar el informe, a pesar de que  se realizó solicitud de la misma mediante memorando 1511 del 13 de junio de 2018. Adicional mediante correo electrónico del 25 de junio se reitera la solicitud de información sin recibir respuesta.
</t>
    </r>
    <r>
      <rPr>
        <b/>
        <sz val="8"/>
        <rFont val="Arial"/>
        <family val="2"/>
      </rPr>
      <t xml:space="preserve">T3: </t>
    </r>
    <r>
      <rPr>
        <sz val="8"/>
        <rFont val="Arial"/>
        <family val="2"/>
      </rPr>
      <t xml:space="preserve">En ejecución del PAA 2018 V2.1 para el tercer trimestre se alcanzó un cumplimiento del 93.44% de las actividades programadas, quedando 4 actividades pendientes, correspondientes a auditorías y seguimientos. Las dificultades presentadas  en el periodo reportado corresponden a: 
1. Se viene adelantando  la auditoría de regularidad por parte de la Contraloría de Bogotá vigencias 2016 y 2017 PAD-2018, lo que ha generado la asignación de tiempo de las personas de la oficina para la atención de las peticiones del ente de Control.
2. Los responsables de las acciones suscritas en el Plan de mejoramiento por procesos y mapa de riesgos han solicitado plazos adicionales  para la presentación de la información.
3. El informe final de la auditoría de regularidad vigencias 2016 y 2017 PAD-2018 fue entregado por la Contraloría de Bogotá el 26 de septiembre de 2018, lo que generó que el plan de mejoramiento se suscribiera en el mes de octubre.
</t>
    </r>
    <r>
      <rPr>
        <b/>
        <sz val="8"/>
        <rFont val="Arial"/>
        <family val="2"/>
      </rPr>
      <t xml:space="preserve">T4: </t>
    </r>
    <r>
      <rPr>
        <sz val="8"/>
        <rFont val="Arial"/>
        <family val="2"/>
      </rPr>
      <t>En ejecución del PAA 2018 V2.1 para el cuarto trimestre se alcanzó un cumplimiento del 99,02% de todas las actividades contempladas para la vigencia 2018, quedando pendiente 1 actividad relacionada con el seguimiento a la austeridad en el gasto.
La dificultad presentada durante la vigencia reportada consiste en la extensa demanda del acompañamiento a la Contraloría de Bogotá durante la auditoria de regularidad vigencias 2016 y 2017 PAD-2018.</t>
    </r>
  </si>
  <si>
    <r>
      <rPr>
        <b/>
        <sz val="8"/>
        <color theme="1"/>
        <rFont val="Arial"/>
        <family val="2"/>
      </rPr>
      <t>T1:</t>
    </r>
    <r>
      <rPr>
        <sz val="8"/>
        <color theme="1"/>
        <rFont val="Arial"/>
        <family val="2"/>
      </rPr>
      <t xml:space="preserve"> Durante el primer trimestre de 2018 no se han realizado capacitaciones sobre el manual de contratación. Una vez efectuados los ajustes del Manual de Contratación, Supervisión e Interventoria se adelantarán jornadas de capacitación dirigdas a supervisores y contratistas de la Entidad.
</t>
    </r>
    <r>
      <rPr>
        <b/>
        <sz val="8"/>
        <color theme="1"/>
        <rFont val="Arial"/>
        <family val="2"/>
      </rPr>
      <t>T2:</t>
    </r>
    <r>
      <rPr>
        <sz val="8"/>
        <color theme="1"/>
        <rFont val="Arial"/>
        <family val="2"/>
      </rPr>
      <t xml:space="preserve"> Durante el segundo trimestre de 2018 no se han realizado capacitaciones sobre el manual de contratación. Una vez efectuados los ajustes del Manual de Contratación, Supervisión e Interventoria se adelantarán jornadas de capacitación dirigdas a supervisores y contratistas de la Entidad.
</t>
    </r>
    <r>
      <rPr>
        <b/>
        <sz val="8"/>
        <color theme="1"/>
        <rFont val="Arial"/>
        <family val="2"/>
      </rPr>
      <t>T3:</t>
    </r>
    <r>
      <rPr>
        <sz val="8"/>
        <color theme="1"/>
        <rFont val="Arial"/>
        <family val="2"/>
      </rPr>
      <t xml:space="preserve"> Durante el Tercer Trimestre de 2018 se adelantó una (1) capacitación el 25 de julio de 2018 sobre el Manual de Contratación, Supervisión e Interventoría al personal de la Dirección Operativa y BTL. Una vez efectuados los ajustes del Manual de Contratación, Supervisión e Interventoria se adelantarán las jornadas de capacitación dirigdas a supervisores y contratistas de la Entidad previstas para cumplir con la meta acordada.
</t>
    </r>
    <r>
      <rPr>
        <b/>
        <sz val="8"/>
        <color theme="1"/>
        <rFont val="Arial"/>
        <family val="2"/>
      </rPr>
      <t xml:space="preserve">T4: </t>
    </r>
    <r>
      <rPr>
        <sz val="8"/>
        <color theme="1"/>
        <rFont val="Arial"/>
        <family val="2"/>
      </rPr>
      <t xml:space="preserve">Durante el Cuarto Trimestre de 2018 no se adelantó capacitación toda vez que el Manual de Contratación, Supervisión e Interventoría está siendo modificado . En el transcurso del 2018 se realizó una sola capacitación de las cuatro (4) programadas en atención a que el Manual de Contratación, Supervisión e Interventoría estaba en proceso de ser modificado. </t>
    </r>
  </si>
  <si>
    <r>
      <rPr>
        <b/>
        <sz val="8"/>
        <color theme="1"/>
        <rFont val="Arial"/>
        <family val="2"/>
      </rPr>
      <t>T1:</t>
    </r>
    <r>
      <rPr>
        <sz val="8"/>
        <color theme="1"/>
        <rFont val="Arial"/>
        <family val="2"/>
      </rPr>
      <t xml:space="preserve"> Durante el primer trimestre se convocaron y publicaron 4 procesos de selección, de los cuales uno fue adjudicado el primer trimestre y los tres restantes a principios del segundo trimestre.  La Convocatoria Pública No. 001-2018, fecha de apertura 22-02-2018 y fecha adjudicación 13-03-2018, a través de la cual se contrató el servicio público de transporte terrestre.
</t>
    </r>
    <r>
      <rPr>
        <b/>
        <sz val="8"/>
        <color theme="1"/>
        <rFont val="Arial"/>
        <family val="2"/>
      </rPr>
      <t>T2:</t>
    </r>
    <r>
      <rPr>
        <sz val="8"/>
        <color theme="1"/>
        <rFont val="Arial"/>
        <family val="2"/>
      </rPr>
      <t xml:space="preserve"> Durante el segundo semestre de 2018 se convocaron y publicaron 8 procesos de selección, de los cuales uno (1) se inició y desarrolló durante ese trimestre pero la adjudicación fue realizada el 4-07-2017.- La Convocatoria Pública No. 11-2018 se aperturó el 29-05-2018 y la adjudicación se efectuó el 04-07-2018.
</t>
    </r>
    <r>
      <rPr>
        <b/>
        <sz val="8"/>
        <color theme="1"/>
        <rFont val="Arial"/>
        <family val="2"/>
      </rPr>
      <t xml:space="preserve">T3: </t>
    </r>
    <r>
      <rPr>
        <sz val="8"/>
        <color theme="1"/>
        <rFont val="Arial"/>
        <family val="2"/>
      </rPr>
      <t xml:space="preserve">Durante el tercer trimestre se convocaron dos (2) procesos los cuales iniciaron 11 de julio y 31 de julio de 2018 y finalizaron el 6 de septiembre de 2018 /Convocatorias Públicas 13 y 14-2018) La convocatoria 11 inició el 15 de mayo de 2018 y finalizó con la adjudicación el 4 de julio de 2018 y la Convocatoria No. 15 inició el 31 de julio y fue adjudicada el 4 de Octubre de 2018.
</t>
    </r>
    <r>
      <rPr>
        <b/>
        <sz val="8"/>
        <color theme="1"/>
        <rFont val="Arial"/>
        <family val="2"/>
      </rPr>
      <t xml:space="preserve">T4: </t>
    </r>
    <r>
      <rPr>
        <sz val="8"/>
        <color theme="1"/>
        <rFont val="Arial"/>
        <family val="2"/>
      </rPr>
      <t xml:space="preserve">Durante el Cuarto Trimestre de 2018 no se adelantó ningún proceso de selección de convocatoria pública, por lo cual no se se efectuó publicación alguna. </t>
    </r>
  </si>
  <si>
    <r>
      <rPr>
        <b/>
        <sz val="8"/>
        <color theme="1"/>
        <rFont val="Arial"/>
        <family val="2"/>
      </rPr>
      <t>T1:</t>
    </r>
    <r>
      <rPr>
        <sz val="8"/>
        <color theme="1"/>
        <rFont val="Arial"/>
        <family val="2"/>
      </rPr>
      <t xml:space="preserve"> Durante el primer trimestre de 2018 y con ocasión al período de ley de Garantías, Canal Capital no ha suscrito contrato o convenio alguno como Contratista. 
</t>
    </r>
    <r>
      <rPr>
        <b/>
        <sz val="8"/>
        <color theme="1"/>
        <rFont val="Arial"/>
        <family val="2"/>
      </rPr>
      <t>T2:</t>
    </r>
    <r>
      <rPr>
        <sz val="8"/>
        <color theme="1"/>
        <rFont val="Arial"/>
        <family val="2"/>
      </rPr>
      <t xml:space="preserve"> Durante el segundo trimestre de 2018 y con ocasión al período de ley de Garantías, Canal Capital no ha suscrito contrato o convenio alguno como Contratista. 
</t>
    </r>
    <r>
      <rPr>
        <b/>
        <sz val="8"/>
        <color theme="1"/>
        <rFont val="Arial"/>
        <family val="2"/>
      </rPr>
      <t>T3:</t>
    </r>
    <r>
      <rPr>
        <sz val="8"/>
        <color theme="1"/>
        <rFont val="Arial"/>
        <family val="2"/>
      </rPr>
      <t xml:space="preserve"> Durante el tercer trimestre de 2018 (Julio-septiembre) el Canal suscribió 10 contratos interadministrativos como Contratista.
</t>
    </r>
    <r>
      <rPr>
        <b/>
        <sz val="8"/>
        <color theme="1"/>
        <rFont val="Arial"/>
        <family val="2"/>
      </rPr>
      <t xml:space="preserve">T4: </t>
    </r>
    <r>
      <rPr>
        <sz val="8"/>
        <color theme="1"/>
        <rFont val="Arial"/>
        <family val="2"/>
      </rPr>
      <t xml:space="preserve">Durante el Cuarto Trimestre de 2018, Canal Capital suscribió cinco (5) contratos interadministrativos como Contratista. </t>
    </r>
  </si>
  <si>
    <r>
      <rPr>
        <b/>
        <sz val="8"/>
        <color theme="1"/>
        <rFont val="Arial"/>
        <family val="2"/>
      </rPr>
      <t>T1:</t>
    </r>
    <r>
      <rPr>
        <sz val="8"/>
        <color theme="1"/>
        <rFont val="Arial"/>
        <family val="2"/>
      </rPr>
      <t xml:space="preserve"> Con corte al primer trimestre de 2018, la entidad intervenía en 19 procesos judiciales; se presentaron 12 actuaciones sobre 12  procesos. Con relación a los 7 procesos faltantes, no hubo actuación porque sen encuentran pendientes de decisiones por parte de los despachos judiciales correspondientes. Esto implica un 63.16% de gestión sobre los procesos existentes para el canal.
</t>
    </r>
    <r>
      <rPr>
        <b/>
        <sz val="8"/>
        <color theme="1"/>
        <rFont val="Arial"/>
        <family val="2"/>
      </rPr>
      <t>T2:</t>
    </r>
    <r>
      <rPr>
        <sz val="8"/>
        <color theme="1"/>
        <rFont val="Arial"/>
        <family val="2"/>
      </rPr>
      <t xml:space="preserve"> Con corte al segundo trimestre de 2018, la entidad intervenía en 19 procesos judiciales; se presentaron 9 actuaciones sobre 9  procesos. Con relación a los 10 procesos faltantes, no hubo actuación porque sen encuentran pendientes de decisiones por parte de los despachos judiciales correspondientes. Esto implica un 47,37% de gestión sobre los procesos existentes para el canal.
</t>
    </r>
    <r>
      <rPr>
        <b/>
        <sz val="8"/>
        <color theme="1"/>
        <rFont val="Arial"/>
        <family val="2"/>
      </rPr>
      <t xml:space="preserve">T3: </t>
    </r>
    <r>
      <rPr>
        <sz val="8"/>
        <color theme="1"/>
        <rFont val="Arial"/>
        <family val="2"/>
      </rPr>
      <t xml:space="preserve">Con corte al tercer trimestre de 2018, la entidad intervenía en 22 procesos judiciales; se presentaron 37 actuaciones sobre 11  procesos. Con relación a los 11 procesos faltantes, no hubo actuación porque sen encuentran pendientes de decisiones por parte de los despachos judiciales correspondientes. Esto implica un 50,0% de gestión sobre los procesos existentes para el canal.
</t>
    </r>
    <r>
      <rPr>
        <b/>
        <sz val="8"/>
        <color theme="1"/>
        <rFont val="Arial"/>
        <family val="2"/>
      </rPr>
      <t xml:space="preserve">T4: </t>
    </r>
    <r>
      <rPr>
        <sz val="8"/>
        <color theme="1"/>
        <rFont val="Arial"/>
        <family val="2"/>
      </rPr>
      <t>Con corte al cuarto  trimestre de 2018, la entidad intervenía en 22 procesos judiciales; se presentaron actuaciones sobre 15  procesos. Con relación a los 07 procesos faltantes, no hubo actuación porque sen encuentran pendientes de decisiones por parte de los despachos judiciales correspondientes. Esto implica un 68,18% de gestión sobre los procesos existentes para el canal.</t>
    </r>
  </si>
  <si>
    <r>
      <rPr>
        <b/>
        <sz val="8"/>
        <rFont val="Arial"/>
        <family val="2"/>
      </rPr>
      <t>T1:</t>
    </r>
    <r>
      <rPr>
        <sz val="8"/>
        <rFont val="Arial"/>
        <family val="2"/>
      </rPr>
      <t xml:space="preserve"> Se realizó un total de 342 solicitudes de servicios tic en el trimestre, de los cuales se destacan el anexo de unidades de red, acceso a carpetas compartidas, carnetización entre otros, sin denotar debilidades del proceso más allá de la posibilidad de digitalizar os formatos requeridos.
Se propone como acción para la mejora construir formularios digitales que minimicen el consumo de papel y el archivo físico del área referente a las solicitudes tic generadas.
</t>
    </r>
    <r>
      <rPr>
        <b/>
        <sz val="8"/>
        <rFont val="Arial"/>
        <family val="2"/>
      </rPr>
      <t xml:space="preserve">T2: </t>
    </r>
    <r>
      <rPr>
        <sz val="8"/>
        <rFont val="Arial"/>
        <family val="2"/>
      </rPr>
      <t xml:space="preserve">Se realizó un total de 933 solicitudes de servicios tic en el trimestre, de los cuales se destacan las solicitudes de carga de videos y recursos para el área misional que se realizaban por correo electrónico y eran de difícil seguimiento. Como acción para la mejora se creó un perfil de usuario en GLPI para el soporte del área técnica donde se incluyen los servicios de solicitud de descarga y conversión de videos.
</t>
    </r>
    <r>
      <rPr>
        <b/>
        <sz val="8"/>
        <rFont val="Arial"/>
        <family val="2"/>
      </rPr>
      <t xml:space="preserve">T3: </t>
    </r>
    <r>
      <rPr>
        <sz val="8"/>
        <rFont val="Arial"/>
        <family val="2"/>
      </rPr>
      <t xml:space="preserve">Se realizó 1441 servicios de soporte tecnico en el trimenstre con un incremento del 64% con respecto al trimestre anterior, relacionado con la creación del susuario en GLPI para soporte del área tecnica donde se relacionan las solicitudes de descargas de video y conversiones. Como acción de mejora se debe capacitar a periodistas y editores en la descarga de videos para minimizar las solicitudes de servicio.
</t>
    </r>
    <r>
      <rPr>
        <b/>
        <sz val="8"/>
        <rFont val="Arial"/>
        <family val="2"/>
      </rPr>
      <t xml:space="preserve">T4: </t>
    </r>
    <r>
      <rPr>
        <sz val="8"/>
        <rFont val="Arial"/>
        <family val="2"/>
      </rPr>
      <t>Se realizó 1376 servicios de soporte tecnico en el trimestre con una disminucion del 5% con respecto al trimestre anterior, donde se relaciona soporte del área tecnica referente a solicitudes de descargas de video y conversiones.</t>
    </r>
  </si>
  <si>
    <r>
      <rPr>
        <b/>
        <sz val="8"/>
        <rFont val="Arial"/>
        <family val="2"/>
      </rPr>
      <t>T1:</t>
    </r>
    <r>
      <rPr>
        <sz val="8"/>
        <rFont val="Arial"/>
        <family val="2"/>
      </rPr>
      <t xml:space="preserve"> Se contrató el servicio profesional de mantenimiento a equipos de cómputo y DataCenter en el cual se incluye 3 mantenimientos preventivos de equipos e impresoras por año, y los requeridos orientados al mantenimiento correctivo de ser necesario. Con corte al I trimestre se realizaron 2 mantenimientos: 1 preventivo y 1 correctivo de DataCenter y VMWare. Como acción para la mejora, es necesario incluir dentro de este tipo de contratos bolsas de repuestos y dispositivos con los cuales se presente la oportunidad de un servicio más eficiente en el momento de requerir mantenimientos de carácter correctivo.
</t>
    </r>
    <r>
      <rPr>
        <b/>
        <sz val="8"/>
        <rFont val="Arial"/>
        <family val="2"/>
      </rPr>
      <t xml:space="preserve">T2: </t>
    </r>
    <r>
      <rPr>
        <sz val="8"/>
        <rFont val="Arial"/>
        <family val="2"/>
      </rPr>
      <t xml:space="preserve">No se realizaron mantenimientos debido a que se tienen programados para el segundo semestre. Como acción para la mejora, es necesario incluir dentro de este tipo de contratos bolsas de repuestos y dispositivos con los cuales se presente la oportunidad de un servicio más eficiente en el momento de requerir mantenimientos de carácter correctivo.
</t>
    </r>
    <r>
      <rPr>
        <b/>
        <sz val="8"/>
        <rFont val="Arial"/>
        <family val="2"/>
      </rPr>
      <t>T3:</t>
    </r>
    <r>
      <rPr>
        <sz val="8"/>
        <rFont val="Arial"/>
        <family val="2"/>
      </rPr>
      <t xml:space="preserve"> Se realizan las actividades de depuración de software y mantenimiento preventivo a salas de edición y equipos especializados de área misional, actualizando la solución de antivirus, depuración de sesiones de usuario entre otras actividades que permitan el correcto funcionamiento de los equipos. Se establece como acción para la mejora definir un protocolo de actualización fuera de linea para los equipos de computo que no cuentan con conectividad a a internet y equipos ubicados en las unidades moviles de la entidad con el cual se garantice su protección contra amenazas de software y vulnerabilidad.
</t>
    </r>
    <r>
      <rPr>
        <b/>
        <sz val="8"/>
        <rFont val="Arial"/>
        <family val="2"/>
      </rPr>
      <t xml:space="preserve">
T4: </t>
    </r>
    <r>
      <rPr>
        <sz val="8"/>
        <rFont val="Arial"/>
        <family val="2"/>
      </rPr>
      <t>Se encuentra en ejecución el mantenimiento programado para diciembre dado que el contrato esta vigente hasta enero , se realiza el mantenimiento programado para impresoras y equipos del área tecnica.</t>
    </r>
  </si>
  <si>
    <r>
      <rPr>
        <b/>
        <sz val="8"/>
        <color theme="1"/>
        <rFont val="Arial"/>
        <family val="2"/>
      </rPr>
      <t>T1:</t>
    </r>
    <r>
      <rPr>
        <sz val="8"/>
        <color theme="1"/>
        <rFont val="Arial"/>
        <family val="2"/>
      </rPr>
      <t xml:space="preserve"> Se realizó un total de 342 solicitudes de servicios tic en el trimestre, de los cuales se destacan el anexo de unidades de red, acceso a carpetas compartidas, carnetización entre otros, sin denotar debilidades del proceso mas allá de la posibilidad de digitalizar os formatos requeridos. Es necesario construir formularios digitales que minimicen el consumo de papel y el archivo fisico del área referente a las solicitudes tic generadas.
</t>
    </r>
    <r>
      <rPr>
        <b/>
        <sz val="8"/>
        <color theme="1"/>
        <rFont val="Arial"/>
        <family val="2"/>
      </rPr>
      <t>T2:</t>
    </r>
    <r>
      <rPr>
        <sz val="8"/>
        <color theme="1"/>
        <rFont val="Arial"/>
        <family val="2"/>
      </rPr>
      <t xml:space="preserve"> Se realizó un total de 40 solicitudes de servicios tic en el trimestre, el bajo promedio de solicitudes se dio por la imposibilidad de realizar contratación por ley de garantias. Como acción de mejora se propone construir formularios digitales que minimicen el consumo de papel y el archivo fisico del área referente a las solicitudes tic generadas. 
</t>
    </r>
    <r>
      <rPr>
        <b/>
        <sz val="8"/>
        <color theme="1"/>
        <rFont val="Arial"/>
        <family val="2"/>
      </rPr>
      <t xml:space="preserve">T3: </t>
    </r>
    <r>
      <rPr>
        <sz val="8"/>
        <color theme="1"/>
        <rFont val="Arial"/>
        <family val="2"/>
      </rPr>
      <t xml:space="preserve">Se realizó un total de 299 solicitudes de servicios TIC de las cuales 158 se realizaron a través del formulario de google docs construido como herramienta de prueba para la posterior actualización del proceso, por otro lado, se realizaron 71 solicitudes a travez del formato publicado en la intranet para tal fin.  El formulario digital en prueba deberá ser evaluado en cuanto a su efectividad, actualizado el procedimiento, publicado y socializado con los supervisores de contrato.
</t>
    </r>
    <r>
      <rPr>
        <b/>
        <sz val="8"/>
        <color theme="1"/>
        <rFont val="Arial"/>
        <family val="2"/>
      </rPr>
      <t xml:space="preserve">T4: </t>
    </r>
    <r>
      <rPr>
        <sz val="8"/>
        <color theme="1"/>
        <rFont val="Arial"/>
        <family val="2"/>
      </rPr>
      <t>Se realizó un total de 44 solicitudes de servicios TIC de las cuales se realizaron a través del formulario de google docs construido como herramienta de prueba para la posterior actualización del proceso.  El formulario digital ya esta en funcionamiento, fue socializado con los supervisores de contrato. Pendiente por actualizar el procedimiento.                         https://docs.google.com/spreadsheets/d/16LbIefMjUZcHV72boeTc-MQjsXthpx-0iwxuB8Z96So/edit#gid=740837110</t>
    </r>
  </si>
  <si>
    <r>
      <rPr>
        <b/>
        <sz val="8"/>
        <color theme="1"/>
        <rFont val="Arial"/>
        <family val="2"/>
      </rPr>
      <t>T1:</t>
    </r>
    <r>
      <rPr>
        <sz val="8"/>
        <color theme="1"/>
        <rFont val="Arial"/>
        <family val="2"/>
      </rPr>
      <t xml:space="preserve"> Durante el primer trimestre del año se realizó el cargue de 411 contratos en la plataforma SECOP, que corresponden a:
* 400 Contratos de prestación de Servicios
* 10 Contratos interadministrativos
* 1 Convocatoria pública
</t>
    </r>
    <r>
      <rPr>
        <b/>
        <sz val="8"/>
        <color theme="1"/>
        <rFont val="Arial"/>
        <family val="2"/>
      </rPr>
      <t>T2:</t>
    </r>
    <r>
      <rPr>
        <sz val="8"/>
        <color theme="1"/>
        <rFont val="Arial"/>
        <family val="2"/>
      </rPr>
      <t xml:space="preserve"> Canal Capital celebró durante el segundo trimestre de 2018 catorce (14) contratos de los cuales siete (07) fueron el resultado de las convocatorias públicas adelantadas por la Entidad y los otros siete (7) restantes correspondieron a la causal de contratación directa. 
</t>
    </r>
    <r>
      <rPr>
        <b/>
        <sz val="8"/>
        <color theme="1"/>
        <rFont val="Arial"/>
        <family val="2"/>
      </rPr>
      <t xml:space="preserve">T3: </t>
    </r>
    <r>
      <rPr>
        <sz val="8"/>
        <color theme="1"/>
        <rFont val="Arial"/>
        <family val="2"/>
      </rPr>
      <t xml:space="preserve">Canal Capital celebró durante el  tercer trimestre de 2018 (342) contratos de los cuales seis (06) fueron el resultado de las convocatorias públicas adelantadas por la Entidad y los otros trescientos treinta y seis (336) restantes correspondieron a la causal de contratación directa.
</t>
    </r>
    <r>
      <rPr>
        <b/>
        <sz val="8"/>
        <color theme="1"/>
        <rFont val="Arial"/>
        <family val="2"/>
      </rPr>
      <t xml:space="preserve">T4: </t>
    </r>
    <r>
      <rPr>
        <sz val="8"/>
        <color theme="1"/>
        <rFont val="Arial"/>
        <family val="2"/>
      </rPr>
      <t>Canal Capital durante el cuarto trimestre de 2018 adelantó la celebración de ciento setenta y siete (177) contratos en forma directa y uno (1) en la modalidad de convocatorias públicas, correspondiente a la serie de valores ciudadanos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</si>
</sst>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0.0%"/>
    <numFmt numFmtId="165" formatCode="_(&quot;$&quot;\ * #,##0_);_(&quot;$&quot;\ * \(#,##0\);_(&quot;$&quot;\ * &quot;-&quot;??_);_(@_)"/>
  </numFmts>
  <fonts count="14"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Arial"/>
      <family val="2"/>
    </font>
    <font>
      <b/>
      <sz val="8"/>
      <color theme="1"/>
      <name val="Arial"/>
      <family val="2"/>
    </font>
    <font>
      <sz val="8"/>
      <name val="Arial"/>
      <family val="2"/>
    </font>
    <font>
      <sz val="8"/>
      <color theme="1"/>
      <name val="Calibri"/>
      <family val="2"/>
      <scheme val="minor"/>
    </font>
    <font>
      <b/>
      <sz val="8"/>
      <name val="Arial"/>
      <family val="2"/>
    </font>
    <font>
      <b/>
      <sz val="11"/>
      <color theme="1"/>
      <name val="Calibri"/>
      <family val="2"/>
      <scheme val="minor"/>
    </font>
    <font>
      <sz val="11"/>
      <color theme="1"/>
      <name val="Arial"/>
      <family val="2"/>
    </font>
    <font>
      <u/>
      <sz val="8"/>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44" fontId="1" fillId="0" borderId="0" applyFont="0" applyFill="0" applyBorder="0" applyAlignment="0" applyProtection="0"/>
    <xf numFmtId="0" fontId="1" fillId="0" borderId="0"/>
  </cellStyleXfs>
  <cellXfs count="356">
    <xf numFmtId="0" fontId="0" fillId="0" borderId="0" xfId="0"/>
    <xf numFmtId="0" fontId="0" fillId="0" borderId="0" xfId="0"/>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Border="1" applyAlignment="1">
      <alignment horizontal="center" vertical="center" wrapText="1"/>
    </xf>
    <xf numFmtId="10" fontId="4" fillId="0" borderId="1" xfId="1" quotePrefix="1" applyNumberFormat="1" applyFont="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Fill="1" applyBorder="1" applyAlignment="1">
      <alignment horizontal="center" vertical="center" wrapText="1"/>
    </xf>
    <xf numFmtId="10" fontId="4" fillId="0" borderId="12" xfId="0" applyNumberFormat="1" applyFont="1" applyBorder="1" applyAlignment="1">
      <alignment horizontal="center" vertical="center" wrapText="1"/>
    </xf>
    <xf numFmtId="10" fontId="4" fillId="0" borderId="27"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10" fontId="4" fillId="0" borderId="27" xfId="0" applyNumberFormat="1" applyFont="1" applyBorder="1" applyAlignment="1">
      <alignment horizontal="left" vertical="center" wrapText="1"/>
    </xf>
    <xf numFmtId="0" fontId="0" fillId="0" borderId="0" xfId="0" applyAlignment="1">
      <alignment horizontal="left" vertical="center"/>
    </xf>
    <xf numFmtId="0" fontId="5" fillId="0" borderId="18"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17" xfId="0" applyFont="1" applyFill="1" applyBorder="1" applyAlignment="1">
      <alignment horizontal="center" vertical="center" wrapText="1"/>
    </xf>
    <xf numFmtId="10" fontId="4" fillId="0" borderId="25" xfId="0" applyNumberFormat="1" applyFont="1" applyBorder="1" applyAlignment="1">
      <alignment horizontal="left" vertical="center" wrapText="1"/>
    </xf>
    <xf numFmtId="0" fontId="4" fillId="0" borderId="15" xfId="0" applyFont="1" applyFill="1" applyBorder="1" applyAlignment="1">
      <alignment horizontal="center" vertical="center" wrapText="1"/>
    </xf>
    <xf numFmtId="10" fontId="4" fillId="0" borderId="12" xfId="0" applyNumberFormat="1" applyFont="1" applyBorder="1" applyAlignment="1">
      <alignment horizontal="left" vertical="center" wrapText="1"/>
    </xf>
    <xf numFmtId="0" fontId="5" fillId="0" borderId="13" xfId="0" applyFont="1" applyBorder="1" applyAlignment="1">
      <alignment horizontal="center" vertical="center" wrapText="1"/>
    </xf>
    <xf numFmtId="0" fontId="4" fillId="0" borderId="20" xfId="0" applyFont="1" applyFill="1" applyBorder="1" applyAlignment="1">
      <alignment horizontal="center" vertical="center" wrapText="1"/>
    </xf>
    <xf numFmtId="10" fontId="4" fillId="0" borderId="13" xfId="0" applyNumberFormat="1" applyFont="1" applyBorder="1" applyAlignment="1">
      <alignment horizontal="left" vertical="center" wrapText="1"/>
    </xf>
    <xf numFmtId="0" fontId="5" fillId="0" borderId="2" xfId="0" applyFont="1" applyFill="1" applyBorder="1" applyAlignment="1">
      <alignment horizontal="center" vertical="center" wrapText="1"/>
    </xf>
    <xf numFmtId="10" fontId="4" fillId="0" borderId="12" xfId="0" applyNumberFormat="1" applyFont="1" applyBorder="1" applyAlignment="1">
      <alignment horizontal="left" vertical="center"/>
    </xf>
    <xf numFmtId="0" fontId="8" fillId="0" borderId="24" xfId="0" applyFont="1" applyFill="1" applyBorder="1" applyAlignment="1">
      <alignment horizontal="center" vertical="center" wrapText="1"/>
    </xf>
    <xf numFmtId="0" fontId="4" fillId="0" borderId="16"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0" fillId="0" borderId="0" xfId="0" applyFill="1"/>
    <xf numFmtId="10" fontId="4" fillId="0" borderId="25" xfId="0" applyNumberFormat="1" applyFont="1" applyBorder="1" applyAlignment="1">
      <alignment horizontal="left" vertical="center"/>
    </xf>
    <xf numFmtId="0" fontId="0" fillId="0" borderId="0" xfId="0" applyAlignment="1">
      <alignment vertical="center"/>
    </xf>
    <xf numFmtId="0" fontId="10" fillId="0" borderId="0" xfId="0" applyFont="1"/>
    <xf numFmtId="0" fontId="4" fillId="0" borderId="25" xfId="0" applyFont="1" applyBorder="1" applyAlignment="1">
      <alignment horizontal="center" vertical="center" wrapText="1"/>
    </xf>
    <xf numFmtId="0" fontId="4" fillId="0" borderId="34"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0" borderId="37" xfId="0" applyFont="1" applyBorder="1" applyAlignment="1">
      <alignment horizontal="center" vertical="center" wrapText="1"/>
    </xf>
    <xf numFmtId="0" fontId="5" fillId="2" borderId="19" xfId="0" applyFont="1" applyFill="1" applyBorder="1" applyAlignment="1">
      <alignment horizontal="center" vertical="center"/>
    </xf>
    <xf numFmtId="0" fontId="5" fillId="2" borderId="40" xfId="0" applyFont="1" applyFill="1" applyBorder="1" applyAlignment="1">
      <alignment horizontal="center" vertical="center"/>
    </xf>
    <xf numFmtId="0" fontId="4" fillId="0" borderId="19" xfId="0" applyFont="1" applyBorder="1" applyAlignment="1">
      <alignment horizontal="center" vertical="center"/>
    </xf>
    <xf numFmtId="0" fontId="4" fillId="0" borderId="41" xfId="0" applyFont="1" applyBorder="1" applyAlignment="1">
      <alignment horizontal="center" vertical="center" wrapText="1"/>
    </xf>
    <xf numFmtId="0" fontId="5" fillId="0" borderId="18" xfId="0" applyFont="1" applyBorder="1" applyAlignment="1">
      <alignment horizontal="center" vertical="center" wrapText="1"/>
    </xf>
    <xf numFmtId="10"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10" fontId="4" fillId="0" borderId="1" xfId="1" applyNumberFormat="1" applyFont="1" applyFill="1" applyBorder="1" applyAlignment="1">
      <alignment horizontal="center" vertical="center"/>
    </xf>
    <xf numFmtId="10" fontId="4" fillId="0" borderId="24" xfId="1" applyNumberFormat="1" applyFont="1" applyBorder="1" applyAlignment="1">
      <alignment horizontal="center" vertical="center"/>
    </xf>
    <xf numFmtId="10" fontId="4" fillId="0" borderId="24" xfId="1" applyNumberFormat="1" applyFont="1" applyFill="1" applyBorder="1" applyAlignment="1">
      <alignment horizontal="center" vertical="center"/>
    </xf>
    <xf numFmtId="10" fontId="4" fillId="0" borderId="3" xfId="1" applyNumberFormat="1"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10" fontId="6" fillId="0" borderId="27" xfId="0" applyNumberFormat="1" applyFont="1" applyFill="1" applyBorder="1" applyAlignment="1">
      <alignment horizontal="left" vertical="center" wrapText="1"/>
    </xf>
    <xf numFmtId="10" fontId="6" fillId="0" borderId="25" xfId="0" applyNumberFormat="1" applyFont="1" applyFill="1" applyBorder="1" applyAlignment="1">
      <alignment horizontal="left" vertical="center" wrapText="1"/>
    </xf>
    <xf numFmtId="10" fontId="4" fillId="0" borderId="2" xfId="1" applyNumberFormat="1" applyFont="1" applyBorder="1" applyAlignment="1">
      <alignment horizontal="center" vertical="center"/>
    </xf>
    <xf numFmtId="10" fontId="4" fillId="0" borderId="12"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4" xfId="1" applyNumberFormat="1" applyFont="1" applyBorder="1" applyAlignment="1">
      <alignment horizontal="center" vertical="center"/>
    </xf>
    <xf numFmtId="10" fontId="6" fillId="0" borderId="12" xfId="0" applyNumberFormat="1" applyFont="1" applyFill="1" applyBorder="1" applyAlignment="1">
      <alignment horizontal="left" vertical="center" wrapText="1"/>
    </xf>
    <xf numFmtId="10" fontId="4" fillId="0" borderId="3" xfId="1" applyNumberFormat="1" applyFont="1" applyBorder="1" applyAlignment="1">
      <alignment horizontal="center" vertical="center"/>
    </xf>
    <xf numFmtId="0" fontId="6" fillId="0" borderId="3" xfId="0" applyFont="1" applyFill="1" applyBorder="1" applyAlignment="1">
      <alignment horizontal="center" vertical="center" wrapText="1"/>
    </xf>
    <xf numFmtId="0" fontId="5" fillId="3" borderId="47" xfId="0" applyFont="1" applyFill="1" applyBorder="1" applyAlignment="1">
      <alignment horizontal="center" vertical="center" wrapText="1"/>
    </xf>
    <xf numFmtId="10" fontId="4" fillId="0" borderId="5" xfId="1" applyNumberFormat="1" applyFont="1" applyFill="1" applyBorder="1" applyAlignment="1">
      <alignment horizontal="center" vertical="center"/>
    </xf>
    <xf numFmtId="10" fontId="4" fillId="0" borderId="5" xfId="1" applyNumberFormat="1" applyFont="1" applyBorder="1" applyAlignment="1">
      <alignment horizontal="center" vertical="center"/>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1" xfId="0" applyFont="1" applyFill="1" applyBorder="1" applyAlignment="1">
      <alignment horizontal="center" vertical="center" wrapText="1"/>
    </xf>
    <xf numFmtId="10" fontId="4" fillId="0" borderId="17" xfId="1" applyNumberFormat="1" applyFont="1" applyBorder="1" applyAlignment="1">
      <alignment horizontal="center" vertical="center"/>
    </xf>
    <xf numFmtId="10" fontId="4" fillId="0" borderId="16" xfId="1" quotePrefix="1" applyNumberFormat="1" applyFont="1" applyBorder="1" applyAlignment="1">
      <alignment horizontal="center" vertical="center"/>
    </xf>
    <xf numFmtId="10" fontId="6" fillId="0" borderId="13" xfId="0" applyNumberFormat="1" applyFont="1" applyFill="1" applyBorder="1" applyAlignment="1">
      <alignment horizontal="left"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0" fontId="4" fillId="0" borderId="44" xfId="0" applyNumberFormat="1" applyFont="1" applyBorder="1" applyAlignment="1">
      <alignment horizontal="center" vertical="center" wrapText="1"/>
    </xf>
    <xf numFmtId="10" fontId="4" fillId="0" borderId="33" xfId="0" applyNumberFormat="1" applyFont="1" applyBorder="1" applyAlignment="1">
      <alignment horizontal="center" vertical="center" wrapText="1"/>
    </xf>
    <xf numFmtId="10" fontId="4" fillId="0" borderId="42"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7" fillId="0" borderId="33"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5"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6" fillId="0" borderId="19" xfId="0" applyFont="1" applyFill="1" applyBorder="1" applyAlignment="1">
      <alignment horizontal="center" vertical="center" wrapText="1"/>
    </xf>
    <xf numFmtId="10" fontId="4" fillId="0" borderId="28"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0" fontId="4" fillId="0" borderId="2" xfId="1" applyNumberFormat="1" applyFont="1" applyFill="1" applyBorder="1" applyAlignment="1">
      <alignment vertical="center"/>
    </xf>
    <xf numFmtId="10" fontId="4" fillId="0" borderId="3" xfId="1" applyNumberFormat="1" applyFont="1" applyBorder="1" applyAlignment="1">
      <alignment vertical="center"/>
    </xf>
    <xf numFmtId="2" fontId="4" fillId="0" borderId="4" xfId="0" applyNumberFormat="1" applyFont="1" applyFill="1" applyBorder="1" applyAlignment="1">
      <alignment horizontal="center" vertical="center"/>
    </xf>
    <xf numFmtId="2" fontId="4" fillId="0" borderId="5" xfId="0" applyNumberFormat="1" applyFont="1" applyFill="1" applyBorder="1" applyAlignment="1">
      <alignment horizontal="center" vertical="center"/>
    </xf>
    <xf numFmtId="0" fontId="6" fillId="0" borderId="3" xfId="0" applyFont="1" applyBorder="1" applyAlignment="1">
      <alignment horizontal="center" vertical="center" wrapText="1"/>
    </xf>
    <xf numFmtId="0" fontId="4" fillId="0" borderId="44" xfId="0" applyFont="1" applyBorder="1" applyAlignment="1">
      <alignment horizontal="center" vertical="center" wrapText="1"/>
    </xf>
    <xf numFmtId="0" fontId="6" fillId="0" borderId="5" xfId="0" applyFont="1" applyBorder="1" applyAlignment="1">
      <alignment horizontal="center" vertical="center" wrapText="1"/>
    </xf>
    <xf numFmtId="2" fontId="7" fillId="0" borderId="4" xfId="4" applyNumberFormat="1" applyFont="1" applyBorder="1" applyAlignment="1">
      <alignment horizontal="center" vertical="center" wrapText="1"/>
    </xf>
    <xf numFmtId="2" fontId="7" fillId="0" borderId="5" xfId="4" applyNumberFormat="1" applyFont="1" applyBorder="1" applyAlignment="1">
      <alignment horizontal="center" vertical="center" wrapText="1"/>
    </xf>
    <xf numFmtId="0" fontId="4" fillId="0" borderId="42" xfId="0" applyFont="1" applyBorder="1" applyAlignment="1">
      <alignment horizontal="center" vertical="center" wrapText="1"/>
    </xf>
    <xf numFmtId="0" fontId="7" fillId="0" borderId="44"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64" fontId="7" fillId="0" borderId="3" xfId="1" applyNumberFormat="1" applyFont="1" applyFill="1" applyBorder="1" applyAlignment="1">
      <alignment horizontal="center" vertical="center"/>
    </xf>
    <xf numFmtId="10" fontId="7" fillId="0" borderId="3" xfId="1" applyNumberFormat="1" applyFont="1" applyFill="1" applyBorder="1" applyAlignment="1">
      <alignment horizontal="center" vertical="center"/>
    </xf>
    <xf numFmtId="0" fontId="4" fillId="0" borderId="44"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4" fillId="0" borderId="40" xfId="0" applyFont="1" applyBorder="1" applyAlignment="1">
      <alignment horizontal="center" vertical="center" wrapText="1"/>
    </xf>
    <xf numFmtId="10" fontId="4" fillId="0" borderId="13" xfId="0" applyNumberFormat="1" applyFont="1" applyFill="1" applyBorder="1" applyAlignment="1">
      <alignment horizontal="left" vertical="center" wrapText="1"/>
    </xf>
    <xf numFmtId="10" fontId="4" fillId="0" borderId="1" xfId="1" applyNumberFormat="1" applyFont="1" applyFill="1" applyBorder="1" applyAlignment="1">
      <alignment horizontal="center" vertical="center"/>
    </xf>
    <xf numFmtId="10" fontId="4" fillId="0" borderId="1" xfId="1" applyNumberFormat="1" applyFont="1" applyBorder="1" applyAlignment="1">
      <alignment horizontal="center" vertical="center"/>
    </xf>
    <xf numFmtId="10" fontId="4" fillId="0" borderId="8" xfId="1" applyNumberFormat="1" applyFont="1" applyBorder="1" applyAlignment="1">
      <alignment horizontal="center" vertical="center"/>
    </xf>
    <xf numFmtId="10" fontId="4" fillId="0" borderId="3" xfId="1" applyNumberFormat="1" applyFont="1" applyBorder="1" applyAlignment="1">
      <alignment horizontal="center" vertical="center"/>
    </xf>
    <xf numFmtId="10" fontId="4" fillId="0" borderId="6" xfId="1" applyNumberFormat="1" applyFont="1" applyBorder="1" applyAlignment="1">
      <alignment horizontal="center" vertical="center"/>
    </xf>
    <xf numFmtId="10" fontId="4" fillId="0" borderId="7" xfId="1" applyNumberFormat="1" applyFont="1" applyBorder="1" applyAlignment="1">
      <alignment horizontal="center" vertical="center"/>
    </xf>
    <xf numFmtId="10" fontId="4" fillId="0" borderId="5" xfId="1" applyNumberFormat="1" applyFont="1" applyFill="1" applyBorder="1" applyAlignment="1">
      <alignment horizontal="center" vertical="center"/>
    </xf>
    <xf numFmtId="10" fontId="4" fillId="0" borderId="5" xfId="1" applyNumberFormat="1" applyFont="1" applyBorder="1" applyAlignment="1">
      <alignment horizontal="center" vertical="center"/>
    </xf>
    <xf numFmtId="10" fontId="4" fillId="0" borderId="1" xfId="1" applyNumberFormat="1" applyFont="1" applyBorder="1" applyAlignment="1">
      <alignment vertical="center"/>
    </xf>
    <xf numFmtId="10" fontId="4" fillId="0" borderId="22" xfId="0" applyNumberFormat="1" applyFont="1" applyFill="1" applyBorder="1" applyAlignment="1">
      <alignment horizontal="left" vertical="center" wrapText="1"/>
    </xf>
    <xf numFmtId="10" fontId="4" fillId="0" borderId="12" xfId="0" quotePrefix="1" applyNumberFormat="1" applyFont="1" applyFill="1" applyBorder="1" applyAlignment="1">
      <alignment vertical="center" wrapText="1"/>
    </xf>
    <xf numFmtId="10" fontId="4" fillId="0" borderId="49" xfId="0" applyNumberFormat="1" applyFont="1" applyFill="1" applyBorder="1" applyAlignment="1">
      <alignment horizontal="left" vertical="center" wrapText="1"/>
    </xf>
    <xf numFmtId="0" fontId="4" fillId="0" borderId="25" xfId="0" quotePrefix="1" applyFont="1" applyFill="1" applyBorder="1" applyAlignment="1">
      <alignment vertical="center" wrapText="1"/>
    </xf>
    <xf numFmtId="10" fontId="4" fillId="0" borderId="48" xfId="1" applyNumberFormat="1" applyFont="1" applyFill="1" applyBorder="1" applyAlignment="1">
      <alignment horizontal="left" vertical="center" wrapText="1"/>
    </xf>
    <xf numFmtId="10" fontId="4" fillId="0" borderId="49" xfId="1" applyNumberFormat="1" applyFont="1" applyFill="1" applyBorder="1" applyAlignment="1">
      <alignment horizontal="left" vertical="center" wrapText="1"/>
    </xf>
    <xf numFmtId="10" fontId="4" fillId="0" borderId="23" xfId="0" applyNumberFormat="1" applyFont="1" applyFill="1" applyBorder="1" applyAlignment="1">
      <alignment horizontal="left" vertical="center" wrapText="1"/>
    </xf>
    <xf numFmtId="10" fontId="4" fillId="0" borderId="48" xfId="0" applyNumberFormat="1" applyFont="1" applyFill="1" applyBorder="1" applyAlignment="1">
      <alignment horizontal="left" vertical="center" wrapText="1"/>
    </xf>
    <xf numFmtId="10" fontId="4" fillId="0" borderId="22" xfId="0" applyNumberFormat="1" applyFont="1" applyFill="1" applyBorder="1" applyAlignment="1">
      <alignment horizontal="left" vertical="center"/>
    </xf>
    <xf numFmtId="0" fontId="5" fillId="4" borderId="54" xfId="0" applyFont="1" applyFill="1" applyBorder="1" applyAlignment="1">
      <alignment horizontal="center" vertical="center"/>
    </xf>
    <xf numFmtId="10" fontId="7" fillId="0" borderId="6" xfId="1" applyNumberFormat="1" applyFont="1" applyFill="1" applyBorder="1" applyAlignment="1">
      <alignment horizontal="center" vertical="center"/>
    </xf>
    <xf numFmtId="10" fontId="4" fillId="0" borderId="25" xfId="0" applyNumberFormat="1" applyFont="1" applyBorder="1" applyAlignment="1">
      <alignment horizontal="center" vertical="center"/>
    </xf>
    <xf numFmtId="10" fontId="4" fillId="0" borderId="12" xfId="0" applyNumberFormat="1" applyFont="1" applyBorder="1" applyAlignment="1">
      <alignment horizontal="center" vertical="center"/>
    </xf>
    <xf numFmtId="10" fontId="4" fillId="0" borderId="55" xfId="1" applyNumberFormat="1" applyFont="1" applyBorder="1" applyAlignment="1">
      <alignment horizontal="center" vertical="center"/>
    </xf>
    <xf numFmtId="10" fontId="4" fillId="0" borderId="27" xfId="0" applyNumberFormat="1" applyFont="1" applyBorder="1" applyAlignment="1">
      <alignment horizontal="center" vertical="center"/>
    </xf>
    <xf numFmtId="10" fontId="4" fillId="0" borderId="13" xfId="0" applyNumberFormat="1" applyFont="1" applyFill="1" applyBorder="1" applyAlignment="1">
      <alignment horizontal="center" vertical="center"/>
    </xf>
    <xf numFmtId="10" fontId="7" fillId="0" borderId="12" xfId="0" applyNumberFormat="1" applyFont="1" applyFill="1" applyBorder="1" applyAlignment="1">
      <alignment horizontal="center" vertical="center"/>
    </xf>
    <xf numFmtId="10" fontId="7" fillId="0" borderId="27" xfId="0" applyNumberFormat="1" applyFont="1" applyBorder="1" applyAlignment="1">
      <alignment horizontal="center" vertical="center"/>
    </xf>
    <xf numFmtId="10" fontId="7" fillId="0" borderId="25" xfId="0" applyNumberFormat="1" applyFont="1" applyBorder="1" applyAlignment="1">
      <alignment horizontal="center" vertical="center"/>
    </xf>
    <xf numFmtId="0" fontId="4" fillId="0" borderId="43" xfId="0" applyFont="1" applyFill="1" applyBorder="1" applyAlignment="1">
      <alignment vertical="center" wrapText="1"/>
    </xf>
    <xf numFmtId="0" fontId="4" fillId="0" borderId="42" xfId="0" applyFont="1" applyFill="1" applyBorder="1" applyAlignment="1">
      <alignment vertical="center" wrapText="1"/>
    </xf>
    <xf numFmtId="0" fontId="4" fillId="0" borderId="49" xfId="0" applyFont="1" applyFill="1" applyBorder="1" applyAlignment="1">
      <alignment vertical="center" wrapText="1"/>
    </xf>
    <xf numFmtId="0" fontId="4" fillId="0" borderId="43" xfId="0" applyFont="1" applyBorder="1" applyAlignment="1">
      <alignment vertical="center" wrapText="1"/>
    </xf>
    <xf numFmtId="0" fontId="4" fillId="0" borderId="42" xfId="0" applyFont="1" applyBorder="1" applyAlignment="1">
      <alignment vertical="center" wrapText="1"/>
    </xf>
    <xf numFmtId="0" fontId="4" fillId="0" borderId="49" xfId="0" applyFont="1" applyBorder="1" applyAlignment="1">
      <alignment vertical="center" wrapText="1"/>
    </xf>
    <xf numFmtId="0" fontId="4" fillId="0" borderId="14" xfId="0" applyFont="1" applyFill="1" applyBorder="1" applyAlignment="1">
      <alignment vertical="center" wrapText="1"/>
    </xf>
    <xf numFmtId="0" fontId="4" fillId="0" borderId="28" xfId="0" applyFont="1" applyFill="1" applyBorder="1" applyAlignment="1">
      <alignment vertical="center" wrapText="1"/>
    </xf>
    <xf numFmtId="0" fontId="4" fillId="0" borderId="23" xfId="0" applyFont="1" applyFill="1" applyBorder="1" applyAlignment="1">
      <alignment vertical="center" wrapText="1"/>
    </xf>
    <xf numFmtId="10" fontId="4" fillId="0" borderId="1" xfId="1" applyNumberFormat="1" applyFont="1" applyFill="1" applyBorder="1" applyAlignment="1">
      <alignment horizontal="center" vertical="center"/>
    </xf>
    <xf numFmtId="10" fontId="4" fillId="0" borderId="1" xfId="1" applyNumberFormat="1" applyFont="1" applyBorder="1" applyAlignment="1">
      <alignment horizontal="center" vertical="center"/>
    </xf>
    <xf numFmtId="10" fontId="4" fillId="0" borderId="3" xfId="1" applyNumberFormat="1" applyFont="1" applyBorder="1" applyAlignment="1">
      <alignment horizontal="center" vertical="center"/>
    </xf>
    <xf numFmtId="10" fontId="4" fillId="0" borderId="15" xfId="1" applyNumberFormat="1" applyFont="1" applyBorder="1" applyAlignment="1">
      <alignment horizontal="center" vertical="center"/>
    </xf>
    <xf numFmtId="10" fontId="4" fillId="0" borderId="24" xfId="1" applyNumberFormat="1" applyFont="1" applyFill="1" applyBorder="1" applyAlignment="1">
      <alignment horizontal="center" vertical="center"/>
    </xf>
    <xf numFmtId="10" fontId="4" fillId="0" borderId="16"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48" xfId="1" applyNumberFormat="1" applyFont="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1" xfId="0" applyFont="1" applyFill="1" applyBorder="1" applyAlignment="1">
      <alignment horizontal="center" vertical="center"/>
    </xf>
    <xf numFmtId="0" fontId="4" fillId="0" borderId="1" xfId="0" applyFont="1" applyBorder="1" applyAlignment="1">
      <alignment horizontal="center" vertical="center" wrapText="1"/>
    </xf>
    <xf numFmtId="10" fontId="4" fillId="0" borderId="16" xfId="1" applyNumberFormat="1" applyFont="1" applyFill="1" applyBorder="1" applyAlignment="1">
      <alignment horizontal="center" vertical="center"/>
    </xf>
    <xf numFmtId="0" fontId="4" fillId="0" borderId="5" xfId="0" applyFont="1" applyBorder="1" applyAlignment="1">
      <alignment horizontal="center" vertical="center" wrapText="1"/>
    </xf>
    <xf numFmtId="10" fontId="4" fillId="0" borderId="48" xfId="1" applyNumberFormat="1" applyFont="1" applyFill="1" applyBorder="1" applyAlignment="1">
      <alignment horizontal="center" vertical="center"/>
    </xf>
    <xf numFmtId="10" fontId="4" fillId="0" borderId="2" xfId="1" applyNumberFormat="1" applyFont="1" applyBorder="1" applyAlignment="1">
      <alignment horizontal="center" vertical="center"/>
    </xf>
    <xf numFmtId="10" fontId="4" fillId="0" borderId="5" xfId="1" applyNumberFormat="1" applyFont="1" applyBorder="1" applyAlignment="1">
      <alignment horizontal="center" vertical="center"/>
    </xf>
    <xf numFmtId="10" fontId="4" fillId="0" borderId="1" xfId="1" applyNumberFormat="1" applyFont="1" applyFill="1" applyBorder="1" applyAlignment="1">
      <alignment horizontal="center" vertical="center"/>
    </xf>
    <xf numFmtId="10" fontId="4" fillId="0" borderId="22" xfId="1" applyNumberFormat="1" applyFont="1" applyFill="1" applyBorder="1" applyAlignment="1">
      <alignment horizontal="center" vertical="center"/>
    </xf>
    <xf numFmtId="0" fontId="5" fillId="2" borderId="58" xfId="0" applyFont="1" applyFill="1" applyBorder="1" applyAlignment="1">
      <alignment horizontal="center" vertical="center"/>
    </xf>
    <xf numFmtId="0" fontId="5" fillId="3" borderId="59" xfId="0" applyFont="1" applyFill="1" applyBorder="1" applyAlignment="1">
      <alignment horizontal="center" vertical="center" wrapText="1"/>
    </xf>
    <xf numFmtId="10" fontId="4" fillId="0" borderId="16" xfId="1" applyNumberFormat="1" applyFont="1" applyBorder="1" applyAlignment="1">
      <alignment vertical="center"/>
    </xf>
    <xf numFmtId="10" fontId="4" fillId="0" borderId="49" xfId="1" applyNumberFormat="1" applyFont="1" applyBorder="1" applyAlignment="1">
      <alignment horizontal="center" vertical="center"/>
    </xf>
    <xf numFmtId="10" fontId="4" fillId="0" borderId="22" xfId="1" applyNumberFormat="1" applyFont="1" applyBorder="1" applyAlignment="1">
      <alignment horizontal="center" vertical="center"/>
    </xf>
    <xf numFmtId="10" fontId="4" fillId="0" borderId="49" xfId="1" applyNumberFormat="1" applyFont="1" applyFill="1" applyBorder="1" applyAlignment="1">
      <alignment horizontal="center" vertical="center"/>
    </xf>
    <xf numFmtId="10" fontId="4" fillId="0" borderId="23" xfId="1" applyNumberFormat="1" applyFont="1" applyFill="1" applyBorder="1" applyAlignment="1">
      <alignment horizontal="center" vertical="center"/>
    </xf>
    <xf numFmtId="2" fontId="4" fillId="0" borderId="5" xfId="0" quotePrefix="1" applyNumberFormat="1" applyFont="1" applyFill="1" applyBorder="1" applyAlignment="1">
      <alignment horizontal="center" vertical="center"/>
    </xf>
    <xf numFmtId="2" fontId="4" fillId="0" borderId="7" xfId="0" quotePrefix="1" applyNumberFormat="1" applyFont="1" applyFill="1" applyBorder="1" applyAlignment="1">
      <alignment horizontal="center" vertical="center"/>
    </xf>
    <xf numFmtId="10" fontId="4" fillId="0" borderId="12" xfId="1" applyNumberFormat="1" applyFont="1" applyFill="1" applyBorder="1" applyAlignment="1">
      <alignment horizontal="center" vertical="center"/>
    </xf>
    <xf numFmtId="10" fontId="4" fillId="0" borderId="27" xfId="1" applyNumberFormat="1" applyFont="1" applyFill="1" applyBorder="1" applyAlignment="1">
      <alignment horizontal="center" vertical="center"/>
    </xf>
    <xf numFmtId="10" fontId="4" fillId="0" borderId="25" xfId="0" applyNumberFormat="1" applyFont="1" applyFill="1" applyBorder="1" applyAlignment="1">
      <alignment horizontal="center" vertical="center"/>
    </xf>
    <xf numFmtId="10" fontId="4" fillId="0" borderId="12" xfId="0" applyNumberFormat="1" applyFont="1" applyFill="1" applyBorder="1" applyAlignment="1">
      <alignment horizontal="center" vertical="center"/>
    </xf>
    <xf numFmtId="10" fontId="4" fillId="0" borderId="8" xfId="1" applyNumberFormat="1" applyFont="1" applyFill="1" applyBorder="1" applyAlignment="1">
      <alignment horizontal="center" vertical="center"/>
    </xf>
    <xf numFmtId="2" fontId="7" fillId="0" borderId="5" xfId="4" applyNumberFormat="1" applyFont="1" applyFill="1" applyBorder="1" applyAlignment="1">
      <alignment horizontal="center" vertical="center" wrapText="1"/>
    </xf>
    <xf numFmtId="2" fontId="7" fillId="0" borderId="7" xfId="4" applyNumberFormat="1" applyFont="1" applyFill="1" applyBorder="1" applyAlignment="1">
      <alignment horizontal="center" vertical="center" wrapText="1"/>
    </xf>
    <xf numFmtId="165" fontId="4" fillId="0" borderId="24" xfId="4" applyNumberFormat="1" applyFont="1" applyBorder="1" applyAlignment="1">
      <alignment horizontal="center" vertical="center" textRotation="90" wrapText="1"/>
    </xf>
    <xf numFmtId="165" fontId="4" fillId="0" borderId="1" xfId="4" applyNumberFormat="1" applyFont="1" applyBorder="1" applyAlignment="1">
      <alignment horizontal="center" vertical="center" textRotation="90" wrapText="1"/>
    </xf>
    <xf numFmtId="165" fontId="4" fillId="0" borderId="1" xfId="4" applyNumberFormat="1" applyFont="1" applyFill="1" applyBorder="1" applyAlignment="1">
      <alignment horizontal="center" vertical="center" textRotation="90" wrapText="1"/>
    </xf>
    <xf numFmtId="165" fontId="4" fillId="0" borderId="8" xfId="4" applyNumberFormat="1" applyFont="1" applyFill="1" applyBorder="1" applyAlignment="1">
      <alignment horizontal="center" vertical="center" textRotation="90" wrapText="1"/>
    </xf>
    <xf numFmtId="10" fontId="4" fillId="0" borderId="27" xfId="0" applyNumberFormat="1" applyFont="1" applyFill="1" applyBorder="1" applyAlignment="1">
      <alignment horizontal="center" vertical="center"/>
    </xf>
    <xf numFmtId="165" fontId="7" fillId="0" borderId="27" xfId="4" applyNumberFormat="1" applyFont="1" applyFill="1" applyBorder="1" applyAlignment="1">
      <alignment horizontal="center" vertical="center" textRotation="90" wrapText="1"/>
    </xf>
    <xf numFmtId="2" fontId="7" fillId="0" borderId="25" xfId="4" applyNumberFormat="1" applyFont="1" applyFill="1" applyBorder="1" applyAlignment="1">
      <alignment horizontal="center" vertical="center" wrapText="1"/>
    </xf>
    <xf numFmtId="10" fontId="7" fillId="0" borderId="13" xfId="0" applyNumberFormat="1" applyFont="1" applyFill="1" applyBorder="1" applyAlignment="1">
      <alignment horizontal="center" vertical="center"/>
    </xf>
    <xf numFmtId="0" fontId="7" fillId="0" borderId="28" xfId="0" applyFont="1" applyFill="1" applyBorder="1" applyAlignment="1">
      <alignment horizontal="center" vertical="center" wrapText="1"/>
    </xf>
    <xf numFmtId="10" fontId="7" fillId="0" borderId="27" xfId="0" applyNumberFormat="1" applyFont="1" applyFill="1" applyBorder="1" applyAlignment="1">
      <alignment horizontal="center" vertical="center"/>
    </xf>
    <xf numFmtId="0" fontId="5" fillId="5" borderId="28" xfId="0" applyFont="1" applyFill="1" applyBorder="1" applyAlignment="1">
      <alignment vertical="center" wrapText="1"/>
    </xf>
    <xf numFmtId="0" fontId="4" fillId="5" borderId="28" xfId="0" applyFont="1" applyFill="1" applyBorder="1" applyAlignment="1"/>
    <xf numFmtId="0" fontId="0" fillId="5" borderId="0" xfId="0" applyFill="1" applyBorder="1"/>
    <xf numFmtId="10" fontId="7" fillId="0" borderId="25" xfId="0" applyNumberFormat="1" applyFont="1" applyFill="1" applyBorder="1" applyAlignment="1">
      <alignment horizontal="center" vertical="center"/>
    </xf>
    <xf numFmtId="0" fontId="9" fillId="2" borderId="1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3"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2" xfId="0" applyFont="1" applyFill="1" applyBorder="1" applyAlignment="1">
      <alignment horizontal="center" vertical="center"/>
    </xf>
    <xf numFmtId="0" fontId="8" fillId="0" borderId="24"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14" xfId="0" applyFont="1" applyFill="1" applyBorder="1" applyAlignment="1">
      <alignment horizontal="center"/>
    </xf>
    <xf numFmtId="0" fontId="5" fillId="4" borderId="28" xfId="0" applyFont="1" applyFill="1" applyBorder="1" applyAlignment="1">
      <alignment horizontal="center"/>
    </xf>
    <xf numFmtId="0" fontId="5" fillId="4" borderId="23" xfId="0" applyFont="1" applyFill="1" applyBorder="1" applyAlignment="1">
      <alignment horizontal="center"/>
    </xf>
    <xf numFmtId="0" fontId="5" fillId="4" borderId="2"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10" fontId="4" fillId="0" borderId="7" xfId="1" applyNumberFormat="1" applyFont="1" applyBorder="1" applyAlignment="1">
      <alignment horizontal="center" vertical="center"/>
    </xf>
    <xf numFmtId="10" fontId="4" fillId="0" borderId="42" xfId="1" applyNumberFormat="1" applyFont="1" applyBorder="1" applyAlignment="1">
      <alignment horizontal="center" vertical="center"/>
    </xf>
    <xf numFmtId="10" fontId="4" fillId="0" borderId="49" xfId="1" applyNumberFormat="1" applyFont="1" applyBorder="1" applyAlignment="1">
      <alignment horizontal="center" vertical="center"/>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10" fontId="4" fillId="0" borderId="30" xfId="0" applyNumberFormat="1" applyFont="1" applyBorder="1" applyAlignment="1">
      <alignment horizontal="center" vertical="center"/>
    </xf>
    <xf numFmtId="10" fontId="4" fillId="0" borderId="29" xfId="0" applyNumberFormat="1" applyFont="1" applyBorder="1" applyAlignment="1">
      <alignment horizontal="center" vertical="center"/>
    </xf>
    <xf numFmtId="10" fontId="4" fillId="0" borderId="19" xfId="0" applyNumberFormat="1" applyFont="1" applyBorder="1" applyAlignment="1">
      <alignment horizontal="center" vertical="center"/>
    </xf>
    <xf numFmtId="10" fontId="4" fillId="0" borderId="20" xfId="0" applyNumberFormat="1" applyFont="1" applyBorder="1" applyAlignment="1">
      <alignment horizontal="center" vertical="center"/>
    </xf>
    <xf numFmtId="10" fontId="4" fillId="0" borderId="1" xfId="0" applyNumberFormat="1" applyFont="1" applyBorder="1" applyAlignment="1">
      <alignment horizontal="center" vertical="center"/>
    </xf>
    <xf numFmtId="10" fontId="4" fillId="0" borderId="16" xfId="0" applyNumberFormat="1" applyFont="1" applyBorder="1" applyAlignment="1">
      <alignment horizontal="center" vertical="center"/>
    </xf>
    <xf numFmtId="0" fontId="5" fillId="0" borderId="28" xfId="0" applyFont="1" applyBorder="1" applyAlignment="1">
      <alignment horizontal="center" vertical="center" wrapText="1"/>
    </xf>
    <xf numFmtId="0" fontId="5" fillId="2" borderId="20" xfId="0" applyFont="1" applyFill="1" applyBorder="1" applyAlignment="1">
      <alignment horizontal="center" vertical="center"/>
    </xf>
    <xf numFmtId="10" fontId="4" fillId="0" borderId="34" xfId="0" applyNumberFormat="1" applyFont="1" applyBorder="1" applyAlignment="1">
      <alignment horizontal="center" vertical="center"/>
    </xf>
    <xf numFmtId="10" fontId="4" fillId="0" borderId="35" xfId="0" applyNumberFormat="1" applyFont="1" applyBorder="1" applyAlignment="1">
      <alignment horizontal="center" vertical="center"/>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10" fontId="4" fillId="0" borderId="1" xfId="1" applyNumberFormat="1" applyFont="1" applyBorder="1" applyAlignment="1">
      <alignment horizontal="center" vertical="center"/>
    </xf>
    <xf numFmtId="10" fontId="4" fillId="0" borderId="1" xfId="1" applyNumberFormat="1" applyFont="1" applyFill="1" applyBorder="1" applyAlignment="1">
      <alignment horizontal="center" vertical="center"/>
    </xf>
    <xf numFmtId="10" fontId="4" fillId="0" borderId="16" xfId="1" applyNumberFormat="1" applyFont="1" applyFill="1" applyBorder="1" applyAlignment="1">
      <alignment horizontal="center" vertical="center"/>
    </xf>
    <xf numFmtId="10" fontId="4" fillId="0" borderId="16"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4" xfId="1" applyNumberFormat="1" applyFont="1" applyBorder="1" applyAlignment="1">
      <alignment horizontal="center" vertical="center"/>
    </xf>
    <xf numFmtId="10" fontId="4" fillId="0" borderId="5" xfId="1" applyNumberFormat="1" applyFont="1" applyBorder="1" applyAlignment="1">
      <alignment horizontal="center" vertical="center"/>
    </xf>
    <xf numFmtId="10" fontId="4" fillId="0" borderId="24" xfId="1" applyNumberFormat="1" applyFont="1" applyFill="1" applyBorder="1" applyAlignment="1">
      <alignment horizontal="center" vertical="center"/>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10" fontId="4" fillId="0" borderId="2" xfId="1" applyNumberFormat="1" applyFont="1" applyFill="1" applyBorder="1" applyAlignment="1">
      <alignment horizontal="center" vertical="center"/>
    </xf>
    <xf numFmtId="10" fontId="4" fillId="0" borderId="3" xfId="1" applyNumberFormat="1"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25" xfId="0" applyFont="1" applyFill="1" applyBorder="1" applyAlignment="1">
      <alignment horizontal="center" vertical="center"/>
    </xf>
    <xf numFmtId="10" fontId="4" fillId="0" borderId="5" xfId="1" applyNumberFormat="1" applyFont="1" applyFill="1" applyBorder="1" applyAlignment="1">
      <alignment horizontal="center" vertical="center"/>
    </xf>
    <xf numFmtId="10" fontId="4" fillId="0" borderId="19" xfId="1" applyNumberFormat="1" applyFont="1" applyFill="1" applyBorder="1" applyAlignment="1">
      <alignment horizontal="center" vertical="center"/>
    </xf>
    <xf numFmtId="10" fontId="4" fillId="0" borderId="15" xfId="1" applyNumberFormat="1" applyFont="1" applyFill="1" applyBorder="1" applyAlignment="1">
      <alignment horizontal="center" vertical="center"/>
    </xf>
    <xf numFmtId="164" fontId="4" fillId="0" borderId="1" xfId="1" applyNumberFormat="1" applyFont="1" applyFill="1" applyBorder="1" applyAlignment="1">
      <alignment horizontal="center" vertical="center"/>
    </xf>
    <xf numFmtId="10" fontId="4" fillId="0" borderId="3" xfId="1"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Border="1" applyAlignment="1">
      <alignment horizontal="center" vertical="center" wrapText="1"/>
    </xf>
    <xf numFmtId="10" fontId="4" fillId="0" borderId="15" xfId="1" applyNumberFormat="1" applyFont="1" applyBorder="1" applyAlignment="1">
      <alignment horizontal="center" vertical="center"/>
    </xf>
    <xf numFmtId="10" fontId="4" fillId="0" borderId="4" xfId="1" applyNumberFormat="1" applyFont="1" applyFill="1" applyBorder="1" applyAlignment="1">
      <alignment horizontal="center" vertical="center"/>
    </xf>
    <xf numFmtId="10" fontId="4" fillId="0" borderId="18" xfId="1" applyNumberFormat="1" applyFont="1" applyFill="1" applyBorder="1" applyAlignment="1">
      <alignment horizontal="center" vertical="center"/>
    </xf>
    <xf numFmtId="10" fontId="4" fillId="0" borderId="17" xfId="1" applyNumberFormat="1" applyFont="1" applyFill="1" applyBorder="1" applyAlignment="1">
      <alignment horizontal="center" vertical="center"/>
    </xf>
    <xf numFmtId="10" fontId="4" fillId="0" borderId="20" xfId="1" applyNumberFormat="1" applyFont="1" applyFill="1" applyBorder="1" applyAlignment="1">
      <alignment horizontal="center" vertical="center"/>
    </xf>
    <xf numFmtId="10" fontId="7" fillId="0" borderId="5" xfId="1" applyNumberFormat="1" applyFont="1" applyFill="1" applyBorder="1" applyAlignment="1">
      <alignment horizontal="center" vertical="center"/>
    </xf>
    <xf numFmtId="10" fontId="7" fillId="0" borderId="7" xfId="1" applyNumberFormat="1" applyFont="1" applyFill="1" applyBorder="1" applyAlignment="1">
      <alignment horizontal="center" vertical="center"/>
    </xf>
    <xf numFmtId="10" fontId="7" fillId="0" borderId="19" xfId="1" applyNumberFormat="1" applyFont="1" applyBorder="1" applyAlignment="1">
      <alignment horizontal="center" vertical="center"/>
    </xf>
    <xf numFmtId="10" fontId="7" fillId="0" borderId="19" xfId="1" applyNumberFormat="1" applyFont="1" applyFill="1" applyBorder="1" applyAlignment="1">
      <alignment horizontal="center" vertical="center"/>
    </xf>
    <xf numFmtId="10" fontId="7" fillId="0" borderId="21" xfId="1" applyNumberFormat="1" applyFont="1" applyFill="1" applyBorder="1" applyAlignment="1">
      <alignment horizontal="center" vertical="center"/>
    </xf>
    <xf numFmtId="10" fontId="7" fillId="0" borderId="1" xfId="1" applyNumberFormat="1" applyFont="1" applyFill="1" applyBorder="1" applyAlignment="1">
      <alignment horizontal="center" vertical="center"/>
    </xf>
    <xf numFmtId="10" fontId="7" fillId="0" borderId="8" xfId="1" applyNumberFormat="1" applyFont="1" applyFill="1" applyBorder="1" applyAlignment="1">
      <alignment horizontal="center" vertical="center"/>
    </xf>
    <xf numFmtId="10" fontId="4" fillId="0" borderId="8" xfId="1" applyNumberFormat="1" applyFont="1" applyBorder="1" applyAlignment="1">
      <alignment horizontal="center" vertical="center"/>
    </xf>
    <xf numFmtId="10" fontId="7" fillId="0" borderId="3" xfId="1" applyNumberFormat="1" applyFont="1" applyFill="1" applyBorder="1" applyAlignment="1">
      <alignment horizontal="center" vertical="center"/>
    </xf>
    <xf numFmtId="0" fontId="5" fillId="4" borderId="32" xfId="0" applyFont="1" applyFill="1" applyBorder="1" applyAlignment="1">
      <alignment horizontal="center" vertical="center"/>
    </xf>
    <xf numFmtId="10" fontId="4" fillId="0" borderId="8" xfId="1" applyNumberFormat="1" applyFont="1" applyFill="1" applyBorder="1" applyAlignment="1">
      <alignment horizontal="center" vertical="center"/>
    </xf>
    <xf numFmtId="10" fontId="7" fillId="0" borderId="42" xfId="1" applyNumberFormat="1" applyFont="1" applyFill="1" applyBorder="1" applyAlignment="1">
      <alignment horizontal="center" vertical="center"/>
    </xf>
    <xf numFmtId="10" fontId="7" fillId="0" borderId="10" xfId="1" applyNumberFormat="1" applyFont="1" applyFill="1" applyBorder="1" applyAlignment="1">
      <alignment horizontal="center" vertical="center"/>
    </xf>
    <xf numFmtId="0" fontId="5" fillId="4" borderId="2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31" xfId="0" applyFont="1" applyFill="1" applyBorder="1" applyAlignment="1">
      <alignment horizontal="center" vertical="center"/>
    </xf>
    <xf numFmtId="10" fontId="4" fillId="0" borderId="6" xfId="1" applyNumberFormat="1" applyFont="1" applyFill="1" applyBorder="1" applyAlignment="1">
      <alignment horizontal="center" vertical="center"/>
    </xf>
    <xf numFmtId="10" fontId="4" fillId="0" borderId="44" xfId="1" applyNumberFormat="1" applyFont="1" applyFill="1" applyBorder="1" applyAlignment="1">
      <alignment horizontal="center" vertical="center"/>
    </xf>
    <xf numFmtId="10" fontId="4" fillId="0" borderId="22" xfId="1" applyNumberFormat="1"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26" xfId="0" applyFont="1" applyFill="1" applyBorder="1" applyAlignment="1">
      <alignment horizontal="center" vertical="center"/>
    </xf>
    <xf numFmtId="10" fontId="4" fillId="0" borderId="2" xfId="1" applyNumberFormat="1" applyFont="1" applyBorder="1" applyAlignment="1">
      <alignment horizontal="center" vertical="center"/>
    </xf>
    <xf numFmtId="10" fontId="7" fillId="0" borderId="18" xfId="1" applyNumberFormat="1" applyFont="1" applyBorder="1" applyAlignment="1">
      <alignment horizontal="center" vertical="center"/>
    </xf>
    <xf numFmtId="10" fontId="7" fillId="0" borderId="4" xfId="1" applyNumberFormat="1" applyFont="1" applyFill="1" applyBorder="1" applyAlignment="1">
      <alignment horizontal="center" vertical="center"/>
    </xf>
    <xf numFmtId="10" fontId="7" fillId="0" borderId="24" xfId="1" applyNumberFormat="1" applyFont="1" applyFill="1" applyBorder="1" applyAlignment="1">
      <alignment horizontal="center" vertical="center"/>
    </xf>
    <xf numFmtId="10" fontId="7" fillId="0" borderId="56" xfId="1" applyNumberFormat="1" applyFont="1" applyBorder="1" applyAlignment="1">
      <alignment horizontal="center" vertical="center"/>
    </xf>
    <xf numFmtId="10" fontId="7" fillId="0" borderId="57" xfId="1" applyNumberFormat="1" applyFont="1" applyBorder="1" applyAlignment="1">
      <alignment horizontal="center" vertical="center"/>
    </xf>
    <xf numFmtId="10" fontId="7" fillId="0" borderId="58" xfId="1" applyNumberFormat="1" applyFont="1" applyBorder="1" applyAlignment="1">
      <alignment horizontal="center" vertical="center"/>
    </xf>
    <xf numFmtId="10" fontId="7" fillId="0" borderId="2" xfId="1" applyNumberFormat="1" applyFont="1" applyFill="1" applyBorder="1" applyAlignment="1">
      <alignment horizontal="center" vertical="center"/>
    </xf>
    <xf numFmtId="10" fontId="7" fillId="0" borderId="1" xfId="1" applyNumberFormat="1" applyFont="1" applyBorder="1" applyAlignment="1">
      <alignment horizontal="center" vertical="center"/>
    </xf>
    <xf numFmtId="10" fontId="7" fillId="0" borderId="54" xfId="1" applyNumberFormat="1" applyFont="1" applyBorder="1" applyAlignment="1">
      <alignment horizontal="center" vertical="center"/>
    </xf>
    <xf numFmtId="0" fontId="5" fillId="4" borderId="30" xfId="0" applyFont="1" applyFill="1" applyBorder="1" applyAlignment="1">
      <alignment horizontal="center" vertical="center" wrapText="1"/>
    </xf>
    <xf numFmtId="0" fontId="5" fillId="4" borderId="30" xfId="0" applyFont="1" applyFill="1" applyBorder="1" applyAlignment="1">
      <alignment horizontal="center" vertical="center"/>
    </xf>
    <xf numFmtId="10" fontId="4" fillId="0" borderId="21" xfId="1" applyNumberFormat="1" applyFont="1" applyFill="1" applyBorder="1" applyAlignment="1">
      <alignment horizontal="center" vertical="center"/>
    </xf>
    <xf numFmtId="0" fontId="5" fillId="4" borderId="44" xfId="0" applyFont="1" applyFill="1" applyBorder="1" applyAlignment="1">
      <alignment horizontal="center" vertical="center"/>
    </xf>
    <xf numFmtId="0" fontId="5" fillId="4" borderId="51" xfId="0" applyFont="1" applyFill="1" applyBorder="1" applyAlignment="1">
      <alignment horizontal="center" vertical="center"/>
    </xf>
    <xf numFmtId="10" fontId="7" fillId="0" borderId="8" xfId="1" applyNumberFormat="1" applyFont="1" applyBorder="1" applyAlignment="1">
      <alignment horizontal="center" vertical="center"/>
    </xf>
    <xf numFmtId="10" fontId="7" fillId="0" borderId="33" xfId="1" applyNumberFormat="1" applyFont="1" applyBorder="1" applyAlignment="1">
      <alignment horizontal="center" vertical="center"/>
    </xf>
    <xf numFmtId="10" fontId="7" fillId="0" borderId="48" xfId="1" applyNumberFormat="1" applyFont="1" applyBorder="1" applyAlignment="1">
      <alignment horizontal="center" vertical="center"/>
    </xf>
    <xf numFmtId="10" fontId="7" fillId="0" borderId="6" xfId="1" applyNumberFormat="1" applyFont="1" applyFill="1" applyBorder="1" applyAlignment="1">
      <alignment horizontal="center" vertical="center"/>
    </xf>
    <xf numFmtId="10" fontId="7" fillId="0" borderId="44" xfId="1" applyNumberFormat="1" applyFont="1" applyFill="1" applyBorder="1" applyAlignment="1">
      <alignment horizontal="center" vertical="center"/>
    </xf>
    <xf numFmtId="10" fontId="7" fillId="0" borderId="22" xfId="1" applyNumberFormat="1" applyFont="1" applyFill="1" applyBorder="1" applyAlignment="1">
      <alignment horizontal="center" vertical="center"/>
    </xf>
    <xf numFmtId="10" fontId="4" fillId="0" borderId="33" xfId="1" applyNumberFormat="1" applyFont="1" applyFill="1" applyBorder="1" applyAlignment="1">
      <alignment horizontal="center" vertical="center"/>
    </xf>
    <xf numFmtId="10" fontId="4" fillId="0" borderId="48" xfId="1" applyNumberFormat="1" applyFont="1" applyFill="1" applyBorder="1" applyAlignment="1">
      <alignment horizontal="center" vertical="center"/>
    </xf>
    <xf numFmtId="10" fontId="7" fillId="0" borderId="54" xfId="1" applyNumberFormat="1" applyFont="1" applyFill="1" applyBorder="1" applyAlignment="1">
      <alignment horizontal="center" vertical="center"/>
    </xf>
    <xf numFmtId="10" fontId="7" fillId="0" borderId="57" xfId="1" applyNumberFormat="1" applyFont="1" applyFill="1" applyBorder="1" applyAlignment="1">
      <alignment horizontal="center" vertical="center"/>
    </xf>
    <xf numFmtId="10" fontId="7" fillId="0" borderId="58" xfId="1" applyNumberFormat="1" applyFont="1" applyFill="1" applyBorder="1" applyAlignment="1">
      <alignment horizontal="center" vertical="center"/>
    </xf>
    <xf numFmtId="10" fontId="4" fillId="0" borderId="7" xfId="1" applyNumberFormat="1" applyFont="1" applyFill="1" applyBorder="1" applyAlignment="1">
      <alignment horizontal="center" vertical="center"/>
    </xf>
    <xf numFmtId="10" fontId="7" fillId="0" borderId="33" xfId="1" applyNumberFormat="1" applyFont="1" applyFill="1" applyBorder="1" applyAlignment="1">
      <alignment horizontal="center" vertical="center"/>
    </xf>
    <xf numFmtId="10" fontId="7" fillId="0" borderId="48" xfId="1" applyNumberFormat="1" applyFont="1" applyFill="1" applyBorder="1" applyAlignment="1">
      <alignment horizontal="center" vertical="center"/>
    </xf>
  </cellXfs>
  <cellStyles count="6">
    <cellStyle name="Moneda" xfId="4" builtinId="4"/>
    <cellStyle name="Normal" xfId="0" builtinId="0"/>
    <cellStyle name="Normal 2 4" xfId="2"/>
    <cellStyle name="Normal 5" xfId="5"/>
    <cellStyle name="Porcentaje" xfId="1" builtinId="5"/>
    <cellStyle name="Porcentu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222517</xdr:colOff>
      <xdr:row>0</xdr:row>
      <xdr:rowOff>88636</xdr:rowOff>
    </xdr:from>
    <xdr:to>
      <xdr:col>0</xdr:col>
      <xdr:colOff>1223697</xdr:colOff>
      <xdr:row>0</xdr:row>
      <xdr:rowOff>607219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861" y="88636"/>
          <a:ext cx="1001180" cy="518583"/>
        </a:xfrm>
        <a:prstGeom prst="rect">
          <a:avLst/>
        </a:prstGeom>
      </xdr:spPr>
    </xdr:pic>
    <xdr:clientData/>
  </xdr:twoCellAnchor>
  <xdr:twoCellAnchor editAs="oneCell">
    <xdr:from>
      <xdr:col>19</xdr:col>
      <xdr:colOff>325621</xdr:colOff>
      <xdr:row>0</xdr:row>
      <xdr:rowOff>110181</xdr:rowOff>
    </xdr:from>
    <xdr:to>
      <xdr:col>19</xdr:col>
      <xdr:colOff>1504907</xdr:colOff>
      <xdr:row>0</xdr:row>
      <xdr:rowOff>597014</xdr:rowOff>
    </xdr:to>
    <xdr:pic>
      <xdr:nvPicPr>
        <xdr:cNvPr id="3"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24777" y="110181"/>
          <a:ext cx="1179286" cy="486833"/>
        </a:xfrm>
        <a:prstGeom prst="rect">
          <a:avLst/>
        </a:prstGeom>
      </xdr:spPr>
    </xdr:pic>
    <xdr:clientData/>
  </xdr:twoCellAnchor>
  <xdr:twoCellAnchor editAs="oneCell">
    <xdr:from>
      <xdr:col>20</xdr:col>
      <xdr:colOff>317500</xdr:colOff>
      <xdr:row>0</xdr:row>
      <xdr:rowOff>74083</xdr:rowOff>
    </xdr:from>
    <xdr:to>
      <xdr:col>21</xdr:col>
      <xdr:colOff>687648</xdr:colOff>
      <xdr:row>0</xdr:row>
      <xdr:rowOff>592666</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5583" y="74083"/>
          <a:ext cx="1001180" cy="518583"/>
        </a:xfrm>
        <a:prstGeom prst="rect">
          <a:avLst/>
        </a:prstGeom>
      </xdr:spPr>
    </xdr:pic>
    <xdr:clientData/>
  </xdr:twoCellAnchor>
  <xdr:twoCellAnchor editAs="oneCell">
    <xdr:from>
      <xdr:col>21</xdr:col>
      <xdr:colOff>15262231</xdr:colOff>
      <xdr:row>0</xdr:row>
      <xdr:rowOff>114260</xdr:rowOff>
    </xdr:from>
    <xdr:to>
      <xdr:col>21</xdr:col>
      <xdr:colOff>16344898</xdr:colOff>
      <xdr:row>0</xdr:row>
      <xdr:rowOff>601093</xdr:rowOff>
    </xdr:to>
    <xdr:pic>
      <xdr:nvPicPr>
        <xdr:cNvPr id="5"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40669" y="114260"/>
          <a:ext cx="1082667" cy="486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235217</xdr:colOff>
      <xdr:row>0</xdr:row>
      <xdr:rowOff>67204</xdr:rowOff>
    </xdr:from>
    <xdr:to>
      <xdr:col>1</xdr:col>
      <xdr:colOff>86939</xdr:colOff>
      <xdr:row>0</xdr:row>
      <xdr:rowOff>567796</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17" y="67204"/>
          <a:ext cx="1039546" cy="500592"/>
        </a:xfrm>
        <a:prstGeom prst="rect">
          <a:avLst/>
        </a:prstGeom>
      </xdr:spPr>
    </xdr:pic>
    <xdr:clientData/>
  </xdr:twoCellAnchor>
  <xdr:twoCellAnchor editAs="oneCell">
    <xdr:from>
      <xdr:col>18</xdr:col>
      <xdr:colOff>317499</xdr:colOff>
      <xdr:row>0</xdr:row>
      <xdr:rowOff>100015</xdr:rowOff>
    </xdr:from>
    <xdr:to>
      <xdr:col>19</xdr:col>
      <xdr:colOff>788429</xdr:colOff>
      <xdr:row>0</xdr:row>
      <xdr:rowOff>613835</xdr:rowOff>
    </xdr:to>
    <xdr:pic>
      <xdr:nvPicPr>
        <xdr:cNvPr id="3"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93749" y="100015"/>
          <a:ext cx="1240634" cy="513820"/>
        </a:xfrm>
        <a:prstGeom prst="rect">
          <a:avLst/>
        </a:prstGeom>
      </xdr:spPr>
    </xdr:pic>
    <xdr:clientData/>
  </xdr:twoCellAnchor>
  <xdr:twoCellAnchor editAs="oneCell">
    <xdr:from>
      <xdr:col>20</xdr:col>
      <xdr:colOff>179917</xdr:colOff>
      <xdr:row>0</xdr:row>
      <xdr:rowOff>63500</xdr:rowOff>
    </xdr:from>
    <xdr:to>
      <xdr:col>21</xdr:col>
      <xdr:colOff>719790</xdr:colOff>
      <xdr:row>0</xdr:row>
      <xdr:rowOff>564092</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18834" y="63500"/>
          <a:ext cx="1032932" cy="500592"/>
        </a:xfrm>
        <a:prstGeom prst="rect">
          <a:avLst/>
        </a:prstGeom>
      </xdr:spPr>
    </xdr:pic>
    <xdr:clientData/>
  </xdr:twoCellAnchor>
  <xdr:twoCellAnchor editAs="oneCell">
    <xdr:from>
      <xdr:col>21</xdr:col>
      <xdr:colOff>15557187</xdr:colOff>
      <xdr:row>0</xdr:row>
      <xdr:rowOff>93852</xdr:rowOff>
    </xdr:from>
    <xdr:to>
      <xdr:col>21</xdr:col>
      <xdr:colOff>16797821</xdr:colOff>
      <xdr:row>0</xdr:row>
      <xdr:rowOff>607672</xdr:rowOff>
    </xdr:to>
    <xdr:pic>
      <xdr:nvPicPr>
        <xdr:cNvPr id="5"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52981" y="93852"/>
          <a:ext cx="1240634" cy="5138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2017/Indicadores%20de%20Proceso/Hojas%20de%20Vida%20Indicadores%20de%20procesos%20-%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IP-001"/>
      <sheetName val="IP-002"/>
      <sheetName val="IP-003"/>
      <sheetName val="IP-004"/>
      <sheetName val="IP-005"/>
      <sheetName val="IP-006"/>
      <sheetName val="IP-007"/>
      <sheetName val="IP-008"/>
      <sheetName val="IP-009"/>
      <sheetName val="IP-010"/>
      <sheetName val="IP-011"/>
      <sheetName val="IP-012"/>
      <sheetName val="IP-013"/>
      <sheetName val="IP-014"/>
      <sheetName val="IP-015"/>
      <sheetName val="IP-016"/>
      <sheetName val="IP-017"/>
      <sheetName val="IP-018"/>
      <sheetName val="IP-019"/>
      <sheetName val="IP-020"/>
      <sheetName val="IP-021"/>
      <sheetName val="IP-022"/>
      <sheetName val="IP-023"/>
      <sheetName val="IP-024"/>
      <sheetName val="IP-025"/>
      <sheetName val="IP-026"/>
      <sheetName val="IP-027"/>
      <sheetName val="IP-028"/>
      <sheetName val="IP-029"/>
      <sheetName val="IP-030"/>
      <sheetName val="IP-031"/>
      <sheetName val="IP-032"/>
      <sheetName val="IP-033"/>
      <sheetName val="IP-034"/>
      <sheetName val="IP-035"/>
      <sheetName val="IP-036"/>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F6" sqref="F6"/>
    </sheetView>
  </sheetViews>
  <sheetFormatPr baseColWidth="10" defaultRowHeight="15" x14ac:dyDescent="0.25"/>
  <cols>
    <col min="1" max="1" width="0.85546875" style="1" customWidth="1"/>
    <col min="2" max="2" width="6.28515625" style="1" customWidth="1"/>
    <col min="3" max="4" width="14.140625" customWidth="1"/>
    <col min="5" max="5" width="25.42578125" customWidth="1"/>
    <col min="6" max="6" width="17.5703125" customWidth="1"/>
    <col min="7" max="7" width="31.42578125" customWidth="1"/>
  </cols>
  <sheetData>
    <row r="1" spans="2:7" ht="5.25" customHeight="1" thickBot="1" x14ac:dyDescent="0.3"/>
    <row r="2" spans="2:7" s="41" customFormat="1" ht="17.25" customHeight="1" thickBot="1" x14ac:dyDescent="0.3">
      <c r="B2" s="207" t="s">
        <v>304</v>
      </c>
      <c r="C2" s="208"/>
      <c r="D2" s="208"/>
      <c r="E2" s="208"/>
      <c r="F2" s="208"/>
      <c r="G2" s="209"/>
    </row>
    <row r="3" spans="2:7" s="41" customFormat="1" ht="15" customHeight="1" x14ac:dyDescent="0.25">
      <c r="B3" s="210" t="s">
        <v>1</v>
      </c>
      <c r="C3" s="212" t="s">
        <v>2</v>
      </c>
      <c r="D3" s="214" t="s">
        <v>3</v>
      </c>
      <c r="E3" s="216" t="s">
        <v>5</v>
      </c>
      <c r="F3" s="212" t="s">
        <v>4</v>
      </c>
      <c r="G3" s="218" t="s">
        <v>7</v>
      </c>
    </row>
    <row r="4" spans="2:7" s="41" customFormat="1" ht="15.75" thickBot="1" x14ac:dyDescent="0.3">
      <c r="B4" s="211"/>
      <c r="C4" s="213"/>
      <c r="D4" s="215"/>
      <c r="E4" s="217"/>
      <c r="F4" s="213"/>
      <c r="G4" s="219"/>
    </row>
    <row r="5" spans="2:7" ht="67.5" customHeight="1" x14ac:dyDescent="0.25">
      <c r="B5" s="18" t="s">
        <v>21</v>
      </c>
      <c r="C5" s="4" t="s">
        <v>22</v>
      </c>
      <c r="D5" s="4" t="s">
        <v>23</v>
      </c>
      <c r="E5" s="27" t="s">
        <v>25</v>
      </c>
      <c r="F5" s="4" t="s">
        <v>24</v>
      </c>
      <c r="G5" s="28" t="s">
        <v>299</v>
      </c>
    </row>
    <row r="6" spans="2:7" ht="68.25" thickBot="1" x14ac:dyDescent="0.3">
      <c r="B6" s="20" t="s">
        <v>26</v>
      </c>
      <c r="C6" s="3" t="s">
        <v>27</v>
      </c>
      <c r="D6" s="3" t="s">
        <v>28</v>
      </c>
      <c r="E6" s="25" t="s">
        <v>29</v>
      </c>
      <c r="F6" s="24" t="s">
        <v>296</v>
      </c>
      <c r="G6" s="26" t="s">
        <v>298</v>
      </c>
    </row>
    <row r="7" spans="2:7" ht="60" customHeight="1" x14ac:dyDescent="0.25">
      <c r="B7" s="18" t="s">
        <v>31</v>
      </c>
      <c r="C7" s="4" t="s">
        <v>32</v>
      </c>
      <c r="D7" s="4" t="s">
        <v>33</v>
      </c>
      <c r="E7" s="27" t="s">
        <v>35</v>
      </c>
      <c r="F7" s="4" t="s">
        <v>34</v>
      </c>
      <c r="G7" s="28" t="s">
        <v>279</v>
      </c>
    </row>
    <row r="8" spans="2:7" ht="118.5" customHeight="1" thickBot="1" x14ac:dyDescent="0.3">
      <c r="B8" s="20" t="s">
        <v>36</v>
      </c>
      <c r="C8" s="3" t="s">
        <v>37</v>
      </c>
      <c r="D8" s="3" t="s">
        <v>38</v>
      </c>
      <c r="E8" s="25" t="s">
        <v>40</v>
      </c>
      <c r="F8" s="3" t="s">
        <v>39</v>
      </c>
      <c r="G8" s="40" t="s">
        <v>305</v>
      </c>
    </row>
    <row r="9" spans="2:7" ht="68.25" thickBot="1" x14ac:dyDescent="0.3">
      <c r="B9" s="23" t="s">
        <v>42</v>
      </c>
      <c r="C9" s="7" t="s">
        <v>43</v>
      </c>
      <c r="D9" s="7" t="s">
        <v>44</v>
      </c>
      <c r="E9" s="30" t="s">
        <v>46</v>
      </c>
      <c r="F9" s="7" t="s">
        <v>45</v>
      </c>
      <c r="G9" s="31" t="s">
        <v>284</v>
      </c>
    </row>
    <row r="10" spans="2:7" ht="67.5" customHeight="1" x14ac:dyDescent="0.25">
      <c r="B10" s="18" t="s">
        <v>48</v>
      </c>
      <c r="C10" s="4" t="s">
        <v>49</v>
      </c>
      <c r="D10" s="4" t="s">
        <v>50</v>
      </c>
      <c r="E10" s="27" t="s">
        <v>52</v>
      </c>
      <c r="F10" s="4" t="s">
        <v>51</v>
      </c>
      <c r="G10" s="28" t="s">
        <v>297</v>
      </c>
    </row>
    <row r="11" spans="2:7" ht="45.75" thickBot="1" x14ac:dyDescent="0.3">
      <c r="B11" s="20" t="s">
        <v>53</v>
      </c>
      <c r="C11" s="3" t="s">
        <v>54</v>
      </c>
      <c r="D11" s="3" t="s">
        <v>55</v>
      </c>
      <c r="E11" s="25" t="s">
        <v>57</v>
      </c>
      <c r="F11" s="3" t="s">
        <v>56</v>
      </c>
      <c r="G11" s="26" t="s">
        <v>300</v>
      </c>
    </row>
    <row r="12" spans="2:7" ht="56.25" customHeight="1" x14ac:dyDescent="0.25">
      <c r="B12" s="32" t="s">
        <v>59</v>
      </c>
      <c r="C12" s="6" t="s">
        <v>247</v>
      </c>
      <c r="D12" s="6" t="s">
        <v>60</v>
      </c>
      <c r="E12" s="27" t="s">
        <v>62</v>
      </c>
      <c r="F12" s="6" t="s">
        <v>61</v>
      </c>
      <c r="G12" s="33" t="s">
        <v>286</v>
      </c>
    </row>
    <row r="13" spans="2:7" ht="67.5" x14ac:dyDescent="0.25">
      <c r="B13" s="19" t="s">
        <v>63</v>
      </c>
      <c r="C13" s="2" t="s">
        <v>64</v>
      </c>
      <c r="D13" s="2" t="s">
        <v>65</v>
      </c>
      <c r="E13" s="16" t="s">
        <v>67</v>
      </c>
      <c r="F13" s="2" t="s">
        <v>66</v>
      </c>
      <c r="G13" s="21" t="s">
        <v>274</v>
      </c>
    </row>
    <row r="14" spans="2:7" ht="78.75" x14ac:dyDescent="0.25">
      <c r="B14" s="19" t="s">
        <v>68</v>
      </c>
      <c r="C14" s="2" t="s">
        <v>69</v>
      </c>
      <c r="D14" s="2" t="s">
        <v>70</v>
      </c>
      <c r="E14" s="16" t="s">
        <v>72</v>
      </c>
      <c r="F14" s="2" t="s">
        <v>71</v>
      </c>
      <c r="G14" s="21" t="s">
        <v>289</v>
      </c>
    </row>
    <row r="15" spans="2:7" ht="85.5" customHeight="1" x14ac:dyDescent="0.25">
      <c r="B15" s="19" t="s">
        <v>73</v>
      </c>
      <c r="C15" s="2" t="s">
        <v>69</v>
      </c>
      <c r="D15" s="2" t="s">
        <v>74</v>
      </c>
      <c r="E15" s="16" t="s">
        <v>76</v>
      </c>
      <c r="F15" s="2" t="s">
        <v>75</v>
      </c>
      <c r="G15" s="21" t="s">
        <v>289</v>
      </c>
    </row>
    <row r="16" spans="2:7" ht="56.25" x14ac:dyDescent="0.25">
      <c r="B16" s="19" t="s">
        <v>77</v>
      </c>
      <c r="C16" s="2" t="s">
        <v>69</v>
      </c>
      <c r="D16" s="2" t="s">
        <v>78</v>
      </c>
      <c r="E16" s="16" t="s">
        <v>80</v>
      </c>
      <c r="F16" s="2" t="s">
        <v>79</v>
      </c>
      <c r="G16" s="21" t="s">
        <v>289</v>
      </c>
    </row>
    <row r="17" spans="2:7" ht="123.75" x14ac:dyDescent="0.25">
      <c r="B17" s="19" t="s">
        <v>81</v>
      </c>
      <c r="C17" s="2" t="s">
        <v>82</v>
      </c>
      <c r="D17" s="2" t="s">
        <v>83</v>
      </c>
      <c r="E17" s="16" t="s">
        <v>85</v>
      </c>
      <c r="F17" s="2" t="s">
        <v>84</v>
      </c>
      <c r="G17" s="21" t="s">
        <v>290</v>
      </c>
    </row>
    <row r="18" spans="2:7" ht="111" customHeight="1" x14ac:dyDescent="0.25">
      <c r="B18" s="19" t="s">
        <v>86</v>
      </c>
      <c r="C18" s="2" t="s">
        <v>87</v>
      </c>
      <c r="D18" s="2" t="s">
        <v>88</v>
      </c>
      <c r="E18" s="16" t="s">
        <v>90</v>
      </c>
      <c r="F18" s="2" t="s">
        <v>89</v>
      </c>
      <c r="G18" s="21" t="s">
        <v>301</v>
      </c>
    </row>
    <row r="19" spans="2:7" ht="123.75" x14ac:dyDescent="0.25">
      <c r="B19" s="19" t="s">
        <v>91</v>
      </c>
      <c r="C19" s="2" t="s">
        <v>92</v>
      </c>
      <c r="D19" s="2" t="s">
        <v>93</v>
      </c>
      <c r="E19" s="16" t="s">
        <v>95</v>
      </c>
      <c r="F19" s="2" t="s">
        <v>94</v>
      </c>
      <c r="G19" s="21" t="s">
        <v>302</v>
      </c>
    </row>
    <row r="20" spans="2:7" ht="90" x14ac:dyDescent="0.25">
      <c r="B20" s="19" t="s">
        <v>96</v>
      </c>
      <c r="C20" s="2" t="s">
        <v>97</v>
      </c>
      <c r="D20" s="2" t="s">
        <v>98</v>
      </c>
      <c r="E20" s="16" t="s">
        <v>100</v>
      </c>
      <c r="F20" s="2" t="s">
        <v>99</v>
      </c>
      <c r="G20" s="21" t="s">
        <v>303</v>
      </c>
    </row>
    <row r="21" spans="2:7" ht="95.25" customHeight="1" x14ac:dyDescent="0.25">
      <c r="B21" s="19" t="s">
        <v>101</v>
      </c>
      <c r="C21" s="2" t="s">
        <v>102</v>
      </c>
      <c r="D21" s="2" t="s">
        <v>103</v>
      </c>
      <c r="E21" s="16" t="s">
        <v>105</v>
      </c>
      <c r="F21" s="2" t="s">
        <v>104</v>
      </c>
      <c r="G21" s="21" t="s">
        <v>278</v>
      </c>
    </row>
    <row r="22" spans="2:7" ht="132.75" customHeight="1" x14ac:dyDescent="0.25">
      <c r="B22" s="19" t="s">
        <v>106</v>
      </c>
      <c r="C22" s="2" t="s">
        <v>107</v>
      </c>
      <c r="D22" s="2" t="s">
        <v>108</v>
      </c>
      <c r="E22" s="16" t="s">
        <v>110</v>
      </c>
      <c r="F22" s="9" t="s">
        <v>109</v>
      </c>
      <c r="G22" s="21" t="s">
        <v>277</v>
      </c>
    </row>
    <row r="23" spans="2:7" ht="121.5" customHeight="1" thickBot="1" x14ac:dyDescent="0.3">
      <c r="B23" s="20" t="s">
        <v>111</v>
      </c>
      <c r="C23" s="3" t="s">
        <v>107</v>
      </c>
      <c r="D23" s="3" t="s">
        <v>112</v>
      </c>
      <c r="E23" s="25" t="s">
        <v>114</v>
      </c>
      <c r="F23" s="24" t="s">
        <v>113</v>
      </c>
      <c r="G23" s="26" t="s">
        <v>276</v>
      </c>
    </row>
  </sheetData>
  <mergeCells count="7">
    <mergeCell ref="B2:G2"/>
    <mergeCell ref="B3:B4"/>
    <mergeCell ref="C3:C4"/>
    <mergeCell ref="D3:D4"/>
    <mergeCell ref="F3:F4"/>
    <mergeCell ref="E3:E4"/>
    <mergeCell ref="G3:G4"/>
  </mergeCells>
  <printOptions horizontalCentered="1"/>
  <pageMargins left="0.39370078740157483" right="0.39370078740157483" top="0.39370078740157483" bottom="0.39370078740157483" header="0.31496062992125984" footer="0.31496062992125984"/>
  <pageSetup scale="85"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zoomScaleNormal="100" workbookViewId="0">
      <selection activeCell="F6" sqref="F6"/>
    </sheetView>
  </sheetViews>
  <sheetFormatPr baseColWidth="10" defaultRowHeight="15" x14ac:dyDescent="0.25"/>
  <cols>
    <col min="1" max="1" width="0.7109375" customWidth="1"/>
    <col min="2" max="2" width="15" customWidth="1"/>
    <col min="3" max="3" width="5.28515625" bestFit="1" customWidth="1"/>
    <col min="4" max="4" width="17" customWidth="1"/>
    <col min="5" max="5" width="25.85546875" customWidth="1"/>
    <col min="6" max="6" width="35.85546875" customWidth="1"/>
    <col min="7" max="7" width="13.5703125" style="42" customWidth="1"/>
  </cols>
  <sheetData>
    <row r="1" spans="2:7" ht="15.75" thickBot="1" x14ac:dyDescent="0.3"/>
    <row r="2" spans="2:7" s="1" customFormat="1" ht="15.75" thickBot="1" x14ac:dyDescent="0.3">
      <c r="B2" s="223" t="s">
        <v>306</v>
      </c>
      <c r="C2" s="224"/>
      <c r="D2" s="224"/>
      <c r="E2" s="224"/>
      <c r="F2" s="224"/>
      <c r="G2" s="225"/>
    </row>
    <row r="3" spans="2:7" x14ac:dyDescent="0.25">
      <c r="B3" s="226" t="s">
        <v>2</v>
      </c>
      <c r="C3" s="228" t="s">
        <v>1</v>
      </c>
      <c r="D3" s="230" t="s">
        <v>3</v>
      </c>
      <c r="E3" s="232" t="s">
        <v>4</v>
      </c>
      <c r="F3" s="234" t="s">
        <v>5</v>
      </c>
      <c r="G3" s="221" t="s">
        <v>7</v>
      </c>
    </row>
    <row r="4" spans="2:7" ht="15.75" thickBot="1" x14ac:dyDescent="0.3">
      <c r="B4" s="227"/>
      <c r="C4" s="229"/>
      <c r="D4" s="231"/>
      <c r="E4" s="233"/>
      <c r="F4" s="235"/>
      <c r="G4" s="222"/>
    </row>
    <row r="5" spans="2:7" ht="33.75" x14ac:dyDescent="0.25">
      <c r="B5" s="220" t="s">
        <v>151</v>
      </c>
      <c r="C5" s="36" t="s">
        <v>115</v>
      </c>
      <c r="D5" s="2" t="s">
        <v>163</v>
      </c>
      <c r="E5" s="2" t="s">
        <v>199</v>
      </c>
      <c r="F5" s="35" t="s">
        <v>232</v>
      </c>
      <c r="G5" s="13" t="s">
        <v>295</v>
      </c>
    </row>
    <row r="6" spans="2:7" ht="67.5" x14ac:dyDescent="0.25">
      <c r="B6" s="220"/>
      <c r="C6" s="36" t="s">
        <v>116</v>
      </c>
      <c r="D6" s="2" t="s">
        <v>164</v>
      </c>
      <c r="E6" s="2" t="s">
        <v>200</v>
      </c>
      <c r="F6" s="35" t="s">
        <v>233</v>
      </c>
      <c r="G6" s="14" t="s">
        <v>295</v>
      </c>
    </row>
    <row r="7" spans="2:7" ht="45" x14ac:dyDescent="0.25">
      <c r="B7" s="220"/>
      <c r="C7" s="36" t="s">
        <v>117</v>
      </c>
      <c r="D7" s="2" t="s">
        <v>165</v>
      </c>
      <c r="E7" s="2" t="s">
        <v>201</v>
      </c>
      <c r="F7" s="35" t="s">
        <v>234</v>
      </c>
      <c r="G7" s="14" t="s">
        <v>295</v>
      </c>
    </row>
    <row r="8" spans="2:7" ht="33.75" x14ac:dyDescent="0.25">
      <c r="B8" s="220" t="s">
        <v>152</v>
      </c>
      <c r="C8" s="36" t="s">
        <v>118</v>
      </c>
      <c r="D8" s="2" t="s">
        <v>166</v>
      </c>
      <c r="E8" s="2" t="s">
        <v>202</v>
      </c>
      <c r="F8" s="35" t="s">
        <v>235</v>
      </c>
      <c r="G8" s="14" t="s">
        <v>262</v>
      </c>
    </row>
    <row r="9" spans="2:7" ht="33.75" x14ac:dyDescent="0.25">
      <c r="B9" s="220"/>
      <c r="C9" s="36" t="s">
        <v>119</v>
      </c>
      <c r="D9" s="2" t="s">
        <v>167</v>
      </c>
      <c r="E9" s="2" t="s">
        <v>203</v>
      </c>
      <c r="F9" s="35" t="s">
        <v>236</v>
      </c>
      <c r="G9" s="14" t="s">
        <v>263</v>
      </c>
    </row>
    <row r="10" spans="2:7" ht="56.25" x14ac:dyDescent="0.25">
      <c r="B10" s="220" t="s">
        <v>153</v>
      </c>
      <c r="C10" s="36" t="s">
        <v>120</v>
      </c>
      <c r="D10" s="10" t="s">
        <v>168</v>
      </c>
      <c r="E10" s="10" t="s">
        <v>204</v>
      </c>
      <c r="F10" s="16" t="s">
        <v>237</v>
      </c>
      <c r="G10" s="14" t="s">
        <v>280</v>
      </c>
    </row>
    <row r="11" spans="2:7" ht="67.5" x14ac:dyDescent="0.25">
      <c r="B11" s="220"/>
      <c r="C11" s="36" t="s">
        <v>121</v>
      </c>
      <c r="D11" s="10" t="s">
        <v>169</v>
      </c>
      <c r="E11" s="10" t="s">
        <v>204</v>
      </c>
      <c r="F11" s="16" t="s">
        <v>238</v>
      </c>
      <c r="G11" s="14" t="s">
        <v>280</v>
      </c>
    </row>
    <row r="12" spans="2:7" ht="78.75" x14ac:dyDescent="0.25">
      <c r="B12" s="220"/>
      <c r="C12" s="36" t="s">
        <v>122</v>
      </c>
      <c r="D12" s="10" t="s">
        <v>170</v>
      </c>
      <c r="E12" s="10" t="s">
        <v>204</v>
      </c>
      <c r="F12" s="16" t="s">
        <v>239</v>
      </c>
      <c r="G12" s="14" t="s">
        <v>280</v>
      </c>
    </row>
    <row r="13" spans="2:7" ht="78.75" x14ac:dyDescent="0.25">
      <c r="B13" s="220"/>
      <c r="C13" s="36" t="s">
        <v>123</v>
      </c>
      <c r="D13" s="10" t="s">
        <v>171</v>
      </c>
      <c r="E13" s="10" t="s">
        <v>205</v>
      </c>
      <c r="F13" s="16" t="s">
        <v>240</v>
      </c>
      <c r="G13" s="14" t="s">
        <v>280</v>
      </c>
    </row>
    <row r="14" spans="2:7" ht="33.75" x14ac:dyDescent="0.25">
      <c r="B14" s="34" t="s">
        <v>154</v>
      </c>
      <c r="C14" s="36" t="s">
        <v>124</v>
      </c>
      <c r="D14" s="10" t="s">
        <v>172</v>
      </c>
      <c r="E14" s="10" t="s">
        <v>206</v>
      </c>
      <c r="F14" s="16" t="s">
        <v>241</v>
      </c>
      <c r="G14" s="14" t="s">
        <v>307</v>
      </c>
    </row>
    <row r="15" spans="2:7" ht="33.75" x14ac:dyDescent="0.25">
      <c r="B15" s="220" t="s">
        <v>155</v>
      </c>
      <c r="C15" s="36" t="s">
        <v>125</v>
      </c>
      <c r="D15" s="10" t="s">
        <v>173</v>
      </c>
      <c r="E15" s="10" t="s">
        <v>207</v>
      </c>
      <c r="F15" s="16" t="s">
        <v>242</v>
      </c>
      <c r="G15" s="14" t="s">
        <v>285</v>
      </c>
    </row>
    <row r="16" spans="2:7" ht="45" x14ac:dyDescent="0.25">
      <c r="B16" s="220"/>
      <c r="C16" s="36" t="s">
        <v>126</v>
      </c>
      <c r="D16" s="2" t="s">
        <v>174</v>
      </c>
      <c r="E16" s="2" t="s">
        <v>208</v>
      </c>
      <c r="F16" s="16" t="s">
        <v>243</v>
      </c>
      <c r="G16" s="14" t="s">
        <v>285</v>
      </c>
    </row>
    <row r="17" spans="2:7" ht="33.75" x14ac:dyDescent="0.25">
      <c r="B17" s="220" t="s">
        <v>156</v>
      </c>
      <c r="C17" s="36" t="s">
        <v>127</v>
      </c>
      <c r="D17" s="10" t="s">
        <v>175</v>
      </c>
      <c r="E17" s="9" t="s">
        <v>209</v>
      </c>
      <c r="F17" s="16" t="s">
        <v>281</v>
      </c>
      <c r="G17" s="14" t="s">
        <v>283</v>
      </c>
    </row>
    <row r="18" spans="2:7" ht="67.5" x14ac:dyDescent="0.25">
      <c r="B18" s="220"/>
      <c r="C18" s="36" t="s">
        <v>128</v>
      </c>
      <c r="D18" s="9" t="s">
        <v>176</v>
      </c>
      <c r="E18" s="9" t="s">
        <v>210</v>
      </c>
      <c r="F18" s="16" t="s">
        <v>282</v>
      </c>
      <c r="G18" s="14" t="s">
        <v>283</v>
      </c>
    </row>
    <row r="19" spans="2:7" ht="67.5" x14ac:dyDescent="0.25">
      <c r="B19" s="220" t="s">
        <v>157</v>
      </c>
      <c r="C19" s="36" t="s">
        <v>129</v>
      </c>
      <c r="D19" s="11" t="s">
        <v>177</v>
      </c>
      <c r="E19" s="2" t="s">
        <v>211</v>
      </c>
      <c r="F19" s="35" t="s">
        <v>248</v>
      </c>
      <c r="G19" s="15" t="s">
        <v>255</v>
      </c>
    </row>
    <row r="20" spans="2:7" ht="45" x14ac:dyDescent="0.25">
      <c r="B20" s="220"/>
      <c r="C20" s="36" t="s">
        <v>130</v>
      </c>
      <c r="D20" s="11" t="s">
        <v>178</v>
      </c>
      <c r="E20" s="2" t="s">
        <v>212</v>
      </c>
      <c r="F20" s="35" t="s">
        <v>249</v>
      </c>
      <c r="G20" s="15" t="s">
        <v>256</v>
      </c>
    </row>
    <row r="21" spans="2:7" ht="45" x14ac:dyDescent="0.25">
      <c r="B21" s="220"/>
      <c r="C21" s="36" t="s">
        <v>131</v>
      </c>
      <c r="D21" s="11" t="s">
        <v>179</v>
      </c>
      <c r="E21" s="2" t="s">
        <v>212</v>
      </c>
      <c r="F21" s="35" t="s">
        <v>250</v>
      </c>
      <c r="G21" s="15" t="s">
        <v>256</v>
      </c>
    </row>
    <row r="22" spans="2:7" ht="56.25" x14ac:dyDescent="0.25">
      <c r="B22" s="220"/>
      <c r="C22" s="36" t="s">
        <v>132</v>
      </c>
      <c r="D22" s="11" t="s">
        <v>180</v>
      </c>
      <c r="E22" s="9" t="s">
        <v>213</v>
      </c>
      <c r="F22" s="35" t="s">
        <v>251</v>
      </c>
      <c r="G22" s="15" t="s">
        <v>257</v>
      </c>
    </row>
    <row r="23" spans="2:7" ht="45" x14ac:dyDescent="0.25">
      <c r="B23" s="220"/>
      <c r="C23" s="36" t="s">
        <v>133</v>
      </c>
      <c r="D23" s="11" t="s">
        <v>181</v>
      </c>
      <c r="E23" s="9" t="s">
        <v>287</v>
      </c>
      <c r="F23" s="35" t="s">
        <v>252</v>
      </c>
      <c r="G23" s="15" t="s">
        <v>258</v>
      </c>
    </row>
    <row r="24" spans="2:7" ht="45" x14ac:dyDescent="0.25">
      <c r="B24" s="220"/>
      <c r="C24" s="36" t="s">
        <v>134</v>
      </c>
      <c r="D24" s="11" t="s">
        <v>182</v>
      </c>
      <c r="E24" s="9" t="s">
        <v>214</v>
      </c>
      <c r="F24" s="35" t="s">
        <v>253</v>
      </c>
      <c r="G24" s="15" t="s">
        <v>258</v>
      </c>
    </row>
    <row r="25" spans="2:7" ht="45" x14ac:dyDescent="0.25">
      <c r="B25" s="220"/>
      <c r="C25" s="36" t="s">
        <v>135</v>
      </c>
      <c r="D25" s="11" t="s">
        <v>183</v>
      </c>
      <c r="E25" s="9" t="s">
        <v>215</v>
      </c>
      <c r="F25" s="35" t="s">
        <v>254</v>
      </c>
      <c r="G25" s="15" t="s">
        <v>258</v>
      </c>
    </row>
    <row r="26" spans="2:7" ht="56.25" x14ac:dyDescent="0.25">
      <c r="B26" s="220" t="s">
        <v>158</v>
      </c>
      <c r="C26" s="36" t="s">
        <v>136</v>
      </c>
      <c r="D26" s="2" t="s">
        <v>184</v>
      </c>
      <c r="E26" s="2" t="s">
        <v>216</v>
      </c>
      <c r="F26" s="16" t="s">
        <v>244</v>
      </c>
      <c r="G26" s="38" t="s">
        <v>308</v>
      </c>
    </row>
    <row r="27" spans="2:7" ht="33.75" x14ac:dyDescent="0.25">
      <c r="B27" s="220"/>
      <c r="C27" s="36" t="s">
        <v>137</v>
      </c>
      <c r="D27" s="2" t="s">
        <v>185</v>
      </c>
      <c r="E27" s="2" t="s">
        <v>217</v>
      </c>
      <c r="F27" s="16" t="s">
        <v>245</v>
      </c>
      <c r="G27" s="38" t="s">
        <v>308</v>
      </c>
    </row>
    <row r="28" spans="2:7" ht="78.75" x14ac:dyDescent="0.25">
      <c r="B28" s="220"/>
      <c r="C28" s="36" t="s">
        <v>138</v>
      </c>
      <c r="D28" s="9" t="s">
        <v>186</v>
      </c>
      <c r="E28" s="9" t="s">
        <v>218</v>
      </c>
      <c r="F28" s="16" t="s">
        <v>292</v>
      </c>
      <c r="G28" s="38" t="s">
        <v>308</v>
      </c>
    </row>
    <row r="29" spans="2:7" ht="90" x14ac:dyDescent="0.25">
      <c r="B29" s="220"/>
      <c r="C29" s="36" t="s">
        <v>139</v>
      </c>
      <c r="D29" s="9" t="s">
        <v>187</v>
      </c>
      <c r="E29" s="2" t="s">
        <v>219</v>
      </c>
      <c r="F29" s="16" t="s">
        <v>293</v>
      </c>
      <c r="G29" s="38" t="s">
        <v>308</v>
      </c>
    </row>
    <row r="30" spans="2:7" ht="45" x14ac:dyDescent="0.25">
      <c r="B30" s="220"/>
      <c r="C30" s="36" t="s">
        <v>140</v>
      </c>
      <c r="D30" s="2" t="s">
        <v>188</v>
      </c>
      <c r="E30" s="2" t="s">
        <v>220</v>
      </c>
      <c r="F30" s="16" t="s">
        <v>291</v>
      </c>
      <c r="G30" s="38" t="s">
        <v>308</v>
      </c>
    </row>
    <row r="31" spans="2:7" ht="33.75" x14ac:dyDescent="0.25">
      <c r="B31" s="220"/>
      <c r="C31" s="36" t="s">
        <v>141</v>
      </c>
      <c r="D31" s="2" t="s">
        <v>189</v>
      </c>
      <c r="E31" s="2" t="s">
        <v>221</v>
      </c>
      <c r="F31" s="16" t="s">
        <v>294</v>
      </c>
      <c r="G31" s="38" t="s">
        <v>308</v>
      </c>
    </row>
    <row r="32" spans="2:7" ht="67.5" x14ac:dyDescent="0.25">
      <c r="B32" s="220" t="s">
        <v>159</v>
      </c>
      <c r="C32" s="36" t="s">
        <v>142</v>
      </c>
      <c r="D32" s="10" t="s">
        <v>190</v>
      </c>
      <c r="E32" s="10" t="s">
        <v>288</v>
      </c>
      <c r="F32" s="16" t="s">
        <v>310</v>
      </c>
      <c r="G32" s="15" t="s">
        <v>309</v>
      </c>
    </row>
    <row r="33" spans="2:7" ht="33.75" x14ac:dyDescent="0.25">
      <c r="B33" s="220"/>
      <c r="C33" s="36" t="s">
        <v>143</v>
      </c>
      <c r="D33" s="10" t="s">
        <v>191</v>
      </c>
      <c r="E33" s="10" t="s">
        <v>222</v>
      </c>
      <c r="F33" s="16" t="s">
        <v>259</v>
      </c>
      <c r="G33" s="15" t="s">
        <v>260</v>
      </c>
    </row>
    <row r="34" spans="2:7" ht="75.75" customHeight="1" x14ac:dyDescent="0.25">
      <c r="B34" s="220" t="s">
        <v>160</v>
      </c>
      <c r="C34" s="36" t="s">
        <v>144</v>
      </c>
      <c r="D34" s="10" t="s">
        <v>192</v>
      </c>
      <c r="E34" s="10" t="s">
        <v>223</v>
      </c>
      <c r="F34" s="16" t="s">
        <v>266</v>
      </c>
      <c r="G34" s="38" t="s">
        <v>271</v>
      </c>
    </row>
    <row r="35" spans="2:7" ht="75" customHeight="1" x14ac:dyDescent="0.25">
      <c r="B35" s="220"/>
      <c r="C35" s="36" t="s">
        <v>145</v>
      </c>
      <c r="D35" s="10" t="s">
        <v>193</v>
      </c>
      <c r="E35" s="10" t="s">
        <v>223</v>
      </c>
      <c r="F35" s="16" t="s">
        <v>267</v>
      </c>
      <c r="G35" s="38" t="s">
        <v>271</v>
      </c>
    </row>
    <row r="36" spans="2:7" ht="81.75" customHeight="1" x14ac:dyDescent="0.25">
      <c r="B36" s="220"/>
      <c r="C36" s="36" t="s">
        <v>146</v>
      </c>
      <c r="D36" s="10" t="s">
        <v>194</v>
      </c>
      <c r="E36" s="10" t="s">
        <v>208</v>
      </c>
      <c r="F36" s="16" t="s">
        <v>268</v>
      </c>
      <c r="G36" s="38" t="s">
        <v>271</v>
      </c>
    </row>
    <row r="37" spans="2:7" ht="109.5" customHeight="1" x14ac:dyDescent="0.25">
      <c r="B37" s="220"/>
      <c r="C37" s="36" t="s">
        <v>147</v>
      </c>
      <c r="D37" s="10" t="s">
        <v>195</v>
      </c>
      <c r="E37" s="10" t="s">
        <v>224</v>
      </c>
      <c r="F37" s="16" t="s">
        <v>269</v>
      </c>
      <c r="G37" s="38" t="s">
        <v>272</v>
      </c>
    </row>
    <row r="38" spans="2:7" ht="45" x14ac:dyDescent="0.25">
      <c r="B38" s="220"/>
      <c r="C38" s="36" t="s">
        <v>148</v>
      </c>
      <c r="D38" s="10" t="s">
        <v>196</v>
      </c>
      <c r="E38" s="10" t="s">
        <v>225</v>
      </c>
      <c r="F38" s="16" t="s">
        <v>270</v>
      </c>
      <c r="G38" s="38" t="s">
        <v>273</v>
      </c>
    </row>
    <row r="39" spans="2:7" ht="57" thickBot="1" x14ac:dyDescent="0.3">
      <c r="B39" s="34" t="s">
        <v>161</v>
      </c>
      <c r="C39" s="36" t="s">
        <v>149</v>
      </c>
      <c r="D39" s="9" t="s">
        <v>197</v>
      </c>
      <c r="E39" s="24" t="s">
        <v>296</v>
      </c>
      <c r="F39" s="16" t="s">
        <v>29</v>
      </c>
      <c r="G39" s="38" t="s">
        <v>261</v>
      </c>
    </row>
    <row r="40" spans="2:7" ht="68.25" thickBot="1" x14ac:dyDescent="0.3">
      <c r="B40" s="17" t="s">
        <v>162</v>
      </c>
      <c r="C40" s="37" t="s">
        <v>150</v>
      </c>
      <c r="D40" s="12" t="s">
        <v>198</v>
      </c>
      <c r="E40" s="12" t="s">
        <v>226</v>
      </c>
      <c r="F40" s="25" t="s">
        <v>264</v>
      </c>
      <c r="G40" s="43" t="s">
        <v>265</v>
      </c>
    </row>
  </sheetData>
  <mergeCells count="16">
    <mergeCell ref="B26:B31"/>
    <mergeCell ref="B32:B33"/>
    <mergeCell ref="B34:B38"/>
    <mergeCell ref="G3:G4"/>
    <mergeCell ref="B2:G2"/>
    <mergeCell ref="B5:B7"/>
    <mergeCell ref="B8:B9"/>
    <mergeCell ref="B10:B13"/>
    <mergeCell ref="B15:B16"/>
    <mergeCell ref="B17:B18"/>
    <mergeCell ref="B19:B25"/>
    <mergeCell ref="B3:B4"/>
    <mergeCell ref="C3:C4"/>
    <mergeCell ref="D3:D4"/>
    <mergeCell ref="E3:E4"/>
    <mergeCell ref="F3:F4"/>
  </mergeCells>
  <printOptions horizontalCentered="1"/>
  <pageMargins left="0.39370078740157483" right="0.39370078740157483" top="0.39370078740157483" bottom="0.39370078740157483" header="0.31496062992125984" footer="0.31496062992125984"/>
  <pageSetup scale="85" orientation="portrait" horizontalDpi="4294967293"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[1]Hoja1!#REF!</xm:f>
          </x14:formula1>
          <xm:sqref>B40 B5 B8 B10 B14:B15 B17 B19 B26 B32 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tabSelected="1" view="pageBreakPreview" zoomScale="85" zoomScaleNormal="85" zoomScaleSheetLayoutView="85" workbookViewId="0">
      <pane ySplit="4" topLeftCell="A5" activePane="bottomLeft" state="frozen"/>
      <selection activeCell="B1" sqref="B1"/>
      <selection pane="bottomLeft" activeCell="A3" sqref="A3:A4"/>
    </sheetView>
  </sheetViews>
  <sheetFormatPr baseColWidth="10" defaultRowHeight="15" x14ac:dyDescent="0.25"/>
  <cols>
    <col min="1" max="1" width="22.7109375" customWidth="1"/>
    <col min="2" max="2" width="9.42578125" customWidth="1"/>
    <col min="3" max="3" width="16.85546875" customWidth="1"/>
    <col min="4" max="4" width="19.140625" customWidth="1"/>
    <col min="5" max="6" width="27.7109375" customWidth="1"/>
    <col min="7" max="12" width="7.85546875" customWidth="1"/>
    <col min="13" max="18" width="7.5703125" customWidth="1"/>
    <col min="19" max="19" width="13.7109375" customWidth="1"/>
    <col min="20" max="20" width="30.85546875" customWidth="1"/>
    <col min="21" max="21" width="9.42578125" style="1" customWidth="1"/>
    <col min="22" max="22" width="252" customWidth="1"/>
  </cols>
  <sheetData>
    <row r="1" spans="1:22" ht="52.5" customHeight="1" thickBot="1" x14ac:dyDescent="0.3">
      <c r="A1" s="236" t="s">
        <v>459</v>
      </c>
      <c r="B1" s="255"/>
      <c r="C1" s="255"/>
      <c r="D1" s="255"/>
      <c r="E1" s="255"/>
      <c r="F1" s="255"/>
      <c r="G1" s="255"/>
      <c r="H1" s="255"/>
      <c r="I1" s="255"/>
      <c r="J1" s="255"/>
      <c r="K1" s="255"/>
      <c r="L1" s="255"/>
      <c r="M1" s="255"/>
      <c r="N1" s="255"/>
      <c r="O1" s="255"/>
      <c r="P1" s="255"/>
      <c r="Q1" s="255"/>
      <c r="R1" s="255"/>
      <c r="S1" s="255"/>
      <c r="T1" s="237"/>
      <c r="U1" s="236" t="str">
        <f>+A1</f>
        <v>REPORTE INDICADORES CANAL CAPITAL
Plan de Acción Institucional 2018 - Versión 3
Reporte Trimestre 4 - 2018
Fecha de informe: 31/01/2019</v>
      </c>
      <c r="V1" s="237"/>
    </row>
    <row r="2" spans="1:22" s="1" customFormat="1" ht="7.5" customHeight="1" thickBot="1" x14ac:dyDescent="0.3">
      <c r="A2" s="204"/>
      <c r="B2" s="204"/>
      <c r="C2" s="204"/>
      <c r="D2" s="204"/>
      <c r="E2" s="204"/>
      <c r="F2" s="204"/>
      <c r="G2" s="204"/>
      <c r="H2" s="204"/>
      <c r="I2" s="204"/>
      <c r="J2" s="204"/>
      <c r="K2" s="204"/>
      <c r="L2" s="204"/>
      <c r="M2" s="204"/>
      <c r="N2" s="204"/>
      <c r="O2" s="204"/>
      <c r="P2" s="204"/>
      <c r="Q2" s="204"/>
      <c r="R2" s="204"/>
      <c r="S2" s="204"/>
      <c r="T2" s="204"/>
      <c r="U2" s="204"/>
      <c r="V2" s="205"/>
    </row>
    <row r="3" spans="1:22" ht="15" customHeight="1" thickBot="1" x14ac:dyDescent="0.3">
      <c r="A3" s="280" t="s">
        <v>0</v>
      </c>
      <c r="B3" s="210" t="s">
        <v>1</v>
      </c>
      <c r="C3" s="212" t="s">
        <v>2</v>
      </c>
      <c r="D3" s="214" t="s">
        <v>3</v>
      </c>
      <c r="E3" s="212" t="s">
        <v>4</v>
      </c>
      <c r="F3" s="216" t="s">
        <v>5</v>
      </c>
      <c r="G3" s="277" t="s">
        <v>6</v>
      </c>
      <c r="H3" s="278"/>
      <c r="I3" s="278"/>
      <c r="J3" s="278"/>
      <c r="K3" s="278"/>
      <c r="L3" s="278"/>
      <c r="M3" s="278"/>
      <c r="N3" s="278"/>
      <c r="O3" s="278"/>
      <c r="P3" s="278"/>
      <c r="Q3" s="278"/>
      <c r="R3" s="278"/>
      <c r="S3" s="279"/>
      <c r="T3" s="275" t="s">
        <v>7</v>
      </c>
      <c r="U3" s="210" t="s">
        <v>1</v>
      </c>
      <c r="V3" s="218" t="s">
        <v>275</v>
      </c>
    </row>
    <row r="4" spans="1:22" ht="26.25" customHeight="1" thickBot="1" x14ac:dyDescent="0.3">
      <c r="A4" s="281"/>
      <c r="B4" s="285"/>
      <c r="C4" s="282"/>
      <c r="D4" s="283"/>
      <c r="E4" s="282"/>
      <c r="F4" s="284"/>
      <c r="G4" s="166" t="s">
        <v>8</v>
      </c>
      <c r="H4" s="167" t="s">
        <v>9</v>
      </c>
      <c r="I4" s="167" t="s">
        <v>10</v>
      </c>
      <c r="J4" s="167" t="s">
        <v>11</v>
      </c>
      <c r="K4" s="167" t="s">
        <v>12</v>
      </c>
      <c r="L4" s="168" t="s">
        <v>13</v>
      </c>
      <c r="M4" s="177" t="s">
        <v>14</v>
      </c>
      <c r="N4" s="167" t="s">
        <v>15</v>
      </c>
      <c r="O4" s="167" t="s">
        <v>16</v>
      </c>
      <c r="P4" s="167" t="s">
        <v>17</v>
      </c>
      <c r="Q4" s="167" t="s">
        <v>18</v>
      </c>
      <c r="R4" s="168" t="s">
        <v>19</v>
      </c>
      <c r="S4" s="178" t="s">
        <v>415</v>
      </c>
      <c r="T4" s="276"/>
      <c r="U4" s="285"/>
      <c r="V4" s="286"/>
    </row>
    <row r="5" spans="1:22" ht="102" customHeight="1" x14ac:dyDescent="0.25">
      <c r="A5" s="292" t="s">
        <v>20</v>
      </c>
      <c r="B5" s="18" t="s">
        <v>21</v>
      </c>
      <c r="C5" s="4" t="s">
        <v>22</v>
      </c>
      <c r="D5" s="4" t="s">
        <v>23</v>
      </c>
      <c r="E5" s="4" t="s">
        <v>336</v>
      </c>
      <c r="F5" s="75" t="s">
        <v>337</v>
      </c>
      <c r="G5" s="173">
        <f>956099/1200000</f>
        <v>0.79674916666666662</v>
      </c>
      <c r="H5" s="160">
        <f>980149/1200000</f>
        <v>0.81679083333333335</v>
      </c>
      <c r="I5" s="160">
        <f>996376/1200000</f>
        <v>0.83031333333333335</v>
      </c>
      <c r="J5" s="160">
        <f>1048766/1200000</f>
        <v>0.8739716666666667</v>
      </c>
      <c r="K5" s="160">
        <f>1084259/1200000</f>
        <v>0.90354916666666663</v>
      </c>
      <c r="L5" s="160">
        <f>1104671/1200000</f>
        <v>0.92055916666666671</v>
      </c>
      <c r="M5" s="160">
        <f>1122317/1200000</f>
        <v>0.93526416666666667</v>
      </c>
      <c r="N5" s="160">
        <f>1149988/1200000</f>
        <v>0.9583233333333333</v>
      </c>
      <c r="O5" s="160">
        <f>1177345/1200000</f>
        <v>0.98112083333333333</v>
      </c>
      <c r="P5" s="160">
        <f>1203916/1200000</f>
        <v>1.0032633333333334</v>
      </c>
      <c r="Q5" s="160">
        <f>1227906/1200000</f>
        <v>1.023255</v>
      </c>
      <c r="R5" s="161">
        <f>1244225/1200000</f>
        <v>1.0368541666666666</v>
      </c>
      <c r="S5" s="176">
        <f>+R5</f>
        <v>1.0368541666666666</v>
      </c>
      <c r="T5" s="130" t="s">
        <v>299</v>
      </c>
      <c r="U5" s="18" t="s">
        <v>21</v>
      </c>
      <c r="V5" s="131" t="s">
        <v>416</v>
      </c>
    </row>
    <row r="6" spans="1:22" ht="310.5" customHeight="1" thickBot="1" x14ac:dyDescent="0.3">
      <c r="A6" s="293"/>
      <c r="B6" s="20" t="s">
        <v>26</v>
      </c>
      <c r="C6" s="171" t="s">
        <v>27</v>
      </c>
      <c r="D6" s="171" t="s">
        <v>28</v>
      </c>
      <c r="E6" s="24" t="s">
        <v>338</v>
      </c>
      <c r="F6" s="76" t="s">
        <v>29</v>
      </c>
      <c r="G6" s="67">
        <f>25/64</f>
        <v>0.390625</v>
      </c>
      <c r="H6" s="174">
        <f>74/60</f>
        <v>1.2333333333333334</v>
      </c>
      <c r="I6" s="174">
        <f>57/47</f>
        <v>1.2127659574468086</v>
      </c>
      <c r="J6" s="174">
        <f>46/48</f>
        <v>0.95833333333333337</v>
      </c>
      <c r="K6" s="174">
        <f>69/60</f>
        <v>1.1499999999999999</v>
      </c>
      <c r="L6" s="174">
        <f>43/50</f>
        <v>0.86</v>
      </c>
      <c r="M6" s="174">
        <f>27/28</f>
        <v>0.9642857142857143</v>
      </c>
      <c r="N6" s="174">
        <f>34/47</f>
        <v>0.72340425531914898</v>
      </c>
      <c r="O6" s="174">
        <f>35/23</f>
        <v>1.5217391304347827</v>
      </c>
      <c r="P6" s="174">
        <f>35/35</f>
        <v>1</v>
      </c>
      <c r="Q6" s="174">
        <f>34/25</f>
        <v>1.36</v>
      </c>
      <c r="R6" s="78">
        <f>26/15</f>
        <v>1.7333333333333334</v>
      </c>
      <c r="S6" s="180">
        <f>505/502</f>
        <v>1.0059760956175299</v>
      </c>
      <c r="T6" s="132" t="s">
        <v>298</v>
      </c>
      <c r="U6" s="20" t="s">
        <v>26</v>
      </c>
      <c r="V6" s="133" t="s">
        <v>417</v>
      </c>
    </row>
    <row r="7" spans="1:22" ht="92.25" customHeight="1" x14ac:dyDescent="0.25">
      <c r="A7" s="292" t="s">
        <v>30</v>
      </c>
      <c r="B7" s="18" t="s">
        <v>31</v>
      </c>
      <c r="C7" s="4" t="s">
        <v>32</v>
      </c>
      <c r="D7" s="4" t="s">
        <v>33</v>
      </c>
      <c r="E7" s="4" t="s">
        <v>34</v>
      </c>
      <c r="F7" s="75" t="s">
        <v>405</v>
      </c>
      <c r="G7" s="173">
        <f>3580/4000</f>
        <v>0.89500000000000002</v>
      </c>
      <c r="H7" s="160">
        <f>4480/4000</f>
        <v>1.1200000000000001</v>
      </c>
      <c r="I7" s="160">
        <f>3550/4000</f>
        <v>0.88749999999999996</v>
      </c>
      <c r="J7" s="160">
        <f>3050/4000</f>
        <v>0.76249999999999996</v>
      </c>
      <c r="K7" s="160">
        <f>9100/4000</f>
        <v>2.2749999999999999</v>
      </c>
      <c r="L7" s="160">
        <f>5030/4000</f>
        <v>1.2575000000000001</v>
      </c>
      <c r="M7" s="160">
        <f>5240/4000</f>
        <v>1.31</v>
      </c>
      <c r="N7" s="160">
        <f>7220/4000</f>
        <v>1.8049999999999999</v>
      </c>
      <c r="O7" s="160">
        <f>6350/4000</f>
        <v>1.5874999999999999</v>
      </c>
      <c r="P7" s="160">
        <f>4230/4000</f>
        <v>1.0575000000000001</v>
      </c>
      <c r="Q7" s="160">
        <f>5420/4000</f>
        <v>1.355</v>
      </c>
      <c r="R7" s="161">
        <f>4020/4000</f>
        <v>1.0049999999999999</v>
      </c>
      <c r="S7" s="181">
        <f>+AVERAGE(G7:R7)</f>
        <v>1.2764583333333333</v>
      </c>
      <c r="T7" s="130" t="s">
        <v>279</v>
      </c>
      <c r="U7" s="18" t="s">
        <v>31</v>
      </c>
      <c r="V7" s="68" t="s">
        <v>418</v>
      </c>
    </row>
    <row r="8" spans="1:22" s="1" customFormat="1" ht="176.25" customHeight="1" x14ac:dyDescent="0.25">
      <c r="A8" s="294"/>
      <c r="B8" s="19" t="s">
        <v>36</v>
      </c>
      <c r="C8" s="169" t="s">
        <v>37</v>
      </c>
      <c r="D8" s="169" t="s">
        <v>339</v>
      </c>
      <c r="E8" s="169" t="s">
        <v>340</v>
      </c>
      <c r="F8" s="74" t="s">
        <v>341</v>
      </c>
      <c r="G8" s="269">
        <f>41/180</f>
        <v>0.22777777777777777</v>
      </c>
      <c r="H8" s="263"/>
      <c r="I8" s="263"/>
      <c r="J8" s="263">
        <f>132/180</f>
        <v>0.73333333333333328</v>
      </c>
      <c r="K8" s="263"/>
      <c r="L8" s="263"/>
      <c r="M8" s="263">
        <f>237/180</f>
        <v>1.3166666666666667</v>
      </c>
      <c r="N8" s="263"/>
      <c r="O8" s="263"/>
      <c r="P8" s="263">
        <f>323/180</f>
        <v>1.7944444444444445</v>
      </c>
      <c r="Q8" s="263"/>
      <c r="R8" s="264"/>
      <c r="S8" s="172">
        <f>+P8</f>
        <v>1.7944444444444445</v>
      </c>
      <c r="T8" s="134" t="s">
        <v>325</v>
      </c>
      <c r="U8" s="19" t="s">
        <v>36</v>
      </c>
      <c r="V8" s="62" t="s">
        <v>419</v>
      </c>
    </row>
    <row r="9" spans="1:22" ht="157.5" customHeight="1" thickBot="1" x14ac:dyDescent="0.3">
      <c r="A9" s="293"/>
      <c r="B9" s="20" t="s">
        <v>342</v>
      </c>
      <c r="C9" s="171" t="s">
        <v>37</v>
      </c>
      <c r="D9" s="171" t="s">
        <v>343</v>
      </c>
      <c r="E9" s="171" t="s">
        <v>39</v>
      </c>
      <c r="F9" s="76" t="s">
        <v>344</v>
      </c>
      <c r="G9" s="296">
        <f>41/57</f>
        <v>0.7192982456140351</v>
      </c>
      <c r="H9" s="287"/>
      <c r="I9" s="287"/>
      <c r="J9" s="287">
        <f>132/105</f>
        <v>1.2571428571428571</v>
      </c>
      <c r="K9" s="287"/>
      <c r="L9" s="287"/>
      <c r="M9" s="287">
        <f>237/198</f>
        <v>1.196969696969697</v>
      </c>
      <c r="N9" s="287"/>
      <c r="O9" s="287"/>
      <c r="P9" s="287">
        <f>323/287</f>
        <v>1.1254355400696865</v>
      </c>
      <c r="Q9" s="287"/>
      <c r="R9" s="298"/>
      <c r="S9" s="182">
        <f>+P9</f>
        <v>1.1254355400696865</v>
      </c>
      <c r="T9" s="135" t="s">
        <v>325</v>
      </c>
      <c r="U9" s="20" t="s">
        <v>342</v>
      </c>
      <c r="V9" s="63" t="s">
        <v>420</v>
      </c>
    </row>
    <row r="10" spans="1:22" ht="139.5" customHeight="1" thickBot="1" x14ac:dyDescent="0.3">
      <c r="A10" s="29" t="s">
        <v>41</v>
      </c>
      <c r="B10" s="52" t="s">
        <v>42</v>
      </c>
      <c r="C10" s="7" t="s">
        <v>43</v>
      </c>
      <c r="D10" s="7" t="s">
        <v>44</v>
      </c>
      <c r="E10" s="7" t="s">
        <v>45</v>
      </c>
      <c r="F10" s="77" t="s">
        <v>46</v>
      </c>
      <c r="G10" s="297">
        <f>199518472/425830000</f>
        <v>0.46854019679214709</v>
      </c>
      <c r="H10" s="288"/>
      <c r="I10" s="288"/>
      <c r="J10" s="288">
        <f>199518472/425830000</f>
        <v>0.46854019679214709</v>
      </c>
      <c r="K10" s="288"/>
      <c r="L10" s="288"/>
      <c r="M10" s="288">
        <f>199518472/425830000</f>
        <v>0.46854019679214709</v>
      </c>
      <c r="N10" s="288"/>
      <c r="O10" s="288"/>
      <c r="P10" s="288">
        <f>410356772/434248024</f>
        <v>0.94498247388685874</v>
      </c>
      <c r="Q10" s="288"/>
      <c r="R10" s="299"/>
      <c r="S10" s="183">
        <f>+P10</f>
        <v>0.94498247388685874</v>
      </c>
      <c r="T10" s="136" t="s">
        <v>284</v>
      </c>
      <c r="U10" s="52" t="s">
        <v>42</v>
      </c>
      <c r="V10" s="80" t="s">
        <v>421</v>
      </c>
    </row>
    <row r="11" spans="1:22" ht="184.5" customHeight="1" x14ac:dyDescent="0.25">
      <c r="A11" s="292" t="s">
        <v>47</v>
      </c>
      <c r="B11" s="18" t="s">
        <v>48</v>
      </c>
      <c r="C11" s="4" t="s">
        <v>49</v>
      </c>
      <c r="D11" s="4" t="s">
        <v>346</v>
      </c>
      <c r="E11" s="4" t="s">
        <v>347</v>
      </c>
      <c r="F11" s="75" t="s">
        <v>348</v>
      </c>
      <c r="G11" s="273">
        <f>127205346/110000000</f>
        <v>1.1564122363636364</v>
      </c>
      <c r="H11" s="274"/>
      <c r="I11" s="274"/>
      <c r="J11" s="291">
        <f>215762690/150000000</f>
        <v>1.4384179333333333</v>
      </c>
      <c r="K11" s="291"/>
      <c r="L11" s="291"/>
      <c r="M11" s="291">
        <f>198969482/41590000</f>
        <v>4.7840702572733829</v>
      </c>
      <c r="N11" s="291"/>
      <c r="O11" s="291"/>
      <c r="P11" s="291">
        <f>116564712/60000000</f>
        <v>1.9427452000000001</v>
      </c>
      <c r="Q11" s="291"/>
      <c r="R11" s="295"/>
      <c r="S11" s="176">
        <f>658502230/361590000</f>
        <v>1.8211295389806135</v>
      </c>
      <c r="T11" s="130" t="s">
        <v>351</v>
      </c>
      <c r="U11" s="18" t="s">
        <v>48</v>
      </c>
      <c r="V11" s="68" t="s">
        <v>422</v>
      </c>
    </row>
    <row r="12" spans="1:22" s="1" customFormat="1" ht="181.5" customHeight="1" x14ac:dyDescent="0.25">
      <c r="A12" s="294"/>
      <c r="B12" s="19" t="s">
        <v>53</v>
      </c>
      <c r="C12" s="169" t="s">
        <v>49</v>
      </c>
      <c r="D12" s="169" t="s">
        <v>349</v>
      </c>
      <c r="E12" s="169" t="s">
        <v>350</v>
      </c>
      <c r="F12" s="74" t="s">
        <v>407</v>
      </c>
      <c r="G12" s="269">
        <f>327898482/297932727.272727</f>
        <v>1.1005789293495185</v>
      </c>
      <c r="H12" s="263"/>
      <c r="I12" s="263"/>
      <c r="J12" s="262">
        <f>593396291/533336363.636364</f>
        <v>1.1126117239674767</v>
      </c>
      <c r="K12" s="262"/>
      <c r="L12" s="262"/>
      <c r="M12" s="262">
        <f>336822897/559083636.363636</f>
        <v>0.60245529486562466</v>
      </c>
      <c r="N12" s="262"/>
      <c r="O12" s="262"/>
      <c r="P12" s="262">
        <f>1380106594/632647272.727273</f>
        <v>2.1814787694421125</v>
      </c>
      <c r="Q12" s="262"/>
      <c r="R12" s="265"/>
      <c r="S12" s="172">
        <f>2638224264/2023000000</f>
        <v>1.3041148116658428</v>
      </c>
      <c r="T12" s="137" t="s">
        <v>352</v>
      </c>
      <c r="U12" s="19" t="s">
        <v>53</v>
      </c>
      <c r="V12" s="62" t="s">
        <v>423</v>
      </c>
    </row>
    <row r="13" spans="1:22" s="1" customFormat="1" ht="240.75" customHeight="1" x14ac:dyDescent="0.25">
      <c r="A13" s="294"/>
      <c r="B13" s="19" t="s">
        <v>345</v>
      </c>
      <c r="C13" s="169" t="s">
        <v>49</v>
      </c>
      <c r="D13" s="169" t="s">
        <v>353</v>
      </c>
      <c r="E13" s="169" t="s">
        <v>354</v>
      </c>
      <c r="F13" s="74" t="s">
        <v>355</v>
      </c>
      <c r="G13" s="162">
        <f>575755932/925055826.967</f>
        <v>0.62240128132346684</v>
      </c>
      <c r="H13" s="158">
        <f>1509850845/2427773060.8</f>
        <v>0.62190773486154172</v>
      </c>
      <c r="I13" s="158">
        <f>3162905265/3415255157.6</f>
        <v>0.92611096947223892</v>
      </c>
      <c r="J13" s="158">
        <f>3874048726/4615255157.6</f>
        <v>0.83940076847550971</v>
      </c>
      <c r="K13" s="158">
        <f>4229717204/5815255157.6</f>
        <v>0.72734851513302057</v>
      </c>
      <c r="L13" s="158">
        <f>5921859788/7415255157.6</f>
        <v>0.7986049922949181</v>
      </c>
      <c r="M13" s="159">
        <f>6880236809/9815255157.6</f>
        <v>0.70097381051501229</v>
      </c>
      <c r="N13" s="159">
        <f>9090661336/12215255157.6</f>
        <v>0.74420560346167119</v>
      </c>
      <c r="O13" s="159">
        <f>9485702349/14615255157.6</f>
        <v>0.64902748851889802</v>
      </c>
      <c r="P13" s="158">
        <f>10622379243/17015255157.6</f>
        <v>0.62428562749207017</v>
      </c>
      <c r="Q13" s="158">
        <f>12236221313/19415255157.6</f>
        <v>0.63023747118822671</v>
      </c>
      <c r="R13" s="170">
        <f>16509909419/21600000000</f>
        <v>0.76434765828703699</v>
      </c>
      <c r="S13" s="172">
        <f>+R13</f>
        <v>0.76434765828703699</v>
      </c>
      <c r="T13" s="137" t="s">
        <v>356</v>
      </c>
      <c r="U13" s="19" t="s">
        <v>345</v>
      </c>
      <c r="V13" s="62" t="s">
        <v>445</v>
      </c>
    </row>
    <row r="14" spans="1:22" ht="172.5" customHeight="1" thickBot="1" x14ac:dyDescent="0.3">
      <c r="A14" s="293"/>
      <c r="B14" s="20" t="s">
        <v>391</v>
      </c>
      <c r="C14" s="171" t="s">
        <v>54</v>
      </c>
      <c r="D14" s="171" t="s">
        <v>55</v>
      </c>
      <c r="E14" s="171" t="s">
        <v>357</v>
      </c>
      <c r="F14" s="76" t="s">
        <v>358</v>
      </c>
      <c r="G14" s="67">
        <f>1/12</f>
        <v>8.3333333333333329E-2</v>
      </c>
      <c r="H14" s="174">
        <f>2/12</f>
        <v>0.16666666666666666</v>
      </c>
      <c r="I14" s="174">
        <f>3/12</f>
        <v>0.25</v>
      </c>
      <c r="J14" s="174">
        <f>4/12</f>
        <v>0.33333333333333331</v>
      </c>
      <c r="K14" s="174">
        <f>5/12</f>
        <v>0.41666666666666669</v>
      </c>
      <c r="L14" s="174">
        <f>6/12</f>
        <v>0.5</v>
      </c>
      <c r="M14" s="174">
        <f>7/12</f>
        <v>0.58333333333333337</v>
      </c>
      <c r="N14" s="174">
        <f>8/12</f>
        <v>0.66666666666666663</v>
      </c>
      <c r="O14" s="174">
        <f>9/12</f>
        <v>0.75</v>
      </c>
      <c r="P14" s="174">
        <f>10/12</f>
        <v>0.83333333333333337</v>
      </c>
      <c r="Q14" s="174">
        <f>11/12</f>
        <v>0.91666666666666663</v>
      </c>
      <c r="R14" s="78">
        <f>12/12</f>
        <v>1</v>
      </c>
      <c r="S14" s="180">
        <f>+R14</f>
        <v>1</v>
      </c>
      <c r="T14" s="132" t="s">
        <v>300</v>
      </c>
      <c r="U14" s="20" t="s">
        <v>391</v>
      </c>
      <c r="V14" s="63" t="s">
        <v>424</v>
      </c>
    </row>
    <row r="15" spans="1:22" ht="204" customHeight="1" x14ac:dyDescent="0.25">
      <c r="A15" s="270" t="s">
        <v>58</v>
      </c>
      <c r="B15" s="32" t="s">
        <v>59</v>
      </c>
      <c r="C15" s="6" t="s">
        <v>247</v>
      </c>
      <c r="D15" s="6" t="s">
        <v>60</v>
      </c>
      <c r="E15" s="6" t="s">
        <v>359</v>
      </c>
      <c r="F15" s="75" t="s">
        <v>62</v>
      </c>
      <c r="G15" s="273">
        <f>20/100</f>
        <v>0.2</v>
      </c>
      <c r="H15" s="274"/>
      <c r="I15" s="274"/>
      <c r="J15" s="291">
        <f>80/100</f>
        <v>0.8</v>
      </c>
      <c r="K15" s="291"/>
      <c r="L15" s="291"/>
      <c r="M15" s="274">
        <v>0.8</v>
      </c>
      <c r="N15" s="274"/>
      <c r="O15" s="274"/>
      <c r="P15" s="274">
        <v>0.8</v>
      </c>
      <c r="Q15" s="274"/>
      <c r="R15" s="289"/>
      <c r="S15" s="176">
        <f>+P15</f>
        <v>0.8</v>
      </c>
      <c r="T15" s="138" t="s">
        <v>286</v>
      </c>
      <c r="U15" s="32" t="s">
        <v>59</v>
      </c>
      <c r="V15" s="68" t="s">
        <v>425</v>
      </c>
    </row>
    <row r="16" spans="1:22" ht="107.25" customHeight="1" x14ac:dyDescent="0.25">
      <c r="A16" s="271"/>
      <c r="B16" s="19" t="s">
        <v>63</v>
      </c>
      <c r="C16" s="169" t="s">
        <v>64</v>
      </c>
      <c r="D16" s="169" t="s">
        <v>65</v>
      </c>
      <c r="E16" s="169" t="s">
        <v>66</v>
      </c>
      <c r="F16" s="74" t="s">
        <v>67</v>
      </c>
      <c r="G16" s="269">
        <f>10/30</f>
        <v>0.33333333333333331</v>
      </c>
      <c r="H16" s="263"/>
      <c r="I16" s="263"/>
      <c r="J16" s="290">
        <f>24/30</f>
        <v>0.8</v>
      </c>
      <c r="K16" s="290"/>
      <c r="L16" s="290"/>
      <c r="M16" s="263">
        <f>24/30</f>
        <v>0.8</v>
      </c>
      <c r="N16" s="263"/>
      <c r="O16" s="263"/>
      <c r="P16" s="263">
        <f>30/30</f>
        <v>1</v>
      </c>
      <c r="Q16" s="263"/>
      <c r="R16" s="264"/>
      <c r="S16" s="172">
        <f>+P16</f>
        <v>1</v>
      </c>
      <c r="T16" s="137" t="s">
        <v>274</v>
      </c>
      <c r="U16" s="19" t="s">
        <v>63</v>
      </c>
      <c r="V16" s="62" t="s">
        <v>426</v>
      </c>
    </row>
    <row r="17" spans="1:22" s="1" customFormat="1" ht="303.75" customHeight="1" x14ac:dyDescent="0.25">
      <c r="A17" s="271"/>
      <c r="B17" s="19" t="s">
        <v>68</v>
      </c>
      <c r="C17" s="169" t="s">
        <v>64</v>
      </c>
      <c r="D17" s="169" t="s">
        <v>360</v>
      </c>
      <c r="E17" s="169" t="s">
        <v>361</v>
      </c>
      <c r="F17" s="74" t="s">
        <v>362</v>
      </c>
      <c r="G17" s="269">
        <f>20%/100%</f>
        <v>0.2</v>
      </c>
      <c r="H17" s="263"/>
      <c r="I17" s="263"/>
      <c r="J17" s="263">
        <f>54.67%/100%</f>
        <v>0.54669999999999996</v>
      </c>
      <c r="K17" s="263"/>
      <c r="L17" s="263"/>
      <c r="M17" s="263">
        <f>81.33%/100%</f>
        <v>0.81330000000000002</v>
      </c>
      <c r="N17" s="263"/>
      <c r="O17" s="263"/>
      <c r="P17" s="263">
        <f>86.67%/100%</f>
        <v>0.86670000000000003</v>
      </c>
      <c r="Q17" s="263"/>
      <c r="R17" s="264"/>
      <c r="S17" s="172">
        <f>+P17</f>
        <v>0.86670000000000003</v>
      </c>
      <c r="T17" s="137" t="s">
        <v>274</v>
      </c>
      <c r="U17" s="19" t="s">
        <v>68</v>
      </c>
      <c r="V17" s="62" t="s">
        <v>427</v>
      </c>
    </row>
    <row r="18" spans="1:22" ht="125.25" customHeight="1" x14ac:dyDescent="0.25">
      <c r="A18" s="271"/>
      <c r="B18" s="19" t="s">
        <v>73</v>
      </c>
      <c r="C18" s="169" t="s">
        <v>69</v>
      </c>
      <c r="D18" s="169" t="s">
        <v>363</v>
      </c>
      <c r="E18" s="169" t="s">
        <v>364</v>
      </c>
      <c r="F18" s="74" t="s">
        <v>365</v>
      </c>
      <c r="G18" s="164">
        <f>2/2</f>
        <v>1</v>
      </c>
      <c r="H18" s="159" t="s">
        <v>246</v>
      </c>
      <c r="I18" s="8">
        <f>0/1</f>
        <v>0</v>
      </c>
      <c r="J18" s="159" t="e">
        <f>1/0</f>
        <v>#DIV/0!</v>
      </c>
      <c r="K18" s="159" t="e">
        <f>1/0</f>
        <v>#DIV/0!</v>
      </c>
      <c r="L18" s="8">
        <f>1/1</f>
        <v>1</v>
      </c>
      <c r="M18" s="8" t="e">
        <f>2/0</f>
        <v>#DIV/0!</v>
      </c>
      <c r="N18" s="8">
        <f>2/2</f>
        <v>1</v>
      </c>
      <c r="O18" s="159">
        <f>1/1</f>
        <v>1</v>
      </c>
      <c r="P18" s="8" t="e">
        <f>0/0</f>
        <v>#DIV/0!</v>
      </c>
      <c r="Q18" s="159">
        <f>3/1</f>
        <v>3</v>
      </c>
      <c r="R18" s="79" t="s">
        <v>428</v>
      </c>
      <c r="S18" s="165">
        <f>14/8</f>
        <v>1.75</v>
      </c>
      <c r="T18" s="137" t="s">
        <v>289</v>
      </c>
      <c r="U18" s="19" t="s">
        <v>73</v>
      </c>
      <c r="V18" s="62" t="s">
        <v>429</v>
      </c>
    </row>
    <row r="19" spans="1:22" ht="294.75" customHeight="1" x14ac:dyDescent="0.25">
      <c r="A19" s="271"/>
      <c r="B19" s="19" t="s">
        <v>77</v>
      </c>
      <c r="C19" s="169" t="s">
        <v>69</v>
      </c>
      <c r="D19" s="169" t="s">
        <v>366</v>
      </c>
      <c r="E19" s="169" t="s">
        <v>75</v>
      </c>
      <c r="F19" s="74" t="s">
        <v>76</v>
      </c>
      <c r="G19" s="164" t="s">
        <v>246</v>
      </c>
      <c r="H19" s="159">
        <f>2/3</f>
        <v>0.66666666666666663</v>
      </c>
      <c r="I19" s="159">
        <f>4/2</f>
        <v>2</v>
      </c>
      <c r="J19" s="159">
        <f>3/2</f>
        <v>1.5</v>
      </c>
      <c r="K19" s="159">
        <f>6/2</f>
        <v>3</v>
      </c>
      <c r="L19" s="159">
        <f>1/3</f>
        <v>0.33333333333333331</v>
      </c>
      <c r="M19" s="159">
        <f>4/1</f>
        <v>4</v>
      </c>
      <c r="N19" s="159">
        <f>3/3</f>
        <v>1</v>
      </c>
      <c r="O19" s="159">
        <f>4/3</f>
        <v>1.3333333333333333</v>
      </c>
      <c r="P19" s="159">
        <f>2/3</f>
        <v>0.66666666666666663</v>
      </c>
      <c r="Q19" s="159">
        <f>1/1</f>
        <v>1</v>
      </c>
      <c r="R19" s="163" t="e">
        <f>3/0</f>
        <v>#DIV/0!</v>
      </c>
      <c r="S19" s="165">
        <f>33/23</f>
        <v>1.4347826086956521</v>
      </c>
      <c r="T19" s="137" t="s">
        <v>289</v>
      </c>
      <c r="U19" s="19" t="s">
        <v>77</v>
      </c>
      <c r="V19" s="62" t="s">
        <v>466</v>
      </c>
    </row>
    <row r="20" spans="1:22" ht="197.25" customHeight="1" x14ac:dyDescent="0.25">
      <c r="A20" s="271"/>
      <c r="B20" s="19" t="s">
        <v>81</v>
      </c>
      <c r="C20" s="169" t="s">
        <v>69</v>
      </c>
      <c r="D20" s="169" t="s">
        <v>367</v>
      </c>
      <c r="E20" s="169" t="s">
        <v>79</v>
      </c>
      <c r="F20" s="74" t="s">
        <v>368</v>
      </c>
      <c r="G20" s="164">
        <f>4/4</f>
        <v>1</v>
      </c>
      <c r="H20" s="159">
        <f>6/6</f>
        <v>1</v>
      </c>
      <c r="I20" s="159">
        <f>10/11</f>
        <v>0.90909090909090906</v>
      </c>
      <c r="J20" s="159">
        <f>8/9</f>
        <v>0.88888888888888884</v>
      </c>
      <c r="K20" s="159">
        <f>8/8</f>
        <v>1</v>
      </c>
      <c r="L20" s="159">
        <f>10/10</f>
        <v>1</v>
      </c>
      <c r="M20" s="159">
        <f>7/8</f>
        <v>0.875</v>
      </c>
      <c r="N20" s="159">
        <f>9/9</f>
        <v>1</v>
      </c>
      <c r="O20" s="159">
        <f>9/10</f>
        <v>0.9</v>
      </c>
      <c r="P20" s="159">
        <f>10/10</f>
        <v>1</v>
      </c>
      <c r="Q20" s="159">
        <f>11/9</f>
        <v>1.2222222222222223</v>
      </c>
      <c r="R20" s="163">
        <f>10/10</f>
        <v>1</v>
      </c>
      <c r="S20" s="165">
        <f>102/104</f>
        <v>0.98076923076923073</v>
      </c>
      <c r="T20" s="137" t="s">
        <v>289</v>
      </c>
      <c r="U20" s="19" t="s">
        <v>81</v>
      </c>
      <c r="V20" s="62" t="s">
        <v>430</v>
      </c>
    </row>
    <row r="21" spans="1:22" ht="278.25" customHeight="1" x14ac:dyDescent="0.25">
      <c r="A21" s="271"/>
      <c r="B21" s="19" t="s">
        <v>86</v>
      </c>
      <c r="C21" s="169" t="s">
        <v>82</v>
      </c>
      <c r="D21" s="169" t="s">
        <v>83</v>
      </c>
      <c r="E21" s="169" t="s">
        <v>84</v>
      </c>
      <c r="F21" s="74" t="s">
        <v>369</v>
      </c>
      <c r="G21" s="164" t="s">
        <v>246</v>
      </c>
      <c r="H21" s="159" t="s">
        <v>246</v>
      </c>
      <c r="I21" s="159">
        <f>12/13</f>
        <v>0.92307692307692313</v>
      </c>
      <c r="J21" s="159">
        <f>4/4</f>
        <v>1</v>
      </c>
      <c r="K21" s="159">
        <f>5/5</f>
        <v>1</v>
      </c>
      <c r="L21" s="159">
        <f>5/5</f>
        <v>1</v>
      </c>
      <c r="M21" s="159">
        <f>6/6</f>
        <v>1</v>
      </c>
      <c r="N21" s="159">
        <f t="shared" ref="N21:Q21" si="0">5/5</f>
        <v>1</v>
      </c>
      <c r="O21" s="159">
        <f t="shared" si="0"/>
        <v>1</v>
      </c>
      <c r="P21" s="159">
        <f t="shared" si="0"/>
        <v>1</v>
      </c>
      <c r="Q21" s="159">
        <f t="shared" si="0"/>
        <v>1</v>
      </c>
      <c r="R21" s="179">
        <f>4/4</f>
        <v>1</v>
      </c>
      <c r="S21" s="165">
        <f>56/57</f>
        <v>0.98245614035087714</v>
      </c>
      <c r="T21" s="137" t="s">
        <v>290</v>
      </c>
      <c r="U21" s="19" t="s">
        <v>86</v>
      </c>
      <c r="V21" s="62" t="s">
        <v>431</v>
      </c>
    </row>
    <row r="22" spans="1:22" ht="356.25" customHeight="1" x14ac:dyDescent="0.25">
      <c r="A22" s="271"/>
      <c r="B22" s="19" t="s">
        <v>91</v>
      </c>
      <c r="C22" s="169" t="s">
        <v>87</v>
      </c>
      <c r="D22" s="169" t="s">
        <v>88</v>
      </c>
      <c r="E22" s="169" t="s">
        <v>370</v>
      </c>
      <c r="F22" s="74" t="s">
        <v>371</v>
      </c>
      <c r="G22" s="164">
        <f>0/1</f>
        <v>0</v>
      </c>
      <c r="H22" s="159">
        <f>1/2</f>
        <v>0.5</v>
      </c>
      <c r="I22" s="159">
        <f>6/9</f>
        <v>0.66666666666666663</v>
      </c>
      <c r="J22" s="159">
        <f>5/5</f>
        <v>1</v>
      </c>
      <c r="K22" s="159">
        <f>5/5</f>
        <v>1</v>
      </c>
      <c r="L22" s="159">
        <f>11/12</f>
        <v>0.91666666666666663</v>
      </c>
      <c r="M22" s="159">
        <f>8/8</f>
        <v>1</v>
      </c>
      <c r="N22" s="159">
        <f>3/3</f>
        <v>1</v>
      </c>
      <c r="O22" s="159">
        <f>8/8</f>
        <v>1</v>
      </c>
      <c r="P22" s="129">
        <f>3/2</f>
        <v>1.5</v>
      </c>
      <c r="Q22" s="129">
        <f>5/2</f>
        <v>2.5</v>
      </c>
      <c r="R22" s="179">
        <f>4/2</f>
        <v>2</v>
      </c>
      <c r="S22" s="165">
        <f>59/59</f>
        <v>1</v>
      </c>
      <c r="T22" s="137" t="s">
        <v>301</v>
      </c>
      <c r="U22" s="19" t="s">
        <v>91</v>
      </c>
      <c r="V22" s="62" t="s">
        <v>432</v>
      </c>
    </row>
    <row r="23" spans="1:22" s="1" customFormat="1" ht="128.25" customHeight="1" x14ac:dyDescent="0.25">
      <c r="A23" s="271"/>
      <c r="B23" s="19" t="s">
        <v>96</v>
      </c>
      <c r="C23" s="169" t="s">
        <v>373</v>
      </c>
      <c r="D23" s="169" t="s">
        <v>372</v>
      </c>
      <c r="E23" s="169" t="s">
        <v>374</v>
      </c>
      <c r="F23" s="74" t="s">
        <v>375</v>
      </c>
      <c r="G23" s="266">
        <f>338/342</f>
        <v>0.98830409356725146</v>
      </c>
      <c r="H23" s="262"/>
      <c r="I23" s="262"/>
      <c r="J23" s="262">
        <f>933/933</f>
        <v>1</v>
      </c>
      <c r="K23" s="262"/>
      <c r="L23" s="262"/>
      <c r="M23" s="262">
        <f>1441/1441</f>
        <v>1</v>
      </c>
      <c r="N23" s="262"/>
      <c r="O23" s="262"/>
      <c r="P23" s="263">
        <f>1376/1376</f>
        <v>1</v>
      </c>
      <c r="Q23" s="263"/>
      <c r="R23" s="264"/>
      <c r="S23" s="172">
        <f>4088/4092</f>
        <v>0.99902248289345064</v>
      </c>
      <c r="T23" s="137" t="s">
        <v>302</v>
      </c>
      <c r="U23" s="19" t="s">
        <v>96</v>
      </c>
      <c r="V23" s="62" t="s">
        <v>472</v>
      </c>
    </row>
    <row r="24" spans="1:22" s="1" customFormat="1" ht="126.75" customHeight="1" x14ac:dyDescent="0.25">
      <c r="A24" s="271"/>
      <c r="B24" s="19" t="s">
        <v>101</v>
      </c>
      <c r="C24" s="169" t="s">
        <v>373</v>
      </c>
      <c r="D24" s="169" t="s">
        <v>376</v>
      </c>
      <c r="E24" s="169" t="s">
        <v>377</v>
      </c>
      <c r="F24" s="74" t="s">
        <v>331</v>
      </c>
      <c r="G24" s="266">
        <f>1/3</f>
        <v>0.33333333333333331</v>
      </c>
      <c r="H24" s="262"/>
      <c r="I24" s="262"/>
      <c r="J24" s="262">
        <f>1/3</f>
        <v>0.33333333333333331</v>
      </c>
      <c r="K24" s="262"/>
      <c r="L24" s="262"/>
      <c r="M24" s="262">
        <f>2/3</f>
        <v>0.66666666666666663</v>
      </c>
      <c r="N24" s="262"/>
      <c r="O24" s="262"/>
      <c r="P24" s="263">
        <f>3/3</f>
        <v>1</v>
      </c>
      <c r="Q24" s="263"/>
      <c r="R24" s="264"/>
      <c r="S24" s="172">
        <f>+P24</f>
        <v>1</v>
      </c>
      <c r="T24" s="137" t="s">
        <v>302</v>
      </c>
      <c r="U24" s="19" t="s">
        <v>101</v>
      </c>
      <c r="V24" s="62" t="s">
        <v>473</v>
      </c>
    </row>
    <row r="25" spans="1:22" ht="409.6" customHeight="1" x14ac:dyDescent="0.25">
      <c r="A25" s="271"/>
      <c r="B25" s="19" t="s">
        <v>106</v>
      </c>
      <c r="C25" s="169" t="s">
        <v>97</v>
      </c>
      <c r="D25" s="169" t="s">
        <v>98</v>
      </c>
      <c r="E25" s="169" t="s">
        <v>99</v>
      </c>
      <c r="F25" s="74" t="s">
        <v>378</v>
      </c>
      <c r="G25" s="266">
        <f>1/1</f>
        <v>1</v>
      </c>
      <c r="H25" s="262"/>
      <c r="I25" s="262"/>
      <c r="J25" s="262">
        <f>8/10</f>
        <v>0.8</v>
      </c>
      <c r="K25" s="262"/>
      <c r="L25" s="262"/>
      <c r="M25" s="262">
        <f>11/16</f>
        <v>0.6875</v>
      </c>
      <c r="N25" s="262"/>
      <c r="O25" s="262"/>
      <c r="P25" s="262">
        <f>13/11</f>
        <v>1.1818181818181819</v>
      </c>
      <c r="Q25" s="262"/>
      <c r="R25" s="265"/>
      <c r="S25" s="165">
        <f>33/38</f>
        <v>0.86842105263157898</v>
      </c>
      <c r="T25" s="137" t="s">
        <v>303</v>
      </c>
      <c r="U25" s="19" t="s">
        <v>106</v>
      </c>
      <c r="V25" s="62" t="s">
        <v>433</v>
      </c>
    </row>
    <row r="26" spans="1:22" ht="177.75" customHeight="1" x14ac:dyDescent="0.25">
      <c r="A26" s="271"/>
      <c r="B26" s="19" t="s">
        <v>111</v>
      </c>
      <c r="C26" s="169" t="s">
        <v>102</v>
      </c>
      <c r="D26" s="169" t="s">
        <v>379</v>
      </c>
      <c r="E26" s="169" t="s">
        <v>104</v>
      </c>
      <c r="F26" s="74" t="s">
        <v>380</v>
      </c>
      <c r="G26" s="266">
        <f>8/8</f>
        <v>1</v>
      </c>
      <c r="H26" s="262"/>
      <c r="I26" s="262"/>
      <c r="J26" s="262">
        <f>13/13</f>
        <v>1</v>
      </c>
      <c r="K26" s="262"/>
      <c r="L26" s="262"/>
      <c r="M26" s="262">
        <f>10/11</f>
        <v>0.90909090909090906</v>
      </c>
      <c r="N26" s="262"/>
      <c r="O26" s="262"/>
      <c r="P26" s="262">
        <f>9/9</f>
        <v>1</v>
      </c>
      <c r="Q26" s="262"/>
      <c r="R26" s="265"/>
      <c r="S26" s="165">
        <f>40/41</f>
        <v>0.97560975609756095</v>
      </c>
      <c r="T26" s="137" t="s">
        <v>381</v>
      </c>
      <c r="U26" s="19" t="s">
        <v>111</v>
      </c>
      <c r="V26" s="62" t="s">
        <v>434</v>
      </c>
    </row>
    <row r="27" spans="1:22" s="1" customFormat="1" ht="214.5" customHeight="1" x14ac:dyDescent="0.25">
      <c r="A27" s="271"/>
      <c r="B27" s="19" t="s">
        <v>382</v>
      </c>
      <c r="C27" s="169" t="s">
        <v>102</v>
      </c>
      <c r="D27" s="169" t="s">
        <v>383</v>
      </c>
      <c r="E27" s="169" t="s">
        <v>384</v>
      </c>
      <c r="F27" s="74" t="s">
        <v>385</v>
      </c>
      <c r="G27" s="266">
        <f>1/1</f>
        <v>1</v>
      </c>
      <c r="H27" s="262"/>
      <c r="I27" s="262"/>
      <c r="J27" s="262">
        <f>6/6</f>
        <v>1</v>
      </c>
      <c r="K27" s="262"/>
      <c r="L27" s="262"/>
      <c r="M27" s="262">
        <f>7/6</f>
        <v>1.1666666666666667</v>
      </c>
      <c r="N27" s="262"/>
      <c r="O27" s="262"/>
      <c r="P27" s="262">
        <f>80/80</f>
        <v>1</v>
      </c>
      <c r="Q27" s="262"/>
      <c r="R27" s="265"/>
      <c r="S27" s="165">
        <f>94/93</f>
        <v>1.010752688172043</v>
      </c>
      <c r="T27" s="137" t="s">
        <v>386</v>
      </c>
      <c r="U27" s="19" t="s">
        <v>382</v>
      </c>
      <c r="V27" s="62" t="s">
        <v>435</v>
      </c>
    </row>
    <row r="28" spans="1:22" ht="263.25" customHeight="1" x14ac:dyDescent="0.25">
      <c r="A28" s="271"/>
      <c r="B28" s="19" t="s">
        <v>387</v>
      </c>
      <c r="C28" s="169" t="s">
        <v>107</v>
      </c>
      <c r="D28" s="169" t="s">
        <v>388</v>
      </c>
      <c r="E28" s="9" t="s">
        <v>389</v>
      </c>
      <c r="F28" s="74" t="s">
        <v>110</v>
      </c>
      <c r="G28" s="266">
        <f>20/22</f>
        <v>0.90909090909090906</v>
      </c>
      <c r="H28" s="262"/>
      <c r="I28" s="262"/>
      <c r="J28" s="262">
        <f>35/38</f>
        <v>0.92105263157894735</v>
      </c>
      <c r="K28" s="262"/>
      <c r="L28" s="262"/>
      <c r="M28" s="262">
        <f>57/61</f>
        <v>0.93442622950819676</v>
      </c>
      <c r="N28" s="262"/>
      <c r="O28" s="262"/>
      <c r="P28" s="263">
        <f>101/102</f>
        <v>0.99019607843137258</v>
      </c>
      <c r="Q28" s="263"/>
      <c r="R28" s="264"/>
      <c r="S28" s="172">
        <f>+P28</f>
        <v>0.99019607843137258</v>
      </c>
      <c r="T28" s="137" t="s">
        <v>394</v>
      </c>
      <c r="U28" s="19" t="s">
        <v>387</v>
      </c>
      <c r="V28" s="62" t="s">
        <v>467</v>
      </c>
    </row>
    <row r="29" spans="1:22" ht="213" customHeight="1" thickBot="1" x14ac:dyDescent="0.3">
      <c r="A29" s="272"/>
      <c r="B29" s="20" t="s">
        <v>390</v>
      </c>
      <c r="C29" s="171" t="s">
        <v>107</v>
      </c>
      <c r="D29" s="171" t="s">
        <v>392</v>
      </c>
      <c r="E29" s="24" t="s">
        <v>393</v>
      </c>
      <c r="F29" s="76" t="s">
        <v>114</v>
      </c>
      <c r="G29" s="267">
        <f>12/34</f>
        <v>0.35294117647058826</v>
      </c>
      <c r="H29" s="268"/>
      <c r="I29" s="268"/>
      <c r="J29" s="268"/>
      <c r="K29" s="268">
        <f>15/45</f>
        <v>0.33333333333333331</v>
      </c>
      <c r="L29" s="268"/>
      <c r="M29" s="268"/>
      <c r="N29" s="268"/>
      <c r="O29" s="238">
        <f>40/105</f>
        <v>0.38095238095238093</v>
      </c>
      <c r="P29" s="239"/>
      <c r="Q29" s="239"/>
      <c r="R29" s="240"/>
      <c r="S29" s="182">
        <f>+O29</f>
        <v>0.38095238095238093</v>
      </c>
      <c r="T29" s="132" t="s">
        <v>395</v>
      </c>
      <c r="U29" s="20" t="s">
        <v>390</v>
      </c>
      <c r="V29" s="63" t="s">
        <v>453</v>
      </c>
    </row>
    <row r="30" spans="1:22" ht="12" customHeight="1" x14ac:dyDescent="0.25"/>
    <row r="31" spans="1:22" ht="12" hidden="1" customHeight="1" thickBot="1" x14ac:dyDescent="0.3"/>
    <row r="32" spans="1:22" ht="27" hidden="1" customHeight="1" thickBot="1" x14ac:dyDescent="0.3">
      <c r="A32" s="247" t="s">
        <v>311</v>
      </c>
      <c r="B32" s="248"/>
      <c r="C32" s="248"/>
      <c r="D32" s="248"/>
      <c r="E32" s="256"/>
      <c r="F32" s="49" t="s">
        <v>312</v>
      </c>
      <c r="G32" s="48" t="s">
        <v>335</v>
      </c>
      <c r="H32" s="248" t="s">
        <v>313</v>
      </c>
      <c r="I32" s="256"/>
    </row>
    <row r="33" spans="1:9" ht="34.5" hidden="1" customHeight="1" x14ac:dyDescent="0.25">
      <c r="A33" s="259" t="s">
        <v>319</v>
      </c>
      <c r="B33" s="260"/>
      <c r="C33" s="260"/>
      <c r="D33" s="260"/>
      <c r="E33" s="261"/>
      <c r="F33" s="47" t="s">
        <v>314</v>
      </c>
      <c r="G33" s="44">
        <v>2</v>
      </c>
      <c r="H33" s="257">
        <f>+AVERAGE(S5:S6)</f>
        <v>1.0214151311420983</v>
      </c>
      <c r="I33" s="258"/>
    </row>
    <row r="34" spans="1:9" ht="28.5" hidden="1" customHeight="1" x14ac:dyDescent="0.25">
      <c r="A34" s="241" t="s">
        <v>320</v>
      </c>
      <c r="B34" s="242"/>
      <c r="C34" s="242"/>
      <c r="D34" s="242"/>
      <c r="E34" s="243"/>
      <c r="F34" s="5" t="s">
        <v>315</v>
      </c>
      <c r="G34" s="45">
        <v>3</v>
      </c>
      <c r="H34" s="253">
        <f>+AVERAGE(S7:S9)</f>
        <v>1.3987794392824879</v>
      </c>
      <c r="I34" s="254"/>
    </row>
    <row r="35" spans="1:9" ht="39.75" hidden="1" customHeight="1" x14ac:dyDescent="0.25">
      <c r="A35" s="241" t="s">
        <v>321</v>
      </c>
      <c r="B35" s="242"/>
      <c r="C35" s="242"/>
      <c r="D35" s="242"/>
      <c r="E35" s="243"/>
      <c r="F35" s="5" t="s">
        <v>316</v>
      </c>
      <c r="G35" s="45">
        <v>1</v>
      </c>
      <c r="H35" s="253">
        <f>+S10</f>
        <v>0.94498247388685874</v>
      </c>
      <c r="I35" s="254"/>
    </row>
    <row r="36" spans="1:9" ht="28.5" hidden="1" customHeight="1" x14ac:dyDescent="0.25">
      <c r="A36" s="241" t="s">
        <v>322</v>
      </c>
      <c r="B36" s="242"/>
      <c r="C36" s="242"/>
      <c r="D36" s="242"/>
      <c r="E36" s="243"/>
      <c r="F36" s="5" t="s">
        <v>317</v>
      </c>
      <c r="G36" s="45">
        <v>4</v>
      </c>
      <c r="H36" s="253">
        <f>+AVERAGE(S11:S14)</f>
        <v>1.2223980022333734</v>
      </c>
      <c r="I36" s="254"/>
    </row>
    <row r="37" spans="1:9" ht="51" hidden="1" customHeight="1" thickBot="1" x14ac:dyDescent="0.3">
      <c r="A37" s="244" t="s">
        <v>323</v>
      </c>
      <c r="B37" s="245"/>
      <c r="C37" s="245"/>
      <c r="D37" s="245"/>
      <c r="E37" s="246"/>
      <c r="F37" s="51" t="s">
        <v>318</v>
      </c>
      <c r="G37" s="46">
        <v>15</v>
      </c>
      <c r="H37" s="249">
        <f>+AVERAGE(S15:S29)</f>
        <v>1.0026441612662766</v>
      </c>
      <c r="I37" s="250"/>
    </row>
    <row r="38" spans="1:9" ht="18" hidden="1" customHeight="1" thickBot="1" x14ac:dyDescent="0.3">
      <c r="A38" s="247" t="s">
        <v>324</v>
      </c>
      <c r="B38" s="248"/>
      <c r="C38" s="248"/>
      <c r="D38" s="248"/>
      <c r="E38" s="248"/>
      <c r="F38" s="248"/>
      <c r="G38" s="50">
        <f>+SUM(G33:G37)</f>
        <v>25</v>
      </c>
      <c r="H38" s="251">
        <f>+((H33*G33)+(H34*G34)+(H35*G35)+(H36*G36)+(H37*G37))/25</f>
        <v>1.0845362192778465</v>
      </c>
      <c r="I38" s="252"/>
    </row>
    <row r="39" spans="1:9" hidden="1" x14ac:dyDescent="0.25"/>
    <row r="40" spans="1:9" hidden="1" x14ac:dyDescent="0.25"/>
  </sheetData>
  <autoFilter ref="A4:V29"/>
  <mergeCells count="89">
    <mergeCell ref="P26:R26"/>
    <mergeCell ref="P27:R27"/>
    <mergeCell ref="P23:R23"/>
    <mergeCell ref="P24:R24"/>
    <mergeCell ref="M25:O25"/>
    <mergeCell ref="M23:O23"/>
    <mergeCell ref="M24:O24"/>
    <mergeCell ref="M26:O26"/>
    <mergeCell ref="M27:O27"/>
    <mergeCell ref="A5:A6"/>
    <mergeCell ref="A7:A9"/>
    <mergeCell ref="M11:O11"/>
    <mergeCell ref="P11:R11"/>
    <mergeCell ref="A11:A14"/>
    <mergeCell ref="J11:L11"/>
    <mergeCell ref="G11:I11"/>
    <mergeCell ref="G12:I12"/>
    <mergeCell ref="J12:L12"/>
    <mergeCell ref="G8:I8"/>
    <mergeCell ref="G9:I9"/>
    <mergeCell ref="G10:I10"/>
    <mergeCell ref="P8:R8"/>
    <mergeCell ref="P9:R9"/>
    <mergeCell ref="P10:R10"/>
    <mergeCell ref="P12:R12"/>
    <mergeCell ref="G27:I27"/>
    <mergeCell ref="J28:L28"/>
    <mergeCell ref="K29:N29"/>
    <mergeCell ref="M16:O16"/>
    <mergeCell ref="M15:O15"/>
    <mergeCell ref="G25:I25"/>
    <mergeCell ref="J25:L25"/>
    <mergeCell ref="M17:O17"/>
    <mergeCell ref="V3:V4"/>
    <mergeCell ref="J24:L24"/>
    <mergeCell ref="J26:L26"/>
    <mergeCell ref="J27:L27"/>
    <mergeCell ref="J8:L8"/>
    <mergeCell ref="J9:L9"/>
    <mergeCell ref="J10:L10"/>
    <mergeCell ref="P16:R16"/>
    <mergeCell ref="P15:R15"/>
    <mergeCell ref="M8:O8"/>
    <mergeCell ref="M9:O9"/>
    <mergeCell ref="M12:O12"/>
    <mergeCell ref="U3:U4"/>
    <mergeCell ref="J16:L16"/>
    <mergeCell ref="J15:L15"/>
    <mergeCell ref="M10:O10"/>
    <mergeCell ref="T3:T4"/>
    <mergeCell ref="G3:S3"/>
    <mergeCell ref="A3:A4"/>
    <mergeCell ref="C3:C4"/>
    <mergeCell ref="D3:D4"/>
    <mergeCell ref="E3:E4"/>
    <mergeCell ref="F3:F4"/>
    <mergeCell ref="B3:B4"/>
    <mergeCell ref="A33:E33"/>
    <mergeCell ref="M28:O28"/>
    <mergeCell ref="P28:R28"/>
    <mergeCell ref="P25:R25"/>
    <mergeCell ref="J17:L17"/>
    <mergeCell ref="P17:R17"/>
    <mergeCell ref="G23:I23"/>
    <mergeCell ref="G29:J29"/>
    <mergeCell ref="J23:L23"/>
    <mergeCell ref="G17:I17"/>
    <mergeCell ref="A15:A29"/>
    <mergeCell ref="G15:I15"/>
    <mergeCell ref="G28:I28"/>
    <mergeCell ref="G16:I16"/>
    <mergeCell ref="G24:I24"/>
    <mergeCell ref="G26:I26"/>
    <mergeCell ref="U1:V1"/>
    <mergeCell ref="O29:R29"/>
    <mergeCell ref="A36:E36"/>
    <mergeCell ref="A37:E37"/>
    <mergeCell ref="A38:F38"/>
    <mergeCell ref="H37:I37"/>
    <mergeCell ref="H38:I38"/>
    <mergeCell ref="H36:I36"/>
    <mergeCell ref="A1:T1"/>
    <mergeCell ref="A34:E34"/>
    <mergeCell ref="A35:E35"/>
    <mergeCell ref="H32:I32"/>
    <mergeCell ref="H33:I33"/>
    <mergeCell ref="H34:I34"/>
    <mergeCell ref="H35:I35"/>
    <mergeCell ref="A32:E32"/>
  </mergeCells>
  <printOptions horizontalCentered="1"/>
  <pageMargins left="0.15748031496062992" right="0.15748031496062992" top="0.39370078740157483" bottom="0.39370078740157483" header="0.31496062992125984" footer="0.31496062992125984"/>
  <pageSetup paperSize="281" scale="60" pageOrder="overThenDown" orientation="landscape" horizontalDpi="4294967294" r:id="rId1"/>
  <rowBreaks count="1" manualBreakCount="1">
    <brk id="30" max="16383" man="1"/>
  </rowBreaks>
  <colBreaks count="1" manualBreakCount="1">
    <brk id="20" max="29"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0"/>
  <sheetViews>
    <sheetView view="pageBreakPreview" zoomScale="85" zoomScaleNormal="80" zoomScaleSheetLayoutView="85" workbookViewId="0">
      <pane ySplit="4" topLeftCell="A5" activePane="bottomLeft" state="frozen"/>
      <selection pane="bottomLeft" activeCell="A3" sqref="A3:A4"/>
    </sheetView>
  </sheetViews>
  <sheetFormatPr baseColWidth="10" defaultRowHeight="15" x14ac:dyDescent="0.25"/>
  <cols>
    <col min="1" max="1" width="17.85546875" style="1" customWidth="1"/>
    <col min="2" max="2" width="7.42578125" style="1" customWidth="1"/>
    <col min="3" max="3" width="22.5703125" style="1" customWidth="1"/>
    <col min="4" max="4" width="25.42578125" style="1" customWidth="1"/>
    <col min="5" max="5" width="31.140625" style="1" customWidth="1"/>
    <col min="6" max="6" width="31.7109375" style="1" customWidth="1"/>
    <col min="7" max="18" width="7.85546875" style="1" customWidth="1"/>
    <col min="19" max="19" width="11.5703125" style="1" customWidth="1"/>
    <col min="20" max="20" width="18.5703125" style="1" customWidth="1"/>
    <col min="21" max="21" width="7.42578125" style="1" customWidth="1"/>
    <col min="22" max="22" width="254.42578125" style="22" customWidth="1"/>
    <col min="23" max="16384" width="11.42578125" style="1"/>
  </cols>
  <sheetData>
    <row r="1" spans="1:22" ht="52.5" customHeight="1" thickBot="1" x14ac:dyDescent="0.3">
      <c r="A1" s="236" t="s">
        <v>460</v>
      </c>
      <c r="B1" s="255"/>
      <c r="C1" s="255"/>
      <c r="D1" s="255"/>
      <c r="E1" s="255"/>
      <c r="F1" s="255"/>
      <c r="G1" s="255"/>
      <c r="H1" s="255"/>
      <c r="I1" s="255"/>
      <c r="J1" s="255"/>
      <c r="K1" s="255"/>
      <c r="L1" s="255"/>
      <c r="M1" s="255"/>
      <c r="N1" s="255"/>
      <c r="O1" s="255"/>
      <c r="P1" s="255"/>
      <c r="Q1" s="255"/>
      <c r="R1" s="255"/>
      <c r="S1" s="255"/>
      <c r="T1" s="237"/>
      <c r="U1" s="236" t="str">
        <f>+A1</f>
        <v>REPORTE INDICADORES CANAL CAPITAL
Indicadores de proceso
Reporte Trimestre 4 - 2018
Fecha de informe: 31/01/2019</v>
      </c>
      <c r="V1" s="237"/>
    </row>
    <row r="2" spans="1:22" ht="7.5" customHeight="1" thickBot="1" x14ac:dyDescent="0.3">
      <c r="A2" s="203"/>
      <c r="B2" s="203"/>
      <c r="C2" s="203"/>
      <c r="D2" s="203"/>
      <c r="E2" s="203"/>
      <c r="F2" s="203"/>
      <c r="G2" s="203"/>
      <c r="H2" s="203"/>
      <c r="I2" s="203"/>
      <c r="J2" s="203"/>
      <c r="K2" s="203"/>
      <c r="L2" s="203"/>
      <c r="M2" s="203"/>
      <c r="N2" s="203"/>
      <c r="O2" s="203"/>
      <c r="P2" s="203"/>
      <c r="Q2" s="203"/>
      <c r="R2" s="203"/>
      <c r="S2" s="203"/>
      <c r="T2" s="203"/>
      <c r="U2" s="203"/>
      <c r="V2" s="203"/>
    </row>
    <row r="3" spans="1:22" ht="15.75" thickBot="1" x14ac:dyDescent="0.3">
      <c r="A3" s="226" t="s">
        <v>2</v>
      </c>
      <c r="B3" s="228" t="s">
        <v>1</v>
      </c>
      <c r="C3" s="324" t="s">
        <v>0</v>
      </c>
      <c r="D3" s="230" t="s">
        <v>3</v>
      </c>
      <c r="E3" s="232" t="s">
        <v>4</v>
      </c>
      <c r="F3" s="316" t="s">
        <v>5</v>
      </c>
      <c r="G3" s="318" t="s">
        <v>6</v>
      </c>
      <c r="H3" s="319"/>
      <c r="I3" s="319"/>
      <c r="J3" s="319"/>
      <c r="K3" s="319"/>
      <c r="L3" s="319"/>
      <c r="M3" s="319"/>
      <c r="N3" s="319"/>
      <c r="O3" s="319"/>
      <c r="P3" s="319"/>
      <c r="Q3" s="319"/>
      <c r="R3" s="319"/>
      <c r="S3" s="320"/>
      <c r="T3" s="340" t="s">
        <v>7</v>
      </c>
      <c r="U3" s="228" t="s">
        <v>1</v>
      </c>
      <c r="V3" s="221" t="s">
        <v>275</v>
      </c>
    </row>
    <row r="4" spans="1:22" ht="24" customHeight="1" thickBot="1" x14ac:dyDescent="0.3">
      <c r="A4" s="326"/>
      <c r="B4" s="313"/>
      <c r="C4" s="325"/>
      <c r="D4" s="337"/>
      <c r="E4" s="338"/>
      <c r="F4" s="317"/>
      <c r="G4" s="60" t="s">
        <v>8</v>
      </c>
      <c r="H4" s="61" t="s">
        <v>9</v>
      </c>
      <c r="I4" s="61" t="s">
        <v>10</v>
      </c>
      <c r="J4" s="61" t="s">
        <v>11</v>
      </c>
      <c r="K4" s="61" t="s">
        <v>12</v>
      </c>
      <c r="L4" s="61" t="s">
        <v>13</v>
      </c>
      <c r="M4" s="61" t="s">
        <v>14</v>
      </c>
      <c r="N4" s="61" t="s">
        <v>15</v>
      </c>
      <c r="O4" s="61" t="s">
        <v>16</v>
      </c>
      <c r="P4" s="61" t="s">
        <v>17</v>
      </c>
      <c r="Q4" s="61" t="s">
        <v>18</v>
      </c>
      <c r="R4" s="139" t="s">
        <v>19</v>
      </c>
      <c r="S4" s="71" t="s">
        <v>465</v>
      </c>
      <c r="T4" s="341"/>
      <c r="U4" s="313"/>
      <c r="V4" s="309"/>
    </row>
    <row r="5" spans="1:22" ht="247.5" customHeight="1" x14ac:dyDescent="0.25">
      <c r="A5" s="314" t="s">
        <v>151</v>
      </c>
      <c r="B5" s="92" t="s">
        <v>115</v>
      </c>
      <c r="C5" s="90" t="s">
        <v>227</v>
      </c>
      <c r="D5" s="4" t="s">
        <v>396</v>
      </c>
      <c r="E5" s="4" t="s">
        <v>397</v>
      </c>
      <c r="F5" s="82" t="s">
        <v>398</v>
      </c>
      <c r="G5" s="273">
        <f>3/3</f>
        <v>1</v>
      </c>
      <c r="H5" s="274"/>
      <c r="I5" s="274"/>
      <c r="J5" s="274">
        <f>3.3/4</f>
        <v>0.82499999999999996</v>
      </c>
      <c r="K5" s="274"/>
      <c r="L5" s="274"/>
      <c r="M5" s="274">
        <f>3.6/5</f>
        <v>0.72</v>
      </c>
      <c r="N5" s="274"/>
      <c r="O5" s="274"/>
      <c r="P5" s="321">
        <f>5.9/8</f>
        <v>0.73750000000000004</v>
      </c>
      <c r="Q5" s="322"/>
      <c r="R5" s="323"/>
      <c r="S5" s="186">
        <f>+P5</f>
        <v>0.73750000000000004</v>
      </c>
      <c r="T5" s="84" t="s">
        <v>295</v>
      </c>
      <c r="U5" s="92" t="s">
        <v>115</v>
      </c>
      <c r="V5" s="28" t="s">
        <v>454</v>
      </c>
    </row>
    <row r="6" spans="1:22" ht="134.25" customHeight="1" x14ac:dyDescent="0.25">
      <c r="A6" s="220"/>
      <c r="B6" s="36" t="s">
        <v>116</v>
      </c>
      <c r="C6" s="5" t="s">
        <v>228</v>
      </c>
      <c r="D6" s="54" t="s">
        <v>164</v>
      </c>
      <c r="E6" s="54" t="s">
        <v>200</v>
      </c>
      <c r="F6" s="81" t="s">
        <v>399</v>
      </c>
      <c r="G6" s="269">
        <f>2566081158/5261854676</f>
        <v>0.48767617427828786</v>
      </c>
      <c r="H6" s="263"/>
      <c r="I6" s="263"/>
      <c r="J6" s="263">
        <f>2687751209/5261854676</f>
        <v>0.51079920949911084</v>
      </c>
      <c r="K6" s="263"/>
      <c r="L6" s="263"/>
      <c r="M6" s="263">
        <f>5391375516/5914654676</f>
        <v>0.91152836663088388</v>
      </c>
      <c r="N6" s="263"/>
      <c r="O6" s="263"/>
      <c r="P6" s="263">
        <f>5885979799/5914654676</f>
        <v>0.99515189329372777</v>
      </c>
      <c r="Q6" s="263"/>
      <c r="R6" s="310"/>
      <c r="S6" s="187">
        <f>+P6</f>
        <v>0.99515189329372777</v>
      </c>
      <c r="T6" s="85" t="s">
        <v>295</v>
      </c>
      <c r="U6" s="36" t="s">
        <v>116</v>
      </c>
      <c r="V6" s="21" t="s">
        <v>455</v>
      </c>
    </row>
    <row r="7" spans="1:22" ht="114.75" customHeight="1" thickBot="1" x14ac:dyDescent="0.3">
      <c r="A7" s="315"/>
      <c r="B7" s="37" t="s">
        <v>117</v>
      </c>
      <c r="C7" s="91" t="s">
        <v>228</v>
      </c>
      <c r="D7" s="55" t="s">
        <v>165</v>
      </c>
      <c r="E7" s="55" t="s">
        <v>201</v>
      </c>
      <c r="F7" s="83" t="s">
        <v>234</v>
      </c>
      <c r="G7" s="296">
        <f>2881148652/6836877731</f>
        <v>0.42141292639126765</v>
      </c>
      <c r="H7" s="287"/>
      <c r="I7" s="287"/>
      <c r="J7" s="268">
        <f>2962915009/6875421447</f>
        <v>0.43094303845080351</v>
      </c>
      <c r="K7" s="268"/>
      <c r="L7" s="268"/>
      <c r="M7" s="268">
        <f>5985897850/6875421447</f>
        <v>0.87062268053573177</v>
      </c>
      <c r="N7" s="268"/>
      <c r="O7" s="268"/>
      <c r="P7" s="287">
        <f>6626983522/6875421447</f>
        <v>0.96386578962248159</v>
      </c>
      <c r="Q7" s="287"/>
      <c r="R7" s="353"/>
      <c r="S7" s="188">
        <f>+P7</f>
        <v>0.96386578962248159</v>
      </c>
      <c r="T7" s="86" t="s">
        <v>295</v>
      </c>
      <c r="U7" s="37" t="s">
        <v>117</v>
      </c>
      <c r="V7" s="26" t="s">
        <v>456</v>
      </c>
    </row>
    <row r="8" spans="1:22" ht="89.25" customHeight="1" x14ac:dyDescent="0.25">
      <c r="A8" s="314" t="s">
        <v>152</v>
      </c>
      <c r="B8" s="92" t="s">
        <v>118</v>
      </c>
      <c r="C8" s="90" t="s">
        <v>229</v>
      </c>
      <c r="D8" s="4" t="s">
        <v>166</v>
      </c>
      <c r="E8" s="4" t="s">
        <v>202</v>
      </c>
      <c r="F8" s="82" t="s">
        <v>400</v>
      </c>
      <c r="G8" s="327">
        <f>100/100</f>
        <v>1</v>
      </c>
      <c r="H8" s="291"/>
      <c r="I8" s="291"/>
      <c r="J8" s="291">
        <f>100/100</f>
        <v>1</v>
      </c>
      <c r="K8" s="291"/>
      <c r="L8" s="291"/>
      <c r="M8" s="291">
        <f>100/100</f>
        <v>1</v>
      </c>
      <c r="N8" s="291"/>
      <c r="O8" s="291"/>
      <c r="P8" s="291">
        <f>100/100</f>
        <v>1</v>
      </c>
      <c r="Q8" s="291"/>
      <c r="R8" s="291"/>
      <c r="S8" s="142">
        <f>+P8</f>
        <v>1</v>
      </c>
      <c r="T8" s="84" t="s">
        <v>262</v>
      </c>
      <c r="U8" s="92" t="s">
        <v>118</v>
      </c>
      <c r="V8" s="28" t="s">
        <v>436</v>
      </c>
    </row>
    <row r="9" spans="1:22" ht="93" customHeight="1" thickBot="1" x14ac:dyDescent="0.3">
      <c r="A9" s="315"/>
      <c r="B9" s="37" t="s">
        <v>119</v>
      </c>
      <c r="C9" s="91" t="s">
        <v>229</v>
      </c>
      <c r="D9" s="55" t="s">
        <v>401</v>
      </c>
      <c r="E9" s="55" t="s">
        <v>203</v>
      </c>
      <c r="F9" s="83" t="s">
        <v>236</v>
      </c>
      <c r="G9" s="67">
        <f>21/21</f>
        <v>1</v>
      </c>
      <c r="H9" s="73">
        <f>60/60</f>
        <v>1</v>
      </c>
      <c r="I9" s="73">
        <f>44/44</f>
        <v>1</v>
      </c>
      <c r="J9" s="73">
        <f>72/72</f>
        <v>1</v>
      </c>
      <c r="K9" s="73">
        <f>95/95</f>
        <v>1</v>
      </c>
      <c r="L9" s="73">
        <f>82/82</f>
        <v>1</v>
      </c>
      <c r="M9" s="128">
        <f>62/62</f>
        <v>1</v>
      </c>
      <c r="N9" s="128">
        <f>78/78</f>
        <v>1</v>
      </c>
      <c r="O9" s="128">
        <f>84/84</f>
        <v>1</v>
      </c>
      <c r="P9" s="73">
        <f>102/102</f>
        <v>1</v>
      </c>
      <c r="Q9" s="73">
        <f>81/81</f>
        <v>1</v>
      </c>
      <c r="R9" s="126">
        <f>44/44</f>
        <v>1</v>
      </c>
      <c r="S9" s="66">
        <f>825/825</f>
        <v>1</v>
      </c>
      <c r="T9" s="86" t="s">
        <v>332</v>
      </c>
      <c r="U9" s="37" t="s">
        <v>119</v>
      </c>
      <c r="V9" s="26" t="s">
        <v>437</v>
      </c>
    </row>
    <row r="10" spans="1:22" ht="89.25" customHeight="1" x14ac:dyDescent="0.25">
      <c r="A10" s="314" t="s">
        <v>153</v>
      </c>
      <c r="B10" s="92" t="s">
        <v>120</v>
      </c>
      <c r="C10" s="90" t="s">
        <v>230</v>
      </c>
      <c r="D10" s="70" t="s">
        <v>168</v>
      </c>
      <c r="E10" s="70" t="s">
        <v>204</v>
      </c>
      <c r="F10" s="75" t="s">
        <v>237</v>
      </c>
      <c r="G10" s="64">
        <f>36/26</f>
        <v>1.3846153846153846</v>
      </c>
      <c r="H10" s="69">
        <f>25/26</f>
        <v>0.96153846153846156</v>
      </c>
      <c r="I10" s="69">
        <f>22/28</f>
        <v>0.7857142857142857</v>
      </c>
      <c r="J10" s="69">
        <f>34/26</f>
        <v>1.3076923076923077</v>
      </c>
      <c r="K10" s="69">
        <f>36/26</f>
        <v>1.3846153846153846</v>
      </c>
      <c r="L10" s="69">
        <f>23/28</f>
        <v>0.8214285714285714</v>
      </c>
      <c r="M10" s="124">
        <f>34/26</f>
        <v>1.3076923076923077</v>
      </c>
      <c r="N10" s="124">
        <f>37/26</f>
        <v>1.4230769230769231</v>
      </c>
      <c r="O10" s="124">
        <f>66/28</f>
        <v>2.3571428571428572</v>
      </c>
      <c r="P10" s="69">
        <f>52/26</f>
        <v>2</v>
      </c>
      <c r="Q10" s="69">
        <f>46/26</f>
        <v>1.7692307692307692</v>
      </c>
      <c r="R10" s="125">
        <f>43/28</f>
        <v>1.5357142857142858</v>
      </c>
      <c r="S10" s="65">
        <f>454/320</f>
        <v>1.41875</v>
      </c>
      <c r="T10" s="84" t="s">
        <v>280</v>
      </c>
      <c r="U10" s="92" t="s">
        <v>120</v>
      </c>
      <c r="V10" s="28" t="s">
        <v>438</v>
      </c>
    </row>
    <row r="11" spans="1:22" ht="90.75" customHeight="1" x14ac:dyDescent="0.25">
      <c r="A11" s="220"/>
      <c r="B11" s="36" t="s">
        <v>121</v>
      </c>
      <c r="C11" s="5" t="s">
        <v>230</v>
      </c>
      <c r="D11" s="10" t="s">
        <v>169</v>
      </c>
      <c r="E11" s="10" t="s">
        <v>204</v>
      </c>
      <c r="F11" s="74" t="s">
        <v>238</v>
      </c>
      <c r="G11" s="57">
        <f>103/15</f>
        <v>6.8666666666666663</v>
      </c>
      <c r="H11" s="53">
        <f>129/15</f>
        <v>8.6</v>
      </c>
      <c r="I11" s="53">
        <f>137/15</f>
        <v>9.1333333333333329</v>
      </c>
      <c r="J11" s="53">
        <f>100/15</f>
        <v>6.666666666666667</v>
      </c>
      <c r="K11" s="53">
        <f>95/15</f>
        <v>6.333333333333333</v>
      </c>
      <c r="L11" s="53">
        <f>97/15</f>
        <v>6.4666666666666668</v>
      </c>
      <c r="M11" s="122">
        <f>143/15</f>
        <v>9.5333333333333332</v>
      </c>
      <c r="N11" s="122">
        <f>117/15</f>
        <v>7.8</v>
      </c>
      <c r="O11" s="122">
        <f>90/15</f>
        <v>6</v>
      </c>
      <c r="P11" s="53">
        <f>137/15</f>
        <v>9.1333333333333329</v>
      </c>
      <c r="Q11" s="53">
        <f>118/15</f>
        <v>7.8666666666666663</v>
      </c>
      <c r="R11" s="123">
        <f>103/15</f>
        <v>6.8666666666666663</v>
      </c>
      <c r="S11" s="143">
        <f>1369/180</f>
        <v>7.6055555555555552</v>
      </c>
      <c r="T11" s="85" t="s">
        <v>280</v>
      </c>
      <c r="U11" s="36" t="s">
        <v>121</v>
      </c>
      <c r="V11" s="21" t="s">
        <v>439</v>
      </c>
    </row>
    <row r="12" spans="1:22" ht="90.75" customHeight="1" x14ac:dyDescent="0.25">
      <c r="A12" s="220"/>
      <c r="B12" s="36" t="s">
        <v>122</v>
      </c>
      <c r="C12" s="5" t="s">
        <v>230</v>
      </c>
      <c r="D12" s="10" t="s">
        <v>170</v>
      </c>
      <c r="E12" s="10" t="s">
        <v>204</v>
      </c>
      <c r="F12" s="74" t="s">
        <v>327</v>
      </c>
      <c r="G12" s="58">
        <f>100%/100%</f>
        <v>1</v>
      </c>
      <c r="H12" s="56">
        <f>100%/100%</f>
        <v>1</v>
      </c>
      <c r="I12" s="56">
        <f t="shared" ref="I12:R12" si="0">100%/100%</f>
        <v>1</v>
      </c>
      <c r="J12" s="56">
        <f t="shared" si="0"/>
        <v>1</v>
      </c>
      <c r="K12" s="56">
        <f t="shared" si="0"/>
        <v>1</v>
      </c>
      <c r="L12" s="56">
        <f t="shared" si="0"/>
        <v>1</v>
      </c>
      <c r="M12" s="121">
        <f t="shared" si="0"/>
        <v>1</v>
      </c>
      <c r="N12" s="121">
        <f t="shared" si="0"/>
        <v>1</v>
      </c>
      <c r="O12" s="121">
        <f t="shared" si="0"/>
        <v>1</v>
      </c>
      <c r="P12" s="158">
        <f t="shared" si="0"/>
        <v>1</v>
      </c>
      <c r="Q12" s="158">
        <f t="shared" si="0"/>
        <v>1</v>
      </c>
      <c r="R12" s="158">
        <f t="shared" si="0"/>
        <v>1</v>
      </c>
      <c r="S12" s="144">
        <f>+R12</f>
        <v>1</v>
      </c>
      <c r="T12" s="85" t="s">
        <v>280</v>
      </c>
      <c r="U12" s="36" t="s">
        <v>122</v>
      </c>
      <c r="V12" s="21" t="s">
        <v>440</v>
      </c>
    </row>
    <row r="13" spans="1:22" ht="91.5" customHeight="1" thickBot="1" x14ac:dyDescent="0.3">
      <c r="A13" s="315"/>
      <c r="B13" s="37" t="s">
        <v>123</v>
      </c>
      <c r="C13" s="91" t="s">
        <v>230</v>
      </c>
      <c r="D13" s="12" t="s">
        <v>171</v>
      </c>
      <c r="E13" s="12" t="s">
        <v>205</v>
      </c>
      <c r="F13" s="76" t="s">
        <v>328</v>
      </c>
      <c r="G13" s="67">
        <f>264/31</f>
        <v>8.5161290322580641</v>
      </c>
      <c r="H13" s="73">
        <f>242/28</f>
        <v>8.6428571428571423</v>
      </c>
      <c r="I13" s="73">
        <f>336/31</f>
        <v>10.838709677419354</v>
      </c>
      <c r="J13" s="73">
        <f>387/30</f>
        <v>12.9</v>
      </c>
      <c r="K13" s="73">
        <f>579/31</f>
        <v>18.677419354838708</v>
      </c>
      <c r="L13" s="73">
        <f>502/30</f>
        <v>16.733333333333334</v>
      </c>
      <c r="M13" s="128">
        <f>546/31</f>
        <v>17.612903225806452</v>
      </c>
      <c r="N13" s="128">
        <f>382/31</f>
        <v>12.32258064516129</v>
      </c>
      <c r="O13" s="128">
        <f>306/30</f>
        <v>10.199999999999999</v>
      </c>
      <c r="P13" s="73">
        <f>117/31</f>
        <v>3.774193548387097</v>
      </c>
      <c r="Q13" s="73">
        <f>120/31</f>
        <v>3.870967741935484</v>
      </c>
      <c r="R13" s="126">
        <f>167/30</f>
        <v>5.5666666666666664</v>
      </c>
      <c r="S13" s="141">
        <f>3948/365</f>
        <v>10.816438356164383</v>
      </c>
      <c r="T13" s="86" t="s">
        <v>280</v>
      </c>
      <c r="U13" s="37" t="s">
        <v>123</v>
      </c>
      <c r="V13" s="26" t="s">
        <v>441</v>
      </c>
    </row>
    <row r="14" spans="1:22" ht="132.75" customHeight="1" thickBot="1" x14ac:dyDescent="0.3">
      <c r="A14" s="93" t="s">
        <v>154</v>
      </c>
      <c r="B14" s="94" t="s">
        <v>124</v>
      </c>
      <c r="C14" s="95" t="s">
        <v>228</v>
      </c>
      <c r="D14" s="96" t="s">
        <v>172</v>
      </c>
      <c r="E14" s="96" t="s">
        <v>206</v>
      </c>
      <c r="F14" s="77" t="s">
        <v>241</v>
      </c>
      <c r="G14" s="297">
        <f>6812378393/10359345324</f>
        <v>0.65760703789045738</v>
      </c>
      <c r="H14" s="288"/>
      <c r="I14" s="288"/>
      <c r="J14" s="288">
        <f>7598379744/10359345324</f>
        <v>0.73348068882272544</v>
      </c>
      <c r="K14" s="288"/>
      <c r="L14" s="288"/>
      <c r="M14" s="288">
        <f>10122558217/10359345324</f>
        <v>0.97714265722454263</v>
      </c>
      <c r="N14" s="288"/>
      <c r="O14" s="288"/>
      <c r="P14" s="288">
        <f>10289469888/10359345324</f>
        <v>0.99325484055077151</v>
      </c>
      <c r="Q14" s="288"/>
      <c r="R14" s="339"/>
      <c r="S14" s="145">
        <f>+P14</f>
        <v>0.99325484055077151</v>
      </c>
      <c r="T14" s="97" t="s">
        <v>333</v>
      </c>
      <c r="U14" s="94" t="s">
        <v>124</v>
      </c>
      <c r="V14" s="120" t="s">
        <v>442</v>
      </c>
    </row>
    <row r="15" spans="1:22" ht="122.25" customHeight="1" x14ac:dyDescent="0.25">
      <c r="A15" s="314" t="s">
        <v>155</v>
      </c>
      <c r="B15" s="92" t="s">
        <v>125</v>
      </c>
      <c r="C15" s="98" t="s">
        <v>231</v>
      </c>
      <c r="D15" s="70" t="s">
        <v>173</v>
      </c>
      <c r="E15" s="70" t="s">
        <v>207</v>
      </c>
      <c r="F15" s="75" t="s">
        <v>242</v>
      </c>
      <c r="G15" s="99">
        <f>0/44640</f>
        <v>0</v>
      </c>
      <c r="H15" s="59">
        <f>0/40320</f>
        <v>0</v>
      </c>
      <c r="I15" s="59">
        <f>1320/44640</f>
        <v>2.9569892473118281E-2</v>
      </c>
      <c r="J15" s="69">
        <f>0/43200</f>
        <v>0</v>
      </c>
      <c r="K15" s="69">
        <f>120/44640</f>
        <v>2.6881720430107529E-3</v>
      </c>
      <c r="L15" s="100">
        <f>0/43200</f>
        <v>0</v>
      </c>
      <c r="M15" s="69">
        <f>2882/44640</f>
        <v>6.4560931899641572E-2</v>
      </c>
      <c r="N15" s="69">
        <f>1360/44640</f>
        <v>3.046594982078853E-2</v>
      </c>
      <c r="O15" s="69">
        <f>56/43200</f>
        <v>1.2962962962962963E-3</v>
      </c>
      <c r="P15" s="69">
        <f>25/44640</f>
        <v>5.6003584229390678E-4</v>
      </c>
      <c r="Q15" s="69">
        <f>0/43200</f>
        <v>0</v>
      </c>
      <c r="R15" s="125">
        <f>0/44640</f>
        <v>0</v>
      </c>
      <c r="S15" s="142">
        <f>5763/525600</f>
        <v>1.0964611872146118E-2</v>
      </c>
      <c r="T15" s="84" t="s">
        <v>285</v>
      </c>
      <c r="U15" s="92" t="s">
        <v>125</v>
      </c>
      <c r="V15" s="28" t="s">
        <v>443</v>
      </c>
    </row>
    <row r="16" spans="1:22" ht="138" customHeight="1" thickBot="1" x14ac:dyDescent="0.3">
      <c r="A16" s="315"/>
      <c r="B16" s="37" t="s">
        <v>126</v>
      </c>
      <c r="C16" s="91" t="s">
        <v>231</v>
      </c>
      <c r="D16" s="55" t="s">
        <v>174</v>
      </c>
      <c r="E16" s="55" t="s">
        <v>208</v>
      </c>
      <c r="F16" s="76" t="s">
        <v>329</v>
      </c>
      <c r="G16" s="101" t="s">
        <v>246</v>
      </c>
      <c r="H16" s="72">
        <f>136/544</f>
        <v>0.25</v>
      </c>
      <c r="I16" s="102" t="s">
        <v>246</v>
      </c>
      <c r="J16" s="102" t="s">
        <v>246</v>
      </c>
      <c r="K16" s="72">
        <f>272/544</f>
        <v>0.5</v>
      </c>
      <c r="L16" s="102" t="s">
        <v>246</v>
      </c>
      <c r="M16" s="102" t="s">
        <v>246</v>
      </c>
      <c r="N16" s="127">
        <f>408/544</f>
        <v>0.75</v>
      </c>
      <c r="O16" s="102" t="s">
        <v>246</v>
      </c>
      <c r="P16" s="184" t="s">
        <v>246</v>
      </c>
      <c r="Q16" s="72">
        <f>544/544</f>
        <v>1</v>
      </c>
      <c r="R16" s="185" t="s">
        <v>246</v>
      </c>
      <c r="S16" s="66">
        <f>+Q16</f>
        <v>1</v>
      </c>
      <c r="T16" s="86" t="s">
        <v>285</v>
      </c>
      <c r="U16" s="37" t="s">
        <v>126</v>
      </c>
      <c r="V16" s="26" t="s">
        <v>444</v>
      </c>
    </row>
    <row r="17" spans="1:22" ht="222" customHeight="1" thickBot="1" x14ac:dyDescent="0.3">
      <c r="A17" s="314" t="s">
        <v>156</v>
      </c>
      <c r="B17" s="92" t="s">
        <v>127</v>
      </c>
      <c r="C17" s="98" t="s">
        <v>228</v>
      </c>
      <c r="D17" s="70" t="s">
        <v>175</v>
      </c>
      <c r="E17" s="6" t="s">
        <v>209</v>
      </c>
      <c r="F17" s="75" t="s">
        <v>281</v>
      </c>
      <c r="G17" s="327">
        <f>6/9</f>
        <v>0.66666666666666663</v>
      </c>
      <c r="H17" s="291"/>
      <c r="I17" s="291"/>
      <c r="J17" s="291">
        <f>9/11</f>
        <v>0.81818181818181823</v>
      </c>
      <c r="K17" s="291"/>
      <c r="L17" s="291"/>
      <c r="M17" s="291">
        <f>11/5</f>
        <v>2.2000000000000002</v>
      </c>
      <c r="N17" s="291"/>
      <c r="O17" s="291"/>
      <c r="P17" s="274">
        <f>15/15</f>
        <v>1</v>
      </c>
      <c r="Q17" s="274"/>
      <c r="R17" s="321"/>
      <c r="S17" s="189">
        <f>41/40</f>
        <v>1.0249999999999999</v>
      </c>
      <c r="T17" s="84" t="s">
        <v>283</v>
      </c>
      <c r="U17" s="92" t="s">
        <v>127</v>
      </c>
      <c r="V17" s="28" t="s">
        <v>457</v>
      </c>
    </row>
    <row r="18" spans="1:22" ht="17.25" hidden="1" customHeight="1" thickBot="1" x14ac:dyDescent="0.3">
      <c r="A18" s="315"/>
      <c r="B18" s="37" t="s">
        <v>128</v>
      </c>
      <c r="C18" s="149" t="s">
        <v>408</v>
      </c>
      <c r="D18" s="150"/>
      <c r="E18" s="150"/>
      <c r="F18" s="150"/>
      <c r="G18" s="150"/>
      <c r="H18" s="150"/>
      <c r="I18" s="150"/>
      <c r="J18" s="150"/>
      <c r="K18" s="150"/>
      <c r="L18" s="150"/>
      <c r="M18" s="150"/>
      <c r="N18" s="150"/>
      <c r="O18" s="150"/>
      <c r="P18" s="150"/>
      <c r="Q18" s="150"/>
      <c r="R18" s="150"/>
      <c r="S18" s="150"/>
      <c r="T18" s="150"/>
      <c r="U18" s="37" t="s">
        <v>128</v>
      </c>
      <c r="V18" s="151"/>
    </row>
    <row r="19" spans="1:22" ht="147" customHeight="1" x14ac:dyDescent="0.25">
      <c r="A19" s="314" t="s">
        <v>157</v>
      </c>
      <c r="B19" s="92" t="s">
        <v>129</v>
      </c>
      <c r="C19" s="90" t="s">
        <v>228</v>
      </c>
      <c r="D19" s="103" t="s">
        <v>409</v>
      </c>
      <c r="E19" s="4" t="s">
        <v>211</v>
      </c>
      <c r="F19" s="82" t="s">
        <v>406</v>
      </c>
      <c r="G19" s="64">
        <f>9820609/32000000</f>
        <v>0.30689403124999998</v>
      </c>
      <c r="H19" s="69">
        <f>23524950/64000000</f>
        <v>0.36757734375000001</v>
      </c>
      <c r="I19" s="69">
        <f>28418374/96000000</f>
        <v>0.29602472916666667</v>
      </c>
      <c r="J19" s="69">
        <f>36655280/128000000</f>
        <v>0.28636937499999998</v>
      </c>
      <c r="K19" s="69">
        <f>42507143/160000000</f>
        <v>0.26566964375000002</v>
      </c>
      <c r="L19" s="69">
        <f>138256778/192000000</f>
        <v>0.72008738541666661</v>
      </c>
      <c r="M19" s="124">
        <f>155683926/224000000</f>
        <v>0.69501752678571427</v>
      </c>
      <c r="N19" s="124">
        <f>166468708/256000000</f>
        <v>0.65026839062499997</v>
      </c>
      <c r="O19" s="124">
        <f>174764659/288000000</f>
        <v>0.60682173263888894</v>
      </c>
      <c r="P19" s="69">
        <f>207030239/320000000</f>
        <v>0.64696949687500005</v>
      </c>
      <c r="Q19" s="69">
        <f>218880507/352000000</f>
        <v>0.62181962215909092</v>
      </c>
      <c r="R19" s="125">
        <f>244494713/384000000</f>
        <v>0.63670498177083334</v>
      </c>
      <c r="S19" s="142">
        <f>+R19</f>
        <v>0.63670498177083334</v>
      </c>
      <c r="T19" s="104" t="s">
        <v>255</v>
      </c>
      <c r="U19" s="92" t="s">
        <v>129</v>
      </c>
      <c r="V19" s="28" t="s">
        <v>446</v>
      </c>
    </row>
    <row r="20" spans="1:22" ht="266.25" customHeight="1" x14ac:dyDescent="0.25">
      <c r="A20" s="220"/>
      <c r="B20" s="36" t="s">
        <v>130</v>
      </c>
      <c r="C20" s="5" t="s">
        <v>228</v>
      </c>
      <c r="D20" s="11" t="s">
        <v>410</v>
      </c>
      <c r="E20" s="54" t="s">
        <v>212</v>
      </c>
      <c r="F20" s="81" t="s">
        <v>413</v>
      </c>
      <c r="G20" s="57">
        <f>6107014984/4231022038.16667</f>
        <v>1.4433900199314988</v>
      </c>
      <c r="H20" s="53">
        <f>12323144064/8462044076.16667</f>
        <v>1.4562845517087426</v>
      </c>
      <c r="I20" s="53">
        <f>21759474811/12693066114.1667</f>
        <v>1.7142804280137092</v>
      </c>
      <c r="J20" s="53">
        <f>23016773537/16924088152.1667</f>
        <v>1.3600008065458633</v>
      </c>
      <c r="K20" s="53">
        <f>25760238245/21155110190.1667</f>
        <v>1.2176839550083673</v>
      </c>
      <c r="L20" s="53">
        <f>29474245798/25386132228.1667</f>
        <v>1.1610372755128651</v>
      </c>
      <c r="M20" s="53">
        <f>29771516914/29617154266.1667</f>
        <v>1.0052119338153171</v>
      </c>
      <c r="N20" s="53">
        <f>31881444535/33848176304.1667</f>
        <v>0.94189548791363997</v>
      </c>
      <c r="O20" s="53">
        <f>34561314725/38079198342.1667</f>
        <v>0.90761665764189159</v>
      </c>
      <c r="P20" s="53">
        <f>37896415868/42310220380.1667</f>
        <v>0.89567994511709725</v>
      </c>
      <c r="Q20" s="53">
        <f>39816347917/46541242418.1667</f>
        <v>0.85550676879778065</v>
      </c>
      <c r="R20" s="123">
        <f>42617273141/50772264456.1667</f>
        <v>0.83938098088559432</v>
      </c>
      <c r="S20" s="144">
        <f>+R20</f>
        <v>0.83938098088559432</v>
      </c>
      <c r="T20" s="87" t="s">
        <v>256</v>
      </c>
      <c r="U20" s="36" t="s">
        <v>130</v>
      </c>
      <c r="V20" s="21" t="s">
        <v>447</v>
      </c>
    </row>
    <row r="21" spans="1:22" ht="225.75" customHeight="1" x14ac:dyDescent="0.25">
      <c r="A21" s="220"/>
      <c r="B21" s="36" t="s">
        <v>131</v>
      </c>
      <c r="C21" s="5" t="s">
        <v>228</v>
      </c>
      <c r="D21" s="11" t="s">
        <v>411</v>
      </c>
      <c r="E21" s="54" t="s">
        <v>334</v>
      </c>
      <c r="F21" s="81" t="s">
        <v>412</v>
      </c>
      <c r="G21" s="57">
        <f>22975102736/4231022038.16667</f>
        <v>5.4301543524824716</v>
      </c>
      <c r="H21" s="53">
        <f>23588697209/8462044076.16667</f>
        <v>2.7875885538622422</v>
      </c>
      <c r="I21" s="53">
        <f>24557688156/12693066114.1667</f>
        <v>1.9347325488670719</v>
      </c>
      <c r="J21" s="53">
        <f>25462893849/16924088152.1667</f>
        <v>1.5045356429285748</v>
      </c>
      <c r="K21" s="53">
        <f>26249296595/21155110190.1667</f>
        <v>1.2408016956206249</v>
      </c>
      <c r="L21" s="53">
        <f>27185504278/25386132228.1667</f>
        <v>1.070880118076311</v>
      </c>
      <c r="M21" s="53">
        <f>31784562488/29617154266.1667</f>
        <v>1.0731808398050333</v>
      </c>
      <c r="N21" s="53">
        <f>36898403411/33848176304.1667</f>
        <v>1.0901149615690764</v>
      </c>
      <c r="O21" s="53">
        <f>37785003980/38079198342.1667</f>
        <v>0.99227414507198464</v>
      </c>
      <c r="P21" s="53">
        <f>39199649997/42310220380.1667</f>
        <v>0.92648182034464632</v>
      </c>
      <c r="Q21" s="53">
        <f>41650978480/46541242418.1667</f>
        <v>0.89492622706054237</v>
      </c>
      <c r="R21" s="123">
        <f>45493824171/50772264456.1667</f>
        <v>0.8960369339105656</v>
      </c>
      <c r="S21" s="144">
        <f>+R21</f>
        <v>0.8960369339105656</v>
      </c>
      <c r="T21" s="87" t="s">
        <v>256</v>
      </c>
      <c r="U21" s="36" t="s">
        <v>131</v>
      </c>
      <c r="V21" s="21" t="s">
        <v>448</v>
      </c>
    </row>
    <row r="22" spans="1:22" ht="149.25" customHeight="1" x14ac:dyDescent="0.25">
      <c r="A22" s="220"/>
      <c r="B22" s="36" t="s">
        <v>132</v>
      </c>
      <c r="C22" s="5" t="s">
        <v>228</v>
      </c>
      <c r="D22" s="11" t="s">
        <v>180</v>
      </c>
      <c r="E22" s="9" t="s">
        <v>213</v>
      </c>
      <c r="F22" s="81" t="s">
        <v>251</v>
      </c>
      <c r="G22" s="266">
        <f>5022472120/7160617169</f>
        <v>0.70140212798185408</v>
      </c>
      <c r="H22" s="262"/>
      <c r="I22" s="262"/>
      <c r="J22" s="262">
        <f>8194515798/9902884228</f>
        <v>0.82748779136792716</v>
      </c>
      <c r="K22" s="262"/>
      <c r="L22" s="262"/>
      <c r="M22" s="262">
        <f>12821404073/14038830515</f>
        <v>0.91328149159581185</v>
      </c>
      <c r="N22" s="262"/>
      <c r="O22" s="262"/>
      <c r="P22" s="262">
        <f>18382896863/23006448801</f>
        <v>0.79903235053820942</v>
      </c>
      <c r="Q22" s="262"/>
      <c r="R22" s="307"/>
      <c r="S22" s="144">
        <f>+P22</f>
        <v>0.79903235053820942</v>
      </c>
      <c r="T22" s="87" t="s">
        <v>257</v>
      </c>
      <c r="U22" s="36" t="s">
        <v>132</v>
      </c>
      <c r="V22" s="21" t="s">
        <v>449</v>
      </c>
    </row>
    <row r="23" spans="1:22" ht="138" customHeight="1" x14ac:dyDescent="0.25">
      <c r="A23" s="220"/>
      <c r="B23" s="36" t="s">
        <v>133</v>
      </c>
      <c r="C23" s="5" t="s">
        <v>228</v>
      </c>
      <c r="D23" s="11" t="s">
        <v>181</v>
      </c>
      <c r="E23" s="9" t="s">
        <v>287</v>
      </c>
      <c r="F23" s="81" t="s">
        <v>252</v>
      </c>
      <c r="G23" s="57">
        <f>8905446328/28214437983</f>
        <v>0.31563436894847186</v>
      </c>
      <c r="H23" s="53">
        <f>7893714221/28215962019</f>
        <v>0.27976059138740506</v>
      </c>
      <c r="I23" s="53">
        <f>7080083442/29545700119</f>
        <v>0.23963160167076222</v>
      </c>
      <c r="J23" s="53">
        <f>7319346407/27899031343</f>
        <v>0.26235127367016842</v>
      </c>
      <c r="K23" s="53">
        <f>6290700783/25232487536</f>
        <v>0.24930957655383185</v>
      </c>
      <c r="L23" s="53">
        <f>6229359108/27458674903</f>
        <v>0.22686306349471405</v>
      </c>
      <c r="M23" s="53">
        <f>7614576283/27264402488</f>
        <v>0.27928638033976488</v>
      </c>
      <c r="N23" s="53">
        <f>6211461526/25824972303</f>
        <v>0.2405215174336677</v>
      </c>
      <c r="O23" s="53">
        <f>5166776267.9/23062174843.75</f>
        <v>0.22403681798901243</v>
      </c>
      <c r="P23" s="175">
        <f>4708857172/23998407927</f>
        <v>0.1962153983849147</v>
      </c>
      <c r="Q23" s="175">
        <f>3945401550/23017998422</f>
        <v>0.17140506649045073</v>
      </c>
      <c r="R23" s="190" t="s">
        <v>246</v>
      </c>
      <c r="S23" s="197">
        <f>+Q23</f>
        <v>0.17140506649045073</v>
      </c>
      <c r="T23" s="87" t="s">
        <v>258</v>
      </c>
      <c r="U23" s="36" t="s">
        <v>133</v>
      </c>
      <c r="V23" s="21" t="s">
        <v>462</v>
      </c>
    </row>
    <row r="24" spans="1:22" ht="123.75" customHeight="1" x14ac:dyDescent="0.25">
      <c r="A24" s="220"/>
      <c r="B24" s="36" t="s">
        <v>134</v>
      </c>
      <c r="C24" s="5" t="s">
        <v>228</v>
      </c>
      <c r="D24" s="11" t="s">
        <v>182</v>
      </c>
      <c r="E24" s="9" t="s">
        <v>214</v>
      </c>
      <c r="F24" s="81" t="s">
        <v>253</v>
      </c>
      <c r="G24" s="193">
        <f>15744583124-8905446328</f>
        <v>6839136796</v>
      </c>
      <c r="H24" s="194">
        <f>15585215559-7893714221</f>
        <v>7691501338</v>
      </c>
      <c r="I24" s="194">
        <f>17073631928-7080083442</f>
        <v>9993548486</v>
      </c>
      <c r="J24" s="194">
        <f>15871004278-7319346407</f>
        <v>8551657871</v>
      </c>
      <c r="K24" s="194">
        <f>25232487536-6290700783</f>
        <v>18941786753</v>
      </c>
      <c r="L24" s="194">
        <f>27458674903-6229357108</f>
        <v>21229317795</v>
      </c>
      <c r="M24" s="194">
        <f>15461856107-7614576283</f>
        <v>7847279824</v>
      </c>
      <c r="N24" s="194">
        <f>14108877307-6211461526</f>
        <v>7897415781</v>
      </c>
      <c r="O24" s="194">
        <f>8422584968.22-5166776267.9</f>
        <v>3255808700.3200006</v>
      </c>
      <c r="P24" s="195">
        <f>12825777365-4708857172</f>
        <v>8116920193</v>
      </c>
      <c r="Q24" s="195">
        <f>11929208854-3945401550</f>
        <v>7983807304</v>
      </c>
      <c r="R24" s="196" t="s">
        <v>246</v>
      </c>
      <c r="S24" s="198">
        <f>+O24</f>
        <v>3255808700.3200006</v>
      </c>
      <c r="T24" s="87" t="s">
        <v>258</v>
      </c>
      <c r="U24" s="36" t="s">
        <v>134</v>
      </c>
      <c r="V24" s="21" t="s">
        <v>463</v>
      </c>
    </row>
    <row r="25" spans="1:22" ht="91.5" customHeight="1" thickBot="1" x14ac:dyDescent="0.3">
      <c r="A25" s="315"/>
      <c r="B25" s="37" t="s">
        <v>135</v>
      </c>
      <c r="C25" s="91" t="s">
        <v>228</v>
      </c>
      <c r="D25" s="105" t="s">
        <v>183</v>
      </c>
      <c r="E25" s="24" t="s">
        <v>215</v>
      </c>
      <c r="F25" s="83" t="s">
        <v>254</v>
      </c>
      <c r="G25" s="106">
        <f>15744583124/8905446328</f>
        <v>1.7679723782621397</v>
      </c>
      <c r="H25" s="107">
        <f>15585215559/7893714221</f>
        <v>1.9743830499383872</v>
      </c>
      <c r="I25" s="107">
        <f>17073631928/7080083442</f>
        <v>2.4115015123574586</v>
      </c>
      <c r="J25" s="107">
        <f>15871004278/7319346407</f>
        <v>2.1683635936156067</v>
      </c>
      <c r="K25" s="107">
        <f>25232487536/6290700783</f>
        <v>4.0110773674354876</v>
      </c>
      <c r="L25" s="107">
        <f>27458674903/6229357108</f>
        <v>4.4079468277290488</v>
      </c>
      <c r="M25" s="107">
        <f>15461856107/7614576283</f>
        <v>2.0305602744461995</v>
      </c>
      <c r="N25" s="107">
        <f>14108877307/6211461526</f>
        <v>2.2714263378985629</v>
      </c>
      <c r="O25" s="107">
        <f>8422584968.22/5166776267.9</f>
        <v>1.6301431553263872</v>
      </c>
      <c r="P25" s="191">
        <f>12825777365/4708857172</f>
        <v>2.7237558703766096</v>
      </c>
      <c r="Q25" s="191">
        <f>11929208854/3945401550</f>
        <v>3.0235728107320279</v>
      </c>
      <c r="R25" s="192" t="s">
        <v>246</v>
      </c>
      <c r="S25" s="199">
        <f>+Q25</f>
        <v>3.0235728107320279</v>
      </c>
      <c r="T25" s="108" t="s">
        <v>258</v>
      </c>
      <c r="U25" s="37" t="s">
        <v>135</v>
      </c>
      <c r="V25" s="26" t="s">
        <v>464</v>
      </c>
    </row>
    <row r="26" spans="1:22" ht="137.25" customHeight="1" x14ac:dyDescent="0.25">
      <c r="A26" s="314" t="s">
        <v>158</v>
      </c>
      <c r="B26" s="92" t="s">
        <v>136</v>
      </c>
      <c r="C26" s="90" t="s">
        <v>227</v>
      </c>
      <c r="D26" s="4" t="s">
        <v>184</v>
      </c>
      <c r="E26" s="4" t="s">
        <v>216</v>
      </c>
      <c r="F26" s="75" t="s">
        <v>244</v>
      </c>
      <c r="G26" s="334">
        <f>411/411</f>
        <v>1</v>
      </c>
      <c r="H26" s="308"/>
      <c r="I26" s="308"/>
      <c r="J26" s="308">
        <f>14/14</f>
        <v>1</v>
      </c>
      <c r="K26" s="308"/>
      <c r="L26" s="308"/>
      <c r="M26" s="308">
        <f>342/342</f>
        <v>1</v>
      </c>
      <c r="N26" s="308"/>
      <c r="O26" s="308"/>
      <c r="P26" s="305">
        <f>178/178</f>
        <v>1</v>
      </c>
      <c r="Q26" s="305"/>
      <c r="R26" s="306"/>
      <c r="S26" s="146">
        <f>945/945</f>
        <v>1</v>
      </c>
      <c r="T26" s="109" t="s">
        <v>326</v>
      </c>
      <c r="U26" s="92" t="s">
        <v>136</v>
      </c>
      <c r="V26" s="28" t="s">
        <v>475</v>
      </c>
    </row>
    <row r="27" spans="1:22" ht="102.75" customHeight="1" x14ac:dyDescent="0.25">
      <c r="A27" s="220"/>
      <c r="B27" s="36" t="s">
        <v>137</v>
      </c>
      <c r="C27" s="5" t="s">
        <v>227</v>
      </c>
      <c r="D27" s="54" t="s">
        <v>185</v>
      </c>
      <c r="E27" s="54" t="s">
        <v>217</v>
      </c>
      <c r="F27" s="74" t="s">
        <v>245</v>
      </c>
      <c r="G27" s="330">
        <f>0/4</f>
        <v>0</v>
      </c>
      <c r="H27" s="305"/>
      <c r="I27" s="305"/>
      <c r="J27" s="305">
        <f>0/4</f>
        <v>0</v>
      </c>
      <c r="K27" s="305"/>
      <c r="L27" s="305"/>
      <c r="M27" s="305">
        <f>1/4</f>
        <v>0.25</v>
      </c>
      <c r="N27" s="305"/>
      <c r="O27" s="305"/>
      <c r="P27" s="305">
        <f>1/4</f>
        <v>0.25</v>
      </c>
      <c r="Q27" s="305"/>
      <c r="R27" s="306"/>
      <c r="S27" s="202">
        <f>+P27</f>
        <v>0.25</v>
      </c>
      <c r="T27" s="88" t="s">
        <v>326</v>
      </c>
      <c r="U27" s="36" t="s">
        <v>137</v>
      </c>
      <c r="V27" s="21" t="s">
        <v>468</v>
      </c>
    </row>
    <row r="28" spans="1:22" ht="96.75" customHeight="1" x14ac:dyDescent="0.25">
      <c r="A28" s="220"/>
      <c r="B28" s="36" t="s">
        <v>138</v>
      </c>
      <c r="C28" s="5" t="s">
        <v>227</v>
      </c>
      <c r="D28" s="9" t="s">
        <v>186</v>
      </c>
      <c r="E28" s="9" t="s">
        <v>218</v>
      </c>
      <c r="F28" s="74" t="s">
        <v>292</v>
      </c>
      <c r="G28" s="330">
        <f>4/4</f>
        <v>1</v>
      </c>
      <c r="H28" s="305"/>
      <c r="I28" s="305"/>
      <c r="J28" s="305">
        <f>8/8</f>
        <v>1</v>
      </c>
      <c r="K28" s="305"/>
      <c r="L28" s="305"/>
      <c r="M28" s="305">
        <f>3/3</f>
        <v>1</v>
      </c>
      <c r="N28" s="305"/>
      <c r="O28" s="305"/>
      <c r="P28" s="354" t="s">
        <v>246</v>
      </c>
      <c r="Q28" s="354"/>
      <c r="R28" s="355"/>
      <c r="S28" s="202">
        <f>15/15</f>
        <v>1</v>
      </c>
      <c r="T28" s="88" t="s">
        <v>326</v>
      </c>
      <c r="U28" s="36" t="s">
        <v>138</v>
      </c>
      <c r="V28" s="21" t="s">
        <v>469</v>
      </c>
    </row>
    <row r="29" spans="1:22" ht="89.25" customHeight="1" x14ac:dyDescent="0.25">
      <c r="A29" s="220"/>
      <c r="B29" s="36" t="s">
        <v>139</v>
      </c>
      <c r="C29" s="5" t="s">
        <v>227</v>
      </c>
      <c r="D29" s="9" t="s">
        <v>187</v>
      </c>
      <c r="E29" s="54" t="s">
        <v>219</v>
      </c>
      <c r="F29" s="74" t="s">
        <v>293</v>
      </c>
      <c r="G29" s="330" t="s">
        <v>246</v>
      </c>
      <c r="H29" s="305"/>
      <c r="I29" s="305"/>
      <c r="J29" s="305" t="s">
        <v>246</v>
      </c>
      <c r="K29" s="305"/>
      <c r="L29" s="305"/>
      <c r="M29" s="305">
        <f>10/10</f>
        <v>1</v>
      </c>
      <c r="N29" s="305"/>
      <c r="O29" s="305"/>
      <c r="P29" s="354">
        <f>5/5</f>
        <v>1</v>
      </c>
      <c r="Q29" s="354"/>
      <c r="R29" s="355"/>
      <c r="S29" s="202">
        <f>15/15</f>
        <v>1</v>
      </c>
      <c r="T29" s="88" t="s">
        <v>326</v>
      </c>
      <c r="U29" s="36" t="s">
        <v>139</v>
      </c>
      <c r="V29" s="21" t="s">
        <v>470</v>
      </c>
    </row>
    <row r="30" spans="1:22" ht="93.75" customHeight="1" x14ac:dyDescent="0.25">
      <c r="A30" s="220"/>
      <c r="B30" s="36" t="s">
        <v>140</v>
      </c>
      <c r="C30" s="5" t="s">
        <v>227</v>
      </c>
      <c r="D30" s="54" t="s">
        <v>188</v>
      </c>
      <c r="E30" s="54" t="s">
        <v>220</v>
      </c>
      <c r="F30" s="74" t="s">
        <v>291</v>
      </c>
      <c r="G30" s="330">
        <f>411/411</f>
        <v>1</v>
      </c>
      <c r="H30" s="305"/>
      <c r="I30" s="305"/>
      <c r="J30" s="305">
        <f>14/14</f>
        <v>1</v>
      </c>
      <c r="K30" s="305"/>
      <c r="L30" s="305"/>
      <c r="M30" s="305">
        <f>342/342</f>
        <v>1</v>
      </c>
      <c r="N30" s="305"/>
      <c r="O30" s="305"/>
      <c r="P30" s="305">
        <f>178/178</f>
        <v>1</v>
      </c>
      <c r="Q30" s="305"/>
      <c r="R30" s="306"/>
      <c r="S30" s="202">
        <f>945/945</f>
        <v>1</v>
      </c>
      <c r="T30" s="88" t="s">
        <v>326</v>
      </c>
      <c r="U30" s="36" t="s">
        <v>140</v>
      </c>
      <c r="V30" s="21" t="s">
        <v>461</v>
      </c>
    </row>
    <row r="31" spans="1:22" ht="138.75" customHeight="1" thickBot="1" x14ac:dyDescent="0.3">
      <c r="A31" s="315"/>
      <c r="B31" s="37" t="s">
        <v>141</v>
      </c>
      <c r="C31" s="91" t="s">
        <v>227</v>
      </c>
      <c r="D31" s="55" t="s">
        <v>189</v>
      </c>
      <c r="E31" s="55" t="s">
        <v>221</v>
      </c>
      <c r="F31" s="76" t="s">
        <v>294</v>
      </c>
      <c r="G31" s="329">
        <f>12/19</f>
        <v>0.63157894736842102</v>
      </c>
      <c r="H31" s="300"/>
      <c r="I31" s="300"/>
      <c r="J31" s="300">
        <f>9/19</f>
        <v>0.47368421052631576</v>
      </c>
      <c r="K31" s="300"/>
      <c r="L31" s="300"/>
      <c r="M31" s="300">
        <f>11/22</f>
        <v>0.5</v>
      </c>
      <c r="N31" s="300"/>
      <c r="O31" s="300"/>
      <c r="P31" s="300">
        <f>15/22</f>
        <v>0.68181818181818177</v>
      </c>
      <c r="Q31" s="300"/>
      <c r="R31" s="301"/>
      <c r="S31" s="206">
        <f>+AVERAGE(12,9,11,15)/AVERAGE(19,19,22,22)</f>
        <v>0.57317073170731703</v>
      </c>
      <c r="T31" s="110" t="s">
        <v>326</v>
      </c>
      <c r="U31" s="37" t="s">
        <v>141</v>
      </c>
      <c r="V31" s="26" t="s">
        <v>471</v>
      </c>
    </row>
    <row r="32" spans="1:22" ht="102" customHeight="1" thickBot="1" x14ac:dyDescent="0.3">
      <c r="A32" s="314" t="s">
        <v>159</v>
      </c>
      <c r="B32" s="92" t="s">
        <v>142</v>
      </c>
      <c r="C32" s="98" t="s">
        <v>227</v>
      </c>
      <c r="D32" s="70" t="s">
        <v>190</v>
      </c>
      <c r="E32" s="70" t="s">
        <v>288</v>
      </c>
      <c r="F32" s="75" t="s">
        <v>402</v>
      </c>
      <c r="G32" s="111" t="s">
        <v>246</v>
      </c>
      <c r="H32" s="112" t="s">
        <v>246</v>
      </c>
      <c r="I32" s="113">
        <f>4/5</f>
        <v>0.8</v>
      </c>
      <c r="J32" s="112" t="s">
        <v>246</v>
      </c>
      <c r="K32" s="113">
        <f>3.3/5</f>
        <v>0.65999999999999992</v>
      </c>
      <c r="L32" s="114" t="s">
        <v>246</v>
      </c>
      <c r="M32" s="113">
        <f>3.2/5</f>
        <v>0.64</v>
      </c>
      <c r="N32" s="113">
        <f>3.2/5</f>
        <v>0.64</v>
      </c>
      <c r="O32" s="113">
        <f>4/5</f>
        <v>0.8</v>
      </c>
      <c r="P32" s="112" t="s">
        <v>246</v>
      </c>
      <c r="Q32" s="113">
        <f>4/5</f>
        <v>0.8</v>
      </c>
      <c r="R32" s="140" t="s">
        <v>246</v>
      </c>
      <c r="S32" s="146">
        <f>+AVERAGE(G32:R32)</f>
        <v>0.72333333333333327</v>
      </c>
      <c r="T32" s="109" t="s">
        <v>260</v>
      </c>
      <c r="U32" s="92" t="s">
        <v>142</v>
      </c>
      <c r="V32" s="28" t="s">
        <v>450</v>
      </c>
    </row>
    <row r="33" spans="1:22" ht="22.5" hidden="1" customHeight="1" thickBot="1" x14ac:dyDescent="0.3">
      <c r="A33" s="315"/>
      <c r="B33" s="37" t="s">
        <v>143</v>
      </c>
      <c r="C33" s="152" t="s">
        <v>408</v>
      </c>
      <c r="D33" s="153"/>
      <c r="E33" s="153"/>
      <c r="F33" s="153"/>
      <c r="G33" s="153"/>
      <c r="H33" s="153"/>
      <c r="I33" s="153"/>
      <c r="J33" s="153"/>
      <c r="K33" s="153"/>
      <c r="L33" s="153"/>
      <c r="M33" s="153"/>
      <c r="N33" s="153"/>
      <c r="O33" s="153"/>
      <c r="P33" s="153"/>
      <c r="Q33" s="153"/>
      <c r="R33" s="153"/>
      <c r="S33" s="153"/>
      <c r="T33" s="153"/>
      <c r="U33" s="37" t="s">
        <v>143</v>
      </c>
      <c r="V33" s="154"/>
    </row>
    <row r="34" spans="1:22" ht="123" customHeight="1" x14ac:dyDescent="0.25">
      <c r="A34" s="314" t="s">
        <v>160</v>
      </c>
      <c r="B34" s="92" t="s">
        <v>144</v>
      </c>
      <c r="C34" s="90" t="s">
        <v>227</v>
      </c>
      <c r="D34" s="70" t="s">
        <v>192</v>
      </c>
      <c r="E34" s="70" t="s">
        <v>223</v>
      </c>
      <c r="F34" s="75" t="s">
        <v>330</v>
      </c>
      <c r="G34" s="331">
        <f>338/342</f>
        <v>0.98830409356725146</v>
      </c>
      <c r="H34" s="332"/>
      <c r="I34" s="333"/>
      <c r="J34" s="336">
        <f>40/40</f>
        <v>1</v>
      </c>
      <c r="K34" s="332"/>
      <c r="L34" s="333"/>
      <c r="M34" s="350">
        <f>229/229</f>
        <v>1</v>
      </c>
      <c r="N34" s="351"/>
      <c r="O34" s="352"/>
      <c r="P34" s="345">
        <f>44/44</f>
        <v>1</v>
      </c>
      <c r="Q34" s="346"/>
      <c r="R34" s="347"/>
      <c r="S34" s="146">
        <f>651/655</f>
        <v>0.99389312977099231</v>
      </c>
      <c r="T34" s="115" t="s">
        <v>271</v>
      </c>
      <c r="U34" s="92" t="s">
        <v>144</v>
      </c>
      <c r="V34" s="28" t="s">
        <v>474</v>
      </c>
    </row>
    <row r="35" spans="1:22" ht="120" customHeight="1" x14ac:dyDescent="0.25">
      <c r="A35" s="220"/>
      <c r="B35" s="36" t="s">
        <v>145</v>
      </c>
      <c r="C35" s="5" t="s">
        <v>227</v>
      </c>
      <c r="D35" s="10" t="s">
        <v>193</v>
      </c>
      <c r="E35" s="10" t="s">
        <v>223</v>
      </c>
      <c r="F35" s="74" t="s">
        <v>267</v>
      </c>
      <c r="G35" s="330">
        <f>3/3</f>
        <v>1</v>
      </c>
      <c r="H35" s="305"/>
      <c r="I35" s="305"/>
      <c r="J35" s="335">
        <f>2/2</f>
        <v>1</v>
      </c>
      <c r="K35" s="335"/>
      <c r="L35" s="335"/>
      <c r="M35" s="335">
        <f>1/1</f>
        <v>1</v>
      </c>
      <c r="N35" s="335"/>
      <c r="O35" s="335"/>
      <c r="P35" s="342">
        <f>3/3</f>
        <v>1</v>
      </c>
      <c r="Q35" s="343"/>
      <c r="R35" s="344"/>
      <c r="S35" s="147">
        <f>9/9</f>
        <v>1</v>
      </c>
      <c r="T35" s="89" t="s">
        <v>271</v>
      </c>
      <c r="U35" s="36" t="s">
        <v>145</v>
      </c>
      <c r="V35" s="21" t="s">
        <v>451</v>
      </c>
    </row>
    <row r="36" spans="1:22" ht="111" customHeight="1" x14ac:dyDescent="0.25">
      <c r="A36" s="220"/>
      <c r="B36" s="36" t="s">
        <v>146</v>
      </c>
      <c r="C36" s="5" t="s">
        <v>227</v>
      </c>
      <c r="D36" s="10" t="s">
        <v>194</v>
      </c>
      <c r="E36" s="10" t="s">
        <v>208</v>
      </c>
      <c r="F36" s="74" t="s">
        <v>331</v>
      </c>
      <c r="G36" s="330">
        <f>1/3</f>
        <v>0.33333333333333331</v>
      </c>
      <c r="H36" s="305"/>
      <c r="I36" s="305"/>
      <c r="J36" s="335">
        <f>1/3</f>
        <v>0.33333333333333331</v>
      </c>
      <c r="K36" s="335"/>
      <c r="L36" s="335"/>
      <c r="M36" s="262">
        <f>2/3</f>
        <v>0.66666666666666663</v>
      </c>
      <c r="N36" s="262"/>
      <c r="O36" s="262"/>
      <c r="P36" s="310">
        <f>3/3</f>
        <v>1</v>
      </c>
      <c r="Q36" s="348"/>
      <c r="R36" s="349"/>
      <c r="S36" s="187">
        <f>+P36</f>
        <v>1</v>
      </c>
      <c r="T36" s="89" t="s">
        <v>271</v>
      </c>
      <c r="U36" s="36" t="s">
        <v>146</v>
      </c>
      <c r="V36" s="62" t="s">
        <v>473</v>
      </c>
    </row>
    <row r="37" spans="1:22" ht="409.5" customHeight="1" x14ac:dyDescent="0.25">
      <c r="A37" s="220"/>
      <c r="B37" s="36" t="s">
        <v>147</v>
      </c>
      <c r="C37" s="5" t="s">
        <v>227</v>
      </c>
      <c r="D37" s="10" t="s">
        <v>195</v>
      </c>
      <c r="E37" s="10" t="s">
        <v>224</v>
      </c>
      <c r="F37" s="74" t="s">
        <v>269</v>
      </c>
      <c r="G37" s="330">
        <f>1/7</f>
        <v>0.14285714285714285</v>
      </c>
      <c r="H37" s="305"/>
      <c r="I37" s="305"/>
      <c r="J37" s="305">
        <f>2/7</f>
        <v>0.2857142857142857</v>
      </c>
      <c r="K37" s="305"/>
      <c r="L37" s="305"/>
      <c r="M37" s="305">
        <f>3/7</f>
        <v>0.42857142857142855</v>
      </c>
      <c r="N37" s="305"/>
      <c r="O37" s="305"/>
      <c r="P37" s="305">
        <f>6.37/7</f>
        <v>0.91</v>
      </c>
      <c r="Q37" s="305"/>
      <c r="R37" s="306"/>
      <c r="S37" s="147">
        <f>+P37</f>
        <v>0.91</v>
      </c>
      <c r="T37" s="89" t="s">
        <v>272</v>
      </c>
      <c r="U37" s="36" t="s">
        <v>147</v>
      </c>
      <c r="V37" s="62" t="s">
        <v>452</v>
      </c>
    </row>
    <row r="38" spans="1:22" ht="213" customHeight="1" thickBot="1" x14ac:dyDescent="0.3">
      <c r="A38" s="315"/>
      <c r="B38" s="37" t="s">
        <v>148</v>
      </c>
      <c r="C38" s="91" t="s">
        <v>227</v>
      </c>
      <c r="D38" s="12" t="s">
        <v>196</v>
      </c>
      <c r="E38" s="12" t="s">
        <v>225</v>
      </c>
      <c r="F38" s="76" t="s">
        <v>270</v>
      </c>
      <c r="G38" s="329">
        <f>1/1</f>
        <v>1</v>
      </c>
      <c r="H38" s="300"/>
      <c r="I38" s="300"/>
      <c r="J38" s="301">
        <f>6/6</f>
        <v>1</v>
      </c>
      <c r="K38" s="311"/>
      <c r="L38" s="312"/>
      <c r="M38" s="300">
        <f>7/6</f>
        <v>1.1666666666666667</v>
      </c>
      <c r="N38" s="300"/>
      <c r="O38" s="300"/>
      <c r="P38" s="300">
        <f>80/80</f>
        <v>1</v>
      </c>
      <c r="Q38" s="300"/>
      <c r="R38" s="301"/>
      <c r="S38" s="148">
        <f>94/93</f>
        <v>1.010752688172043</v>
      </c>
      <c r="T38" s="116" t="s">
        <v>403</v>
      </c>
      <c r="U38" s="37" t="s">
        <v>148</v>
      </c>
      <c r="V38" s="62" t="s">
        <v>435</v>
      </c>
    </row>
    <row r="39" spans="1:22" s="39" customFormat="1" ht="33" hidden="1" customHeight="1" thickBot="1" x14ac:dyDescent="0.3">
      <c r="A39" s="117" t="s">
        <v>161</v>
      </c>
      <c r="B39" s="118" t="s">
        <v>149</v>
      </c>
      <c r="C39" s="155" t="s">
        <v>414</v>
      </c>
      <c r="D39" s="156"/>
      <c r="E39" s="156"/>
      <c r="F39" s="156"/>
      <c r="G39" s="156"/>
      <c r="H39" s="156"/>
      <c r="I39" s="156"/>
      <c r="J39" s="156"/>
      <c r="K39" s="156"/>
      <c r="L39" s="156"/>
      <c r="M39" s="156"/>
      <c r="N39" s="156"/>
      <c r="O39" s="156"/>
      <c r="P39" s="156"/>
      <c r="Q39" s="156"/>
      <c r="R39" s="156"/>
      <c r="S39" s="156"/>
      <c r="T39" s="156"/>
      <c r="U39" s="118" t="s">
        <v>149</v>
      </c>
      <c r="V39" s="157"/>
    </row>
    <row r="40" spans="1:22" ht="221.25" customHeight="1" thickBot="1" x14ac:dyDescent="0.3">
      <c r="A40" s="93" t="s">
        <v>162</v>
      </c>
      <c r="B40" s="94" t="s">
        <v>150</v>
      </c>
      <c r="C40" s="119" t="s">
        <v>227</v>
      </c>
      <c r="D40" s="96" t="s">
        <v>404</v>
      </c>
      <c r="E40" s="96" t="s">
        <v>226</v>
      </c>
      <c r="F40" s="77" t="s">
        <v>264</v>
      </c>
      <c r="G40" s="328">
        <f>7/14</f>
        <v>0.5</v>
      </c>
      <c r="H40" s="302"/>
      <c r="I40" s="302"/>
      <c r="J40" s="302">
        <f>14/15</f>
        <v>0.93333333333333335</v>
      </c>
      <c r="K40" s="302"/>
      <c r="L40" s="302"/>
      <c r="M40" s="302">
        <f>22/22</f>
        <v>1</v>
      </c>
      <c r="N40" s="302"/>
      <c r="O40" s="302"/>
      <c r="P40" s="303">
        <f>38/39</f>
        <v>0.97435897435897434</v>
      </c>
      <c r="Q40" s="303"/>
      <c r="R40" s="304"/>
      <c r="S40" s="200">
        <f>+P40</f>
        <v>0.97435897435897434</v>
      </c>
      <c r="T40" s="201" t="s">
        <v>265</v>
      </c>
      <c r="U40" s="94" t="s">
        <v>150</v>
      </c>
      <c r="V40" s="31" t="s">
        <v>458</v>
      </c>
    </row>
  </sheetData>
  <autoFilter ref="A4:V40"/>
  <mergeCells count="97">
    <mergeCell ref="T3:T4"/>
    <mergeCell ref="P35:R35"/>
    <mergeCell ref="P34:R34"/>
    <mergeCell ref="P36:R36"/>
    <mergeCell ref="M36:O36"/>
    <mergeCell ref="M34:O34"/>
    <mergeCell ref="M35:O35"/>
    <mergeCell ref="P7:R7"/>
    <mergeCell ref="M8:O8"/>
    <mergeCell ref="M28:O28"/>
    <mergeCell ref="M29:O29"/>
    <mergeCell ref="P28:R28"/>
    <mergeCell ref="P29:R29"/>
    <mergeCell ref="D3:D4"/>
    <mergeCell ref="E3:E4"/>
    <mergeCell ref="A1:T1"/>
    <mergeCell ref="G28:I28"/>
    <mergeCell ref="J28:L28"/>
    <mergeCell ref="P8:R8"/>
    <mergeCell ref="M14:O14"/>
    <mergeCell ref="P14:R14"/>
    <mergeCell ref="M17:O17"/>
    <mergeCell ref="P17:R17"/>
    <mergeCell ref="G8:I8"/>
    <mergeCell ref="G22:I22"/>
    <mergeCell ref="A5:A7"/>
    <mergeCell ref="A8:A9"/>
    <mergeCell ref="A10:A13"/>
    <mergeCell ref="A15:A16"/>
    <mergeCell ref="J40:L40"/>
    <mergeCell ref="J22:L22"/>
    <mergeCell ref="G26:I26"/>
    <mergeCell ref="J26:L26"/>
    <mergeCell ref="G27:I27"/>
    <mergeCell ref="J27:L27"/>
    <mergeCell ref="G31:I31"/>
    <mergeCell ref="J31:L31"/>
    <mergeCell ref="J36:L36"/>
    <mergeCell ref="G30:I30"/>
    <mergeCell ref="J30:L30"/>
    <mergeCell ref="J29:L29"/>
    <mergeCell ref="J34:L34"/>
    <mergeCell ref="J35:L35"/>
    <mergeCell ref="J37:L37"/>
    <mergeCell ref="A26:A31"/>
    <mergeCell ref="A32:A33"/>
    <mergeCell ref="A34:A38"/>
    <mergeCell ref="G40:I40"/>
    <mergeCell ref="G38:I38"/>
    <mergeCell ref="G29:I29"/>
    <mergeCell ref="G34:I34"/>
    <mergeCell ref="G35:I35"/>
    <mergeCell ref="G36:I36"/>
    <mergeCell ref="G37:I37"/>
    <mergeCell ref="U3:U4"/>
    <mergeCell ref="A17:A18"/>
    <mergeCell ref="A19:A25"/>
    <mergeCell ref="J8:L8"/>
    <mergeCell ref="F3:F4"/>
    <mergeCell ref="G3:S3"/>
    <mergeCell ref="M6:O6"/>
    <mergeCell ref="G5:I5"/>
    <mergeCell ref="J5:L5"/>
    <mergeCell ref="M5:O5"/>
    <mergeCell ref="P5:R5"/>
    <mergeCell ref="C3:C4"/>
    <mergeCell ref="B3:B4"/>
    <mergeCell ref="A3:A4"/>
    <mergeCell ref="G17:I17"/>
    <mergeCell ref="J17:L17"/>
    <mergeCell ref="G6:I6"/>
    <mergeCell ref="J6:L6"/>
    <mergeCell ref="G7:I7"/>
    <mergeCell ref="J7:L7"/>
    <mergeCell ref="G14:I14"/>
    <mergeCell ref="J14:L14"/>
    <mergeCell ref="M37:O37"/>
    <mergeCell ref="P37:R37"/>
    <mergeCell ref="J38:L38"/>
    <mergeCell ref="M38:O38"/>
    <mergeCell ref="P38:R38"/>
    <mergeCell ref="U1:V1"/>
    <mergeCell ref="M31:O31"/>
    <mergeCell ref="P31:R31"/>
    <mergeCell ref="M40:O40"/>
    <mergeCell ref="P40:R40"/>
    <mergeCell ref="M30:O30"/>
    <mergeCell ref="P30:R30"/>
    <mergeCell ref="M22:O22"/>
    <mergeCell ref="P22:R22"/>
    <mergeCell ref="M26:O26"/>
    <mergeCell ref="P26:R26"/>
    <mergeCell ref="M27:O27"/>
    <mergeCell ref="P27:R27"/>
    <mergeCell ref="V3:V4"/>
    <mergeCell ref="P6:R6"/>
    <mergeCell ref="M7:O7"/>
  </mergeCells>
  <printOptions horizontalCentered="1"/>
  <pageMargins left="0.15748031496062992" right="0.15748031496062992" top="0.39370078740157483" bottom="0.39370078740157483" header="0.31496062992125984" footer="0.31496062992125984"/>
  <pageSetup paperSize="281" scale="60" pageOrder="overThenDown" orientation="landscape" horizontalDpi="4294967294" r:id="rId1"/>
  <colBreaks count="1" manualBreakCount="1">
    <brk id="20"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59CFA42D2385C49BAF161840AA51F6E" ma:contentTypeVersion="0" ma:contentTypeDescription="Crear nuevo documento." ma:contentTypeScope="" ma:versionID="666fe1cd5b7e6e0fd54154ac0f7fbc67">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E3BB28-B00F-4080-884E-FB49EF77A735}">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6632E6BD-FE41-49F4-AD7E-A1CCC86125EE}">
  <ds:schemaRefs>
    <ds:schemaRef ds:uri="http://schemas.microsoft.com/sharepoint/v3/contenttype/forms"/>
  </ds:schemaRefs>
</ds:datastoreItem>
</file>

<file path=customXml/itemProps3.xml><?xml version="1.0" encoding="utf-8"?>
<ds:datastoreItem xmlns:ds="http://schemas.openxmlformats.org/officeDocument/2006/customXml" ds:itemID="{91542454-55A7-4169-93A3-668A12F7C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Resumen Plan de Acción</vt:lpstr>
      <vt:lpstr>Resumen Indicadores Procesos</vt:lpstr>
      <vt:lpstr>Reporte - Plan de acción</vt:lpstr>
      <vt:lpstr>Reporte - Ind de proceso</vt:lpstr>
      <vt:lpstr>'Reporte - Plan de acción'!Área_de_impresión</vt:lpstr>
      <vt:lpstr>'Reporte - Ind de proceso'!Títulos_a_imprimir</vt:lpstr>
      <vt:lpstr>'Reporte - Plan de acción'!Títulos_a_imprimir</vt:lpstr>
      <vt:lpstr>'Resumen Indicadores Procesos'!Títulos_a_imprimir</vt:lpstr>
      <vt:lpstr>'Resumen Plan de Acción'!Títulos_a_imprimir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2019-01-31T00:51:58Z</cp:lastPrinted>
  <dcterms:created xsi:type="dcterms:W3CDTF">2017-05-22T20:08:31Z</dcterms:created>
  <dcterms:modified xsi:type="dcterms:W3CDTF">2019-01-31T16:27:15Z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0x010100259CFA42D2385C49BAF161840AA51F6E</vt:lpwstr>
  </property>
</Properties>
</file>