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0490" windowHeight="7365" tabRatio="939"/>
  </bookViews>
  <sheets>
    <sheet name="Reporte - Plan de acción 2019" sheetId="1" r:id="rId1"/>
  </sheets>
  <definedNames>
    <definedName name="_xlnm._FilterDatabase" localSheetId="0" hidden="1">'Reporte - Plan de acción 2019'!$A$4:$X$56</definedName>
    <definedName name="_xlnm.Print_Titles" localSheetId="0">'Reporte - Plan de acción 2019'!$1:$4</definedName>
  </definedNames>
  <calcPr calcId="144525"/>
</workbook>
</file>

<file path=xl/calcChain.xml><?xml version="1.0" encoding="utf-8"?>
<calcChain xmlns="http://schemas.openxmlformats.org/spreadsheetml/2006/main">
  <c r="U56" i="1" l="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4" i="1"/>
  <c r="U22" i="1"/>
  <c r="U21" i="1"/>
  <c r="U19" i="1"/>
  <c r="U18" i="1"/>
  <c r="U17" i="1"/>
  <c r="U16" i="1"/>
  <c r="U15" i="1"/>
  <c r="U14" i="1"/>
  <c r="U13" i="1"/>
  <c r="U12" i="1"/>
  <c r="U10" i="1"/>
  <c r="U9" i="1"/>
  <c r="U8" i="1"/>
  <c r="U7" i="1"/>
  <c r="U6" i="1"/>
  <c r="U5" i="1"/>
  <c r="T39" i="1" l="1"/>
  <c r="T38" i="1"/>
  <c r="T56" i="1"/>
  <c r="T55" i="1"/>
  <c r="T54" i="1"/>
  <c r="T53" i="1"/>
  <c r="T52" i="1"/>
  <c r="T51" i="1"/>
  <c r="T50" i="1"/>
  <c r="T49" i="1"/>
  <c r="T48" i="1"/>
  <c r="T47" i="1"/>
  <c r="T46" i="1"/>
  <c r="T45" i="1"/>
  <c r="T44" i="1"/>
  <c r="T43" i="1"/>
  <c r="T42" i="1"/>
  <c r="T41" i="1"/>
  <c r="T40" i="1"/>
  <c r="T37" i="1"/>
  <c r="T36" i="1"/>
  <c r="T35" i="1"/>
  <c r="T34" i="1"/>
  <c r="T33" i="1"/>
  <c r="T32" i="1"/>
  <c r="T31" i="1"/>
  <c r="T30" i="1"/>
  <c r="T29" i="1"/>
  <c r="T28" i="1"/>
  <c r="T27" i="1"/>
  <c r="T24" i="1"/>
  <c r="T22" i="1"/>
  <c r="T21" i="1"/>
  <c r="T19" i="1"/>
  <c r="T18" i="1"/>
  <c r="T17" i="1"/>
  <c r="T16" i="1"/>
  <c r="T15" i="1"/>
  <c r="T14" i="1"/>
  <c r="T13" i="1"/>
  <c r="T12" i="1"/>
  <c r="T10" i="1"/>
  <c r="T9" i="1"/>
  <c r="T8" i="1"/>
  <c r="T7" i="1"/>
  <c r="T6" i="1"/>
  <c r="T5" i="1"/>
  <c r="K8" i="1" l="1"/>
  <c r="K49" i="1" l="1"/>
  <c r="K5" i="1" l="1"/>
  <c r="H56" i="1" l="1"/>
  <c r="K55" i="1"/>
  <c r="H54" i="1"/>
  <c r="M53" i="1" l="1"/>
  <c r="L53" i="1"/>
  <c r="K53" i="1"/>
  <c r="K52" i="1" l="1"/>
  <c r="K51" i="1"/>
  <c r="K50" i="1"/>
  <c r="K48" i="1" l="1"/>
  <c r="M47" i="1" l="1"/>
  <c r="L47" i="1"/>
  <c r="K47" i="1"/>
  <c r="M46" i="1"/>
  <c r="L46" i="1"/>
  <c r="K46" i="1"/>
  <c r="M45" i="1"/>
  <c r="L45" i="1"/>
  <c r="K45" i="1"/>
  <c r="K44" i="1"/>
  <c r="M43" i="1"/>
  <c r="L43" i="1"/>
  <c r="K43" i="1"/>
  <c r="M42" i="1"/>
  <c r="L42" i="1"/>
  <c r="K42" i="1"/>
  <c r="M41" i="1"/>
  <c r="L41" i="1"/>
  <c r="K41" i="1"/>
  <c r="M40" i="1"/>
  <c r="L40" i="1"/>
  <c r="K40" i="1"/>
  <c r="K39" i="1"/>
  <c r="K38" i="1"/>
  <c r="H37" i="1"/>
  <c r="K37" i="1"/>
  <c r="K36" i="1"/>
  <c r="K35" i="1"/>
  <c r="K34" i="1"/>
  <c r="J33" i="1"/>
  <c r="I33" i="1"/>
  <c r="I32" i="1"/>
  <c r="M32" i="1"/>
  <c r="L32" i="1"/>
  <c r="K32" i="1"/>
  <c r="J32" i="1"/>
  <c r="H32" i="1"/>
  <c r="K31" i="1"/>
  <c r="K30" i="1"/>
  <c r="K29" i="1"/>
  <c r="K28" i="1"/>
  <c r="K27" i="1"/>
  <c r="H27" i="1"/>
  <c r="H25" i="1"/>
  <c r="K24" i="1"/>
  <c r="H23" i="1"/>
  <c r="H24" i="1"/>
  <c r="K22" i="1" l="1"/>
  <c r="K21" i="1"/>
  <c r="H20" i="1" l="1"/>
  <c r="K19" i="1"/>
  <c r="H19" i="1"/>
  <c r="M18" i="1"/>
  <c r="L18" i="1"/>
  <c r="K18" i="1"/>
  <c r="J18" i="1"/>
  <c r="I18" i="1"/>
  <c r="H18" i="1"/>
  <c r="M17" i="1"/>
  <c r="L17" i="1"/>
  <c r="K17" i="1"/>
  <c r="J17" i="1"/>
  <c r="I17" i="1"/>
  <c r="H17" i="1"/>
  <c r="M16" i="1"/>
  <c r="L16" i="1"/>
  <c r="K16" i="1"/>
  <c r="M15" i="1"/>
  <c r="L15" i="1"/>
  <c r="K15"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19" i="1"/>
  <c r="W20" i="1"/>
  <c r="W6" i="1"/>
  <c r="W7" i="1"/>
  <c r="W8" i="1"/>
  <c r="W9" i="1"/>
  <c r="W10" i="1"/>
  <c r="W11" i="1"/>
  <c r="W12" i="1"/>
  <c r="W13" i="1"/>
  <c r="W14" i="1"/>
  <c r="W15" i="1"/>
  <c r="W16" i="1"/>
  <c r="W17" i="1"/>
  <c r="W18" i="1"/>
  <c r="W5" i="1"/>
  <c r="M14" i="1"/>
  <c r="L14" i="1"/>
  <c r="K14" i="1"/>
  <c r="H21" i="1"/>
  <c r="K13" i="1" l="1"/>
  <c r="K12" i="1"/>
  <c r="H12" i="1"/>
  <c r="M11" i="1" l="1"/>
  <c r="L11" i="1"/>
  <c r="K11" i="1"/>
  <c r="M10" i="1"/>
  <c r="L10" i="1"/>
  <c r="K10" i="1"/>
  <c r="K9" i="1" l="1"/>
  <c r="H9" i="1"/>
  <c r="H8" i="1"/>
  <c r="K7" i="1"/>
  <c r="H7" i="1"/>
  <c r="K6" i="1"/>
  <c r="H6" i="1"/>
  <c r="H5" i="1"/>
  <c r="H48" i="1" l="1"/>
  <c r="H51" i="1" l="1"/>
  <c r="H50" i="1"/>
  <c r="H49" i="1"/>
  <c r="J40" i="1" l="1"/>
  <c r="I40" i="1"/>
  <c r="H40" i="1"/>
  <c r="H26" i="1" l="1"/>
  <c r="H22" i="1"/>
  <c r="J47" i="1" l="1"/>
  <c r="I47" i="1"/>
  <c r="H47" i="1"/>
  <c r="J46" i="1"/>
  <c r="I46" i="1"/>
  <c r="H46" i="1"/>
  <c r="J45" i="1"/>
  <c r="I45" i="1"/>
  <c r="H45" i="1"/>
  <c r="H44" i="1"/>
  <c r="J43" i="1"/>
  <c r="I43" i="1"/>
  <c r="H43" i="1"/>
  <c r="J42" i="1"/>
  <c r="I42" i="1"/>
  <c r="H42" i="1"/>
  <c r="J41" i="1"/>
  <c r="I41" i="1"/>
  <c r="H41" i="1"/>
  <c r="H31" i="1" l="1"/>
  <c r="H30" i="1"/>
  <c r="H29" i="1"/>
  <c r="H28" i="1"/>
  <c r="H36" i="1" l="1"/>
  <c r="H35" i="1"/>
  <c r="H34" i="1"/>
  <c r="H39" i="1" l="1"/>
  <c r="H38" i="1"/>
  <c r="H55" i="1"/>
  <c r="J16" i="1" l="1"/>
  <c r="I16" i="1"/>
  <c r="H16" i="1"/>
  <c r="J15" i="1"/>
  <c r="I15" i="1"/>
  <c r="H15" i="1"/>
  <c r="J14" i="1"/>
  <c r="I14" i="1"/>
  <c r="H14" i="1"/>
  <c r="J53" i="1" l="1"/>
  <c r="I53" i="1"/>
  <c r="H53" i="1"/>
  <c r="H13" i="1" l="1"/>
  <c r="J11" i="1" l="1"/>
  <c r="I11" i="1"/>
  <c r="H11" i="1"/>
  <c r="J10" i="1"/>
  <c r="I10" i="1"/>
  <c r="H10" i="1"/>
  <c r="W1" i="1" l="1"/>
</calcChain>
</file>

<file path=xl/comments1.xml><?xml version="1.0" encoding="utf-8"?>
<comments xmlns="http://schemas.openxmlformats.org/spreadsheetml/2006/main">
  <authors>
    <author>JOHN FREDY</author>
  </authors>
  <commentList>
    <comment ref="T4" authorId="0">
      <text>
        <r>
          <rPr>
            <sz val="9"/>
            <color indexed="81"/>
            <rFont val="Tahoma"/>
            <family val="2"/>
          </rPr>
          <t xml:space="preserve">Comportamiento del indicador frente a la meta propuesta para el cierre de la vigencia.
</t>
        </r>
      </text>
    </comment>
    <comment ref="U4" authorId="0">
      <text>
        <r>
          <rPr>
            <b/>
            <sz val="9"/>
            <color indexed="81"/>
            <rFont val="Tahoma"/>
            <family val="2"/>
          </rPr>
          <t>Comportamiento del indicador frente a la meta de cierre del semestre.</t>
        </r>
        <r>
          <rPr>
            <sz val="9"/>
            <color indexed="81"/>
            <rFont val="Tahoma"/>
            <family val="2"/>
          </rPr>
          <t xml:space="preserve">
</t>
        </r>
      </text>
    </comment>
  </commentList>
</comments>
</file>

<file path=xl/sharedStrings.xml><?xml version="1.0" encoding="utf-8"?>
<sst xmlns="http://schemas.openxmlformats.org/spreadsheetml/2006/main" count="508" uniqueCount="388">
  <si>
    <t>PROCESO</t>
  </si>
  <si>
    <t>CÓD.</t>
  </si>
  <si>
    <t>OBJETIVO ESTRATÉGICO</t>
  </si>
  <si>
    <t>NOMBRE DEL INDICADOR</t>
  </si>
  <si>
    <t>FÓRMULA</t>
  </si>
  <si>
    <t>META</t>
  </si>
  <si>
    <t>REPORTE</t>
  </si>
  <si>
    <t>FUENTE</t>
  </si>
  <si>
    <t>ENE</t>
  </si>
  <si>
    <t>FEB</t>
  </si>
  <si>
    <t>MAR</t>
  </si>
  <si>
    <t>ABR</t>
  </si>
  <si>
    <t>MAY</t>
  </si>
  <si>
    <t>JUN</t>
  </si>
  <si>
    <t>JUL</t>
  </si>
  <si>
    <t>AGO</t>
  </si>
  <si>
    <t>SEP</t>
  </si>
  <si>
    <t>OCT</t>
  </si>
  <si>
    <t>NOV</t>
  </si>
  <si>
    <t>DIC</t>
  </si>
  <si>
    <t>Planeación Estratégica</t>
  </si>
  <si>
    <t>Modelo Integrado de Planeación y Gestión - MIPG</t>
  </si>
  <si>
    <t>Recursos - Autoridad Nacional de Televisión -ANTV-</t>
  </si>
  <si>
    <t>(Recursos ejecutados provenientes de la Autoridad Nacional de Televisión -ANTV- / Recursos provenientes de la Autoridad Nacional de Televisión -ANTV-) * 100%</t>
  </si>
  <si>
    <t>Ejecutar al ciento por ciento, los recursos provenientes de la Autoridad Nacional de Televisión -ANTV- de acuerdo con el plan de inversión 2018 aprobado por este ente.</t>
  </si>
  <si>
    <t>Recursos - proyectos de inversión</t>
  </si>
  <si>
    <t>(Recursos ejecutados en proyectos de inversión / Recursos asignados para proyectos de inversión) * 100%</t>
  </si>
  <si>
    <t>Ejecutar al 95% los recursos asignados para proyectos de inversión de la entidad</t>
  </si>
  <si>
    <t>(Comunicaciones realizadas / Comunicaciones requeridas) * 100%</t>
  </si>
  <si>
    <t>Dar cumplimiento al 100% de requerimientos de publicación de información en boletines y carteleras solicitado por las áreas</t>
  </si>
  <si>
    <t>Cumplimiento de las horas de emisión de programación infantil  según el acuerdo 002 de 2011 de la CNTV</t>
  </si>
  <si>
    <t>(Número de horas emitidas / Número de horas requeridas) *100 %</t>
  </si>
  <si>
    <t>Dar cumplimiento al 100% de horas de emisión de programación infantil  según el acuerdo 002 de 2011 de la CNTV</t>
  </si>
  <si>
    <t>Cumplimiento de las horas de emisión de programación adolescente, según el acuerdo 002 de 2011 de la CNTV</t>
  </si>
  <si>
    <t>Dar cumplimiento al 100% de horas de emisión de programación adolescente, según el acuerdo 002 de 2011 de la CNTV</t>
  </si>
  <si>
    <t>Cumplimiento de la cuota de pantalla para la población con discapacidad auditiva, según la resolución 350 de 2016 (Closed Caption)</t>
  </si>
  <si>
    <t>Dar cumplimiento al 100% de horas de emisión de programación para la población con discapacidad auditiva, discapacidad auditiva, según la resolución 350 de 2016 (Closed Caption)</t>
  </si>
  <si>
    <t>Cumplimiento de la cuota de pantalla para la población con discapacidad auditiva, según la resolución 350 de 2016 (Lengua de señas colombiana)</t>
  </si>
  <si>
    <t>Dar cumplimiento al 100% de horas de emisión de programación para la población con discapacidad auditiva, discapacidad auditiva, según la resolución 350 de 2016 (Lengua de señas colombiana)</t>
  </si>
  <si>
    <t>(Mantenimientos preventivos realizados / Mantenimientos preventivos programados) * 100%</t>
  </si>
  <si>
    <t>Comercialización</t>
  </si>
  <si>
    <t>(Alianzas realizadas / Propuestas de alianzas enviadas)*100%</t>
  </si>
  <si>
    <t>Gestión Financiera y Facturación</t>
  </si>
  <si>
    <t>Rentabilidad de los recursos financieros de la empresa, a través de tasas competitivas en los productos de acuerdo a las políticas de Canal Capital</t>
  </si>
  <si>
    <t>Ejecución del presupuesto de Ingresos</t>
  </si>
  <si>
    <t>Ejecución del presupuesto de Gastos</t>
  </si>
  <si>
    <t>Gestión de recaudo</t>
  </si>
  <si>
    <t>(Total recaudo / Total servicios cobrados al cierre del trimestre) * 100%</t>
  </si>
  <si>
    <t>Nivel de endeudamiento</t>
  </si>
  <si>
    <t>Reporte Contabilidad - Subdirección Financiera</t>
  </si>
  <si>
    <t>Capital de trabajo</t>
  </si>
  <si>
    <t>Activo Corriente - Pasivo Corriente</t>
  </si>
  <si>
    <t>Índice de Solvencia</t>
  </si>
  <si>
    <t>Activo Corriente / Pasivo Corriente</t>
  </si>
  <si>
    <t>Gestión Jurídica y Contractual</t>
  </si>
  <si>
    <t>Publicación de contratos en el Sistema Electrónico de Contratación Pública -SECOP-</t>
  </si>
  <si>
    <t>Capacitaciones sobre manual de contratación</t>
  </si>
  <si>
    <t>(Capacitaciones realizadas / Capacitaciones programadas) * 100%</t>
  </si>
  <si>
    <t>Número de procesos de selección publicados en la página web. (convocatoria pública, licitaciones y/o invitaciones).</t>
  </si>
  <si>
    <t>Gestión del Talento Humano</t>
  </si>
  <si>
    <t>Servicios solucionados / (Servicios pendientes mes anterior + servicios requeridos en mes)</t>
  </si>
  <si>
    <t>Reporte del área de Sistemas</t>
  </si>
  <si>
    <t>(Número de tomas físicas de inventario realizadas / Número de tomas físicas de inventario programadas) * 100%</t>
  </si>
  <si>
    <t>Control, Seguimiento y Evaluación</t>
  </si>
  <si>
    <t>No.</t>
  </si>
  <si>
    <t>Gestión de las Comunicaciones</t>
  </si>
  <si>
    <t>Producción de televisión</t>
  </si>
  <si>
    <t xml:space="preserve">Diseño y creación de contenidos </t>
  </si>
  <si>
    <t>Emisión de contenidos</t>
  </si>
  <si>
    <t>Gestión de recursos y administración de la información - Servicios Administrativos</t>
  </si>
  <si>
    <t>Gestión de recursos y administración de la información - Sistemas</t>
  </si>
  <si>
    <t>Gestión de recursos y administración de la información - Gestión Documental</t>
  </si>
  <si>
    <t>Gestión de recursos y administración de la información - Gestión Ambiental (PIGA)</t>
  </si>
  <si>
    <t>Servicio al ciudadano y defensor del televidente</t>
  </si>
  <si>
    <t>Proyecto de transformación digital</t>
  </si>
  <si>
    <t>Cumplimiento de las acciones establecidas para la vigencia en el Plan Anual de Adquisiciones - PAA.</t>
  </si>
  <si>
    <t>Seguidores en redes sociales</t>
  </si>
  <si>
    <t>Publicación de requerimientos en los boletines y carteleras</t>
  </si>
  <si>
    <t>Eventos o transmisiones especiales que muestran la  diversidad de contenidos deportivos y culturales de la ciudad.</t>
  </si>
  <si>
    <t>Incremento en las transmisiones especiales.</t>
  </si>
  <si>
    <t>Comportamiento del rating.</t>
  </si>
  <si>
    <t>Ejecución del Plan de renovación tecnológica</t>
  </si>
  <si>
    <t>Seguimiento al Cronograma de mantenimiento preventivo de equipos del área técnica</t>
  </si>
  <si>
    <t>Ventas de productos y/o servicios de la entidad. (clientes nuevos negocios).</t>
  </si>
  <si>
    <t>Utilidad real de los ingresos por concepto de nuevos negocios</t>
  </si>
  <si>
    <t>Gestión para el desarrollo de alianzas de posicionamiento</t>
  </si>
  <si>
    <t>Programa de inducción y reinducción 2019.</t>
  </si>
  <si>
    <t>Cumplimiento de las acciones establecidas para la vigencia en el Plan de capacitación 2019.</t>
  </si>
  <si>
    <t>Cumplimiento de las acciones establecidas para la vigencia en el plan de bienestar e incentivos 2019.</t>
  </si>
  <si>
    <t>Cumplimiento de las acciones establecidas para la vigencia en el Plan del Subsistema de Gestión de Seguridad y Salud en el Trabajo, SG-SST vigencia 2019.</t>
  </si>
  <si>
    <t>Cumplimiento de las acciones establecidas para la vigencia en el Plan Estratégico de Recursos Humanos, vigencia 2019.</t>
  </si>
  <si>
    <t>Implementación efectiva del Plan de Mantenimiento Locativo 2019.</t>
  </si>
  <si>
    <t>Ejecución del control de inventarios 2019.</t>
  </si>
  <si>
    <t>Servicios atendidos para los sistemas de información (mesa de ayuda y GLPI).</t>
  </si>
  <si>
    <t>Servicios atendidos sobre infraestructura de información y comunicación.</t>
  </si>
  <si>
    <t>Cumplimiento del cronograma de mantenimiento preventivo de equipos de cómputo - 2019</t>
  </si>
  <si>
    <t>Cumplimiento de las acciones definidas en el plan de T.I., de la vigencia 2019.</t>
  </si>
  <si>
    <t>Plan de Mejoramiento Archivístico (PMA) 2019.</t>
  </si>
  <si>
    <t>Cumplimiento de las acciones establecidas para la vigencia en el Plan Institucional de Archivos de la Entidad - PINAR.</t>
  </si>
  <si>
    <t>Plan Institucional de Gestión Ambiental, PIGA.</t>
  </si>
  <si>
    <t>Oportunidad en las respuestas a las peticiones y proposiciones del Concejo de Bogotá.</t>
  </si>
  <si>
    <t>Respuesta a las demandas notificadas a la entidad</t>
  </si>
  <si>
    <t>Eficacia en la atención a los PQRS.</t>
  </si>
  <si>
    <t>Cumplimiento de acciones del Plan de Mejoramiento por procesos.</t>
  </si>
  <si>
    <t>Cumplimiento del Plan Anual de Auditorías.</t>
  </si>
  <si>
    <t>Cumplimiento de las acciones establecidas para la vigencia en el Plan Anticorrupción y de Atención al Ciudadano - PAAC.</t>
  </si>
  <si>
    <t>(Recursos ejecutados del Plan Anual de Adquisiciones - PAA de la vigencia 2019 / Total de recursos programados en el Plan Anual de Adquisiciones - PAA para la vigencia)*100%.</t>
  </si>
  <si>
    <t>Número de seguidores del período / Meta propuesta para 2019.</t>
  </si>
  <si>
    <t>(Número de eventos o  transmisiones especiales realizadas / número de eventos o transmisiones especiales  planeadas) * 100%.</t>
  </si>
  <si>
    <t>(Número de transmisiones especiales realizadas durante el mes) / Número de transmisiones realizadas en el mismo mes de la vigencia anterior) * 100%.</t>
  </si>
  <si>
    <t>Promedio de personas viendo la programación en el mes / Meta planteada para 2019 (4000).</t>
  </si>
  <si>
    <t>(Recursos ejecutados del plan de renovación tecnológica / Recursos asignados al plan de renovación tecnológica) * 100%</t>
  </si>
  <si>
    <t>(Facturación por ventas del periodo de la línea de nuevos negocios 
/
Facturación proyectada por ventas del periodo de la línea de nuevos negocios) * 100%.</t>
  </si>
  <si>
    <t>(Utilidad de los negocios efectuados en el trimestre 
/
Meta de utilidad proyectada para la vigencia por concepto de nuevos negocios) * 100%.</t>
  </si>
  <si>
    <t>(Avances en el cumplimiento de las acciones establecidas en el programa de inducción y reinducción / Total de acciones establecidas en el programa de inducción y reinducción)*100%</t>
  </si>
  <si>
    <t>(Acciones realizadas del plan de mantenimiento locativo / Acciones programadas en el plan de mantenimiento locativo)*100%.</t>
  </si>
  <si>
    <t>(Mantenimientos preventivos  realizados / mantenimientos preventivos programados) * 100%</t>
  </si>
  <si>
    <t>(Acciones realizadas del Plan Institucional de Gestión Ambiental, PIGA / Acciones programadas del Plan Institucional de Gestión Ambiental, PIGA)*100%.</t>
  </si>
  <si>
    <t xml:space="preserve">Rendimientos financieros  acumulados trimestralmente sobre los recursos propios manejados en cuentas de ahorro y manejo de portafolio de inversiones / Apropiación presupuestal de rendimientos financieros  de la vigencia fiscal </t>
  </si>
  <si>
    <t>(Presupuesto de ingresos ejecutado mensual / Presupuesto ingresos apropiado) * 100%</t>
  </si>
  <si>
    <t>(Presupuesto gastos ejecutado / Presupuesto gastos apropiado) * 100%</t>
  </si>
  <si>
    <t>(Total Pasivo / Total Activo)</t>
  </si>
  <si>
    <t>(Número de peticiones y proposiciones del Concejo de Bogotá atendidas oportunamente / Número total de peticiones y proposiciones  del Concejo de Bogotá recibidas) * 100%</t>
  </si>
  <si>
    <t>(Número de contratos publicados en el SECOP en el trimestre / Número de contratos por publicar en el SECOP en el trimestre) * 100%</t>
  </si>
  <si>
    <t>(Procesos de selección publicados en el trimestre/ Total procesos convocados en el trimestre)*100%</t>
  </si>
  <si>
    <t>Demandas notificadas a la entidad / Demandas contestadas por la entidad</t>
  </si>
  <si>
    <t>(Número de solicitudes atendidas durante el mes / Número de solicitudes recibidas durante el mes) * 100%</t>
  </si>
  <si>
    <t>(Número de acciones cumplidas con fecha vencida del Plan de Mejoramiento por procesos a la fecha de corte / Número de acciones vencidas con estado abierto del Plan de Mejoramiento por procesos a la fecha de corte)*100%.</t>
  </si>
  <si>
    <t>(Número de actividades cumplidas del Plan Anual de Auditorías a la fecha de corte / Número de actividades programadas en el Plan Anual de Auditorías a la fecha de corte)*100%.</t>
  </si>
  <si>
    <t>(Avances en el cumplimiento de las acciones programadas en el Plan Anticorrupción y de Atención al Ciudadano - PAAC / Total de acciones programadas en el Plan Anticorrupción y de Atención al Ciudadano - PAAC)*100%.</t>
  </si>
  <si>
    <t>Cumplir por lo menos con el 90% de las actividades incluidas en el plan de trabajo del área para la implementación del Modelo Integrado de Planeación y Gestión MIPG.</t>
  </si>
  <si>
    <t>Cumplir con el 100% de las actividades programadas para la ejecución del proyecto de transformación digital para la vigencia 2019</t>
  </si>
  <si>
    <t>Dar cumplimiento al 100% de las actividades formuladas en el Plan Anual de Adquisiciones - PAA para la vigencia 2019</t>
  </si>
  <si>
    <t>Lograr la interacción de Canal Capital con 1.500.000 seguidores en las diferentes redes sociales.</t>
  </si>
  <si>
    <t xml:space="preserve">Realizar mínimo 180 transmisiones o eventos especiales  </t>
  </si>
  <si>
    <t>Incrementar en un 10% el número de transmisiones especiales realizadas en la vigencia 2018.</t>
  </si>
  <si>
    <t>Impactar mensualmente un promedio de 4.000 personas promedio mensual en zona centro de Colombia por televisión abierta.</t>
  </si>
  <si>
    <t>Ejecutar al menos el 85% de los recursos disponibles para el plan de renovación tecnológica.</t>
  </si>
  <si>
    <t>Ejecutar al menos el 85% del cronograma de  mantenimientos preventivos programados</t>
  </si>
  <si>
    <t>Facturar como mínimo $18.400 millones, que corresponden al 80% de los contratos vigentes en el 2019 cuya meta de suscripción es de $23.000.000.000 Incluido IVA, de los contratos por concepto de la línea de Nuevos Negocios</t>
  </si>
  <si>
    <t>Lograr una utilidad de $1.200.000.000 por concepto de negocios realizados en la vigencia 2019.</t>
  </si>
  <si>
    <t>Lograr efectividad en cerca del 90% de las propuestas de alianzas de posicionamiento con los diferentes medios.</t>
  </si>
  <si>
    <t>Ejecutar al menos el 85% de las acciones establecidas en el programa de inducción y reinducción.</t>
  </si>
  <si>
    <t>Ejecutar al menos el 91% de las acciones programadas en el plan de capacitaciones para la vigencia 2019.</t>
  </si>
  <si>
    <t>Ejecutar al menos el 91% de las acciones programadas en el plan de bienestar e incentivos para la vigencia 2019.</t>
  </si>
  <si>
    <t>Ejecutar al menos el 80% de las acciones programadas en el plan del Subsistema de Gestión de Seguridad y Salud en el Trabajo -SG-SST para la vigencia 2019.</t>
  </si>
  <si>
    <t>Ejecutar al 90% las acciones programadas en el Plan Estratégico de Recursos Humanos para la vigencia 2019.</t>
  </si>
  <si>
    <t>Ejecutar al menos el 92% de las acciones programadas en el plan de mantenimiento locativo para la vigencia 2019</t>
  </si>
  <si>
    <t>Realizar el 92% de las tomas físicas de inventarios programadas para la vigencia 2019.</t>
  </si>
  <si>
    <t>Brindar atención y respuesta oportuna al 100% de los requerimientos de servicios para sistemas de información mediante mesa de ayuda y sistema GLPI.</t>
  </si>
  <si>
    <t>Brindar atención y respuesta oportuna al 100% de los requerimientos de servicios sobre infraestructura de información y comunicación.</t>
  </si>
  <si>
    <t>Ejecutar al 100% de las acciones programadas en el plan de mantenimiento locativo para la vigencia 2019.</t>
  </si>
  <si>
    <t>Dar cumplimiento al 90% de las actividades formuladas en el plan de T.I. para la vigencia 2019.</t>
  </si>
  <si>
    <t>Dar cumplimiento al 90% de las actividades formuladas en el plan de mejoramiento archivístico para la vigencia 2019</t>
  </si>
  <si>
    <t>Dar cumplimiento al 90% de las actividades formuladas en el Plan Institucional de Archivos de la Entidad - PINAR para la vigencia 2019</t>
  </si>
  <si>
    <t>Ejecutar al menos el 95% de las acciones programadas en el Plan Institucional de Gestión Ambiental - PIGA</t>
  </si>
  <si>
    <t>Recaudar el 90% del presupuesto de ingresos proyectado para la vigencia fiscal</t>
  </si>
  <si>
    <t>Ejecutar el 90% del presupuesto de gastos aprobado para la vigencia fiscal</t>
  </si>
  <si>
    <t>Atender oportunamente la totalidad de las peticiones y proposiciones del Concejo de Bogotá.</t>
  </si>
  <si>
    <t>Cargar al ciento por ciento los contratos celebrados por la entidad, en el Sistema Electrónico de Contratación Pública -SECOP dentro de los términos previstos por la Ley.</t>
  </si>
  <si>
    <t>Ejecutar mínimo 4 capacitaciones programadas a funcionarios y contratistas de la entidad en el manual de contratación.</t>
  </si>
  <si>
    <t>Publicar al 100% la información de los procesos de selección convocados, en la página web de la entidad.</t>
  </si>
  <si>
    <t>Dar respuesta de manera oportuna al 100% de las demandas notificadas al canal.</t>
  </si>
  <si>
    <t>Verificar que las respuestas a la totalidad de las peticiones, quejas, reclamos y/o sugerencias sean atendidas en los términos establecidos por la ley.</t>
  </si>
  <si>
    <t>Buscar que los responsables de las acciones cumplan el 60% de las acciones formuladas en plan de mejoramiento cuya fecha de finalización se encuentre prevista a la fecha de corte de seguimiento.</t>
  </si>
  <si>
    <t>Cumplir con el 94% de las actividades programadas, incluidas todas la actividades adicionales que puedan surgir durante la vigencia.</t>
  </si>
  <si>
    <t>Dar cumplimiento al 90% de las actividades formuladas en el Plan Anticorrupción y de Atención al Ciudadano - PAAC para la vigencia 2019.</t>
  </si>
  <si>
    <t>Plan de trabajo del área, para la implementación del Modelo Integrado de Planeación y Gestión
Manual del MIPG
Direccionamientos de la Secretaría General de la Alcaldía Mayor, Departamento Administrativo de la Función Pública y demás entidades rectoras en la implementación del MIPG para el nivel distrital.</t>
  </si>
  <si>
    <t>1. Informes trimestrales reportados a la Autoridad Nacional de Televisión -ANTV-
2. Plan de inversión formulado por Canal Capital para la ejecución de recursos asignados por la Autoridad Nacional de Televisión -ANTV-</t>
  </si>
  <si>
    <t>Registros de seguimiento a la ejecución de proyectos de inversión</t>
  </si>
  <si>
    <t>Registros de seguimiento a la ejecución del proyecto en planeación.</t>
  </si>
  <si>
    <t>Plan Anual de Adquisiciones - PAA.</t>
  </si>
  <si>
    <t>Reporte de los community managers en relación con el número de seguidores en las redes sociales del Canal.</t>
  </si>
  <si>
    <t xml:space="preserve">Requerimientos de las diferentes áreas </t>
  </si>
  <si>
    <t>1. Documentación delas alianzas o convenios realizados
2. Relación de los eventos transmitidos</t>
  </si>
  <si>
    <t>Reporte de transmisiones de la Coordinación de Producción.</t>
  </si>
  <si>
    <t>Coordinación de programación</t>
  </si>
  <si>
    <t xml:space="preserve">1. Información contractual.
2. Información financiera. 
3. Plan anual de adquisiciones. </t>
  </si>
  <si>
    <t>Formato cronograma de mantenimientos preventivos</t>
  </si>
  <si>
    <t>Registro de facturación del Apoyo Financiero de Nuevos Negocios, validado con la información de la Subdirección Financiera.</t>
  </si>
  <si>
    <t>Ventas y Mercadeo</t>
  </si>
  <si>
    <t>Programa de inducción y reinducción vigencia 2019</t>
  </si>
  <si>
    <t>(AN-03) - Plan de capacitación vigencia 2019</t>
  </si>
  <si>
    <t>(AN-04) - Plan de bienestar  e incentivos vigencia 2019.</t>
  </si>
  <si>
    <t>(AN-05) - Plan del Subsistema de Gestión de Seguridad y Salud en el Trabajo - SG-SST, vigencia 2019.</t>
  </si>
  <si>
    <t>(AN-02) - Plan Estratégico de Recursos Humanos, vigencia 2019.</t>
  </si>
  <si>
    <t>Plan de mantenimiento locativo para la vigencia 2019</t>
  </si>
  <si>
    <t>Reporte de inventarios del área de servicios administrativos</t>
  </si>
  <si>
    <t>Reportes del sistema GLPI</t>
  </si>
  <si>
    <t>Informes de actividades entregados por el contratista de mantenimientos realizados</t>
  </si>
  <si>
    <t>(AN-06) - Plan de T.I.</t>
  </si>
  <si>
    <t>Plan de Mejoramiento Archivístico 2019</t>
  </si>
  <si>
    <t>(AN-01) - Plan Institucional de Archivos de la Entidad - PINAR, para la vigencia 2019.</t>
  </si>
  <si>
    <t>Plan Institucional de Gestión Ambiental - PIGA vigencia 2019</t>
  </si>
  <si>
    <t>Subdirección Financiera - Reporte de tesorería</t>
  </si>
  <si>
    <t>Subdirección Financiera - Reporte ejecución presupuesto de ingresos</t>
  </si>
  <si>
    <t>Subdirección Financiera- Reporte de presupuesto de gastos</t>
  </si>
  <si>
    <t xml:space="preserve">Subdirección Financiera-Reporte Facturación y Cartera - </t>
  </si>
  <si>
    <t>Registro de control de  las peticiones y proposiciones del Concejo de Bogotá recibidas y tramitadas.</t>
  </si>
  <si>
    <t xml:space="preserve">Relación de contratos celebrados por la entidad- Libro numerador de Contratos de la Coordinación Jurídica </t>
  </si>
  <si>
    <t>Coordinación Jurídica</t>
  </si>
  <si>
    <t>1. Información suministrada por la Auxiliar de Servicio al Ciudadano
2. Reporte gestión peticiones SDQS - Bogotá te escucha.
3. Sistema Distrital de quejas y soluciones SDQS - Bogotá te escucha.</t>
  </si>
  <si>
    <t>Informes de Seguimiento al Plan de mejoramiento por procesos y la matriz de seguimiento al Plan de Mejoramiento por procesos</t>
  </si>
  <si>
    <t>Archivo denominado "Seguimiento al Plan Anual de Auditorías", que contiene la calificación de cada una de las actividades, así como las escalas de medición definidas.</t>
  </si>
  <si>
    <t>Informes de seguimiento cuatrimestrales del Plan Anticorrupción y de Atención al Ciudadano - PAAC.</t>
  </si>
  <si>
    <t>5 - Establecer un modelo de gestión que contemple una planeación estratégica alineada con el proceso de transformación digital que experimenta el sector y orientada en todas sus actuaciones al servicio eficiente, responsable y transparente.</t>
  </si>
  <si>
    <t>4 - Aumentar los ingresos percibidos por la gestión comercial y financiera con la apertura de nuevos negocios que permitan conducir a Canal Capital a la realización de su planteamiento misional.</t>
  </si>
  <si>
    <t>1 - Generar y producir contenidos audiovisuales para diversas plataformas con énfasis en educación, información local, cultural y deportiva.</t>
  </si>
  <si>
    <t>2 - Consolidar una oferta de contenidos que, apalancados en el crecimiento de la industria creativa a partir de la innovación y la creatividad permita el reconocimiento de Canal Capital como una empresa sólida en la prestación de servicios audiovisuales.</t>
  </si>
  <si>
    <t xml:space="preserve">3 - Fortalecer la infraestructura tecnológica de Canal Capital para estar acorde con la demanda de contenidos que se requieren para alimentar las diversas plataformas de emisión audiovisual. </t>
  </si>
  <si>
    <t>3 - Fortalecer la infraestructura tecnológica de Canal Capital para estar acorde con la demanda de contenidos que se requieren para alimentar las diversas plataformas de emisión audiovisual.</t>
  </si>
  <si>
    <t>Ventas de productos y/o servicios de la entidad. (clientes sector público y privado).</t>
  </si>
  <si>
    <t>(Ingresos por ventas del periodo con clientes del sector público y privado / Ingresos por ventas proyectadas para la vigencia de clientes del sector público y privado) * 100%.</t>
  </si>
  <si>
    <t>Lograr ingresos por concepto de ventas de los clientes del sector público y privados por valor de $2.610.000.00</t>
  </si>
  <si>
    <t>Reporte de ventas del área Comercial.
Reporte final de ventas del  área Financiera (clientes sector público).
Reporte final de ventas del  área Financiera (clientes sector privados).</t>
  </si>
  <si>
    <t>-</t>
  </si>
  <si>
    <r>
      <rPr>
        <b/>
        <sz val="8"/>
        <color theme="1"/>
        <rFont val="Arial"/>
        <family val="2"/>
      </rPr>
      <t xml:space="preserve">T1: </t>
    </r>
    <r>
      <rPr>
        <sz val="8"/>
        <color theme="1"/>
        <rFont val="Arial"/>
        <family val="2"/>
      </rPr>
      <t xml:space="preserve">En este período se consiguió mediante alianzas cubrir y transmitir los siguentes eventos, así como se  logró una comunicación con los medios y eventos para establecer estrategias conjuntas en beneficio del posicionamiento de  las marcas: Festival Centro. Hexagonal del Suroriente, Octogonal del Tabora, Torneo Karate Do, Gala Festival Música Colombiana, Octogonal Final Fútbol Tchyminigagua, Final Copa Reyes Magos y Campeonato Nacional de Salto. Otros eventos de los que fuimos aliados son: Tattoo Music Festival, Web Festival Congress, Teatro Mayor Julio Marío Santo Domingo, Autódromo de Tocancipá. Alianza medio de comunicación QHUBO.  Se seguirá trabajando desde el área de Mercadeo y la Coordinación de eventos en la misma estratégia para así poder aumentar en el segundo semestre las alianzas y convenios con eventos, empresas y medios de comunicación, y así cumplir con el objetivo de posicionamiento y recordación de marca de Canal Capital entre los habitantes de Bogotá y aumentar el contenido de parrilla para fidelizar la audiencia actual y atraer nuevas. </t>
    </r>
  </si>
  <si>
    <t>En el primer periodo se ejecutó el 53% de los recursos de los proyectos de la Autoridad Nacional de Televisión quedando pendiente la contratación de los contenidos que se ejecutarán por convocatorias. En Modernización institucional se ejecutó el 64% de los recursos. Para el tercer periodo se espera realizar la contratación de los últimos 4 meses del personal para producción propia de los proyectos de ANTV, lo mismo que del que ejecutará la transición del SIG al MIPG en Modernización institucional.
En el segundo trimestre se realizaron contrataciones de convocatorias y otros contratos en los proyectos de Televisión pública y Modernización Institucional, para el próximo trimestre se espera la contratación de las adiciones de los contratos suscritos en enero, con lo que se espera alcanzar un nivel óptimo en la ejecución de los proyectos de inversión.</t>
  </si>
  <si>
    <t>Para el primer trimestre del año, se contrató el personal que produce y emite el Sistema Informativo, lo mismo que para las transmisiones educativas y culturales. Para Valores ciudadanos se contratará por medio de convocatorias públicas, las cuales se encuentran en proceso y se espera su adjudicación y contratación para el segundo trimestre.
Para el segundo trimestre, se continuó con las convocatorias para Valores ciudadanos de las cuales se adjudicaron una de minorías y dos líneas de valores, se encuentra en diseño con nuevas temáticas para las convocatorias que se declararon desiertas. Por otra parte, se recibieron las Resoluciones de la ANTV para proyectos especiales y Plan de inversión adicional que se ejecutarán en el segundo semestre.</t>
  </si>
  <si>
    <t xml:space="preserve">Para el primer trimestre, los resultados proyectados corresponden al seguimiento realizado al plan de trabajo para la implementación del proyecto de transformación digital, de acuerdo con las actividades definidas y las ponderaciones de las mismas. De manera general, se cuenta con los siguientes avances:
 1. Se llevó a cabo estudio de mercado así: Acercamiento en mesas de trabajo con 3 empresas consultoras para tener una primera aproximación del alcance del proyecto, se elaboró documento con los criterios requeridos para el proyecto y se solicitó cotización formal a 6 empresas. Se publicó banner en página web para realizar invitación pública al estudio de mercado, con esto se logró la participación de una empresa adicional.
2. Se realizó presentación ante gerencia con el balance del estudio de mercado, se definió solicitar hoja de vida empresarial y del equipo consultor a las empresas ioPMO y Holding Digital con el fin de ctomar una decisión definitiva.
3. Se adelanta versión borrador del estudio previo.
Para el segundo trimestre, </t>
  </si>
  <si>
    <t>Para el primer trimestre, de acuerdo con lo programado en el Plan Anual de Adquisiciones y con modificaciones al plan en gastos de operación de acuerdo con lo reportado por la Dirección Operativa, lo mismo que en funcionamiento e inversión aprobadas por la Secretaría General, la siguiente es la ejecución en el primer trimestre: Funcionamiento 31,0%; Gastos de Operación 38,2%; Inversión 54,0%.
Para el segundo trimestre, de conformidad con lo programado, se realizaron modificaciones al plan de gastos, contratos que no se van a realizar que estaban programados al principio de la vigencia, de todos modos, la ejecución para el periodo es buena con un porcentaje de cumplimiento del 73%. el desglose por rubro es el siguiente: Funcionamiento 40,6%; Gastos de Operación 76,6%; Inversión 62,0%.</t>
  </si>
  <si>
    <r>
      <rPr>
        <b/>
        <sz val="8"/>
        <color theme="1"/>
        <rFont val="Arial"/>
        <family val="2"/>
      </rPr>
      <t>T1:</t>
    </r>
    <r>
      <rPr>
        <sz val="8"/>
        <color theme="1"/>
        <rFont val="Arial"/>
        <family val="2"/>
      </rPr>
      <t xml:space="preserve"> Canal Capital completó un crecimiento superior a los 43.000 seguidores en los tres primeros meses del año. Este ritmo es estable respecto a anteriores periodos de tiempo. Principalmente, otras plataformas como Youtube o Twitter han adquirido mayor participación en el crecimiento.
</t>
    </r>
    <r>
      <rPr>
        <b/>
        <sz val="8"/>
        <color theme="1"/>
        <rFont val="Arial"/>
        <family val="2"/>
      </rPr>
      <t xml:space="preserve">T2: </t>
    </r>
    <r>
      <rPr>
        <sz val="8"/>
        <color theme="1"/>
        <rFont val="Arial"/>
        <family val="2"/>
      </rPr>
      <t>En el segundo trimestre, Canal Capital continuó con la línea de crecimiento que ha tenido a lo largo del año 2019.</t>
    </r>
  </si>
  <si>
    <r>
      <rPr>
        <b/>
        <sz val="8"/>
        <color theme="1"/>
        <rFont val="Arial"/>
        <family val="2"/>
      </rPr>
      <t>T1:</t>
    </r>
    <r>
      <rPr>
        <sz val="8"/>
        <color theme="1"/>
        <rFont val="Arial"/>
        <family val="2"/>
      </rPr>
      <t xml:space="preserve"> Todas las publicaciones que han sido solicitada al area de prensa y comunicaciones han sido publicadas. 
</t>
    </r>
    <r>
      <rPr>
        <b/>
        <sz val="8"/>
        <color theme="1"/>
        <rFont val="Arial"/>
        <family val="2"/>
      </rPr>
      <t xml:space="preserve">T2: </t>
    </r>
    <r>
      <rPr>
        <sz val="8"/>
        <color theme="1"/>
        <rFont val="Arial"/>
        <family val="2"/>
      </rPr>
      <t>En el segundo trimestre, todas las publicaciones que han sido solicitadas por las diferentes áreas al área de prensa y comunicaciones han sido publicadas.</t>
    </r>
  </si>
  <si>
    <r>
      <rPr>
        <b/>
        <sz val="8"/>
        <color theme="1"/>
        <rFont val="Arial"/>
        <family val="2"/>
      </rPr>
      <t xml:space="preserve">T1: </t>
    </r>
    <r>
      <rPr>
        <sz val="8"/>
        <color theme="1"/>
        <rFont val="Arial"/>
        <family val="2"/>
      </rPr>
      <t xml:space="preserve">En este primer trimestre de 2019, se tuvo en cuenta los convenios previamente firmados que cruzaban el año y que nos permitirían continuar con el cumplimiento de los objetivos propuestos, es así como se ha podido planear y programar las transmisiones especiales que se llevan a la fecha dando cumplimiento a transmisiones deportivas y culturales trazadas. Es importante resaltar que se ha trabajado y engranado al equipo para que piensen en ampliar el contenido de los eventos y tranmisiones en las diferentes plataformas de información de Canal Capital. Se debe tener en cuenta para los primeros meses del año apoyarse en los convenios previamente firmados y aún más cuando cruzan de una año a otro porque permite hacer transmisiones especiales y generarle contenido al canal. 
</t>
    </r>
    <r>
      <rPr>
        <b/>
        <sz val="8"/>
        <color theme="1"/>
        <rFont val="Arial"/>
        <family val="2"/>
      </rPr>
      <t xml:space="preserve">T2: </t>
    </r>
    <r>
      <rPr>
        <sz val="8"/>
        <color theme="1"/>
        <rFont val="Arial"/>
        <family val="2"/>
      </rPr>
      <t>En este segundo trimestre de 2019, se incrementó el número de transmisiones  debido a que paulatinamente han venido aumentando la dinámica misma de la programación cultural y deportiva de la ciudad, lo que hace que la dinámica de producción y transmisión  de eventos del Canal también aumente.</t>
    </r>
  </si>
  <si>
    <r>
      <rPr>
        <b/>
        <sz val="8"/>
        <color theme="1"/>
        <rFont val="Arial"/>
        <family val="2"/>
      </rPr>
      <t xml:space="preserve">T1: </t>
    </r>
    <r>
      <rPr>
        <sz val="8"/>
        <color theme="1"/>
        <rFont val="Arial"/>
        <family val="2"/>
      </rPr>
      <t xml:space="preserve">En total durante el trimestre se realizaron 48 transmisiones entre deportivas, culturales, artísticas, institucionales, entre otros, realizadas en directo, en diferido o vía Streaming. Actividades que se han venido realizando todos los meses mantenidendo la constancia e intentando incrementar la canitdad de los eventos, diferencia notoria con el año anterior que los 2 primeros meses  no se realizaron transmisiones. El apoyarse en los convenios previamente firmados que cruzan de un año a otro  permite mantenere el las transmisiones especiales.
</t>
    </r>
    <r>
      <rPr>
        <b/>
        <sz val="8"/>
        <color theme="1"/>
        <rFont val="Arial"/>
        <family val="2"/>
      </rPr>
      <t xml:space="preserve">T2: </t>
    </r>
    <r>
      <rPr>
        <sz val="8"/>
        <color theme="1"/>
        <rFont val="Arial"/>
        <family val="2"/>
      </rPr>
      <t>Con corte a 30 de junio de 2019 se realizaron 85 transmisiones adicionales al segundo trimestre, entre deportivas y culturales. destacándose eventos como: la Feria del Libro, Fides, Rock al Parque, y eventos que se producen apalancados por los convenios actuales destacándose las transmisiones del Teatro Julio Mario Santodomigo, deportes a motor, Liga de Futbol, entre otros.</t>
    </r>
  </si>
  <si>
    <t>REPORTE INDICADORES CANAL CAPITAL
Seguimiento plan de acción
Reporte Trimestre 2 - 2019
Fecha de informe: 05/08/2019</t>
  </si>
  <si>
    <t>CAN: Crecimiento del Alcance neto de audiencia - Contenidos plan de inversión 2019</t>
  </si>
  <si>
    <t>CAN: Crecimiento del Alcance neto de audiencia  - Contenidos proyectos especiales 2019</t>
  </si>
  <si>
    <t>Alcance neto(Cov%)del tipo de contenido en la vigencia - Alcance neto(cov%)del tipo de contenido en la vigencia anterior / Alcance neto(cov%) del tipo de contenido en la vigencia anterior</t>
  </si>
  <si>
    <t>((Alcance neto(Cov%)del tipo de contenido en la vigencia)/(cantidad de proyectos de la vigencia))  - ((Alcance neto(Cov%)del tipo de contenido en la vigencia anterior)/(cantidad de proyectos de la vigencia anterior)) / ((Alcance neto(Cov%)del tipo de contenido en la vigencia anterior)/(cantidad de proyectos de la vigencia anterior))</t>
  </si>
  <si>
    <t>Registrar un crecimiento de 23% de los usuarios únicos que consumieron los contenidos del plan de inversión 2019 a nivel nacional.</t>
  </si>
  <si>
    <t>Registrar un crecimiento de 40% de los usuarios únicos que consumieron los proyectos especiales 2019</t>
  </si>
  <si>
    <t>T1: Durante el primer trimestre de 2019, se vio reflejado un promedio estable por debajo de las 4.000 personas, se hicieron cambios de horarios en la parrilla y reorganización de los contenidos. La emisión más vista fue: Opina Bogotá del 02 de enero con 48.500 personas
T2: Durante el segundo trimestre de 2019, se observaron crecimientos importantes en el rating de mayo y junio gracias a emisiones de eventos como Rock al parque además de ajustes en la programación. La emisión más vista fue: Ellas dicen del 29 de junio con 54.740 personas</t>
  </si>
  <si>
    <t>T1:  Los anteriores datos son tomados del informe entregado trimestralmente a la ANTV. Contamos con 515 emisiones de programas con contenido infantil.
T2: Los anteriores datos son tomados del informe entregado trimestralmente a la ANTV. En el segundo trimestre Contamos con 1.547 emisiones de programas con contenido infantil que equivalen a 120 horas de programación.</t>
  </si>
  <si>
    <t xml:space="preserve">Por requerimiento de la ANTV, el 100% de la programación deben contar con el sistema de acceso Closed Caption, por ende los datos reflejados representan un 100%. Los anteriores datos son tomados del informe entregado trimestralmente a la ANTV </t>
  </si>
  <si>
    <r>
      <rPr>
        <b/>
        <sz val="8"/>
        <color theme="1"/>
        <rFont val="Arial"/>
        <family val="2"/>
      </rPr>
      <t>T1:</t>
    </r>
    <r>
      <rPr>
        <sz val="8"/>
        <color theme="1"/>
        <rFont val="Arial"/>
        <family val="2"/>
      </rPr>
      <t xml:space="preserve"> Los anteriores datos son tomados del informe entregado trimestralmente a la ANTV. Contamos con 1949 emisiones de programas con contenido juvenil.
</t>
    </r>
    <r>
      <rPr>
        <b/>
        <sz val="8"/>
        <color theme="1"/>
        <rFont val="Arial"/>
        <family val="2"/>
      </rPr>
      <t>T2:</t>
    </r>
    <r>
      <rPr>
        <sz val="8"/>
        <color theme="1"/>
        <rFont val="Arial"/>
        <family val="2"/>
      </rPr>
      <t xml:space="preserve"> Los anteriores datos son tomados del informe entregado trimestralmente a la ANTV. Para el segundo trimestre contamos con 759 emisiones de programas con contenido juvenil que equivalen a 165 horas de programación.</t>
    </r>
  </si>
  <si>
    <r>
      <rPr>
        <b/>
        <sz val="8"/>
        <color theme="1"/>
        <rFont val="Arial"/>
        <family val="2"/>
      </rPr>
      <t>T1:</t>
    </r>
    <r>
      <rPr>
        <sz val="8"/>
        <color theme="1"/>
        <rFont val="Arial"/>
        <family val="2"/>
      </rPr>
      <t xml:space="preserve"> Los anteriores datos son tomados del informe entregado trimestralmente a la ANTV. Contamos con 584 emisiones de programas con interpretación de lenguaje de señas.
</t>
    </r>
    <r>
      <rPr>
        <b/>
        <sz val="8"/>
        <color theme="1"/>
        <rFont val="Arial"/>
        <family val="2"/>
      </rPr>
      <t>T2:</t>
    </r>
    <r>
      <rPr>
        <sz val="8"/>
        <color theme="1"/>
        <rFont val="Arial"/>
        <family val="2"/>
      </rPr>
      <t xml:space="preserve"> Para el trimestre 2, contamos con 1073 emisiones de programas con interpretación de lenguaje de señas que equivalen a 94 horas.</t>
    </r>
  </si>
  <si>
    <t>Para el primer trimestre, logramos consolidar 3.060.410 usuarios únicos que han consumido los contenidos del plan de inversión 2019.
Para el segundo trimestre, logramos consolidar 4.419.700 usuarios únicos que han consumido los contenidos del plan de inversión 2019.</t>
  </si>
  <si>
    <t>Teniendo en cuenta que la emisión de los proyectos especiales está proyectada por parte de producción para darse en el último trimestre de 2019, para este informe el total de emisiones es 0.</t>
  </si>
  <si>
    <r>
      <rPr>
        <b/>
        <sz val="8"/>
        <color theme="1"/>
        <rFont val="Arial"/>
        <family val="2"/>
      </rPr>
      <t>T1:</t>
    </r>
    <r>
      <rPr>
        <sz val="8"/>
        <color theme="1"/>
        <rFont val="Arial"/>
        <family val="2"/>
      </rPr>
      <t xml:space="preserve"> Para dar continuidad al plan de renovación tecnológica, para la presente vigencia se tienen asignados recursos por inversión y por recursos propios. Se realizaron inversiones en torno a poder adquirir infraestructura y equipos que pemitan atender las nuevas demandas tecnológicas del canal. Para el primer trimestre se realizó inversión por $ 56.974.197 en la adquisición de equipos de reportería y accesorios para producción de televisión, compuestopor cámara, micrófonos, trípode, batería, cargador, memoria, luz y accesorios
</t>
    </r>
    <r>
      <rPr>
        <b/>
        <sz val="8"/>
        <color theme="1"/>
        <rFont val="Arial"/>
        <family val="2"/>
      </rPr>
      <t>T2:</t>
    </r>
    <r>
      <rPr>
        <sz val="8"/>
        <color theme="1"/>
        <rFont val="Arial"/>
        <family val="2"/>
      </rPr>
      <t xml:space="preserve"> Para dar continuidad al plan de renovación tecnológica, para la presente vigencia se tienen asignados recursos por inversión y por recursos propios. Se realizaron inversiones en torno a poder adquirir infraestructura y equipos que pemitan atender las nuevas demandas tecnológicas del canal. Para el segundo trimestre se realizó inversión por $ 3.797.052 en la adquisición de equipos reportería compuesto por micrófonos con sus respectivos accesorios (pantallas y escudos), $24.946.297 en la renovacion del banco de baterias para la UPS Eaton 9390 de 80 KVA.  Tenemos un avance del 71,43%</t>
    </r>
  </si>
  <si>
    <r>
      <rPr>
        <b/>
        <sz val="8"/>
        <color theme="1"/>
        <rFont val="Arial"/>
        <family val="2"/>
      </rPr>
      <t>T1:</t>
    </r>
    <r>
      <rPr>
        <sz val="8"/>
        <color theme="1"/>
        <rFont val="Arial"/>
        <family val="2"/>
      </rPr>
      <t xml:space="preserve"> De acuerdo al cronograma de mantenimiento previsto, se realizó mantenimiento para la totalidad de los equipos programados,. Se programa una sesión general de mantenimiento en febrero para grupos de equipos de acuerdo a su ubicación y disponibilidad, ejecutando de manera indivual en mantenimiento para cada uno. En total para este primer trimestre se ejecutó labor de mantenimiento preventivo en canal o contratada para un total de 216 equipos. Se reporta un avance del 100% para el periodo y un acumulado del 25%.
</t>
    </r>
    <r>
      <rPr>
        <b/>
        <sz val="8"/>
        <color theme="1"/>
        <rFont val="Arial"/>
        <family val="2"/>
      </rPr>
      <t>T2:</t>
    </r>
    <r>
      <rPr>
        <sz val="8"/>
        <color theme="1"/>
        <rFont val="Arial"/>
        <family val="2"/>
      </rPr>
      <t xml:space="preserve"> De acuerdo al cronograma de mantenimiento previsto, se realizó mantenimiento para la totalidad de los equipos programados,. Se programa una sesión general de mantenimiento en Mayo y Junio para grupos de equipos de acuerdo a su ubicación y disponibilidad, ejecutando de manera indivual en mantenimiento para cada uno. En total para este primer trimestre se ejecutó labor de mantenimiento preventivo en canal o contratada para un total de 328 equipos. Se reporta un avance del 100% para el periodo y un acumulado del 62,96%.     </t>
    </r>
  </si>
  <si>
    <t>Para el primer trimestre, por concepto de ventas privadas se reportan ventas de $98.397.122 sin IVA y por ventas públicas se registran ventas por $255.644.632 sin IVA. En el segmento de ventas  privadas se registran ingresos por concepto de ventas realizadas por el área de Ventas y Mercadeo y la comercializadora HB Medios para servicios de emisión de pauta publicitaria y producción de los siguientes clientes: Inversiones Kyria SAS, Comercializadora Andro SAS, Comercializadora Arve SAS, Comercializadora Mundo Marketing SAS, Glasir SAS, Century Media SAS, Publicidad y algo más SAS, AD Cases Net SAS, Pixel Media SAS y Big Media SAS. En ventas públicas los clientes que reportaron ventas fueron ETB y Canal Trece en nombre de MINTIC.
Para el segundo trimestre, por concepto de ventas privadas se reportan ventas de $183.687.681 sin IVA y por ventas públicas se registran ventas por $583.809.788 sin IVA. En el segmento de ventas  privadas se registran ingresos por concepto de ventas realizadas por el área de Ventas y Mercadeo y la comercializadora HB Medios para servicios de emisión de pauta publicitaria y producción de los siguientes clientes: Inversiones Kyria SAS, Comercializadora Andro SAS, Comercializadora Arve SAS, Comercializadora Mundo Marketing SAS, Glasir SAS, Acomedios Publicidad y Mercadeo Limitada, La Urbe Agencia de Comunicaciones SAS, Elkin Raul Coronell Cadena - Lotería del Meta, Century Media SAS, Eventos y Protocolo Empresarial SAS, Natural Helios SAS, Corporación Universitaria Iberoamericana, Ortizo SA y Autódromos SA. En ventas públicas los clientes que reportaron ventas fueron FONCEP, Cuerpo Oficial de Bomberos de Bogotá, Orquesta Filarmónica de Bogotá y Comisión de la Verdad. En este periodo se incluyen ventas de emisión de  programas de 30 minutos de Comercializadora Mundo Marketing SAS y Glasir SAS, pauta de Acomedios Publicidad y Mercadeo Ltda y emisión de Century Media. Así mismo se incluye el valor de lo recibido desde el ítem digital marketing (Google y Facebook).</t>
  </si>
  <si>
    <r>
      <rPr>
        <b/>
        <sz val="8"/>
        <color theme="1"/>
        <rFont val="Arial"/>
        <family val="2"/>
      </rPr>
      <t xml:space="preserve">T1: </t>
    </r>
    <r>
      <rPr>
        <sz val="8"/>
        <color theme="1"/>
        <rFont val="Arial"/>
        <family val="2"/>
      </rPr>
      <t>La utilidad de la facturación en el primer trimestre, fue de -$301.430.000 millones, debido a que lo comprometido presupuestalmente no se ha facturado al 100%. Los eventos o requerimientos que se encuentran en ejecución solo es posible facturarlos hasta que finalicen y se obtenga el recibido a satisfacción por parte del cliente. No todos los contratos del personal de Nuevos Negocios son facturables a las entidades teniendo en cuenta que muchos clientes solo dejaron facturar un productor en sus contratos. Debido a que se redujo la meta de suscripción de contratos para la vigencia 2019, se hace necesaria una revisión de la utilidad esperada para el 2019. Los costos de personal se deberían incluirse en las cotizaciones presentadas a las entidades y ser facturables contractualmente, para lo cual es necesario saber con exactitud el porcentaje que se debe cobrar a cada cliente, por cada uno de los miembros del equipo de nuevos negocios. Este ejercicio debe ser realizado por el área financiera que es la que conoce los verdaderos costos del equipo.</t>
    </r>
  </si>
  <si>
    <t xml:space="preserve">Para el primer trimestre, en el cronograma estaba programada la reinducción en gestión documental, pero adicional se realizó la reinducción de "La industria Cambio los retos de Canal Capital" y el cambio del "manual de contratación".
Para el segundo trimestre, en el cronograma se tenía en el mes de abril una reinducción, la cual se realizó en el mes de marzo. El 8 de abril se envió el listado con 12 servidores públicos del canal para realizar la inducción y reinducción virtual que tiene el Departamento Administrativo del Servicio Civil Distrital. El 29 de abril se realizó la reinducción anual por parte de la secretaria de la mujer en "violencia contra la mujer". En mayo y junio se han realizado divulgaciones del código de integridad.
</t>
  </si>
  <si>
    <t xml:space="preserve">En el primer trimestre, se realizó la capacitación en gestión documental programada para el mes de marzo. Adicional se realizaron otras 7 capacitaciones que no estaban programadas: Lenguaje claro, Servicio al Ciudadano, Circular 001, uso de apps, Brigadistas de emergencia, seguridad vial, Prevención en Acoso Laboral.
En el segundo trimestre, Se realizaron las siguientes capaciones: Se realizaron 3 capacitaciones en temas técnicos: Ley de financiamiento, información exógena y Documento electrónico y en temas generales las siguientes Ley 1952 de 2019 - Código disciplinario, formulación, seguimiento y medición de indicadores, tablas de retención documental, gobierno digital, violencia contra mujeres, Ley 1712 de 2014 - Ley de transparencia, MIPG, gestión documental, Gestión de riesgo institucional, servicio al ciudadano. Adicional se realizaron 9 capacitaciones en temas de seguridad y salud en el trabajo.
</t>
  </si>
  <si>
    <t xml:space="preserve">Primer trimestre: Se realizaron las actividades planteadas en el cronograma para el primer trimestre del años 2019. Día de cumpleaños. Visitas empresariales, visita compensar, tarjetas virtuales, campaña en bici al canal, día de la mujer, día del hombre y actividades de prevención y promoción de la salud.
Segundo trimestre: Actividades de Clima y Cultura Organizacional: Se programaron para el trimestre 4 actividades en el trimestre: día de cumpleaños, visitas empresariales, tarjetas virtuales y visita de compensar. Actividades Deportivas: Se programaron para el trimestre el torneo de bolos, campaña en bici y el torneo de microfutbol. Por la lluvia se aplazó el torneo de microfutbol para el mes de julio. Actividades recreativas: Se realizó la caminata ecológica y la celebración de los niños en el mes de abril. Actividades culturales: Se realizaron actividades del día de la mujer, día del hombre, día de la secretaria, día de la madre, día del padre, día de la familia. La tarde se deja para el otro trimestre, para dejar espacio entre las actividades. Actividades de prevención y salud: Se realizaron actividades como: Brigada de salud, prevención acoso laboral, manejo del estrés, prevención en consumo de sustancias psicoactivas, cuidado de la piel y manejo de extintores.
</t>
  </si>
  <si>
    <r>
      <rPr>
        <b/>
        <sz val="8"/>
        <color theme="1"/>
        <rFont val="Arial"/>
        <family val="2"/>
      </rPr>
      <t xml:space="preserve">T1: </t>
    </r>
    <r>
      <rPr>
        <sz val="8"/>
        <color theme="1"/>
        <rFont val="Arial"/>
        <family val="2"/>
      </rPr>
      <t xml:space="preserve">1. De acuerdo a lo definido en la resolucion de referencia, la evaluación de cumplimiento de estándares se realizará en el cuarto trimestre del año, a la fecha no encontramos sujetos al resultado de la evaluación de 2018.
2.Se han ejecutado 12 actividades de la 29 programadas en el plan de capacitaciones SST.
3. Se han ejecutado 42 horas de las 208 horas asignadas por la ARL para reinversión.
</t>
    </r>
    <r>
      <rPr>
        <b/>
        <sz val="8"/>
        <color theme="1"/>
        <rFont val="Arial"/>
        <family val="2"/>
      </rPr>
      <t>T2:</t>
    </r>
    <r>
      <rPr>
        <sz val="8"/>
        <color theme="1"/>
        <rFont val="Arial"/>
        <family val="2"/>
      </rPr>
      <t xml:space="preserve"> • De acuerdo a lo definido en la resolución de referencia, la evaluación de cumplimiento de estándares se realizará en el cuarto trimestre del año, a la fecha no encontramos sujetos al resultado de la evaluación de 2018.
• Se han ejecutado 18 actividades de la 29 programadas en el plan de capacitaciones SST.
• Se han ejecutado 90 horas de las 208 horas asignadas por la ARL para reinversión.</t>
    </r>
  </si>
  <si>
    <r>
      <rPr>
        <b/>
        <sz val="8"/>
        <color theme="1"/>
        <rFont val="Arial"/>
        <family val="2"/>
      </rPr>
      <t xml:space="preserve">T1: </t>
    </r>
    <r>
      <rPr>
        <sz val="8"/>
        <color theme="1"/>
        <rFont val="Arial"/>
        <family val="2"/>
      </rPr>
      <t xml:space="preserve">1, Se estudio todo el proceso implementado por el DASCD de meritocracia para el nivel Directivo. Adicional se han realizado cotizaciones de bateria de pruebas para los trabajadores oficiales.
2, Reporte de actividades y avances de acuerdo con lo definido en el Plan Estratégico de Recursos Humanos.
3. El 12 de abril de 2019 se asisitió a una reunión en el DASCD para solicitar concepto e instrucciones para empezar con la actualización de estos documentos.
</t>
    </r>
    <r>
      <rPr>
        <b/>
        <sz val="8"/>
        <color theme="1"/>
        <rFont val="Arial"/>
        <family val="2"/>
      </rPr>
      <t>T2:</t>
    </r>
    <r>
      <rPr>
        <sz val="8"/>
        <color theme="1"/>
        <rFont val="Arial"/>
        <family val="2"/>
      </rPr>
      <t xml:space="preserve"> • Se realizó el proceso de selección tanto para el nivel directivo como para los trabajadores oficiales y contratistas. Falta adquirir las pruebas.
• Se han realizado las capacitaciones por grupos de interés, lo cual ha garantizado que las personas asistan a las capacitaciones de temas del área al cual pertenecen.
• Se realizó el proceso de reestructuración solicitado, el cual se encuentra en estudio de la Subdirección financiara para obtener la viabilidad presupuestal.</t>
    </r>
  </si>
  <si>
    <r>
      <rPr>
        <b/>
        <sz val="8"/>
        <color theme="1"/>
        <rFont val="Arial"/>
        <family val="2"/>
      </rPr>
      <t xml:space="preserve">Trimestre 1: </t>
    </r>
    <r>
      <rPr>
        <sz val="8"/>
        <color theme="1"/>
        <rFont val="Arial"/>
        <family val="2"/>
      </rPr>
      <t xml:space="preserve">Se analizó el cronograma de mantenimiento propuesto para el 2019 identificando que con el fin de generar una oportunidad de mejora, se replanteara el mismo en aras de continuar mejorando.
Se realizó el mantenimiento de acuerdo al Cronograma 2019 donde se ejecutaron 13 actividades  de manera adecuada: Inspecciones para detectar goteos y humedades (3), Limpieza de lavamanos y lavaplatos (3), lubricación de puertas (2), Limpieza lámparas recepción (1), Realizar mantenimiento correctivo y preventivo extintores e inventario (1), mantenimiento, ajuste en sillas (3) y Actividades a solicitud del servicio se realizaron 6 actividades  entre las cuales están: cambio de balastros y luminarias solicitadas en los meses de enero, febrero y marzo y Realizar reparaciones locativas arreglos techos, en los meses de enero, febrero  y marzo 2019.
</t>
    </r>
    <r>
      <rPr>
        <b/>
        <sz val="8"/>
        <color theme="1"/>
        <rFont val="Arial"/>
        <family val="2"/>
      </rPr>
      <t xml:space="preserve">Trimestre 2: </t>
    </r>
    <r>
      <rPr>
        <sz val="8"/>
        <color theme="1"/>
        <rFont val="Arial"/>
        <family val="2"/>
      </rPr>
      <t>Se realizó el mantenimiento de acuerdo al Cronograma 2019 donde se ejecutaron 11 actividades  de manera adecuada: Mantenimiento de Goteras (1), mantenimiento orinales, lavaplatos, triturador y sifón (3), mantenimiento puertas de acceso (1), limpieza lámparas recepción (1), mantenimiento hornos y cambio estufa eléctrica (2), mantenimiento muebles y enseres (1), Pintura oficinas y zonas comunes, recepción, oficina nuevos negocios, sala capacitación, oficina sistemas, servicios administrativos, sala de juntas (2). Se realizaron 4 actividades  a solicitud del servicio entre las cuales están: cambio de paneles led en los meses de mayo y junio y realizar reparaciones en las áreas deterioradas y adecuaciones de áreas de acuerdo a las necesidades y solicitudes las cuales se realizaron en los meses de mayo y junio 2019.</t>
    </r>
  </si>
  <si>
    <r>
      <rPr>
        <b/>
        <sz val="8"/>
        <color theme="1"/>
        <rFont val="Arial"/>
        <family val="2"/>
      </rPr>
      <t xml:space="preserve">Trimestre 1: </t>
    </r>
    <r>
      <rPr>
        <sz val="8"/>
        <color theme="1"/>
        <rFont val="Arial"/>
        <family val="2"/>
      </rPr>
      <t xml:space="preserve">Una vez analizado el cronograma de Toma Físicas periódicas de inventarios, se concluye que el mismo es innecesario en virtud a que la Toma Física de inventarios anual se finalizó en el mes de diciembre de 2018. Por otro lado, es importante aclarar que esto, no generará una debilidad dado que se realizará la Toma Física de Inventarios anual de manera anticipada y con mayor tiempo de ejecución.
</t>
    </r>
    <r>
      <rPr>
        <b/>
        <sz val="8"/>
        <color theme="1"/>
        <rFont val="Arial"/>
        <family val="2"/>
      </rPr>
      <t xml:space="preserve">Trimestre 2: </t>
    </r>
    <r>
      <rPr>
        <sz val="8"/>
        <color theme="1"/>
        <rFont val="Arial"/>
        <family val="2"/>
      </rPr>
      <t>Para el segundo trimestre de 2019 no se evidencia avance en la toma física de inventarios teniendo en cuenta que su cronograma está aprobado por el comité de inventarios a partir del 15 de julio de 2019.</t>
    </r>
  </si>
  <si>
    <r>
      <rPr>
        <b/>
        <sz val="8"/>
        <color theme="1"/>
        <rFont val="Arial"/>
        <family val="2"/>
      </rPr>
      <t>T1:</t>
    </r>
    <r>
      <rPr>
        <sz val="8"/>
        <color theme="1"/>
        <rFont val="Arial"/>
        <family val="2"/>
      </rPr>
      <t xml:space="preserve"> 650 solicitudes de area técnica relacionadas con soporte y descarga de videos y el total restante en solicitudes de servicios relacionados con accesibilidad, telefonia, software, acompañamiento operativo, traslado de equipos entre otros servicios para el área de sistemas. Realizar actividades de capacitacion a usuarios finales en herrameintas ofimaticas y presentar una propuesta de centralización de servicios de impresión.
</t>
    </r>
    <r>
      <rPr>
        <b/>
        <sz val="8"/>
        <color theme="1"/>
        <rFont val="Arial"/>
        <family val="2"/>
      </rPr>
      <t xml:space="preserve">T2: </t>
    </r>
    <r>
      <rPr>
        <sz val="8"/>
        <color theme="1"/>
        <rFont val="Arial"/>
        <family val="2"/>
      </rPr>
      <t>Trimestre 2: 580 solicitudes de área técnica relacionadas con soporte y descarga de videos y el total restante en solicitudes de servicios relacionados con accesibilidad, telefonía, software, acompañamiento operativo, traslado de equipos entre otros servicios para el área de sistemas</t>
    </r>
  </si>
  <si>
    <r>
      <rPr>
        <b/>
        <sz val="8"/>
        <color theme="1"/>
        <rFont val="Arial"/>
        <family val="2"/>
      </rPr>
      <t xml:space="preserve">T1: </t>
    </r>
    <r>
      <rPr>
        <sz val="8"/>
        <color theme="1"/>
        <rFont val="Arial"/>
        <family val="2"/>
      </rPr>
      <t xml:space="preserve">los servicios estan relacionados con apertura de puertos para servicios de streaming, conectividad, confguracion de interfaces y protocolos de directorio activo. gestionar la actualización del servidor de dominio en politicas y controles de usuario.
</t>
    </r>
    <r>
      <rPr>
        <b/>
        <sz val="8"/>
        <color theme="1"/>
        <rFont val="Arial"/>
        <family val="2"/>
      </rPr>
      <t>T2:</t>
    </r>
    <r>
      <rPr>
        <sz val="8"/>
        <color theme="1"/>
        <rFont val="Arial"/>
        <family val="2"/>
      </rPr>
      <t xml:space="preserve"> Los servicios están relacionados con el tráfico de paquetes en servicio de streaming, conectividad WiFi, Telefonía IP, aplicaciones área financiera y copias de respaldo.</t>
    </r>
  </si>
  <si>
    <r>
      <rPr>
        <b/>
        <sz val="8"/>
        <color theme="1"/>
        <rFont val="Arial"/>
        <family val="2"/>
      </rPr>
      <t xml:space="preserve">T1: </t>
    </r>
    <r>
      <rPr>
        <sz val="8"/>
        <color theme="1"/>
        <rFont val="Arial"/>
        <family val="2"/>
      </rPr>
      <t xml:space="preserve">para el primer trimestre del año no se programaron actividades de mantenimiento preventivo de equipos, debido a que en el mes de enero se culminó la labor de mantenimiento programado en la vigencia 2018, por lo cual dichas actividades tendran inicio en mayo de 2019. Con las actividades programadas para 2019, se solicitó enerar reporte manual de software instalado con el fin de dar respuesta a las acciones de mejora definidas en el plan de mejoramiento del área de sistemas orientado a mantener el control estandarizado de los activos de software. Como acción para la mejora, se propone realizar el inventario de hardware y software en el proceso de mantenimiento de equipos teniendo en cuenta las recomendaciones y acciones de mejora propuestas en el plan de mejoramiento del área de sistemas.
</t>
    </r>
    <r>
      <rPr>
        <b/>
        <sz val="8"/>
        <color theme="1"/>
        <rFont val="Arial"/>
        <family val="2"/>
      </rPr>
      <t>T2:</t>
    </r>
    <r>
      <rPr>
        <sz val="8"/>
        <color theme="1"/>
        <rFont val="Arial"/>
        <family val="2"/>
      </rPr>
      <t xml:space="preserve"> Para el segundo trimestre se programó una actividad de mantenimiento preventivo de equipos. Con las actividades programadas se actualiza inventario general de equipos, adicionalmente se gestiona el agente de características a nivel de hardware y software. Se deberá realizar actividades comparativas con el software de gestión del hardware con el fin de garantizar el correcto funcionamiento de los equipos terminales de datos.</t>
    </r>
  </si>
  <si>
    <t>Para el primer trimestre el área de sistemas adelantó la estructuración de los procesos contractuales que den cabida a la ejecución presupuestal contenida en el plan anual de adquisiciones y que hace parte del Plan Estratégico de la entidad.
Para el segundo trimestre, se ejecutó la adquisición de equipos (proyecto de renovación tecnológica), contratación del desarrollo del software intranet (contemplado en las rupturas estratégicas de la entidad), adquisición del hardware de almacenamiento SAN (proyecto de almacenamiento SAN).</t>
  </si>
  <si>
    <r>
      <rPr>
        <b/>
        <sz val="8"/>
        <color theme="1"/>
        <rFont val="Arial"/>
        <family val="2"/>
      </rPr>
      <t>T1:</t>
    </r>
    <r>
      <rPr>
        <sz val="8"/>
        <color theme="1"/>
        <rFont val="Arial"/>
        <family val="2"/>
      </rPr>
      <t xml:space="preserve"> Frente al componete del plan de mejoramiento archivistico vigencia 2019, en el primer trimestre se atendio la visita de seguimiento a la normatividad archivistica el día 05 y 06 de marzo de 2019, y finales de marzo se recibio el informe de esta visita. Es de aclara que a este informe se solicito al Consejo distrital de Archivo la revisión del mismo teniendo en cuenta que el Canal no se encuentra de acuerdo con lo establecido en este informe. Se planteara plan de mejoramiento para lo informado en la visita de seguimiento a la normatividad archivistica.
</t>
    </r>
    <r>
      <rPr>
        <b/>
        <sz val="8"/>
        <color theme="1"/>
        <rFont val="Arial"/>
        <family val="2"/>
      </rPr>
      <t>T2:</t>
    </r>
    <r>
      <rPr>
        <sz val="8"/>
        <color theme="1"/>
        <rFont val="Arial"/>
        <family val="2"/>
      </rPr>
      <t xml:space="preserve"> Frente al componente del plan de mejoramiento archivístico vigencia 2019, en el segundo trimestre se realizó el planteamiento de las actividades para ejecutar la acción de los hallazgos emitidos por el área de control interno, a la espera de su aprobación.</t>
    </r>
  </si>
  <si>
    <r>
      <rPr>
        <b/>
        <sz val="8"/>
        <rFont val="Arial"/>
        <family val="2"/>
      </rPr>
      <t xml:space="preserve">T1: </t>
    </r>
    <r>
      <rPr>
        <sz val="8"/>
        <rFont val="Arial"/>
        <family val="2"/>
      </rPr>
      <t xml:space="preserve">De acuerdo a los componentes propuestos en el PINAR para el año 2019, a continuación se relaciona el avance del primer trimestre:
Componente 1: La organización de archivos se tiene de acuerdo a la Transferencia primarias recibidas en Gestión Documental (Mercadeo y ventas, Atención al Usuario, recepción y correspondencia, Secretaria General, Control Interno, Grupo de Programación , Grupo de trabajo Juridico).
Componente 2: Se realizo levantamiento de información (entrevistas a todas las áreas de la entidad), propuesta de la actualización de la Tabla de Retención Documental a todas las áreas de la entidad y presentación de la actualización de las Tablas de Retención Documental al Subdirector Administrativo.
Componente 3:  Documento aprobado y publicado en Intranet (Modelo de Gestión de Documentos Electronico y Guía de Documentos Electronico).
Se esta realizando capacitaciones antes de las trnasferencias documentales a las diferentes áreas, con el fin de que la organización y entrega quede completa de la documentación.
Se esta realizando mesas de trabajo previas al proceso de convalidación de las tablas de retención documental.
Se tendra en cuenta las observaciones entregadas en el informe de seguimiento a la normatividad archivistica para mejorar los documentos publicados.
</t>
    </r>
    <r>
      <rPr>
        <b/>
        <sz val="8"/>
        <rFont val="Arial"/>
        <family val="2"/>
      </rPr>
      <t>T2:</t>
    </r>
    <r>
      <rPr>
        <sz val="8"/>
        <rFont val="Arial"/>
        <family val="2"/>
      </rPr>
      <t xml:space="preserve"> De acuerdo a los componentes propuestos en el PINAR para el año 2019, a continuación se relaciona el avance del segundo trimestre:
Componente 1: La organización de archivos se tiene de acuerdo a la Transferencia primarias recibidas en Gestión Documental (Grupo de Trabajo Jurídico, Talento Humano y Procesos Disciplinarios).
Componente 2: Se envió la propuesta de la tabla de retención  documental de la Secretaria General, al Archivo Bogotá; y se realizó mesa técnica para revisar los ajustes a la Tabla de retención Documental enviada al Archivo Bogotá.
Componente 3: Documento aprobado y publicado en Intranet (Se realizó mesa técnica para revisar las observaciones del documento del Sistema de Gestión de Documento Electrónico de Archivo).
</t>
    </r>
  </si>
  <si>
    <r>
      <rPr>
        <b/>
        <sz val="8"/>
        <rFont val="Arial"/>
        <family val="2"/>
      </rPr>
      <t xml:space="preserve">T1: </t>
    </r>
    <r>
      <rPr>
        <sz val="8"/>
        <rFont val="Arial"/>
        <family val="2"/>
      </rPr>
      <t xml:space="preserve">Para este primer periodo los rendimientos  financieros ascienden al 11% del total proyectados.  Las cuenta de ahorros mantuvieron una tasa promedio del 3.0% E.A. Es de anotar que los rendimientos financieros fueron mayores, teniendo en cuenta los recursos que ingresaron por transferencias de la Secretaría de Hacienda al inicio de vigencia actual.
</t>
    </r>
    <r>
      <rPr>
        <b/>
        <sz val="8"/>
        <rFont val="Arial"/>
        <family val="2"/>
      </rPr>
      <t>T2:</t>
    </r>
    <r>
      <rPr>
        <sz val="8"/>
        <rFont val="Arial"/>
        <family val="2"/>
      </rPr>
      <t xml:space="preserve"> En el segundo trimestre observamos un aumento del 19% ocasionados en mayor parte por los rendimientos generados  en el mes de junio por la redención del CDT constituido la entidad financiera Davivienda, las  cuentas de ahorro presentaron un crecimiento constante del 1%.</t>
    </r>
  </si>
  <si>
    <r>
      <rPr>
        <b/>
        <sz val="8"/>
        <rFont val="Arial"/>
        <family val="2"/>
      </rPr>
      <t xml:space="preserve">T1: </t>
    </r>
    <r>
      <rPr>
        <sz val="8"/>
        <rFont val="Arial"/>
        <family val="2"/>
      </rPr>
      <t xml:space="preserve">Durante el primer trimestres  la entidad presentó un porcentaje de ejecución de recaudo del 41,78% equivalente a $20.998 millones frente al total apropiado, quedando pendiente un saldo por valor de $29.262 millones; es de aclarar que se presenta un alto porcentaje de recaudo debido a las transferencias realizadas por la Secretaria Distrital de Hacienda por valor de 11.200 millones, no obstante, dichos dineros son destinados a respaldar parte de las obligaciones de funcionamiento de la entidad y traslado de la sede.Ingresos corrientes: Presentó un recaudo efectivo de $5.929 millones, equivalentes al 34,86% de la apropiación, detallados así: Comercialización Directa: recaudo por valor de $1.618 millones equivalente al 18,00%;Cuentas por Cobrar: presenta un recaudado de $4.296 millones equivalentes al 54,03%, dicho rubro representa los recursos para cubrir las cuentas por pagar y los contratos suscritos en la vigencia 2018 de servicios de BTL y apoyo logístico, el  saldo pendiente de recaudo es por valor de $3.655 millones de pesos; Otros Ingresos de Explotación: con un recaudo de $ 14 millones, correspondientes al 28,93%,  el saldo de $35 millones. Dentro de los ingresos el rubro de menor porcentaje de recaudo corresponde a la comercialización directa, para lo cual la entidad debe revisar sus metas y planes de ventas, con el objetivo de incrementar los ingresos y disminuir el posible déficit o realizar el replanteamiento de los compromisos pendientes a ser ejecutados con cargo a esta fuente de financiación.
</t>
    </r>
    <r>
      <rPr>
        <b/>
        <sz val="8"/>
        <rFont val="Arial"/>
        <family val="2"/>
      </rPr>
      <t>T2:</t>
    </r>
    <r>
      <rPr>
        <sz val="8"/>
        <rFont val="Arial"/>
        <family val="2"/>
      </rPr>
      <t xml:space="preserve"> El presupuesto definitivo de gastos fue de  $53.640 millones, por los ajustes y traslados presupuestales para cubrir  las obligaciones  derivadas de la asignación de recursos para proyectos especiales de la ANTV, la suscripción de contratos interadministrativos entre entidades distritales para prestar  servicios de BTL, operación logística y plan de medios., se clasifican en grandes agregados así: Funcionamiento: ejecutado el 52,15% por valor de $5.591 millones, de los cuales se efectuaron pagos de $3.454 millones equivalentes al 32,22% frente al total apropiado. Operación: ejecutado el 67,08% equivalente a $23.863 millones de los cuales se efectuaron giros por $13.733 millones correspondientes al 38,61%. Inversión: presentó compromisos del 67,74% equivalente a $4.565 millones y giros de las obligaciones adquiridas del 30,25% por valor de $2.038 millones.</t>
    </r>
  </si>
  <si>
    <r>
      <rPr>
        <b/>
        <sz val="8"/>
        <rFont val="Arial"/>
        <family val="2"/>
      </rPr>
      <t xml:space="preserve">T1: </t>
    </r>
    <r>
      <rPr>
        <sz val="8"/>
        <rFont val="Arial"/>
        <family val="2"/>
      </rPr>
      <t xml:space="preserve">A 31 de marzo de 2019, se obtuvo una gestión de cobro del 81,75%, es decir $5,915 millones en efectivo + $263 millones que corresponde a los descuentos efectuados por estampillas, volumen agencia y retenciones de Ley; lo anterior, frente a un total facturado de $7,557 millones incluido IVA por concepto de servicios de BTL, Pauta Publicitaria, Emisión de programas y Producción de Televisión. La cartera constituida a la misma fecha ($1,379 millones) bajo estos conceptos, se clasificó así: el 36% corresponde a la facturación emitida entre 0 y 30 días; el 53%, entre 31-60 días; el 2% entre 61-90 días y el 9% a la  facturación pendiente de recaudo con mas de 90 días.  Se concluye que fue efectiva la rotación de cartera en el trimestre. 
</t>
    </r>
    <r>
      <rPr>
        <b/>
        <sz val="8"/>
        <rFont val="Arial"/>
        <family val="2"/>
      </rPr>
      <t>T2:</t>
    </r>
    <r>
      <rPr>
        <sz val="8"/>
        <rFont val="Arial"/>
        <family val="2"/>
      </rPr>
      <t xml:space="preserve"> Al cierre del segundo trimestre se evidenció un cumplimiento de la meta del 93,69%, teniendo en cuenta que  se obtuvo un recaudo acumulado de $10.665 millones incluido IVA, ($10.259 millones entre transferencias y consignaciones bancarias y $406 millones que corresponden a retenciones y descuentos autorizados) frente a una facturación emitida y radicada de $11.383 millones incluido IVA, La rotación de cartera refleja que Canal Capital mantiene una cartera corriente, teniendo como referencia que se presentó un saldo de $718 millones, el 55,58%  corresponden a la facturación emitida entre 0 y 30 días y el 32,04% a la facturación expedida entre 31 y 60 días.
</t>
    </r>
  </si>
  <si>
    <r>
      <rPr>
        <b/>
        <sz val="8"/>
        <rFont val="Arial"/>
        <family val="2"/>
      </rPr>
      <t xml:space="preserve">T1: </t>
    </r>
    <r>
      <rPr>
        <sz val="8"/>
        <rFont val="Arial"/>
        <family val="2"/>
      </rPr>
      <t xml:space="preserve">En lo corrido de la presente vigencia se evidencia un incremento paulatino de los acreedores los cuales cuentan con el respaldo adecuado en los saldos de los activos detallados en los Estados Financieros; interpretando que Canal Capital tiene el apalancamiento financiero adecuado de 21,74% para el pago de las obligaciones de manera óptima, sin afectar el normal funcionamiento de la Entidad.
</t>
    </r>
    <r>
      <rPr>
        <b/>
        <sz val="8"/>
        <rFont val="Arial"/>
        <family val="2"/>
      </rPr>
      <t>T2:</t>
    </r>
    <r>
      <rPr>
        <sz val="8"/>
        <rFont val="Arial"/>
        <family val="2"/>
      </rPr>
      <t xml:space="preserve"> La entidad para el cierre del trimestre presentó un porcentaje de nivel de endeudamiento del 33%, lo que indica que la capacidad de pago es eficiente y el respaldo a corto plazo se encuentra disponible dentro del activo.</t>
    </r>
  </si>
  <si>
    <r>
      <rPr>
        <b/>
        <sz val="8"/>
        <rFont val="Arial"/>
        <family val="2"/>
      </rPr>
      <t xml:space="preserve">T1: </t>
    </r>
    <r>
      <rPr>
        <sz val="8"/>
        <rFont val="Arial"/>
        <family val="2"/>
      </rPr>
      <t xml:space="preserve">Al cierre del primer trimestre de la presente vigencia, es adecuado resaltar que se presenta un nivel muy satisfactorio o de razonabilidad del margen de seguridad equivalente al 68,26%, en relación al cubrimiento de las obligaciones a corto plazo para el normal funcionamiento y operación de la entidad, los cuales se encuentran respaldados con los saldos detallados en los bancos, CDT´s y cartera detallados en los Estados Financieros.
</t>
    </r>
    <r>
      <rPr>
        <b/>
        <sz val="8"/>
        <rFont val="Arial"/>
        <family val="2"/>
      </rPr>
      <t>T2:</t>
    </r>
    <r>
      <rPr>
        <sz val="8"/>
        <rFont val="Arial"/>
        <family val="2"/>
      </rPr>
      <t xml:space="preserve"> Según los saldos reflejados al cierre del mes de junio, el 52,92% representan los recursos necesarios para el funcionamiento y operación del Canal dando cumplimiento a las cuentas por pagar durante los plazos pactados, de acuerdo a las cuantías reflejadas en los bancos, CDT´s y cartera.</t>
    </r>
  </si>
  <si>
    <r>
      <rPr>
        <b/>
        <sz val="8"/>
        <rFont val="Arial"/>
        <family val="2"/>
      </rPr>
      <t xml:space="preserve">T1: </t>
    </r>
    <r>
      <rPr>
        <sz val="8"/>
        <rFont val="Arial"/>
        <family val="2"/>
      </rPr>
      <t xml:space="preserve">Al finalizar el mes de marzo y teniendo presente los meses anteriores a éste, se evidencia un nivel  muy satisfactorio en el respaldo de los compromisos y obligaciones adquiridas por parte de Canal Capital sin afectar las condiciones y plazos inicialmente pactados, en referencia a la liquidez detallada en los saldos reflejados en los bancos, CDT´s y cartera detallados en los Estados Financieros.
</t>
    </r>
    <r>
      <rPr>
        <b/>
        <sz val="8"/>
        <rFont val="Arial"/>
        <family val="2"/>
      </rPr>
      <t>T2:</t>
    </r>
    <r>
      <rPr>
        <sz val="8"/>
        <rFont val="Arial"/>
        <family val="2"/>
      </rPr>
      <t xml:space="preserve"> Al finalizar el primer semestre se detalla un nivel satisfactorio de liquidez, el cual constata la buena capacidad que tiene el Canal para pagar las obligaciones y compromisos a corto plazo.</t>
    </r>
  </si>
  <si>
    <r>
      <rPr>
        <b/>
        <sz val="8"/>
        <color theme="1"/>
        <rFont val="Arial"/>
        <family val="2"/>
      </rPr>
      <t xml:space="preserve">T1: </t>
    </r>
    <r>
      <rPr>
        <sz val="8"/>
        <color theme="1"/>
        <rFont val="Arial"/>
        <family val="2"/>
      </rPr>
      <t xml:space="preserve">Canal Capital recibió ocho (8) peticiones y dos (2) proposiciones del Concejo de Bogotá durante el primer trimestre del año. Tanto las peticiones como las proposiciones fueron respondidas dentro de los términos de Ley establecidos.
</t>
    </r>
    <r>
      <rPr>
        <b/>
        <sz val="8"/>
        <color theme="1"/>
        <rFont val="Arial"/>
        <family val="2"/>
      </rPr>
      <t>T2:</t>
    </r>
    <r>
      <rPr>
        <sz val="8"/>
        <color theme="1"/>
        <rFont val="Arial"/>
        <family val="2"/>
      </rPr>
      <t xml:space="preserve"> Canal Capital recibió seis (6) peticiones y dos (2) proposiciones del Concejo de Bogotá durante el segundo trimestre del año. Tanto las peticiones como las proposiciones fueron respondidas dentro de los términos de Ley establecidos.</t>
    </r>
  </si>
  <si>
    <r>
      <rPr>
        <b/>
        <sz val="8"/>
        <color theme="1"/>
        <rFont val="Arial"/>
        <family val="2"/>
      </rPr>
      <t xml:space="preserve">T1: </t>
    </r>
    <r>
      <rPr>
        <sz val="8"/>
        <color theme="1"/>
        <rFont val="Arial"/>
        <family val="2"/>
      </rPr>
      <t xml:space="preserve">Los días 27 y 28 de marzo de 2019  se efectuó capactiaciones a todo el personal de CANAL CAPITAL sobre el nuevo manual de Contratación, Supervisión e Interventoría
</t>
    </r>
    <r>
      <rPr>
        <b/>
        <sz val="8"/>
        <color theme="1"/>
        <rFont val="Arial"/>
        <family val="2"/>
      </rPr>
      <t>T2:</t>
    </r>
    <r>
      <rPr>
        <sz val="8"/>
        <color theme="1"/>
        <rFont val="Arial"/>
        <family val="2"/>
      </rPr>
      <t xml:space="preserve"> Durante los días 30 y 31 de mayo de 2019, se programaron y se aadelantaron cinco (5) jornadas de capacitación relacionadas con la implementación del nuevo manual de contratación, supervisión e interventoría versión 6, cuya vigencia iniciaba el 1 de junio de 2019; así mismo, sobre la utilización de los nuevos formatos de condiciones mínimas de contratación y estudios previos.   </t>
    </r>
  </si>
  <si>
    <r>
      <rPr>
        <b/>
        <sz val="8"/>
        <color theme="1"/>
        <rFont val="Arial"/>
        <family val="2"/>
      </rPr>
      <t xml:space="preserve">T1: </t>
    </r>
    <r>
      <rPr>
        <sz val="8"/>
        <color theme="1"/>
        <rFont val="Arial"/>
        <family val="2"/>
      </rPr>
      <t xml:space="preserve">Durante el Primer Trimestre de 2019 se convocó y se publicó la Convocatoria No. 001-2019 cuyo objeto correspondió a: "Contratar la prestación del servicio público de transporte terrestre automotor especial, de equipos y personal en el perímetro de Bogotá D.C. y otros destinos nacionales.", cuyo proyecto de pliegos de condiciones fue publicado el 4 de febrero de 2019 y adjudicado el 28 de febrero de 2019.
</t>
    </r>
    <r>
      <rPr>
        <b/>
        <sz val="8"/>
        <color theme="1"/>
        <rFont val="Arial"/>
        <family val="2"/>
      </rPr>
      <t>T2:</t>
    </r>
    <r>
      <rPr>
        <sz val="8"/>
        <color theme="1"/>
        <rFont val="Arial"/>
        <family val="2"/>
      </rPr>
      <t xml:space="preserve"> Durante el segundo trimestre de 2019 se convocó y se publicaron las Convocatorias No. 002-2019, 003-2019, 004-2019 y 005-2019, procesos de selección que fueron aperturados en los meses de abril y mayo, respectivamente,  siendo estos adjudicados en el mismo trimestre.</t>
    </r>
  </si>
  <si>
    <r>
      <rPr>
        <b/>
        <sz val="8"/>
        <color theme="1"/>
        <rFont val="Arial"/>
        <family val="2"/>
      </rPr>
      <t>T1:</t>
    </r>
    <r>
      <rPr>
        <sz val="8"/>
        <color theme="1"/>
        <rFont val="Arial"/>
        <family val="2"/>
      </rPr>
      <t xml:space="preserve"> No se cuenta con infomación relacionada para el primer trimestre de la vigencia.
</t>
    </r>
    <r>
      <rPr>
        <b/>
        <sz val="8"/>
        <color theme="1"/>
        <rFont val="Arial"/>
        <family val="2"/>
      </rPr>
      <t>T2:</t>
    </r>
    <r>
      <rPr>
        <sz val="8"/>
        <color theme="1"/>
        <rFont val="Arial"/>
        <family val="2"/>
      </rPr>
      <t xml:space="preserve"> Durante el segundo trimestre de 2019, CANAL CAPITAL fue notificado de cuatro (4) demandas ordinarias laborales iniciadas por los excontratistas José Agustín Suárez Palacio, Mauricio Pichot, Elsy Leonor Nuñez e Iván Cruz Acevedo cuya pretensión es el reconocimiento de una relación laboral (contrato realidad). Igualmente, el Canal se notificó dentro del proceso de nulidad y restablecimiento del derecho instaurado por Alejandra Orozco y una acción de controversias contractuales iniciada por Cabeza Rodante Producciones S.A. </t>
    </r>
  </si>
  <si>
    <r>
      <rPr>
        <b/>
        <sz val="8"/>
        <color theme="1"/>
        <rFont val="Arial"/>
        <family val="2"/>
      </rPr>
      <t xml:space="preserve">T1: </t>
    </r>
    <r>
      <rPr>
        <sz val="8"/>
        <color theme="1"/>
        <rFont val="Arial"/>
        <family val="2"/>
      </rPr>
      <t xml:space="preserve">De acuerdo con los informes mensuales remitidos a la Veeduria Distrital se detalla a continuación la relación de PQRS recibidas y atendidas en la vigencia 2019:
* Para el mes de enero se recibieron un total de 26 peticiones de las cuales se atendieron 17 peticiones (14 de este periodo y 3 del periodo anterior).  * Para el mes de febrero se recibieron 49 peticiones de las cuales se atendieron 42 peticiones (29 peticiones del periodo actual y 13 del periodo anterior). * Para el mes de marzo se recibieron un total de 46 peticiones de las cuales se atendieron 57 peticiones (35 de este periodo y 22 del periodo anterior).  Lo anterior obedece a que los registros que se hacen en los ultimos días de cada mes por tiempos de respuesta se cierran hasta el mes entrante. En el trimestre se recibieron 121 peticiones en total y se atendieron 116 lo que implica un porcentaje de 96% de peticiones atendidas con oportunidad.  Teniendo en cuenta el analísis realizado se viene trabajando con la Dirección Operativa (Sistema Informativo) y  con el área juridica mensualmente sobre las respuestas a las peticiones de este área, logrando de esta manera una mejoría en cuanto al cumplimiento de los tiempos establecidos para dar respuesta a las peticiones.
</t>
    </r>
    <r>
      <rPr>
        <b/>
        <sz val="8"/>
        <color theme="1"/>
        <rFont val="Arial"/>
        <family val="2"/>
      </rPr>
      <t>T2:</t>
    </r>
    <r>
      <rPr>
        <sz val="8"/>
        <color theme="1"/>
        <rFont val="Arial"/>
        <family val="2"/>
      </rPr>
      <t xml:space="preserve"> De acuerdo con los informes mensuales remitidos a la Veeduria Distrital se detalla a continuación la relación de PQRS recibidas y atendidas en la vigencia 2019:
* Para el mes de abril se recibieron un total de 39 peticiones de las cuales se atendieron 31 peticiones (19 de este periodo y 12 del periodo anterior).  * Para el mes de mayo se recibieron 27 peticiones de las cuales se atendieron 34 peticiones (15 peticiones del periodo actual y 19 del periodo anterior). * Para el mes de junio se recibieron un total de 38 peticiones de las cuales se atendieron 26 peticiones (11 de este periodo y 15 del periodo anterior).  Lo anterior obedece a que los registros que se hacen en los ultimos días de cada mes por tiempos de respuesta se cierran hasta el mes entrante.  En el trimestre se recibieron 104 peticiones en total y se atendieron 91 lo que implica un porcentaje de 88% de peticiones atendidas con oportunidad. </t>
    </r>
  </si>
  <si>
    <r>
      <rPr>
        <b/>
        <sz val="8"/>
        <color theme="1"/>
        <rFont val="Arial"/>
        <family val="2"/>
      </rPr>
      <t xml:space="preserve">Cuatrimestre 1: </t>
    </r>
    <r>
      <rPr>
        <sz val="8"/>
        <color theme="1"/>
        <rFont val="Arial"/>
        <family val="2"/>
      </rPr>
      <t>El seguimiento de este indicador quedo con periodo de reporte cuatrimestral, por lo que cubre el primer trimestre y el mes siguiente. El resultado obedece a dos factores: Falta de cumplimiento de las areas frente a los planes de mejoramiento y falta de envio de los soportes suficientes y conducentes para la verificación del cumplimiento. Como acción para la mejora, se propone adelantar mesas de trabajo, con finalidad preventiva, con las areas de mayor porcentaje de incumplimiento conforme al ultimo informe de seguimiento al plan de mejoramiento.</t>
    </r>
  </si>
  <si>
    <r>
      <rPr>
        <b/>
        <sz val="8"/>
        <color theme="1"/>
        <rFont val="Arial"/>
        <family val="2"/>
      </rPr>
      <t>T1:</t>
    </r>
    <r>
      <rPr>
        <sz val="8"/>
        <color theme="1"/>
        <rFont val="Arial"/>
        <family val="2"/>
      </rPr>
      <t xml:space="preserve"> Para el primer trimestre de la vigencia 2019 se tuvo un cumplimiento del 100% de las accciones contempladas en el Plan Anual de audiorias.
</t>
    </r>
    <r>
      <rPr>
        <b/>
        <sz val="8"/>
        <color theme="1"/>
        <rFont val="Arial"/>
        <family val="2"/>
      </rPr>
      <t>T2:</t>
    </r>
    <r>
      <rPr>
        <sz val="8"/>
        <color theme="1"/>
        <rFont val="Arial"/>
        <family val="2"/>
      </rPr>
      <t xml:space="preserve"> Para el segundo trimestre de la vigencia se presento un cumplimiento del 80% de las acciones contempladas en el Plan Anual de Auditorias. El porcentaje señala el no cumplimiento de la fecha propuesta de las actividades. Sin embargo, hay actividades que para este reporte ya se encuentran realizadas.  Como acción para la mejora, se propone la revisión de las actividades programadas y adelantar seguimiento semanal en reuniones de grupo de avances, donde se presentara el estado de las acciones y se presentaran posibles soluciones.</t>
    </r>
  </si>
  <si>
    <r>
      <rPr>
        <b/>
        <sz val="8"/>
        <color theme="1"/>
        <rFont val="Arial"/>
        <family val="2"/>
      </rPr>
      <t xml:space="preserve">Cuatrimestre 1: </t>
    </r>
    <r>
      <rPr>
        <sz val="8"/>
        <color theme="1"/>
        <rFont val="Arial"/>
        <family val="2"/>
      </rPr>
      <t>El seguimiento de este indicador quedo con periodo de reporte cuatrimestral, por lo que cubre el primer trimestre y el mes siguiente. El resultado obedece a los siguientes factores:Falta de cumplimiento de las areas con lo registrado en el PAAC, no se aporta los soportes correspondientes a las acciones programadas y falta de autoevaluación de las areas frente al PAAC. Elaboración de alcance a la Circular 020 del 06 de noviembre de 2018, dirigida a todos los colaboradores de Canal Capital, donde se referencie las caracteristicas, condiciones y critrerios minimos para el reporte del cumplimiento de las acciones programadas en los planes sujetos a seguimiento por la Oficina de Control Interno.</t>
    </r>
  </si>
  <si>
    <t>OE5-1</t>
  </si>
  <si>
    <t>OE4-1</t>
  </si>
  <si>
    <t>OE4-2</t>
  </si>
  <si>
    <t>OE5-2</t>
  </si>
  <si>
    <t>OE4-3</t>
  </si>
  <si>
    <t>OE1-1</t>
  </si>
  <si>
    <t>OE1-2</t>
  </si>
  <si>
    <t>OE2-1</t>
  </si>
  <si>
    <t>OE2-2</t>
  </si>
  <si>
    <t>OE2-3</t>
  </si>
  <si>
    <t>OE2-4</t>
  </si>
  <si>
    <t>OE2-5</t>
  </si>
  <si>
    <t>OE2-6</t>
  </si>
  <si>
    <t>OE2-7</t>
  </si>
  <si>
    <t>OE2-8</t>
  </si>
  <si>
    <t>OE2-9</t>
  </si>
  <si>
    <t>OE3-1</t>
  </si>
  <si>
    <t>OE3-2</t>
  </si>
  <si>
    <t>OE4-4</t>
  </si>
  <si>
    <t>OE4-5</t>
  </si>
  <si>
    <t>OE4-6</t>
  </si>
  <si>
    <t>OE4-7</t>
  </si>
  <si>
    <t>OE5-3</t>
  </si>
  <si>
    <t>OE5-4</t>
  </si>
  <si>
    <t>OE5-5</t>
  </si>
  <si>
    <t>OE5-6</t>
  </si>
  <si>
    <t>OE5-7</t>
  </si>
  <si>
    <t>OE5-8</t>
  </si>
  <si>
    <t>OE5-9</t>
  </si>
  <si>
    <t>OE5-10</t>
  </si>
  <si>
    <t>OE5-11</t>
  </si>
  <si>
    <t>OE5-12</t>
  </si>
  <si>
    <t>OE5-13</t>
  </si>
  <si>
    <t>OE5-14</t>
  </si>
  <si>
    <t>OE5-15</t>
  </si>
  <si>
    <t>OE5-16</t>
  </si>
  <si>
    <t>OE4-8</t>
  </si>
  <si>
    <t>OE4-9</t>
  </si>
  <si>
    <t>OE4-10</t>
  </si>
  <si>
    <t>OE4-11</t>
  </si>
  <si>
    <t>OE4-12</t>
  </si>
  <si>
    <t>OE4-13</t>
  </si>
  <si>
    <t>OE4-14</t>
  </si>
  <si>
    <t>OE5-17</t>
  </si>
  <si>
    <t>OE5-18</t>
  </si>
  <si>
    <t>OE5-19</t>
  </si>
  <si>
    <t>OE5-20</t>
  </si>
  <si>
    <t>OE5-21</t>
  </si>
  <si>
    <t>OE1-3</t>
  </si>
  <si>
    <t>OE5-22</t>
  </si>
  <si>
    <t>OE5-23</t>
  </si>
  <si>
    <t>OE5-24</t>
  </si>
  <si>
    <r>
      <rPr>
        <b/>
        <sz val="8"/>
        <color theme="1"/>
        <rFont val="Arial"/>
        <family val="2"/>
      </rPr>
      <t xml:space="preserve">T1: </t>
    </r>
    <r>
      <rPr>
        <sz val="8"/>
        <color theme="1"/>
        <rFont val="Arial"/>
        <family val="2"/>
      </rPr>
      <t xml:space="preserve">CANAL CAPITAL publicó en la plataforma de SECOP I cuatrocientos diez (410) contratos de los cuatrocientos doce (412) suscritos durante el primer trimestre de 2019.
</t>
    </r>
    <r>
      <rPr>
        <b/>
        <sz val="8"/>
        <color theme="1"/>
        <rFont val="Arial"/>
        <family val="2"/>
      </rPr>
      <t>T2:</t>
    </r>
    <r>
      <rPr>
        <sz val="8"/>
        <color theme="1"/>
        <rFont val="Arial"/>
        <family val="2"/>
      </rPr>
      <t xml:space="preserve"> CANAL CAPITAL publicó en la plataforma de SECOP I  (149) contratos de los ciento cincuenta y tres (153) suscritos durante el segundo trimestre de 2019.</t>
    </r>
  </si>
  <si>
    <t xml:space="preserve">Para el primer trimestre, los resultados proyectados corresponden al seguimiento realizado al plan de trabajo para la implementación del Modelo Integrado de Planeación y Gestión - MIPG, de acuerdo con las actividades definidas y las ponderaciones de las mismas. Como acciones para la mejora, se plantea dar continuidad con las actividades definidas en el plan de trabajo, y la definición del plan de fortalecimiento.
Para el segundo trimestre los resultados proyectados corresponden al seguimiento realizado al plan de trabajo para la implementación del Modelo Integrado de Planeación y Gestión - MIPG, de acuerdo con las actividades definidas y las ponderaciones de las mismas. Se realizó el primer seguimiento a las acciones del Plan de Acción de la vigencia 2019  y se adelantó la actualización del Plan de Acción en su segunda versión realizando la solicitud de reporte en el mes de julio a todos los responsables, en materia de riesgos se realizó actualización a los riesgos de gestión de los procesos misionales y se contribuyó en la actualización de la política de riesgos del Canal. Frente al Comité Institucional de Gestión y Desempeño en el mes de mayo se realizó la primera reunión del Comité donde se revisaron los siguientes temas: presentación de la nueva plataforma estratégica, socialización de la circular 006 de 2019 de conformación del equipo de trabajo transversal del MIPG, balance del reporte FURAG II 2018-2019, balance de gestión de riesgos primer semestre de 2019 y estado de avance de la implementación del PIGA primer cuatrimestre de 2019. Igualmente se adelantaron las acciones enfocadas en la articulación de los resultados del FURAG II 2018-2019 con el plan de fortalecimiento institucional del Modelo convocando a reunión  a los diferentes responsables del equipo de trabajo transversal del MIPG para dicha articulación en el marco de la circular interna 006 de 2019 y se adelantó el ejercicio de caracterización de usuarios en con un 50% de avance.  Finalmente se adelantó la migración de la información a la nueva intranet de toda la información documental del Canal reorganizando dicha información asociada a los procesos de la entidad, en búsqueda de facilitar su consulta. </t>
  </si>
  <si>
    <t>(Porcentaje de avance en las actividades del plan de trabajo programadas para la vigencia / 100% de cumplimiento del plan de trabajo definido para la vigencia) * 100%</t>
  </si>
  <si>
    <t>(Porcentaje de avances en el cumplimiento de las acciones programadas en el plan de capacitación / 100% de avance en el total de acciones programadas del plan de capacitación)*100%.</t>
  </si>
  <si>
    <t>(Porcentaje de avances  en el cumplimiento de las acciones programadas en el plan de bienestar  e incentivos  / 100% de avance en el total de acciones programadas del plan de bienestar  e incentivos)*100%.</t>
  </si>
  <si>
    <t>(Porcentaje de avances en el cumplimiento de las acciones programadas en el plan del Subsistema de Gestión de Seguridad y Salud en el Trabajo, SG-SST  / 100% de avance en el total de acciones programadas del plan del Subsistema de Gestión de Seguridad y Salud en el Trabajo, SG-SST)*100%.</t>
  </si>
  <si>
    <t>(Porcentaje de avances en el cumplimiento de las acciones programadas en el Plan Estratégico de Recursos Humanos / 100% de avance en el total de acciones programadas del Plan Estratégico de Recursos Humanos)*100%.</t>
  </si>
  <si>
    <t>(Porcentaje de avances en el cumplimiento de las acciones programadas en el plan de T.I. / 100% de avance en el total de acciones programadas en el plan de T.I.)*100%.</t>
  </si>
  <si>
    <t>(Porcentaje de avances  en el cumplimiento de las acciones generadas en el informe de Archivo Distrital / 100% de avance en el total de acciones programadas en el plan de mejoramiento del archivo.)*100%.</t>
  </si>
  <si>
    <t>(Porcentaje de avances en el cumplimiento de las acciones programadas en el Plan Institucional de Archivos de la Entidad - PINAR / 100% de avance en el total de acciones programadas en el Plan Institucional de Archivos de la Entidad - PINAR)*100%.</t>
  </si>
  <si>
    <t>Avance reportado</t>
  </si>
  <si>
    <t>Resultado ajustado al corte</t>
  </si>
  <si>
    <t>Inferior al 60%</t>
  </si>
  <si>
    <t>Superior a 50%</t>
  </si>
  <si>
    <t>Superior a 1,5</t>
  </si>
  <si>
    <t>Los ingresos del primer trimestre corresponden a las facturas radicadas en las entidades Fondo Financiero Distrital de Salud CI 619684 2018, UAESP CI 37 2018, Secretaría distrital de Ambiente CI 1380 2018, IDPAC CI 753 2018, JEP CI 001 2019 y Secretaría General de la Alcaldía CI 739 2018. Como acción de mejora para el primer trimestre, se propone reestructurar la meta teniendo en cuenta que la política de ventas cambió en tanto que ahora no solo se debe vender BTL sino BTL junto con producción audiovisual. Esto implicó que varios de los contratos que estaban en estudio previo, no se suscribieron finalmente. SDIS Por $2.500 millones. FISCALIA por $5.000.000 millones.</t>
  </si>
  <si>
    <t>(Número de horas emitidas con closed caption / Número de horas requeridas) *100 %</t>
  </si>
  <si>
    <t>(Número de horas emitidas con LSC / Número de horas requeridas)*100%</t>
  </si>
  <si>
    <t>Reporte del período</t>
  </si>
  <si>
    <t>Observaciones</t>
  </si>
  <si>
    <t>El resultado del indicador a la fecha de corte es adecuado y no presenta observaciones. Se requiere para el segundo trimestre el avance respecto del plan de trabajo asociado al modelo y la implementación de las acciones definidas en el plan de sostenibilidad.</t>
  </si>
  <si>
    <t>Al primer semestre, se ha adelantado un 66,86% en la ejecución de los recursos asignados por la ANTV; El resultado del indicador a la fecha de corte es adecuado y no presenta observaciones.</t>
  </si>
  <si>
    <t>Al cierre del primer semestre, la ejecución de recursos de los proyectos de inversión ha sido adecuada y se encuentra en el 66,39%; el resultado del indicador a la fecha de corte es adecuado y no presenta observaciones.</t>
  </si>
  <si>
    <t>Se presenta bajo nivel de avances debido al retraso en la contratación de la firma consultora de apoyo y asesoría en la realización del proyecto, la cual se realizará en el transcurso del segundo semestre.</t>
  </si>
  <si>
    <t>De acuerdo con la información reportada, la ejecución de los recursos del PAA se ha desarrollado conforme a lo planeado; el resultado del indicador a la fecha de corte es adecuado y no presenta observaciones.</t>
  </si>
  <si>
    <t>De acuerdo con la información reportada, Canal Capital ha logrado interacción de 1.387.899, llegando al 92,53% de la meta propuesta; el resultado del indicador a la fecha de corte es adecuado y no presenta observaciones. No obstante, es recomendable revisar y replanter una meta mayor para lo restante de la vigencia.</t>
  </si>
  <si>
    <t>De acuerdo con los datos suministrados para el corte, el área de comunicaciones ha dado atención y respuesta a la totalidad de requerimientos de publicación y socialización de la información requerida por las áreas. El resultado del indicador a la fecha de corte es adecuado y no presenta observaciones.</t>
  </si>
  <si>
    <t>De acuerdo con la información reportada, a la fecha de corte se ha llegado a la realización de 133 transmisiones o eventos, que representan el logro de 73, 89% de la meta planteada. El resultado del indicador a la fecha de corte es adecuada y no presenta observaciones. No obstante, es recomendable revisar y replanter una meta mayor para lo restante de la vigencia.</t>
  </si>
  <si>
    <t>Se observa en el reporte realizado que hay incremento en las transmisiones realizadas frente a la vigencia anterior, aunque no llega al 10% del incremento propuesto en la meta. El resultado del indicador a la fecha de corte es adecuado y no presenta observaciones.</t>
  </si>
  <si>
    <t>De acuerdo con el reporte, con corte al primer semestre, se ha logrado un promedio de impacto 3885 personas al mes; el resultado del indicador es adecuado frente a la meta propuesta y no presenta observaciones.</t>
  </si>
  <si>
    <t>El resultado del indicador a la fecha de corte supera la meta propuesta, debido a que las horas de emisión de programación infantil emitidas son mayores a las mínimas requeridas por el acuerdo 002 de 2011 de la CNTV. Es recomendable revisar el método bajo el cual se hace la medición y de ser pertinente ajustar la meta, procurando que la misma supere el cumplimiento legal.</t>
  </si>
  <si>
    <t>El resultado del indicador a la fecha de corte supera la meta propuesta, debido a que las horas de emisión de programación adolescente emitidas son mayores a las mínimas requeridas por el acuerdo 002 de 2011 de la CNTV. Es recomendable revisar el método bajo el cual se hace la medición y de ser pertinente ajustar la meta, procurando que la misma supere el cumplimiento legal.</t>
  </si>
  <si>
    <t>El resultado del indicador a la fecha de corte es adecuado frente a la meta propuesta y no presenta observaciones.</t>
  </si>
  <si>
    <t>El resultado del indicador a la fecha de corte es adecuado y supera la meta propuesta, debido a que la cuota de pantalla para la población con discapacidad auditiva es mayor a la requerida, según la resolución 350 de 2016 (Lengua de señas colombiana)</t>
  </si>
  <si>
    <t>De acuerdo con la información reportada, se presentó crecimiento de 23,10% del alcance neto de audiencia para los contenidos del plan de inversiones de la vigencia, frente a la anterior; el resultado del indicador a la fecha de corte es adecuado y superior a la meta propuesta, por lo que no presenta observaciones.</t>
  </si>
  <si>
    <t>No presenta avance a la fecha debido a que estos proyectos especiales se realizan durante el segundo semestre del año.</t>
  </si>
  <si>
    <t>De acuerdo con el reporte de la Coordinación Técnica, la ejecución de recursos del plan de renovación al corte es del 71,43%; el resultado del indicador a la fecha de corte es adecuado y no presenta observaciones.</t>
  </si>
  <si>
    <t>Con corte al primer semestre de la vigencia y de acuerdo con el reporte de información, los mantenimientos preventivos se han realizado conforme a lo programado; el resultado del indicador a la fecha de corte es adecuado y no presenta observaciones.</t>
  </si>
  <si>
    <t>A la fecha de presentación del informe, no se cuenta con información reportada para el indicador.</t>
  </si>
  <si>
    <t>El resultado con corte a 30 de junio es inferior al 50%, por lo cual se requiere mayores esfuerzos por parte del área responsable en el logro del mismo.</t>
  </si>
  <si>
    <t>El resultado del indicador a la fecha de corte supera la meta propuesta, debido a la ejecución de actividades adicionales a las incluidas en el programa de inducción y reinducción.</t>
  </si>
  <si>
    <t>De acuerdo con el reporte de información, se ha dado cumplimiento a las acciones del plan de capacitación de acuerdo con lo previsto; el resultado del indicador a la fecha de corte es adecuado y no presenta observaciones.</t>
  </si>
  <si>
    <t>De acuerdo con el reporte de información, se ha dado cumplimiento a las acciones del plan de bienestar e incentivos de acuerdo con lo previsto; el resultado del indicador a la fecha de corte es adecuado y no presenta observaciones.</t>
  </si>
  <si>
    <t>De acuerdo con el reporte de información, se ha dado cumplimiento a las acciones del plan de seguridad y salud en el trabajo - SST de acuerdo con lo previsto; el resultado del indicador a la fecha de corte es adecuado y no presenta observaciones.</t>
  </si>
  <si>
    <t>De acuerdo con el reporte de información, se ha dado cumplimiento a las acciones del plan estratégico de recursos humanos de acuerdo con lo previsto; el resultado del indicador a la fecha de corte es adecuado y no presenta observaciones.</t>
  </si>
  <si>
    <t>De acuerdo con el reporte de información, se ha dado cumplimiento a las acciones del plan de mantenimientos locativos de acuerdo con lo previsto; el resultado del indicador a la fecha de corte es adecuado y no presenta observaciones.</t>
  </si>
  <si>
    <t>De acuerdo con el reporte de información, se ha dado cumplimiento a las tomas físicas de inventarios de acuerdo con lo previsto; el resultado del indicador a la fecha de corte es adecuado y no presenta observaciones.</t>
  </si>
  <si>
    <t>De acuerdo con el reporte de información, se ha dado respuesta oportuna a las solicitudes de atención para sistemas de información mediante sistema GLPI; el resultado del indicador a la fecha de corte es adecuado y no presenta observaciones.</t>
  </si>
  <si>
    <t>De acuerdo con el reporte de información, se ha dado respuesta oportuna a las solicitudes de atención sobre infraestructura de información y comunicación; el resultado del indicador a la fecha de corte es adecuado y no presenta observaciones.</t>
  </si>
  <si>
    <t>De acuerdo con el reporte de información, se ha realizado un (1) mantenimiento preventivo adicional de lo programado; el resultado del indicador a la fecha de corte es adecuado y no presenta observaciones.</t>
  </si>
  <si>
    <t>De acuerdo con el reporte de información, se ha dado cumplimiento a las acciones del plan de T.I de acuerdo con lo previsto; el resultado del indicador a la fecha de corte es adecuado y no presenta observaciones.</t>
  </si>
  <si>
    <t>El resultado con corte a 30 de junio es inferior al 50%, por lo cual se recomienda la realización de las acciones necesarias para el cumplimiento oportuno de la meta en el segundo semestre del año.</t>
  </si>
  <si>
    <t>De acuerdo con el reporte de información, se ha dado cumplimiento a las acciones del plan de acción del PIGA de acuerdo con lo previsto; el resultado del indicador a la fecha de corte es adecuado y no presenta observaciones.</t>
  </si>
  <si>
    <t>De acuerdo con la información reportada, los rendimientos acumulados a la fecha de corte son de $ 115.087.787, que distan del resultado esperado por rendimientos financieros para el cierre de vigencia de $ 370.000.000.</t>
  </si>
  <si>
    <t>El resultado del indicador a la fecha de corte es adecuado frente a la meta propuesta  y no presenta observaciones.</t>
  </si>
  <si>
    <t>De acuerdo con lo reportado, se ha dado respuesta a la totalidad de peticiones y proposiciones requeridas por el Concejo de Bogotá de forma oportuna; el resultado del indicador a la fecha de corte es adecuado y no presenta observaciones.</t>
  </si>
  <si>
    <t>De acuerdo con lo reportado, se ha realizado el cargue de información en el SECOP de forma adecuada; el resultado del indicador a la fecha de corte es adecuado y no presenta observaciones.</t>
  </si>
  <si>
    <t xml:space="preserve">De acuerdo con lo reportado, a la fecha se superó la meta propuesta de capacitaciones sobre el manual de contratación; el resultado del indicador a la fecha de corte es adecuado y no presenta observaciones. </t>
  </si>
  <si>
    <t>De acuerdo con lo reportado, se ha realizado de forma oportuna la publicación de información de la totalidad de procesos de selección convocados, en la página web de la entidad; el resultado del indicador a la fecha de corte es adecuado y no presenta observaciones.</t>
  </si>
  <si>
    <t>De acuerdo con lo reportado, se ha dado respuesta a la totalidad de demandas notificadas al canal de forma oportuna; el resultado del indicador a la fecha de corte es adecuado y no presenta observaciones.</t>
  </si>
  <si>
    <t>De acuerdo con lo reportado, se ha dado respuesta eficaz a las  peticiones, quejas, reclamos y/o sugerencias; el resultado del indicador a la fecha de corte es adecuado y no presenta observaciones.</t>
  </si>
  <si>
    <t>De acuerdo con la información reportada, el resultado con corte a 30 de junio es inferior al 50%, por lo cual se requiere mayores esfuerzos por parte de las áreas en la gestión de sus planes de mejoramiento.</t>
  </si>
  <si>
    <t>El resultado del indicador a la fecha de corte es adecuada y no presenta observaciones.</t>
  </si>
  <si>
    <t>Para el primer cuatrimestre del año, el resultado de avance de las área corresponde al 63,49%, lo que imlica que se requiere mayores esfuerzos por parte de las áreas en la gestión de sus acciones en el Plan Anticorrupción y de Atención al Ciudadano - PAAC.</t>
  </si>
  <si>
    <r>
      <rPr>
        <b/>
        <sz val="8"/>
        <rFont val="Arial"/>
        <family val="2"/>
      </rPr>
      <t xml:space="preserve">T1: </t>
    </r>
    <r>
      <rPr>
        <sz val="8"/>
        <rFont val="Arial"/>
        <family val="2"/>
      </rPr>
      <t xml:space="preserve">Durante el primer trimestre se adelantaron actividades de gestión, se realizó la divulgación de piezas comunicativas a través del correo institucional relacionados con la gestión de residuos, buen uso de los sistemas ahorradores y buen manejo de la energía dentro y fuera del Canal.  Por otro lado se adelantaron actividades enfocadas en garantizar el cumplimiento de las acciones de gestión ambiental faltantes, a través de la elaboración de los trámites precontractuales para la adquisición de los sistemas de iluminación LED, los sistemas ahorradores faltantes y los elementos para la adecuación del bici parqueadero del Canal, si bien estas a actividades no se han finalizado si contribuyen con el desarrollo del PIGA y hacen parte fundamental de su cumplimiento. Respecto a las actividades programadas para el primer trimestre el retraso evidenciado se asocia con la inclusión de cláusulas de sostenibilidad en los contratos priorizados en el programa de consumo sostenible, los contratos pendientes han sido revisados por los correspondientes supervisores para hacer la inclusión de las cláusulas en los mismos. 
</t>
    </r>
    <r>
      <rPr>
        <b/>
        <sz val="8"/>
        <rFont val="Arial"/>
        <family val="2"/>
      </rPr>
      <t>T2:</t>
    </r>
    <r>
      <rPr>
        <sz val="8"/>
        <rFont val="Arial"/>
        <family val="2"/>
      </rPr>
      <t xml:space="preserve"> Dentro de este periodo se avanzó con la ejecución contractual asociada a los programas de ahorro y uso eficiente de agua y energía con una ejecución del 100% cada uno y un 65% de ejecución para el programa de movilidad sostenible y la adecuación de la estructura de techo del biciparqueadero, así mismo con la realización de la semana ambiental se logró contribuir con el fortalecimiento de diferentes componentes del PIGA y se abordaron todos los programas ambientales en una sola semana. Por otro lado se logró capacitar a más de 100 colaboradores en gestión de residuos lo cual contribuye a mejorar las condiciones ambientales en ese aspecto. </t>
    </r>
  </si>
  <si>
    <r>
      <rPr>
        <b/>
        <sz val="8"/>
        <rFont val="Arial"/>
        <family val="2"/>
      </rPr>
      <t xml:space="preserve">T1: </t>
    </r>
    <r>
      <rPr>
        <sz val="8"/>
        <rFont val="Arial"/>
        <family val="2"/>
      </rPr>
      <t xml:space="preserve">Durante el primer trimestres  la entidad presentó un porcentaje de ejecución de recaudo del 41,78% equivalente a $20.998 millones frente al total apropiado, quedando pendiente un saldo por valor de $29.262 millones; es de aclarar que se presenta un alto porcentaje de recaudo debido a las transferencias realizadas por la Secretaria Distrital de Hacienda por valor de 11.200 millones, no obstante, dichos dineros son destinados a respaldar parte de las obligaciones de funcionamiento de la entidad y traslado de la sede. Ingresos corrientes: Presentó un recaudo efectivo de $5.929 millones, equivalentes al 34,86% de la apropiación, detallados así: Comercialización Directa: recaudo por valor de $1.618 millones equivalente al 18,00%;Cuentas por Cobrar: presenta un recaudado de $4.296 millones equivalentes al 54,03%, dicho rubro representa los recursos para cubrir las cuentas por pagar y los contratos suscritos en la vigencia 2018 de servicios de BTL y apoyo logístico, el  saldo pendiente de recaudo es por valor de $3.655 millones de pesos; Otros Ingresos de Explotación: con un recaudo de $ 14 millones, correspondientes al 28,93%,  el saldo de $35 millones. Dentro de los ingresos el rubro de menor porcentaje de recaudo corresponde a la comercialización directa, para lo cual la entidad debe revisar sus metas y planes de ventas, con el objetivo de incrementar los ingresos y disminuir el posible déficit o realizar el replanteamiento de los compromisos pendientes a ser ejecutados con cargo a esta fuente de financiación.
</t>
    </r>
    <r>
      <rPr>
        <b/>
        <sz val="8"/>
        <rFont val="Arial"/>
        <family val="2"/>
      </rPr>
      <t>T2:</t>
    </r>
    <r>
      <rPr>
        <sz val="8"/>
        <rFont val="Arial"/>
        <family val="2"/>
      </rPr>
      <t xml:space="preserve"> El presupuesto disponible de ingresos al cierre del trimestre ascendió en $53.640 millones, los ajustes realizados  fueron por valor de $3.180 millones (ajuste por cierre fiscal) en el mes de mayo y  en el mes de junio por valor de $200 millones (ajuste por convenios).
El acumulado con corte a junio presentó ejecución de ingresos por valor de $35.804  equivalentes al  66,75% del total del presupuesto apropiado, clasificado en grandes agregados así: 
Ingresos corrientes: ejecución del 64,06% equivalente a $10.872 millones. Transferencias: ejecución de $17.596 millones equivalentes al 60,51%. Recursos de Capital: ejecución del 31,10% por valor de $115 millones.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</si>
</sst>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4" formatCode="_(&quot;$&quot;\ * #,##0.00_);_(&quot;$&quot;\ * \(#,##0.00\);_(&quot;$&quot;\ * &quot;-&quot;??_);_(@_)"/>
    <numFmt numFmtId="43" formatCode="_(* #,##0.00_);_(* \(#,##0.00\);_(* &quot;-&quot;??_);_(@_)"/>
    <numFmt numFmtId="164" formatCode="_(&quot;$&quot;\ * #,##0_);_(&quot;$&quot;\ * \(#,##0\);_(&quot;$&quot;\ * &quot;-&quot;??_);_(@_)"/>
    <numFmt numFmtId="165" formatCode="0.0%"/>
    <numFmt numFmtId="166" formatCode="_-* #,##0.00\ _$_-;\-* #,##0.00\ _$_-;_-* &quot;-&quot;??\ _$_-;_-@_-"/>
    <numFmt numFmtId="167" formatCode="_ &quot;$ &quot;* #,##0.00_ ;_ &quot;$ &quot;* \-#,##0.00_ ;_ &quot;$ &quot;* \-??_ ;_ @_ "/>
    <numFmt numFmtId="168" formatCode="[$$-240A]\ #,##0.00_);\([$$-240A]\ #,##0.00\)"/>
    <numFmt numFmtId="169" formatCode="[$$-240A]\ #,##0_);\([$$-240A]\ #,##0\)"/>
    <numFmt numFmtId="170" formatCode="_([$$-240A]\ * #,##0.0000_);_([$$-240A]\ * \(#,##0.0000\);_([$$-240A]\ * &quot;-&quot;??_);_(@_)"/>
    <numFmt numFmtId="171" formatCode="_(&quot;$&quot;\ * #,##0.000000_);_(&quot;$&quot;\ * \(#,##0.000000\);_(&quot;$&quot;\ * &quot;-&quot;??_);_(@_)"/>
  </numFmts>
  <fonts count="12" x14ac:knownFonts="1">
    <font>
      <sz val="11"/>
      <color theme="1"/>
      <name val="Calibri"/>
      <family val="2"/>
      <scheme val="minor"/>
    </font>
    <font>
      <sz val="11"/>
      <color theme="1"/>
      <name val="Calibri"/>
      <family val="2"/>
      <scheme val="minor"/>
    </font>
    <font>
      <b/>
      <sz val="8"/>
      <color theme="1"/>
      <name val="Arial"/>
      <family val="2"/>
    </font>
    <font>
      <b/>
      <sz val="8"/>
      <name val="Arial"/>
      <family val="2"/>
    </font>
    <font>
      <sz val="8"/>
      <name val="Arial"/>
      <family val="2"/>
    </font>
    <font>
      <sz val="8"/>
      <color theme="1"/>
      <name val="Arial"/>
      <family val="2"/>
    </font>
    <font>
      <sz val="8"/>
      <color theme="1"/>
      <name val="Calibri"/>
      <family val="2"/>
      <scheme val="minor"/>
    </font>
    <font>
      <sz val="10"/>
      <name val="Arial"/>
      <family val="2"/>
    </font>
    <font>
      <sz val="11"/>
      <color indexed="8"/>
      <name val="Calibri"/>
      <family val="2"/>
    </font>
    <font>
      <sz val="10"/>
      <color rgb="FF000000"/>
      <name val="Arial"/>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9">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9" fontId="8" fillId="0" borderId="0" applyFont="0" applyFill="0" applyBorder="0" applyAlignment="0" applyProtection="0"/>
    <xf numFmtId="166" fontId="7" fillId="0" borderId="0" applyFont="0" applyFill="0" applyBorder="0" applyAlignment="0" applyProtection="0"/>
    <xf numFmtId="167" fontId="7" fillId="0" borderId="0" applyFill="0" applyBorder="0" applyAlignment="0" applyProtection="0"/>
    <xf numFmtId="0" fontId="9" fillId="0" borderId="0" applyNumberFormat="0" applyBorder="0" applyProtection="0"/>
    <xf numFmtId="168" fontId="7" fillId="0" borderId="0"/>
    <xf numFmtId="169" fontId="7" fillId="0" borderId="0"/>
    <xf numFmtId="169" fontId="7" fillId="0" borderId="0"/>
    <xf numFmtId="0" fontId="7" fillId="0" borderId="0"/>
    <xf numFmtId="170" fontId="1" fillId="0" borderId="0"/>
    <xf numFmtId="169" fontId="1" fillId="0" borderId="0"/>
    <xf numFmtId="0" fontId="8" fillId="0" borderId="0"/>
    <xf numFmtId="0" fontId="7" fillId="0" borderId="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0" fontId="9" fillId="0" borderId="0"/>
    <xf numFmtId="9" fontId="9" fillId="0" borderId="0" applyFont="0" applyFill="0" applyBorder="0" applyAlignment="0" applyProtection="0"/>
    <xf numFmtId="41" fontId="7" fillId="0" borderId="0" applyFont="0" applyFill="0" applyBorder="0" applyAlignment="0" applyProtection="0"/>
    <xf numFmtId="0" fontId="1" fillId="0" borderId="0"/>
    <xf numFmtId="9" fontId="8" fillId="0" borderId="0" applyFont="0" applyFill="0" applyBorder="0" applyAlignment="0" applyProtection="0"/>
  </cellStyleXfs>
  <cellXfs count="125">
    <xf numFmtId="0" fontId="0" fillId="0" borderId="0" xfId="0"/>
    <xf numFmtId="0" fontId="5" fillId="0" borderId="7" xfId="0" applyFont="1" applyBorder="1" applyAlignment="1">
      <alignment horizontal="center" vertical="center" wrapText="1"/>
    </xf>
    <xf numFmtId="0" fontId="4" fillId="0" borderId="7" xfId="0" applyFont="1" applyFill="1" applyBorder="1" applyAlignment="1">
      <alignment horizontal="center" vertical="center" wrapText="1"/>
    </xf>
    <xf numFmtId="10" fontId="5" fillId="0" borderId="7" xfId="2" applyNumberFormat="1" applyFont="1" applyFill="1" applyBorder="1" applyAlignment="1">
      <alignment horizontal="center" vertical="center"/>
    </xf>
    <xf numFmtId="0" fontId="4"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10" fontId="5" fillId="0" borderId="7" xfId="2" applyNumberFormat="1" applyFont="1" applyBorder="1" applyAlignment="1">
      <alignment horizontal="center" vertical="center"/>
    </xf>
    <xf numFmtId="164" fontId="5" fillId="0" borderId="7" xfId="1" applyNumberFormat="1" applyFont="1" applyBorder="1" applyAlignment="1">
      <alignment horizontal="center" vertical="center" textRotation="90" wrapText="1"/>
    </xf>
    <xf numFmtId="164" fontId="5" fillId="0" borderId="7" xfId="1" applyNumberFormat="1" applyFont="1" applyFill="1" applyBorder="1" applyAlignment="1">
      <alignment horizontal="center" vertical="center" textRotation="90" wrapText="1"/>
    </xf>
    <xf numFmtId="0" fontId="0" fillId="0" borderId="0" xfId="0" applyFill="1"/>
    <xf numFmtId="0" fontId="0" fillId="0" borderId="0" xfId="0" applyAlignment="1">
      <alignment horizontal="left" vertical="center"/>
    </xf>
    <xf numFmtId="10" fontId="5" fillId="0" borderId="7" xfId="2" applyNumberFormat="1" applyFont="1" applyFill="1" applyBorder="1" applyAlignment="1">
      <alignment vertical="center"/>
    </xf>
    <xf numFmtId="10" fontId="5" fillId="0" borderId="7" xfId="0" applyNumberFormat="1" applyFont="1" applyBorder="1" applyAlignment="1">
      <alignment horizontal="center" vertical="center" wrapText="1"/>
    </xf>
    <xf numFmtId="10" fontId="5" fillId="0" borderId="7" xfId="0" applyNumberFormat="1" applyFont="1" applyBorder="1" applyAlignment="1">
      <alignment horizontal="left" vertical="center" wrapText="1"/>
    </xf>
    <xf numFmtId="10" fontId="5" fillId="0" borderId="7" xfId="2" applyNumberFormat="1" applyFont="1" applyBorder="1" applyAlignment="1">
      <alignment vertical="center"/>
    </xf>
    <xf numFmtId="10" fontId="5" fillId="0" borderId="7"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10" fontId="5" fillId="0" borderId="7" xfId="0" applyNumberFormat="1" applyFont="1" applyFill="1" applyBorder="1" applyAlignment="1">
      <alignment horizontal="center" vertical="center" wrapText="1"/>
    </xf>
    <xf numFmtId="10" fontId="5" fillId="0" borderId="7" xfId="0" applyNumberFormat="1" applyFont="1" applyFill="1" applyBorder="1" applyAlignment="1">
      <alignment horizontal="left" vertical="center" wrapText="1"/>
    </xf>
    <xf numFmtId="2" fontId="5" fillId="0" borderId="7" xfId="0" applyNumberFormat="1" applyFont="1" applyFill="1" applyBorder="1" applyAlignment="1">
      <alignment horizontal="center" vertical="center"/>
    </xf>
    <xf numFmtId="2" fontId="5" fillId="0" borderId="7" xfId="0" quotePrefix="1" applyNumberFormat="1" applyFont="1" applyFill="1" applyBorder="1" applyAlignment="1">
      <alignment horizontal="center" vertical="center"/>
    </xf>
    <xf numFmtId="0" fontId="5" fillId="0" borderId="7" xfId="0" applyFont="1" applyFill="1" applyBorder="1" applyAlignment="1">
      <alignment vertical="center" wrapText="1"/>
    </xf>
    <xf numFmtId="10" fontId="6" fillId="0" borderId="7" xfId="2" applyNumberFormat="1" applyFont="1" applyFill="1" applyBorder="1" applyAlignment="1">
      <alignment vertical="center"/>
    </xf>
    <xf numFmtId="10"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5" fillId="0" borderId="7" xfId="0" applyFont="1" applyBorder="1" applyAlignment="1">
      <alignment vertical="center" wrapText="1"/>
    </xf>
    <xf numFmtId="10" fontId="6" fillId="0" borderId="7" xfId="2" applyNumberFormat="1" applyFont="1" applyBorder="1" applyAlignment="1">
      <alignment vertical="center"/>
    </xf>
    <xf numFmtId="10" fontId="4" fillId="0" borderId="7"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4" fillId="0" borderId="12" xfId="0" applyFont="1" applyFill="1" applyBorder="1" applyAlignment="1">
      <alignment horizontal="center" vertical="center" wrapText="1"/>
    </xf>
    <xf numFmtId="0" fontId="5" fillId="0" borderId="12" xfId="0" applyFont="1" applyBorder="1" applyAlignment="1">
      <alignment horizontal="center" vertical="center" wrapText="1"/>
    </xf>
    <xf numFmtId="10" fontId="5" fillId="0" borderId="12" xfId="0" applyNumberFormat="1" applyFont="1" applyBorder="1" applyAlignment="1">
      <alignment horizontal="center" vertical="center" wrapText="1"/>
    </xf>
    <xf numFmtId="0" fontId="3" fillId="0" borderId="12" xfId="0" applyFont="1" applyFill="1" applyBorder="1" applyAlignment="1">
      <alignment horizontal="center" vertical="center" wrapText="1"/>
    </xf>
    <xf numFmtId="0" fontId="2" fillId="3" borderId="10" xfId="0" applyFont="1" applyFill="1" applyBorder="1" applyAlignment="1">
      <alignment horizontal="center" vertical="center"/>
    </xf>
    <xf numFmtId="10" fontId="5" fillId="0" borderId="7" xfId="2" applyNumberFormat="1" applyFont="1" applyFill="1" applyBorder="1" applyAlignment="1">
      <alignment vertical="center" wrapText="1"/>
    </xf>
    <xf numFmtId="2" fontId="6" fillId="0" borderId="7" xfId="2" applyNumberFormat="1" applyFont="1" applyBorder="1" applyAlignment="1">
      <alignment horizontal="center" vertical="center"/>
    </xf>
    <xf numFmtId="10" fontId="5" fillId="0" borderId="12" xfId="0" applyNumberFormat="1" applyFont="1" applyFill="1" applyBorder="1" applyAlignment="1">
      <alignment horizontal="left" vertical="center" wrapText="1"/>
    </xf>
    <xf numFmtId="10" fontId="5" fillId="5" borderId="7" xfId="0" applyNumberFormat="1" applyFont="1" applyFill="1" applyBorder="1" applyAlignment="1">
      <alignment horizontal="center" vertical="center"/>
    </xf>
    <xf numFmtId="10" fontId="4" fillId="0" borderId="7" xfId="0" applyNumberFormat="1" applyFont="1" applyBorder="1" applyAlignment="1">
      <alignment horizontal="left" vertical="center" wrapText="1"/>
    </xf>
    <xf numFmtId="10" fontId="6" fillId="0" borderId="7" xfId="2" applyNumberFormat="1" applyFont="1" applyBorder="1" applyAlignment="1">
      <alignment horizontal="center" vertical="center"/>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0" fontId="5" fillId="0" borderId="12" xfId="2" applyNumberFormat="1" applyFont="1" applyFill="1" applyBorder="1" applyAlignment="1">
      <alignment vertical="center"/>
    </xf>
    <xf numFmtId="10" fontId="5" fillId="0" borderId="7" xfId="2" applyNumberFormat="1" applyFont="1" applyFill="1" applyBorder="1" applyAlignment="1">
      <alignment horizontal="center" vertical="center"/>
    </xf>
    <xf numFmtId="10" fontId="5" fillId="5" borderId="12" xfId="2" applyNumberFormat="1" applyFont="1" applyFill="1" applyBorder="1" applyAlignment="1">
      <alignment horizontal="center" vertical="center"/>
    </xf>
    <xf numFmtId="10" fontId="5" fillId="6" borderId="7" xfId="2" applyNumberFormat="1" applyFont="1" applyFill="1" applyBorder="1" applyAlignment="1">
      <alignment horizontal="center" vertical="center"/>
    </xf>
    <xf numFmtId="10" fontId="5" fillId="7" borderId="7" xfId="2" applyNumberFormat="1" applyFont="1" applyFill="1" applyBorder="1" applyAlignment="1">
      <alignment horizontal="center" vertical="center"/>
    </xf>
    <xf numFmtId="10" fontId="5" fillId="7" borderId="7" xfId="0" applyNumberFormat="1" applyFont="1" applyFill="1" applyBorder="1" applyAlignment="1">
      <alignment horizontal="center" vertical="center"/>
    </xf>
    <xf numFmtId="10" fontId="5" fillId="7" borderId="7" xfId="2" applyNumberFormat="1" applyFont="1" applyFill="1" applyBorder="1" applyAlignment="1">
      <alignment horizontal="center" vertical="center" wrapText="1"/>
    </xf>
    <xf numFmtId="10" fontId="6" fillId="5" borderId="7" xfId="0" applyNumberFormat="1" applyFont="1" applyFill="1" applyBorder="1" applyAlignment="1">
      <alignment horizontal="center" vertical="center"/>
    </xf>
    <xf numFmtId="10" fontId="6" fillId="7" borderId="7" xfId="0" applyNumberFormat="1" applyFont="1" applyFill="1" applyBorder="1" applyAlignment="1">
      <alignment horizontal="center" vertical="center"/>
    </xf>
    <xf numFmtId="10" fontId="5" fillId="5" borderId="7" xfId="0" applyNumberFormat="1" applyFont="1" applyFill="1" applyBorder="1" applyAlignment="1">
      <alignment horizontal="center" vertical="center" wrapText="1"/>
    </xf>
    <xf numFmtId="171" fontId="6" fillId="0" borderId="7" xfId="2" applyNumberFormat="1" applyFont="1" applyBorder="1" applyAlignment="1">
      <alignment vertical="center"/>
    </xf>
    <xf numFmtId="171" fontId="6" fillId="0" borderId="7" xfId="2" applyNumberFormat="1" applyFont="1" applyFill="1" applyBorder="1" applyAlignment="1">
      <alignment vertical="center"/>
    </xf>
    <xf numFmtId="2" fontId="6" fillId="7" borderId="7" xfId="2" applyNumberFormat="1" applyFont="1" applyFill="1" applyBorder="1" applyAlignment="1">
      <alignment horizontal="center" vertical="center"/>
    </xf>
    <xf numFmtId="10" fontId="5" fillId="5" borderId="7" xfId="2" applyNumberFormat="1" applyFont="1" applyFill="1" applyBorder="1" applyAlignment="1">
      <alignment horizontal="center" vertical="center"/>
    </xf>
    <xf numFmtId="10" fontId="4" fillId="8" borderId="7" xfId="2" applyNumberFormat="1" applyFont="1" applyFill="1" applyBorder="1" applyAlignment="1">
      <alignment horizontal="center" vertical="center"/>
    </xf>
    <xf numFmtId="10" fontId="5" fillId="0" borderId="7" xfId="2" applyNumberFormat="1" applyFont="1" applyFill="1" applyBorder="1" applyAlignment="1">
      <alignment horizontal="center" vertical="center" wrapText="1"/>
    </xf>
    <xf numFmtId="10" fontId="6" fillId="8" borderId="7" xfId="0" applyNumberFormat="1" applyFont="1" applyFill="1" applyBorder="1" applyAlignment="1">
      <alignment horizontal="center" vertical="center"/>
    </xf>
    <xf numFmtId="164" fontId="6" fillId="7" borderId="7" xfId="1" applyNumberFormat="1" applyFont="1" applyFill="1" applyBorder="1" applyAlignment="1">
      <alignment horizontal="center" vertical="center"/>
    </xf>
    <xf numFmtId="165" fontId="6" fillId="8" borderId="7" xfId="0" applyNumberFormat="1" applyFont="1" applyFill="1" applyBorder="1" applyAlignment="1">
      <alignment horizontal="center" vertical="center"/>
    </xf>
    <xf numFmtId="164" fontId="6" fillId="0" borderId="7" xfId="1" applyNumberFormat="1" applyFont="1" applyBorder="1" applyAlignment="1">
      <alignment horizontal="center" vertical="center" textRotation="90"/>
    </xf>
    <xf numFmtId="164" fontId="6" fillId="0" borderId="7" xfId="1" applyNumberFormat="1" applyFont="1" applyBorder="1" applyAlignment="1">
      <alignment vertical="center" textRotation="90"/>
    </xf>
    <xf numFmtId="0" fontId="2" fillId="4" borderId="7" xfId="0" applyFont="1" applyFill="1" applyBorder="1" applyAlignment="1">
      <alignment horizontal="center" vertical="center" wrapText="1"/>
    </xf>
    <xf numFmtId="10" fontId="5" fillId="8" borderId="12" xfId="2" applyNumberFormat="1" applyFont="1" applyFill="1" applyBorder="1" applyAlignment="1">
      <alignment horizontal="center" vertical="center"/>
    </xf>
    <xf numFmtId="10" fontId="5" fillId="7" borderId="12" xfId="2" applyNumberFormat="1" applyFont="1" applyFill="1" applyBorder="1" applyAlignment="1">
      <alignment horizontal="center" vertical="center"/>
    </xf>
    <xf numFmtId="10" fontId="5" fillId="6" borderId="12" xfId="2" applyNumberFormat="1" applyFont="1" applyFill="1" applyBorder="1" applyAlignment="1">
      <alignment horizontal="center" vertical="center"/>
    </xf>
    <xf numFmtId="10" fontId="4" fillId="7" borderId="12" xfId="2" applyNumberFormat="1" applyFont="1" applyFill="1" applyBorder="1" applyAlignment="1">
      <alignment horizontal="center" vertical="center"/>
    </xf>
    <xf numFmtId="10" fontId="5" fillId="7" borderId="12" xfId="0" applyNumberFormat="1" applyFont="1" applyFill="1" applyBorder="1" applyAlignment="1">
      <alignment horizontal="center" vertical="center"/>
    </xf>
    <xf numFmtId="10" fontId="5" fillId="8" borderId="12" xfId="0" applyNumberFormat="1" applyFont="1" applyFill="1" applyBorder="1" applyAlignment="1">
      <alignment horizontal="center" vertical="center"/>
    </xf>
    <xf numFmtId="10" fontId="5" fillId="7" borderId="12" xfId="2" applyNumberFormat="1" applyFont="1" applyFill="1" applyBorder="1" applyAlignment="1">
      <alignment horizontal="center" vertical="center" wrapText="1"/>
    </xf>
    <xf numFmtId="10" fontId="5" fillId="0" borderId="12" xfId="2" applyNumberFormat="1" applyFont="1" applyFill="1" applyBorder="1" applyAlignment="1">
      <alignment horizontal="center" vertical="center" wrapText="1"/>
    </xf>
    <xf numFmtId="10" fontId="6" fillId="7" borderId="12" xfId="0" applyNumberFormat="1" applyFont="1" applyFill="1" applyBorder="1" applyAlignment="1">
      <alignment horizontal="center" vertical="center"/>
    </xf>
    <xf numFmtId="10" fontId="6" fillId="8" borderId="12" xfId="0" applyNumberFormat="1" applyFont="1" applyFill="1" applyBorder="1" applyAlignment="1">
      <alignment horizontal="center" vertical="center"/>
    </xf>
    <xf numFmtId="10" fontId="5" fillId="7" borderId="12" xfId="0" applyNumberFormat="1" applyFont="1" applyFill="1" applyBorder="1" applyAlignment="1">
      <alignment horizontal="center" vertical="center" wrapText="1"/>
    </xf>
    <xf numFmtId="10" fontId="6" fillId="5" borderId="12" xfId="0" applyNumberFormat="1" applyFont="1" applyFill="1" applyBorder="1" applyAlignment="1">
      <alignment horizontal="center" vertical="center"/>
    </xf>
    <xf numFmtId="164" fontId="6" fillId="7" borderId="12" xfId="1" applyNumberFormat="1" applyFont="1" applyFill="1" applyBorder="1" applyAlignment="1">
      <alignment horizontal="center" vertical="center"/>
    </xf>
    <xf numFmtId="2" fontId="6" fillId="7" borderId="12" xfId="2" applyNumberFormat="1" applyFont="1" applyFill="1" applyBorder="1" applyAlignment="1">
      <alignment horizontal="center" vertical="center"/>
    </xf>
    <xf numFmtId="165" fontId="5" fillId="0" borderId="7" xfId="17" applyNumberFormat="1" applyFont="1" applyBorder="1" applyAlignment="1">
      <alignment horizontal="center" vertical="center" wrapText="1"/>
    </xf>
    <xf numFmtId="0" fontId="5" fillId="0" borderId="7" xfId="17" applyNumberFormat="1" applyFont="1" applyBorder="1" applyAlignment="1">
      <alignment horizontal="center" vertical="center" wrapText="1"/>
    </xf>
    <xf numFmtId="10" fontId="5" fillId="8" borderId="12" xfId="0" applyNumberFormat="1" applyFont="1" applyFill="1" applyBorder="1" applyAlignment="1">
      <alignment horizontal="center" vertical="center" wrapText="1"/>
    </xf>
    <xf numFmtId="165" fontId="6" fillId="7" borderId="12" xfId="0" applyNumberFormat="1" applyFont="1" applyFill="1" applyBorder="1" applyAlignment="1">
      <alignment horizontal="center" vertical="center"/>
    </xf>
    <xf numFmtId="10" fontId="6" fillId="0" borderId="7" xfId="2" applyNumberFormat="1" applyFont="1" applyBorder="1" applyAlignment="1">
      <alignment horizontal="center" vertical="center" wrapText="1"/>
    </xf>
    <xf numFmtId="10" fontId="5" fillId="0" borderId="13" xfId="2" applyNumberFormat="1" applyFont="1" applyFill="1" applyBorder="1" applyAlignment="1">
      <alignment horizontal="center" vertical="center"/>
    </xf>
    <xf numFmtId="10" fontId="5" fillId="0" borderId="14" xfId="2" applyNumberFormat="1" applyFont="1" applyFill="1" applyBorder="1" applyAlignment="1">
      <alignment horizontal="center" vertical="center"/>
    </xf>
    <xf numFmtId="10" fontId="5" fillId="0" borderId="15" xfId="2" applyNumberFormat="1" applyFont="1" applyFill="1" applyBorder="1" applyAlignment="1">
      <alignment horizontal="center" vertical="center"/>
    </xf>
    <xf numFmtId="10" fontId="6" fillId="0" borderId="13" xfId="2" applyNumberFormat="1" applyFont="1" applyFill="1" applyBorder="1" applyAlignment="1">
      <alignment horizontal="center" vertical="center"/>
    </xf>
    <xf numFmtId="10" fontId="6" fillId="0" borderId="14"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13" xfId="2" applyNumberFormat="1" applyFont="1" applyBorder="1" applyAlignment="1">
      <alignment horizontal="center" vertical="center"/>
    </xf>
    <xf numFmtId="10" fontId="6" fillId="0" borderId="14" xfId="2" applyNumberFormat="1" applyFont="1" applyBorder="1" applyAlignment="1">
      <alignment horizontal="center" vertical="center"/>
    </xf>
    <xf numFmtId="10" fontId="6" fillId="0" borderId="15" xfId="2" applyNumberFormat="1" applyFont="1" applyBorder="1" applyAlignment="1">
      <alignment horizontal="center" vertical="center"/>
    </xf>
    <xf numFmtId="10" fontId="5" fillId="0" borderId="13" xfId="2" applyNumberFormat="1" applyFont="1" applyBorder="1" applyAlignment="1">
      <alignment horizontal="center" vertical="center"/>
    </xf>
    <xf numFmtId="10" fontId="5" fillId="0" borderId="14" xfId="2" applyNumberFormat="1" applyFont="1" applyBorder="1" applyAlignment="1">
      <alignment horizontal="center" vertical="center"/>
    </xf>
    <xf numFmtId="10" fontId="5" fillId="0" borderId="15" xfId="2"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10" fontId="5" fillId="0" borderId="16" xfId="2" applyNumberFormat="1" applyFont="1" applyFill="1" applyBorder="1" applyAlignment="1">
      <alignment horizontal="center" vertical="center"/>
    </xf>
    <xf numFmtId="10" fontId="5" fillId="0" borderId="11" xfId="2" applyNumberFormat="1" applyFont="1" applyFill="1" applyBorder="1" applyAlignment="1">
      <alignment horizontal="center" vertical="center"/>
    </xf>
    <xf numFmtId="10" fontId="5" fillId="0" borderId="17" xfId="2" applyNumberFormat="1" applyFont="1" applyFill="1" applyBorder="1" applyAlignment="1">
      <alignment horizontal="center" vertical="center"/>
    </xf>
    <xf numFmtId="10" fontId="5" fillId="0" borderId="7" xfId="2" applyNumberFormat="1" applyFont="1" applyFill="1" applyBorder="1" applyAlignment="1">
      <alignment horizontal="center" vertical="center"/>
    </xf>
    <xf numFmtId="10" fontId="5" fillId="0" borderId="13" xfId="2" applyNumberFormat="1" applyFont="1" applyFill="1" applyBorder="1" applyAlignment="1">
      <alignment horizontal="center" vertical="center" wrapText="1"/>
    </xf>
    <xf numFmtId="10" fontId="5" fillId="0" borderId="14" xfId="2" applyNumberFormat="1" applyFont="1" applyFill="1" applyBorder="1" applyAlignment="1">
      <alignment horizontal="center" vertical="center" wrapText="1"/>
    </xf>
    <xf numFmtId="10" fontId="5" fillId="0" borderId="15" xfId="2" applyNumberFormat="1"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cellXfs>
  <cellStyles count="29">
    <cellStyle name="Millares [0] 2" xfId="26"/>
    <cellStyle name="Millares 2" xfId="6"/>
    <cellStyle name="Millares 3" xfId="20"/>
    <cellStyle name="Moneda" xfId="1" builtinId="4"/>
    <cellStyle name="Moneda 2" xfId="7"/>
    <cellStyle name="Moneda 3" xfId="21"/>
    <cellStyle name="Normal" xfId="0" builtinId="0"/>
    <cellStyle name="Normal 2" xfId="8"/>
    <cellStyle name="Normal 2 2" xfId="9"/>
    <cellStyle name="Normal 2 2 2" xfId="10"/>
    <cellStyle name="Normal 2 3" xfId="11"/>
    <cellStyle name="Normal 2 4" xfId="3"/>
    <cellStyle name="Normal 2_EGE-FT-017 HOJA DE VIDA INDICADOR SEGURIDAD Y SALUD EN EL TRABAJO" xfId="12"/>
    <cellStyle name="Normal 3" xfId="13"/>
    <cellStyle name="Normal 3 2" xfId="14"/>
    <cellStyle name="Normal 3_EGE-FT-017 HOJA DE VIDA INDICADOR SEGURIDAD Y SALUD EN EL TRABAJO" xfId="15"/>
    <cellStyle name="Normal 4" xfId="16"/>
    <cellStyle name="Normal 5" xfId="4"/>
    <cellStyle name="Normal 5 2" xfId="27"/>
    <cellStyle name="Normal 6" xfId="24"/>
    <cellStyle name="Porcentaje" xfId="2" builtinId="5"/>
    <cellStyle name="Porcentaje 2" xfId="17"/>
    <cellStyle name="Porcentaje 2 2" xfId="19"/>
    <cellStyle name="Porcentaje 3" xfId="18"/>
    <cellStyle name="Porcentaje 4" xfId="22"/>
    <cellStyle name="Porcentaje 5" xfId="25"/>
    <cellStyle name="Porcentual 2" xfId="5"/>
    <cellStyle name="Porcentual 2 2" xfId="23"/>
    <cellStyle name="Porcentual 2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224011</xdr:colOff>
      <xdr:row>0</xdr:row>
      <xdr:rowOff>78410</xdr:rowOff>
    </xdr:from>
    <xdr:to>
      <xdr:col>1</xdr:col>
      <xdr:colOff>811119</xdr:colOff>
      <xdr:row>0</xdr:row>
      <xdr:rowOff>579002</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011" y="78410"/>
          <a:ext cx="1039546" cy="500592"/>
        </a:xfrm>
        <a:prstGeom prst="rect">
          <a:avLst/>
        </a:prstGeom>
      </xdr:spPr>
    </xdr:pic>
    <xdr:clientData/>
  </xdr:twoCellAnchor>
  <xdr:twoCellAnchor editAs="oneCell">
    <xdr:from>
      <xdr:col>21</xdr:col>
      <xdr:colOff>226219</xdr:colOff>
      <xdr:row>0</xdr:row>
      <xdr:rowOff>64297</xdr:rowOff>
    </xdr:from>
    <xdr:to>
      <xdr:col>21</xdr:col>
      <xdr:colOff>1471055</xdr:colOff>
      <xdr:row>0</xdr:row>
      <xdr:rowOff>578117</xdr:rowOff>
    </xdr:to>
    <xdr:pic>
      <xdr:nvPicPr>
        <xdr:cNvPr id="3"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30625" y="64297"/>
          <a:ext cx="1244836" cy="513820"/>
        </a:xfrm>
        <a:prstGeom prst="rect">
          <a:avLst/>
        </a:prstGeom>
      </xdr:spPr>
    </xdr:pic>
    <xdr:clientData/>
  </xdr:twoCellAnchor>
  <xdr:twoCellAnchor editAs="oneCell">
    <xdr:from>
      <xdr:col>22</xdr:col>
      <xdr:colOff>179917</xdr:colOff>
      <xdr:row>0</xdr:row>
      <xdr:rowOff>63500</xdr:rowOff>
    </xdr:from>
    <xdr:to>
      <xdr:col>23</xdr:col>
      <xdr:colOff>719791</xdr:colOff>
      <xdr:row>0</xdr:row>
      <xdr:rowOff>564092</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53517" y="63500"/>
          <a:ext cx="1035173" cy="500592"/>
        </a:xfrm>
        <a:prstGeom prst="rect">
          <a:avLst/>
        </a:prstGeom>
      </xdr:spPr>
    </xdr:pic>
    <xdr:clientData/>
  </xdr:twoCellAnchor>
  <xdr:twoCellAnchor editAs="oneCell">
    <xdr:from>
      <xdr:col>24</xdr:col>
      <xdr:colOff>507686</xdr:colOff>
      <xdr:row>0</xdr:row>
      <xdr:rowOff>81946</xdr:rowOff>
    </xdr:from>
    <xdr:to>
      <xdr:col>24</xdr:col>
      <xdr:colOff>1748320</xdr:colOff>
      <xdr:row>0</xdr:row>
      <xdr:rowOff>595766</xdr:rowOff>
    </xdr:to>
    <xdr:pic>
      <xdr:nvPicPr>
        <xdr:cNvPr id="5"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61905" y="81946"/>
          <a:ext cx="1240634" cy="513820"/>
        </a:xfrm>
        <a:prstGeom prst="rect">
          <a:avLst/>
        </a:prstGeom>
      </xdr:spPr>
    </xdr:pic>
    <xdr:clientData/>
  </xdr:twoCellAnchor>
  <xdr:oneCellAnchor>
    <xdr:from>
      <xdr:col>5</xdr:col>
      <xdr:colOff>1104900</xdr:colOff>
      <xdr:row>17</xdr:row>
      <xdr:rowOff>695325</xdr:rowOff>
    </xdr:from>
    <xdr:ext cx="65" cy="172227"/>
    <xdr:sp macro="" textlink="">
      <xdr:nvSpPr>
        <xdr:cNvPr id="6" name="CuadroTexto 5"/>
        <xdr:cNvSpPr txBox="1"/>
      </xdr:nvSpPr>
      <xdr:spPr>
        <a:xfrm>
          <a:off x="15316200" y="10125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5</xdr:col>
      <xdr:colOff>1104900</xdr:colOff>
      <xdr:row>17</xdr:row>
      <xdr:rowOff>695325</xdr:rowOff>
    </xdr:from>
    <xdr:ext cx="65" cy="172227"/>
    <xdr:sp macro="" textlink="">
      <xdr:nvSpPr>
        <xdr:cNvPr id="7" name="CuadroTexto 1"/>
        <xdr:cNvSpPr txBox="1"/>
      </xdr:nvSpPr>
      <xdr:spPr>
        <a:xfrm>
          <a:off x="4724400" y="1163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6"/>
  <sheetViews>
    <sheetView tabSelected="1" zoomScale="80" zoomScaleNormal="80" zoomScaleSheetLayoutView="80" workbookViewId="0">
      <pane ySplit="4" topLeftCell="A5" activePane="bottomLeft" state="frozen"/>
      <selection pane="bottomLeft" activeCell="U4" sqref="U4"/>
    </sheetView>
  </sheetViews>
  <sheetFormatPr baseColWidth="10" defaultRowHeight="15" x14ac:dyDescent="0.25"/>
  <cols>
    <col min="1" max="1" width="6.85546875" customWidth="1"/>
    <col min="2" max="2" width="19.85546875" customWidth="1"/>
    <col min="3" max="3" width="7.42578125" customWidth="1"/>
    <col min="4" max="4" width="46.28515625" customWidth="1"/>
    <col min="5" max="5" width="25.42578125" customWidth="1"/>
    <col min="6" max="6" width="37" customWidth="1"/>
    <col min="7" max="7" width="36" customWidth="1"/>
    <col min="8" max="13" width="7.85546875" customWidth="1"/>
    <col min="14" max="19" width="7.85546875" hidden="1" customWidth="1"/>
    <col min="20" max="20" width="13.7109375" hidden="1" customWidth="1"/>
    <col min="21" max="21" width="17.140625" customWidth="1"/>
    <col min="22" max="22" width="25.140625" customWidth="1"/>
    <col min="23" max="23" width="7.42578125" customWidth="1"/>
    <col min="24" max="24" width="221" style="10" customWidth="1"/>
    <col min="25" max="25" width="38.28515625" customWidth="1"/>
  </cols>
  <sheetData>
    <row r="1" spans="1:25" ht="52.5" customHeight="1" thickBot="1" x14ac:dyDescent="0.3">
      <c r="A1" s="99" t="s">
        <v>225</v>
      </c>
      <c r="B1" s="105"/>
      <c r="C1" s="105"/>
      <c r="D1" s="105"/>
      <c r="E1" s="105"/>
      <c r="F1" s="105"/>
      <c r="G1" s="105"/>
      <c r="H1" s="105"/>
      <c r="I1" s="105"/>
      <c r="J1" s="105"/>
      <c r="K1" s="105"/>
      <c r="L1" s="105"/>
      <c r="M1" s="105"/>
      <c r="N1" s="105"/>
      <c r="O1" s="105"/>
      <c r="P1" s="105"/>
      <c r="Q1" s="105"/>
      <c r="R1" s="105"/>
      <c r="S1" s="105"/>
      <c r="T1" s="105"/>
      <c r="U1" s="105"/>
      <c r="V1" s="100"/>
      <c r="W1" s="99" t="str">
        <f>+A1</f>
        <v>REPORTE INDICADORES CANAL CAPITAL
Seguimiento plan de acción
Reporte Trimestre 2 - 2019
Fecha de informe: 05/08/2019</v>
      </c>
      <c r="X1" s="105"/>
      <c r="Y1" s="100"/>
    </row>
    <row r="2" spans="1:25" ht="7.5" customHeight="1" thickBot="1" x14ac:dyDescent="0.3">
      <c r="B2" s="28"/>
      <c r="C2" s="28"/>
      <c r="D2" s="28"/>
      <c r="E2" s="28"/>
      <c r="F2" s="28"/>
      <c r="G2" s="28"/>
      <c r="H2" s="28"/>
      <c r="I2" s="28"/>
      <c r="J2" s="28"/>
      <c r="K2" s="28"/>
      <c r="L2" s="28"/>
      <c r="M2" s="28"/>
      <c r="N2" s="28"/>
      <c r="O2" s="28"/>
      <c r="P2" s="28"/>
      <c r="Q2" s="28"/>
      <c r="R2" s="28"/>
      <c r="S2" s="28"/>
      <c r="T2" s="28"/>
      <c r="U2" s="28"/>
      <c r="V2" s="28"/>
      <c r="W2" s="28"/>
      <c r="X2" s="28"/>
    </row>
    <row r="3" spans="1:25" x14ac:dyDescent="0.25">
      <c r="A3" s="106" t="s">
        <v>64</v>
      </c>
      <c r="B3" s="101" t="s">
        <v>0</v>
      </c>
      <c r="C3" s="103" t="s">
        <v>1</v>
      </c>
      <c r="D3" s="103" t="s">
        <v>2</v>
      </c>
      <c r="E3" s="103" t="s">
        <v>3</v>
      </c>
      <c r="F3" s="101" t="s">
        <v>4</v>
      </c>
      <c r="G3" s="101" t="s">
        <v>5</v>
      </c>
      <c r="H3" s="110" t="s">
        <v>6</v>
      </c>
      <c r="I3" s="111"/>
      <c r="J3" s="111"/>
      <c r="K3" s="111"/>
      <c r="L3" s="111"/>
      <c r="M3" s="111"/>
      <c r="N3" s="111"/>
      <c r="O3" s="111"/>
      <c r="P3" s="111"/>
      <c r="Q3" s="111"/>
      <c r="R3" s="111"/>
      <c r="S3" s="111"/>
      <c r="T3" s="111"/>
      <c r="U3" s="112"/>
      <c r="V3" s="101" t="s">
        <v>7</v>
      </c>
      <c r="W3" s="103" t="s">
        <v>1</v>
      </c>
      <c r="X3" s="108" t="s">
        <v>340</v>
      </c>
      <c r="Y3" s="108" t="s">
        <v>341</v>
      </c>
    </row>
    <row r="4" spans="1:25" ht="24" customHeight="1" thickBot="1" x14ac:dyDescent="0.3">
      <c r="A4" s="107"/>
      <c r="B4" s="102"/>
      <c r="C4" s="104"/>
      <c r="D4" s="104"/>
      <c r="E4" s="104"/>
      <c r="F4" s="102"/>
      <c r="G4" s="102"/>
      <c r="H4" s="33" t="s">
        <v>8</v>
      </c>
      <c r="I4" s="33" t="s">
        <v>9</v>
      </c>
      <c r="J4" s="33" t="s">
        <v>10</v>
      </c>
      <c r="K4" s="33" t="s">
        <v>11</v>
      </c>
      <c r="L4" s="33" t="s">
        <v>12</v>
      </c>
      <c r="M4" s="33" t="s">
        <v>13</v>
      </c>
      <c r="N4" s="33" t="s">
        <v>14</v>
      </c>
      <c r="O4" s="33" t="s">
        <v>15</v>
      </c>
      <c r="P4" s="33" t="s">
        <v>16</v>
      </c>
      <c r="Q4" s="33" t="s">
        <v>17</v>
      </c>
      <c r="R4" s="33" t="s">
        <v>18</v>
      </c>
      <c r="S4" s="33" t="s">
        <v>19</v>
      </c>
      <c r="T4" s="67" t="s">
        <v>332</v>
      </c>
      <c r="U4" s="67" t="s">
        <v>333</v>
      </c>
      <c r="V4" s="102"/>
      <c r="W4" s="104"/>
      <c r="X4" s="109"/>
      <c r="Y4" s="109"/>
    </row>
    <row r="5" spans="1:25" ht="166.5" customHeight="1" x14ac:dyDescent="0.25">
      <c r="A5" s="32">
        <v>1</v>
      </c>
      <c r="B5" s="32" t="s">
        <v>20</v>
      </c>
      <c r="C5" s="44" t="s">
        <v>270</v>
      </c>
      <c r="D5" s="30" t="s">
        <v>205</v>
      </c>
      <c r="E5" s="30" t="s">
        <v>21</v>
      </c>
      <c r="F5" s="30" t="s">
        <v>324</v>
      </c>
      <c r="G5" s="30" t="s">
        <v>130</v>
      </c>
      <c r="H5" s="113">
        <f>28.74%/100%</f>
        <v>0.28739999999999999</v>
      </c>
      <c r="I5" s="114"/>
      <c r="J5" s="115"/>
      <c r="K5" s="113">
        <f>44.89%/100%</f>
        <v>0.44890000000000002</v>
      </c>
      <c r="L5" s="114"/>
      <c r="M5" s="115"/>
      <c r="N5" s="46"/>
      <c r="O5" s="46"/>
      <c r="P5" s="46"/>
      <c r="Q5" s="46"/>
      <c r="R5" s="46"/>
      <c r="S5" s="46"/>
      <c r="T5" s="48">
        <f>+K5</f>
        <v>0.44890000000000002</v>
      </c>
      <c r="U5" s="68">
        <f t="shared" ref="U5:U10" si="0">+T5</f>
        <v>0.44890000000000002</v>
      </c>
      <c r="V5" s="31" t="s">
        <v>167</v>
      </c>
      <c r="W5" s="29">
        <f>+A5</f>
        <v>1</v>
      </c>
      <c r="X5" s="36" t="s">
        <v>323</v>
      </c>
      <c r="Y5" s="123" t="s">
        <v>342</v>
      </c>
    </row>
    <row r="6" spans="1:25" ht="113.25" customHeight="1" x14ac:dyDescent="0.25">
      <c r="A6" s="32">
        <v>2</v>
      </c>
      <c r="B6" s="16" t="s">
        <v>20</v>
      </c>
      <c r="C6" s="42" t="s">
        <v>271</v>
      </c>
      <c r="D6" s="1" t="s">
        <v>206</v>
      </c>
      <c r="E6" s="1" t="s">
        <v>22</v>
      </c>
      <c r="F6" s="1" t="s">
        <v>23</v>
      </c>
      <c r="G6" s="1" t="s">
        <v>24</v>
      </c>
      <c r="H6" s="116">
        <f>3077128919/5822550121</f>
        <v>0.52848474552444302</v>
      </c>
      <c r="I6" s="116"/>
      <c r="J6" s="116"/>
      <c r="K6" s="116">
        <f>3875607519/5822550121</f>
        <v>0.66562029324951177</v>
      </c>
      <c r="L6" s="116"/>
      <c r="M6" s="116"/>
      <c r="N6" s="11"/>
      <c r="O6" s="11"/>
      <c r="P6" s="11"/>
      <c r="Q6" s="11"/>
      <c r="R6" s="11"/>
      <c r="S6" s="11"/>
      <c r="T6" s="59">
        <f>+K6</f>
        <v>0.66562029324951177</v>
      </c>
      <c r="U6" s="68">
        <f t="shared" si="0"/>
        <v>0.66562029324951177</v>
      </c>
      <c r="V6" s="12" t="s">
        <v>168</v>
      </c>
      <c r="W6" s="29">
        <f t="shared" ref="W6:W56" si="1">+A6</f>
        <v>2</v>
      </c>
      <c r="X6" s="13" t="s">
        <v>218</v>
      </c>
      <c r="Y6" s="123" t="s">
        <v>343</v>
      </c>
    </row>
    <row r="7" spans="1:25" ht="131.25" customHeight="1" x14ac:dyDescent="0.25">
      <c r="A7" s="32">
        <v>3</v>
      </c>
      <c r="B7" s="16" t="s">
        <v>20</v>
      </c>
      <c r="C7" s="42" t="s">
        <v>272</v>
      </c>
      <c r="D7" s="1" t="s">
        <v>206</v>
      </c>
      <c r="E7" s="1" t="s">
        <v>25</v>
      </c>
      <c r="F7" s="1" t="s">
        <v>26</v>
      </c>
      <c r="G7" s="1" t="s">
        <v>27</v>
      </c>
      <c r="H7" s="116">
        <f>3459717719/6445500000</f>
        <v>0.53676483112248852</v>
      </c>
      <c r="I7" s="116"/>
      <c r="J7" s="116"/>
      <c r="K7" s="116">
        <f>4293196319/6466678889</f>
        <v>0.66389508319376211</v>
      </c>
      <c r="L7" s="116"/>
      <c r="M7" s="116"/>
      <c r="N7" s="14"/>
      <c r="O7" s="14"/>
      <c r="P7" s="14"/>
      <c r="Q7" s="11"/>
      <c r="R7" s="11"/>
      <c r="S7" s="11"/>
      <c r="T7" s="59">
        <f>+K7</f>
        <v>0.66389508319376211</v>
      </c>
      <c r="U7" s="68">
        <f t="shared" si="0"/>
        <v>0.66389508319376211</v>
      </c>
      <c r="V7" s="12" t="s">
        <v>169</v>
      </c>
      <c r="W7" s="29">
        <f t="shared" si="1"/>
        <v>3</v>
      </c>
      <c r="X7" s="13" t="s">
        <v>217</v>
      </c>
      <c r="Y7" s="123" t="s">
        <v>344</v>
      </c>
    </row>
    <row r="8" spans="1:25" ht="131.25" customHeight="1" x14ac:dyDescent="0.25">
      <c r="A8" s="32">
        <v>4</v>
      </c>
      <c r="B8" s="16" t="s">
        <v>20</v>
      </c>
      <c r="C8" s="42" t="s">
        <v>273</v>
      </c>
      <c r="D8" s="1" t="s">
        <v>205</v>
      </c>
      <c r="E8" s="1" t="s">
        <v>74</v>
      </c>
      <c r="F8" s="1" t="s">
        <v>324</v>
      </c>
      <c r="G8" s="1" t="s">
        <v>131</v>
      </c>
      <c r="H8" s="116">
        <f>13.6%/100%</f>
        <v>0.13600000000000001</v>
      </c>
      <c r="I8" s="116"/>
      <c r="J8" s="116"/>
      <c r="K8" s="116">
        <f>14.6%/100%</f>
        <v>0.14599999999999999</v>
      </c>
      <c r="L8" s="116"/>
      <c r="M8" s="116"/>
      <c r="N8" s="14"/>
      <c r="O8" s="14"/>
      <c r="P8" s="14"/>
      <c r="Q8" s="14"/>
      <c r="R8" s="14"/>
      <c r="S8" s="14"/>
      <c r="T8" s="49">
        <f>+K8</f>
        <v>0.14599999999999999</v>
      </c>
      <c r="U8" s="70">
        <f t="shared" si="0"/>
        <v>0.14599999999999999</v>
      </c>
      <c r="V8" s="12" t="s">
        <v>170</v>
      </c>
      <c r="W8" s="29">
        <f t="shared" si="1"/>
        <v>4</v>
      </c>
      <c r="X8" s="13" t="s">
        <v>219</v>
      </c>
      <c r="Y8" s="123" t="s">
        <v>345</v>
      </c>
    </row>
    <row r="9" spans="1:25" ht="131.25" customHeight="1" x14ac:dyDescent="0.25">
      <c r="A9" s="32">
        <v>5</v>
      </c>
      <c r="B9" s="16" t="s">
        <v>20</v>
      </c>
      <c r="C9" s="42" t="s">
        <v>274</v>
      </c>
      <c r="D9" s="1" t="s">
        <v>206</v>
      </c>
      <c r="E9" s="1" t="s">
        <v>75</v>
      </c>
      <c r="F9" s="1" t="s">
        <v>106</v>
      </c>
      <c r="G9" s="1" t="s">
        <v>132</v>
      </c>
      <c r="H9" s="87">
        <f>13597.964845/32813.137301</f>
        <v>0.41440611789917431</v>
      </c>
      <c r="I9" s="88"/>
      <c r="J9" s="89"/>
      <c r="K9" s="87">
        <f>22104.228937/30067.480731</f>
        <v>0.73515400690721078</v>
      </c>
      <c r="L9" s="88"/>
      <c r="M9" s="89"/>
      <c r="N9" s="6"/>
      <c r="O9" s="6"/>
      <c r="P9" s="6"/>
      <c r="Q9" s="6"/>
      <c r="R9" s="6"/>
      <c r="S9" s="6"/>
      <c r="T9" s="59">
        <f>+K9</f>
        <v>0.73515400690721078</v>
      </c>
      <c r="U9" s="68">
        <f t="shared" si="0"/>
        <v>0.73515400690721078</v>
      </c>
      <c r="V9" s="12" t="s">
        <v>171</v>
      </c>
      <c r="W9" s="29">
        <f t="shared" si="1"/>
        <v>5</v>
      </c>
      <c r="X9" s="13" t="s">
        <v>220</v>
      </c>
      <c r="Y9" s="123" t="s">
        <v>346</v>
      </c>
    </row>
    <row r="10" spans="1:25" ht="131.25" customHeight="1" x14ac:dyDescent="0.25">
      <c r="A10" s="32">
        <v>6</v>
      </c>
      <c r="B10" s="16" t="s">
        <v>65</v>
      </c>
      <c r="C10" s="41" t="s">
        <v>275</v>
      </c>
      <c r="D10" s="1" t="s">
        <v>207</v>
      </c>
      <c r="E10" s="2" t="s">
        <v>76</v>
      </c>
      <c r="F10" s="2" t="s">
        <v>107</v>
      </c>
      <c r="G10" s="5" t="s">
        <v>133</v>
      </c>
      <c r="H10" s="6">
        <f>1265485/1500000</f>
        <v>0.84365666666666672</v>
      </c>
      <c r="I10" s="6">
        <f>1285917/1500000</f>
        <v>0.85727799999999998</v>
      </c>
      <c r="J10" s="6">
        <f>1309779/1500000</f>
        <v>0.87318600000000002</v>
      </c>
      <c r="K10" s="6">
        <f>1327805/1500000</f>
        <v>0.88520333333333334</v>
      </c>
      <c r="L10" s="6">
        <f>1353647/1500000</f>
        <v>0.90243133333333336</v>
      </c>
      <c r="M10" s="6">
        <f>1387899/1500000</f>
        <v>0.92526600000000003</v>
      </c>
      <c r="N10" s="6"/>
      <c r="O10" s="6"/>
      <c r="P10" s="6"/>
      <c r="Q10" s="6"/>
      <c r="R10" s="6"/>
      <c r="S10" s="6"/>
      <c r="T10" s="60">
        <f>+M10</f>
        <v>0.92526600000000003</v>
      </c>
      <c r="U10" s="71">
        <f t="shared" si="0"/>
        <v>0.92526600000000003</v>
      </c>
      <c r="V10" s="12" t="s">
        <v>172</v>
      </c>
      <c r="W10" s="29">
        <f t="shared" si="1"/>
        <v>6</v>
      </c>
      <c r="X10" s="13" t="s">
        <v>221</v>
      </c>
      <c r="Y10" s="124" t="s">
        <v>347</v>
      </c>
    </row>
    <row r="11" spans="1:25" ht="131.25" customHeight="1" x14ac:dyDescent="0.25">
      <c r="A11" s="32">
        <v>7</v>
      </c>
      <c r="B11" s="16" t="s">
        <v>65</v>
      </c>
      <c r="C11" s="41" t="s">
        <v>276</v>
      </c>
      <c r="D11" s="1" t="s">
        <v>207</v>
      </c>
      <c r="E11" s="2" t="s">
        <v>77</v>
      </c>
      <c r="F11" s="2" t="s">
        <v>28</v>
      </c>
      <c r="G11" s="5" t="s">
        <v>29</v>
      </c>
      <c r="H11" s="6">
        <f>25/25</f>
        <v>1</v>
      </c>
      <c r="I11" s="6">
        <f>52/52</f>
        <v>1</v>
      </c>
      <c r="J11" s="6">
        <f>59/59</f>
        <v>1</v>
      </c>
      <c r="K11" s="6">
        <f>49/49</f>
        <v>1</v>
      </c>
      <c r="L11" s="6">
        <f>72/72</f>
        <v>1</v>
      </c>
      <c r="M11" s="6">
        <f>48/48</f>
        <v>1</v>
      </c>
      <c r="N11" s="6"/>
      <c r="O11" s="6"/>
      <c r="P11" s="6"/>
      <c r="Q11" s="6"/>
      <c r="R11" s="6"/>
      <c r="S11" s="6"/>
      <c r="T11" s="50">
        <v>1</v>
      </c>
      <c r="U11" s="50">
        <v>1</v>
      </c>
      <c r="V11" s="12" t="s">
        <v>173</v>
      </c>
      <c r="W11" s="29">
        <f t="shared" si="1"/>
        <v>7</v>
      </c>
      <c r="X11" s="13" t="s">
        <v>222</v>
      </c>
      <c r="Y11" s="124" t="s">
        <v>348</v>
      </c>
    </row>
    <row r="12" spans="1:25" ht="131.25" customHeight="1" x14ac:dyDescent="0.25">
      <c r="A12" s="32">
        <v>8</v>
      </c>
      <c r="B12" s="16" t="s">
        <v>66</v>
      </c>
      <c r="C12" s="40" t="s">
        <v>277</v>
      </c>
      <c r="D12" s="1" t="s">
        <v>208</v>
      </c>
      <c r="E12" s="2" t="s">
        <v>78</v>
      </c>
      <c r="F12" s="2" t="s">
        <v>108</v>
      </c>
      <c r="G12" s="5" t="s">
        <v>134</v>
      </c>
      <c r="H12" s="96">
        <f>48/180</f>
        <v>0.26666666666666666</v>
      </c>
      <c r="I12" s="97"/>
      <c r="J12" s="98"/>
      <c r="K12" s="96">
        <f>133/180</f>
        <v>0.73888888888888893</v>
      </c>
      <c r="L12" s="97"/>
      <c r="M12" s="98"/>
      <c r="N12" s="3"/>
      <c r="O12" s="3"/>
      <c r="P12" s="3"/>
      <c r="Q12" s="3"/>
      <c r="R12" s="3"/>
      <c r="S12" s="3"/>
      <c r="T12" s="37">
        <f>+K12</f>
        <v>0.73888888888888893</v>
      </c>
      <c r="U12" s="73">
        <f t="shared" ref="U12:U19" si="2">+T12</f>
        <v>0.73888888888888893</v>
      </c>
      <c r="V12" s="12" t="s">
        <v>174</v>
      </c>
      <c r="W12" s="29">
        <f t="shared" si="1"/>
        <v>8</v>
      </c>
      <c r="X12" s="13" t="s">
        <v>223</v>
      </c>
      <c r="Y12" s="124" t="s">
        <v>349</v>
      </c>
    </row>
    <row r="13" spans="1:25" ht="131.25" customHeight="1" x14ac:dyDescent="0.25">
      <c r="A13" s="32">
        <v>9</v>
      </c>
      <c r="B13" s="16" t="s">
        <v>66</v>
      </c>
      <c r="C13" s="40" t="s">
        <v>278</v>
      </c>
      <c r="D13" s="1" t="s">
        <v>208</v>
      </c>
      <c r="E13" s="2" t="s">
        <v>79</v>
      </c>
      <c r="F13" s="2" t="s">
        <v>109</v>
      </c>
      <c r="G13" s="5" t="s">
        <v>135</v>
      </c>
      <c r="H13" s="96">
        <f>48/41</f>
        <v>1.1707317073170731</v>
      </c>
      <c r="I13" s="97"/>
      <c r="J13" s="98"/>
      <c r="K13" s="96">
        <f>133/132</f>
        <v>1.0075757575757576</v>
      </c>
      <c r="L13" s="97"/>
      <c r="M13" s="98"/>
      <c r="N13" s="6"/>
      <c r="O13" s="6"/>
      <c r="P13" s="6"/>
      <c r="Q13" s="6"/>
      <c r="R13" s="6"/>
      <c r="S13" s="6"/>
      <c r="T13" s="51">
        <f>+K13</f>
        <v>1.0075757575757576</v>
      </c>
      <c r="U13" s="72">
        <f t="shared" si="2"/>
        <v>1.0075757575757576</v>
      </c>
      <c r="V13" s="12" t="s">
        <v>175</v>
      </c>
      <c r="W13" s="29">
        <f t="shared" si="1"/>
        <v>9</v>
      </c>
      <c r="X13" s="13" t="s">
        <v>224</v>
      </c>
      <c r="Y13" s="124" t="s">
        <v>350</v>
      </c>
    </row>
    <row r="14" spans="1:25" ht="131.25" customHeight="1" x14ac:dyDescent="0.25">
      <c r="A14" s="32">
        <v>10</v>
      </c>
      <c r="B14" s="16" t="s">
        <v>67</v>
      </c>
      <c r="C14" s="40" t="s">
        <v>279</v>
      </c>
      <c r="D14" s="5" t="s">
        <v>208</v>
      </c>
      <c r="E14" s="2" t="s">
        <v>80</v>
      </c>
      <c r="F14" s="2" t="s">
        <v>110</v>
      </c>
      <c r="G14" s="5" t="s">
        <v>136</v>
      </c>
      <c r="H14" s="3">
        <f>3230/4000</f>
        <v>0.8075</v>
      </c>
      <c r="I14" s="3">
        <f>3730/4000</f>
        <v>0.9325</v>
      </c>
      <c r="J14" s="3">
        <f>3230/4000</f>
        <v>0.8075</v>
      </c>
      <c r="K14" s="3">
        <f>3340/4000</f>
        <v>0.83499999999999996</v>
      </c>
      <c r="L14" s="3">
        <f>4710/4000</f>
        <v>1.1775</v>
      </c>
      <c r="M14" s="3">
        <f>5070/4000</f>
        <v>1.2675000000000001</v>
      </c>
      <c r="N14" s="11"/>
      <c r="O14" s="11"/>
      <c r="P14" s="11"/>
      <c r="Q14" s="11"/>
      <c r="R14" s="11"/>
      <c r="S14" s="11"/>
      <c r="T14" s="51">
        <f>+AVERAGE(H14:M14)</f>
        <v>0.97124999999999995</v>
      </c>
      <c r="U14" s="72">
        <f t="shared" si="2"/>
        <v>0.97124999999999995</v>
      </c>
      <c r="V14" s="17" t="s">
        <v>176</v>
      </c>
      <c r="W14" s="29">
        <f t="shared" si="1"/>
        <v>10</v>
      </c>
      <c r="X14" s="18" t="s">
        <v>232</v>
      </c>
      <c r="Y14" s="124" t="s">
        <v>351</v>
      </c>
    </row>
    <row r="15" spans="1:25" ht="131.25" customHeight="1" x14ac:dyDescent="0.25">
      <c r="A15" s="32">
        <v>11</v>
      </c>
      <c r="B15" s="16" t="s">
        <v>67</v>
      </c>
      <c r="C15" s="40" t="s">
        <v>280</v>
      </c>
      <c r="D15" s="5" t="s">
        <v>208</v>
      </c>
      <c r="E15" s="2" t="s">
        <v>30</v>
      </c>
      <c r="F15" s="2" t="s">
        <v>31</v>
      </c>
      <c r="G15" s="5" t="s">
        <v>32</v>
      </c>
      <c r="H15" s="3">
        <f>37/26</f>
        <v>1.4230769230769231</v>
      </c>
      <c r="I15" s="3">
        <f>44/26</f>
        <v>1.6923076923076923</v>
      </c>
      <c r="J15" s="3">
        <f>30/28</f>
        <v>1.0714285714285714</v>
      </c>
      <c r="K15" s="6">
        <f>41/26</f>
        <v>1.5769230769230769</v>
      </c>
      <c r="L15" s="6">
        <f>20/26</f>
        <v>0.76923076923076927</v>
      </c>
      <c r="M15" s="14">
        <f>59/28</f>
        <v>2.1071428571428572</v>
      </c>
      <c r="N15" s="6"/>
      <c r="O15" s="6"/>
      <c r="P15" s="6"/>
      <c r="Q15" s="6"/>
      <c r="R15" s="6"/>
      <c r="S15" s="6"/>
      <c r="T15" s="51">
        <f>231/160</f>
        <v>1.4437500000000001</v>
      </c>
      <c r="U15" s="72">
        <f t="shared" si="2"/>
        <v>1.4437500000000001</v>
      </c>
      <c r="V15" s="12" t="s">
        <v>176</v>
      </c>
      <c r="W15" s="29">
        <f t="shared" si="1"/>
        <v>11</v>
      </c>
      <c r="X15" s="13" t="s">
        <v>233</v>
      </c>
      <c r="Y15" s="124" t="s">
        <v>352</v>
      </c>
    </row>
    <row r="16" spans="1:25" ht="131.25" customHeight="1" x14ac:dyDescent="0.25">
      <c r="A16" s="32">
        <v>12</v>
      </c>
      <c r="B16" s="16" t="s">
        <v>67</v>
      </c>
      <c r="C16" s="40" t="s">
        <v>281</v>
      </c>
      <c r="D16" s="1" t="s">
        <v>208</v>
      </c>
      <c r="E16" s="1" t="s">
        <v>33</v>
      </c>
      <c r="F16" s="1" t="s">
        <v>31</v>
      </c>
      <c r="G16" s="5" t="s">
        <v>34</v>
      </c>
      <c r="H16" s="3">
        <f>98/15</f>
        <v>6.5333333333333332</v>
      </c>
      <c r="I16" s="3">
        <f>59/15</f>
        <v>3.9333333333333331</v>
      </c>
      <c r="J16" s="3">
        <f>86/15</f>
        <v>5.7333333333333334</v>
      </c>
      <c r="K16" s="3">
        <f>54/15</f>
        <v>3.6</v>
      </c>
      <c r="L16" s="3">
        <f>70/15</f>
        <v>4.666666666666667</v>
      </c>
      <c r="M16" s="3">
        <f>41/15</f>
        <v>2.7333333333333334</v>
      </c>
      <c r="N16" s="19"/>
      <c r="O16" s="3"/>
      <c r="P16" s="19"/>
      <c r="Q16" s="20"/>
      <c r="R16" s="3"/>
      <c r="S16" s="20"/>
      <c r="T16" s="50">
        <f>408/90</f>
        <v>4.5333333333333332</v>
      </c>
      <c r="U16" s="69">
        <f t="shared" si="2"/>
        <v>4.5333333333333332</v>
      </c>
      <c r="V16" s="12" t="s">
        <v>176</v>
      </c>
      <c r="W16" s="29">
        <f t="shared" si="1"/>
        <v>12</v>
      </c>
      <c r="X16" s="13" t="s">
        <v>235</v>
      </c>
      <c r="Y16" s="124" t="s">
        <v>353</v>
      </c>
    </row>
    <row r="17" spans="1:25" ht="131.25" customHeight="1" x14ac:dyDescent="0.25">
      <c r="A17" s="32">
        <v>13</v>
      </c>
      <c r="B17" s="16" t="s">
        <v>67</v>
      </c>
      <c r="C17" s="40" t="s">
        <v>282</v>
      </c>
      <c r="D17" s="5" t="s">
        <v>208</v>
      </c>
      <c r="E17" s="2" t="s">
        <v>35</v>
      </c>
      <c r="F17" s="2" t="s">
        <v>338</v>
      </c>
      <c r="G17" s="5" t="s">
        <v>36</v>
      </c>
      <c r="H17" s="14">
        <f>539/544</f>
        <v>0.9908088235294118</v>
      </c>
      <c r="I17" s="14">
        <f>464/487</f>
        <v>0.95277207392197127</v>
      </c>
      <c r="J17" s="14">
        <f>522/536</f>
        <v>0.97388059701492535</v>
      </c>
      <c r="K17" s="14">
        <f>530/543</f>
        <v>0.97605893186003678</v>
      </c>
      <c r="L17" s="14">
        <f>527/548</f>
        <v>0.96167883211678828</v>
      </c>
      <c r="M17" s="14">
        <f>481/498</f>
        <v>0.96586345381526106</v>
      </c>
      <c r="N17" s="14"/>
      <c r="O17" s="14"/>
      <c r="P17" s="14"/>
      <c r="Q17" s="11"/>
      <c r="R17" s="11"/>
      <c r="S17" s="11"/>
      <c r="T17" s="51">
        <f>3063/3156</f>
        <v>0.97053231939163498</v>
      </c>
      <c r="U17" s="72">
        <f t="shared" si="2"/>
        <v>0.97053231939163498</v>
      </c>
      <c r="V17" s="12" t="s">
        <v>176</v>
      </c>
      <c r="W17" s="29">
        <f t="shared" si="1"/>
        <v>13</v>
      </c>
      <c r="X17" s="13" t="s">
        <v>234</v>
      </c>
      <c r="Y17" s="123" t="s">
        <v>354</v>
      </c>
    </row>
    <row r="18" spans="1:25" ht="131.25" customHeight="1" x14ac:dyDescent="0.25">
      <c r="A18" s="32">
        <v>14</v>
      </c>
      <c r="B18" s="16" t="s">
        <v>67</v>
      </c>
      <c r="C18" s="40" t="s">
        <v>283</v>
      </c>
      <c r="D18" s="5" t="s">
        <v>208</v>
      </c>
      <c r="E18" s="5" t="s">
        <v>37</v>
      </c>
      <c r="F18" s="2" t="s">
        <v>339</v>
      </c>
      <c r="G18" s="5" t="s">
        <v>38</v>
      </c>
      <c r="H18" s="34">
        <f>42/26</f>
        <v>1.6153846153846154</v>
      </c>
      <c r="I18" s="34">
        <f>16/26</f>
        <v>0.61538461538461542</v>
      </c>
      <c r="J18" s="34">
        <f>24/28</f>
        <v>0.8571428571428571</v>
      </c>
      <c r="K18" s="34">
        <f>26/26</f>
        <v>1</v>
      </c>
      <c r="L18" s="34">
        <f>50/26</f>
        <v>1.9230769230769231</v>
      </c>
      <c r="M18" s="34">
        <f>18/28</f>
        <v>0.6428571428571429</v>
      </c>
      <c r="N18" s="21"/>
      <c r="O18" s="21"/>
      <c r="P18" s="21"/>
      <c r="Q18" s="21"/>
      <c r="R18" s="21"/>
      <c r="S18" s="21"/>
      <c r="T18" s="52">
        <f>176/160</f>
        <v>1.1000000000000001</v>
      </c>
      <c r="U18" s="74">
        <f t="shared" si="2"/>
        <v>1.1000000000000001</v>
      </c>
      <c r="V18" s="5" t="s">
        <v>176</v>
      </c>
      <c r="W18" s="29">
        <f t="shared" si="1"/>
        <v>14</v>
      </c>
      <c r="X18" s="21" t="s">
        <v>236</v>
      </c>
      <c r="Y18" s="123" t="s">
        <v>355</v>
      </c>
    </row>
    <row r="19" spans="1:25" ht="124.5" customHeight="1" x14ac:dyDescent="0.25">
      <c r="A19" s="32">
        <v>15</v>
      </c>
      <c r="B19" s="16" t="s">
        <v>67</v>
      </c>
      <c r="C19" s="45" t="s">
        <v>284</v>
      </c>
      <c r="D19" s="5" t="s">
        <v>208</v>
      </c>
      <c r="E19" s="2" t="s">
        <v>226</v>
      </c>
      <c r="F19" s="2" t="s">
        <v>228</v>
      </c>
      <c r="G19" s="5" t="s">
        <v>230</v>
      </c>
      <c r="H19" s="87">
        <f>(3060410-2720460)/2720460</f>
        <v>0.1249604846239239</v>
      </c>
      <c r="I19" s="88"/>
      <c r="J19" s="89"/>
      <c r="K19" s="87">
        <f>(4419700-3590360)/3590360</f>
        <v>0.2309907641573547</v>
      </c>
      <c r="L19" s="88"/>
      <c r="M19" s="89"/>
      <c r="N19" s="21"/>
      <c r="O19" s="21"/>
      <c r="P19" s="21"/>
      <c r="Q19" s="21"/>
      <c r="R19" s="21"/>
      <c r="S19" s="21"/>
      <c r="T19" s="52">
        <f>+K19</f>
        <v>0.2309907641573547</v>
      </c>
      <c r="U19" s="74">
        <f t="shared" si="2"/>
        <v>0.2309907641573547</v>
      </c>
      <c r="V19" s="5" t="s">
        <v>176</v>
      </c>
      <c r="W19" s="29">
        <f t="shared" si="1"/>
        <v>15</v>
      </c>
      <c r="X19" s="21" t="s">
        <v>237</v>
      </c>
      <c r="Y19" s="123" t="s">
        <v>356</v>
      </c>
    </row>
    <row r="20" spans="1:25" ht="124.5" customHeight="1" x14ac:dyDescent="0.25">
      <c r="A20" s="32">
        <v>16</v>
      </c>
      <c r="B20" s="16" t="s">
        <v>67</v>
      </c>
      <c r="C20" s="45" t="s">
        <v>285</v>
      </c>
      <c r="D20" s="5" t="s">
        <v>208</v>
      </c>
      <c r="E20" s="2" t="s">
        <v>227</v>
      </c>
      <c r="F20" s="2" t="s">
        <v>229</v>
      </c>
      <c r="G20" s="5" t="s">
        <v>231</v>
      </c>
      <c r="H20" s="117">
        <f>0-138260/138260</f>
        <v>-1</v>
      </c>
      <c r="I20" s="118"/>
      <c r="J20" s="118"/>
      <c r="K20" s="118"/>
      <c r="L20" s="118"/>
      <c r="M20" s="119"/>
      <c r="N20" s="21"/>
      <c r="O20" s="21"/>
      <c r="P20" s="21"/>
      <c r="Q20" s="21"/>
      <c r="R20" s="21"/>
      <c r="S20" s="21"/>
      <c r="T20" s="61" t="s">
        <v>215</v>
      </c>
      <c r="U20" s="75" t="s">
        <v>215</v>
      </c>
      <c r="V20" s="5" t="s">
        <v>176</v>
      </c>
      <c r="W20" s="29">
        <f t="shared" si="1"/>
        <v>16</v>
      </c>
      <c r="X20" s="21" t="s">
        <v>238</v>
      </c>
      <c r="Y20" s="123" t="s">
        <v>357</v>
      </c>
    </row>
    <row r="21" spans="1:25" ht="131.25" customHeight="1" x14ac:dyDescent="0.25">
      <c r="A21" s="32">
        <v>17</v>
      </c>
      <c r="B21" s="16" t="s">
        <v>68</v>
      </c>
      <c r="C21" s="42" t="s">
        <v>286</v>
      </c>
      <c r="D21" s="1" t="s">
        <v>209</v>
      </c>
      <c r="E21" s="4" t="s">
        <v>81</v>
      </c>
      <c r="F21" s="1" t="s">
        <v>111</v>
      </c>
      <c r="G21" s="1" t="s">
        <v>137</v>
      </c>
      <c r="H21" s="96">
        <f>56974197/120000000</f>
        <v>0.474784975</v>
      </c>
      <c r="I21" s="97"/>
      <c r="J21" s="98"/>
      <c r="K21" s="96">
        <f>85717546/120000000</f>
        <v>0.71431288333333331</v>
      </c>
      <c r="L21" s="97"/>
      <c r="M21" s="98"/>
      <c r="N21" s="6"/>
      <c r="O21" s="6"/>
      <c r="P21" s="6"/>
      <c r="Q21" s="6"/>
      <c r="R21" s="6"/>
      <c r="S21" s="6"/>
      <c r="T21" s="37">
        <f>+K21</f>
        <v>0.71431288333333331</v>
      </c>
      <c r="U21" s="73">
        <f>+T21</f>
        <v>0.71431288333333331</v>
      </c>
      <c r="V21" s="1" t="s">
        <v>177</v>
      </c>
      <c r="W21" s="29">
        <f t="shared" si="1"/>
        <v>17</v>
      </c>
      <c r="X21" s="13" t="s">
        <v>239</v>
      </c>
      <c r="Y21" s="123" t="s">
        <v>358</v>
      </c>
    </row>
    <row r="22" spans="1:25" ht="131.25" customHeight="1" x14ac:dyDescent="0.25">
      <c r="A22" s="32">
        <v>18</v>
      </c>
      <c r="B22" s="16" t="s">
        <v>68</v>
      </c>
      <c r="C22" s="45" t="s">
        <v>287</v>
      </c>
      <c r="D22" s="1" t="s">
        <v>210</v>
      </c>
      <c r="E22" s="4" t="s">
        <v>82</v>
      </c>
      <c r="F22" s="1" t="s">
        <v>39</v>
      </c>
      <c r="G22" s="1" t="s">
        <v>138</v>
      </c>
      <c r="H22" s="96">
        <f>216/864</f>
        <v>0.25</v>
      </c>
      <c r="I22" s="97"/>
      <c r="J22" s="98"/>
      <c r="K22" s="96">
        <f>544/864</f>
        <v>0.62962962962962965</v>
      </c>
      <c r="L22" s="97"/>
      <c r="M22" s="98"/>
      <c r="N22" s="6"/>
      <c r="O22" s="6"/>
      <c r="P22" s="6"/>
      <c r="Q22" s="6"/>
      <c r="R22" s="6"/>
      <c r="S22" s="6"/>
      <c r="T22" s="37">
        <f>+K22</f>
        <v>0.62962962962962965</v>
      </c>
      <c r="U22" s="73">
        <f>+T22</f>
        <v>0.62962962962962965</v>
      </c>
      <c r="V22" s="1" t="s">
        <v>178</v>
      </c>
      <c r="W22" s="29">
        <f t="shared" si="1"/>
        <v>18</v>
      </c>
      <c r="X22" s="13" t="s">
        <v>240</v>
      </c>
      <c r="Y22" s="123" t="s">
        <v>359</v>
      </c>
    </row>
    <row r="23" spans="1:25" ht="131.25" customHeight="1" x14ac:dyDescent="0.25">
      <c r="A23" s="32">
        <v>19</v>
      </c>
      <c r="B23" s="16" t="s">
        <v>40</v>
      </c>
      <c r="C23" s="42" t="s">
        <v>288</v>
      </c>
      <c r="D23" s="1" t="s">
        <v>206</v>
      </c>
      <c r="E23" s="4" t="s">
        <v>83</v>
      </c>
      <c r="F23" s="1" t="s">
        <v>112</v>
      </c>
      <c r="G23" s="1" t="s">
        <v>139</v>
      </c>
      <c r="H23" s="96">
        <f>2179336651/4600000000</f>
        <v>0.47376883717391305</v>
      </c>
      <c r="I23" s="97"/>
      <c r="J23" s="98"/>
      <c r="K23" s="87"/>
      <c r="L23" s="88"/>
      <c r="M23" s="89"/>
      <c r="N23" s="47"/>
      <c r="O23" s="47"/>
      <c r="P23" s="47"/>
      <c r="Q23" s="47"/>
      <c r="R23" s="47"/>
      <c r="S23" s="47"/>
      <c r="T23" s="15" t="s">
        <v>215</v>
      </c>
      <c r="U23" s="15" t="s">
        <v>215</v>
      </c>
      <c r="V23" s="1" t="s">
        <v>179</v>
      </c>
      <c r="W23" s="29">
        <f t="shared" si="1"/>
        <v>19</v>
      </c>
      <c r="X23" s="13" t="s">
        <v>337</v>
      </c>
      <c r="Y23" s="124" t="s">
        <v>360</v>
      </c>
    </row>
    <row r="24" spans="1:25" ht="140.25" customHeight="1" x14ac:dyDescent="0.25">
      <c r="A24" s="32">
        <v>20</v>
      </c>
      <c r="B24" s="16" t="s">
        <v>40</v>
      </c>
      <c r="C24" s="42" t="s">
        <v>289</v>
      </c>
      <c r="D24" s="1" t="s">
        <v>206</v>
      </c>
      <c r="E24" s="4" t="s">
        <v>211</v>
      </c>
      <c r="F24" s="1" t="s">
        <v>212</v>
      </c>
      <c r="G24" s="1" t="s">
        <v>213</v>
      </c>
      <c r="H24" s="96">
        <f>360996208/391500000</f>
        <v>0.92208482247765011</v>
      </c>
      <c r="I24" s="97"/>
      <c r="J24" s="98"/>
      <c r="K24" s="96">
        <f>767497469/913500000</f>
        <v>0.84017237985769022</v>
      </c>
      <c r="L24" s="97"/>
      <c r="M24" s="98"/>
      <c r="N24" s="6"/>
      <c r="O24" s="6"/>
      <c r="P24" s="6"/>
      <c r="Q24" s="6"/>
      <c r="R24" s="6"/>
      <c r="S24" s="6"/>
      <c r="T24" s="37">
        <f>1128493677/2610000000</f>
        <v>0.43237305632183909</v>
      </c>
      <c r="U24" s="73">
        <f>+T24</f>
        <v>0.43237305632183909</v>
      </c>
      <c r="V24" s="1" t="s">
        <v>214</v>
      </c>
      <c r="W24" s="29">
        <f t="shared" si="1"/>
        <v>20</v>
      </c>
      <c r="X24" s="13" t="s">
        <v>241</v>
      </c>
      <c r="Y24" s="123" t="s">
        <v>361</v>
      </c>
    </row>
    <row r="25" spans="1:25" ht="131.25" customHeight="1" x14ac:dyDescent="0.25">
      <c r="A25" s="32">
        <v>21</v>
      </c>
      <c r="B25" s="16" t="s">
        <v>40</v>
      </c>
      <c r="C25" s="42" t="s">
        <v>290</v>
      </c>
      <c r="D25" s="1" t="s">
        <v>206</v>
      </c>
      <c r="E25" s="4" t="s">
        <v>84</v>
      </c>
      <c r="F25" s="5" t="s">
        <v>113</v>
      </c>
      <c r="G25" s="1" t="s">
        <v>140</v>
      </c>
      <c r="H25" s="96">
        <f>-301430608.12/300000000</f>
        <v>-1.0047686937333333</v>
      </c>
      <c r="I25" s="97"/>
      <c r="J25" s="98"/>
      <c r="K25" s="87"/>
      <c r="L25" s="88"/>
      <c r="M25" s="89"/>
      <c r="N25" s="47"/>
      <c r="O25" s="47"/>
      <c r="P25" s="47"/>
      <c r="Q25" s="47"/>
      <c r="R25" s="47"/>
      <c r="S25" s="47"/>
      <c r="T25" s="15" t="s">
        <v>215</v>
      </c>
      <c r="U25" s="15" t="s">
        <v>215</v>
      </c>
      <c r="V25" s="1" t="s">
        <v>179</v>
      </c>
      <c r="W25" s="29">
        <f t="shared" si="1"/>
        <v>21</v>
      </c>
      <c r="X25" s="13" t="s">
        <v>242</v>
      </c>
      <c r="Y25" s="124" t="s">
        <v>360</v>
      </c>
    </row>
    <row r="26" spans="1:25" ht="131.25" customHeight="1" x14ac:dyDescent="0.25">
      <c r="A26" s="32">
        <v>22</v>
      </c>
      <c r="B26" s="16" t="s">
        <v>40</v>
      </c>
      <c r="C26" s="42" t="s">
        <v>291</v>
      </c>
      <c r="D26" s="1" t="s">
        <v>206</v>
      </c>
      <c r="E26" s="4" t="s">
        <v>85</v>
      </c>
      <c r="F26" s="5" t="s">
        <v>41</v>
      </c>
      <c r="G26" s="1" t="s">
        <v>141</v>
      </c>
      <c r="H26" s="96">
        <f>13/13</f>
        <v>1</v>
      </c>
      <c r="I26" s="97"/>
      <c r="J26" s="98"/>
      <c r="K26" s="87"/>
      <c r="L26" s="88"/>
      <c r="M26" s="89"/>
      <c r="N26" s="47"/>
      <c r="O26" s="47"/>
      <c r="P26" s="47"/>
      <c r="Q26" s="47"/>
      <c r="R26" s="47"/>
      <c r="S26" s="47"/>
      <c r="T26" s="15" t="s">
        <v>215</v>
      </c>
      <c r="U26" s="15" t="s">
        <v>215</v>
      </c>
      <c r="V26" s="1" t="s">
        <v>180</v>
      </c>
      <c r="W26" s="29">
        <f t="shared" si="1"/>
        <v>22</v>
      </c>
      <c r="X26" s="13" t="s">
        <v>216</v>
      </c>
      <c r="Y26" s="124" t="s">
        <v>360</v>
      </c>
    </row>
    <row r="27" spans="1:25" ht="131.25" customHeight="1" x14ac:dyDescent="0.25">
      <c r="A27" s="32">
        <v>23</v>
      </c>
      <c r="B27" s="16" t="s">
        <v>59</v>
      </c>
      <c r="C27" s="42" t="s">
        <v>292</v>
      </c>
      <c r="D27" s="1" t="s">
        <v>205</v>
      </c>
      <c r="E27" s="4" t="s">
        <v>86</v>
      </c>
      <c r="F27" s="5" t="s">
        <v>114</v>
      </c>
      <c r="G27" s="1" t="s">
        <v>142</v>
      </c>
      <c r="H27" s="90">
        <f>2/1</f>
        <v>2</v>
      </c>
      <c r="I27" s="91"/>
      <c r="J27" s="92"/>
      <c r="K27" s="90">
        <f>4/3</f>
        <v>1.3333333333333333</v>
      </c>
      <c r="L27" s="91"/>
      <c r="M27" s="92"/>
      <c r="N27" s="7"/>
      <c r="O27" s="7"/>
      <c r="P27" s="7"/>
      <c r="Q27" s="8"/>
      <c r="R27" s="8"/>
      <c r="S27" s="8"/>
      <c r="T27" s="54">
        <f>6/4</f>
        <v>1.5</v>
      </c>
      <c r="U27" s="76">
        <f t="shared" ref="U27:U56" si="3">+T27</f>
        <v>1.5</v>
      </c>
      <c r="V27" s="1" t="s">
        <v>181</v>
      </c>
      <c r="W27" s="29">
        <f t="shared" si="1"/>
        <v>23</v>
      </c>
      <c r="X27" s="13" t="s">
        <v>243</v>
      </c>
      <c r="Y27" s="123" t="s">
        <v>362</v>
      </c>
    </row>
    <row r="28" spans="1:25" ht="131.25" customHeight="1" x14ac:dyDescent="0.25">
      <c r="A28" s="32">
        <v>24</v>
      </c>
      <c r="B28" s="16" t="s">
        <v>59</v>
      </c>
      <c r="C28" s="42" t="s">
        <v>293</v>
      </c>
      <c r="D28" s="1" t="s">
        <v>205</v>
      </c>
      <c r="E28" s="4" t="s">
        <v>87</v>
      </c>
      <c r="F28" s="5" t="s">
        <v>325</v>
      </c>
      <c r="G28" s="1" t="s">
        <v>143</v>
      </c>
      <c r="H28" s="90">
        <f>12.5/100</f>
        <v>0.125</v>
      </c>
      <c r="I28" s="91"/>
      <c r="J28" s="92"/>
      <c r="K28" s="90">
        <f>56.65/100</f>
        <v>0.5665</v>
      </c>
      <c r="L28" s="91"/>
      <c r="M28" s="92"/>
      <c r="N28" s="7"/>
      <c r="O28" s="7"/>
      <c r="P28" s="7"/>
      <c r="Q28" s="8"/>
      <c r="R28" s="8"/>
      <c r="S28" s="8"/>
      <c r="T28" s="53">
        <f>+K28</f>
        <v>0.5665</v>
      </c>
      <c r="U28" s="77">
        <f t="shared" si="3"/>
        <v>0.5665</v>
      </c>
      <c r="V28" s="1" t="s">
        <v>182</v>
      </c>
      <c r="W28" s="29">
        <f t="shared" si="1"/>
        <v>24</v>
      </c>
      <c r="X28" s="13" t="s">
        <v>244</v>
      </c>
      <c r="Y28" s="123" t="s">
        <v>363</v>
      </c>
    </row>
    <row r="29" spans="1:25" ht="131.25" customHeight="1" x14ac:dyDescent="0.25">
      <c r="A29" s="32">
        <v>25</v>
      </c>
      <c r="B29" s="16" t="s">
        <v>59</v>
      </c>
      <c r="C29" s="42" t="s">
        <v>294</v>
      </c>
      <c r="D29" s="1" t="s">
        <v>205</v>
      </c>
      <c r="E29" s="1" t="s">
        <v>88</v>
      </c>
      <c r="F29" s="1" t="s">
        <v>326</v>
      </c>
      <c r="G29" s="5" t="s">
        <v>144</v>
      </c>
      <c r="H29" s="90">
        <f>20/100</f>
        <v>0.2</v>
      </c>
      <c r="I29" s="91"/>
      <c r="J29" s="92"/>
      <c r="K29" s="90">
        <f>50.4/100</f>
        <v>0.504</v>
      </c>
      <c r="L29" s="91"/>
      <c r="M29" s="92"/>
      <c r="N29" s="7"/>
      <c r="O29" s="7"/>
      <c r="P29" s="7"/>
      <c r="Q29" s="8"/>
      <c r="R29" s="8"/>
      <c r="S29" s="8"/>
      <c r="T29" s="53">
        <f>+K29</f>
        <v>0.504</v>
      </c>
      <c r="U29" s="77">
        <f t="shared" si="3"/>
        <v>0.504</v>
      </c>
      <c r="V29" s="24" t="s">
        <v>183</v>
      </c>
      <c r="W29" s="29">
        <f t="shared" si="1"/>
        <v>25</v>
      </c>
      <c r="X29" s="13" t="s">
        <v>245</v>
      </c>
      <c r="Y29" s="123" t="s">
        <v>364</v>
      </c>
    </row>
    <row r="30" spans="1:25" ht="131.25" customHeight="1" x14ac:dyDescent="0.25">
      <c r="A30" s="32">
        <v>26</v>
      </c>
      <c r="B30" s="16" t="s">
        <v>59</v>
      </c>
      <c r="C30" s="42" t="s">
        <v>295</v>
      </c>
      <c r="D30" s="1" t="s">
        <v>205</v>
      </c>
      <c r="E30" s="1" t="s">
        <v>89</v>
      </c>
      <c r="F30" s="1" t="s">
        <v>327</v>
      </c>
      <c r="G30" s="5" t="s">
        <v>145</v>
      </c>
      <c r="H30" s="90">
        <f>25/100</f>
        <v>0.25</v>
      </c>
      <c r="I30" s="91"/>
      <c r="J30" s="92"/>
      <c r="K30" s="90">
        <f>52/100</f>
        <v>0.52</v>
      </c>
      <c r="L30" s="91"/>
      <c r="M30" s="92"/>
      <c r="N30" s="7"/>
      <c r="O30" s="7"/>
      <c r="P30" s="7"/>
      <c r="Q30" s="8"/>
      <c r="R30" s="8"/>
      <c r="S30" s="8"/>
      <c r="T30" s="53">
        <f>+K30</f>
        <v>0.52</v>
      </c>
      <c r="U30" s="77">
        <f t="shared" si="3"/>
        <v>0.52</v>
      </c>
      <c r="V30" s="24" t="s">
        <v>184</v>
      </c>
      <c r="W30" s="29">
        <f t="shared" si="1"/>
        <v>26</v>
      </c>
      <c r="X30" s="13" t="s">
        <v>246</v>
      </c>
      <c r="Y30" s="123" t="s">
        <v>365</v>
      </c>
    </row>
    <row r="31" spans="1:25" ht="131.25" customHeight="1" x14ac:dyDescent="0.25">
      <c r="A31" s="32">
        <v>27</v>
      </c>
      <c r="B31" s="16" t="s">
        <v>59</v>
      </c>
      <c r="C31" s="42" t="s">
        <v>296</v>
      </c>
      <c r="D31" s="1" t="s">
        <v>205</v>
      </c>
      <c r="E31" s="5" t="s">
        <v>90</v>
      </c>
      <c r="F31" s="5" t="s">
        <v>328</v>
      </c>
      <c r="G31" s="5" t="s">
        <v>146</v>
      </c>
      <c r="H31" s="90">
        <f>12/100</f>
        <v>0.12</v>
      </c>
      <c r="I31" s="91"/>
      <c r="J31" s="92"/>
      <c r="K31" s="90">
        <f>70/100</f>
        <v>0.7</v>
      </c>
      <c r="L31" s="91"/>
      <c r="M31" s="92"/>
      <c r="N31" s="7"/>
      <c r="O31" s="7"/>
      <c r="P31" s="7"/>
      <c r="Q31" s="8"/>
      <c r="R31" s="8"/>
      <c r="S31" s="8"/>
      <c r="T31" s="53">
        <f>+K31</f>
        <v>0.7</v>
      </c>
      <c r="U31" s="77">
        <f t="shared" si="3"/>
        <v>0.7</v>
      </c>
      <c r="V31" s="24" t="s">
        <v>185</v>
      </c>
      <c r="W31" s="29">
        <f t="shared" si="1"/>
        <v>27</v>
      </c>
      <c r="X31" s="13" t="s">
        <v>247</v>
      </c>
      <c r="Y31" s="123" t="s">
        <v>366</v>
      </c>
    </row>
    <row r="32" spans="1:25" ht="131.25" customHeight="1" x14ac:dyDescent="0.25">
      <c r="A32" s="32">
        <v>28</v>
      </c>
      <c r="B32" s="16" t="s">
        <v>69</v>
      </c>
      <c r="C32" s="42" t="s">
        <v>297</v>
      </c>
      <c r="D32" s="1" t="s">
        <v>205</v>
      </c>
      <c r="E32" s="5" t="s">
        <v>91</v>
      </c>
      <c r="F32" s="1" t="s">
        <v>115</v>
      </c>
      <c r="G32" s="5" t="s">
        <v>147</v>
      </c>
      <c r="H32" s="22">
        <f>4/4</f>
        <v>1</v>
      </c>
      <c r="I32" s="22">
        <f>4/4</f>
        <v>1</v>
      </c>
      <c r="J32" s="22">
        <f>5/5</f>
        <v>1</v>
      </c>
      <c r="K32" s="22">
        <f>2/2</f>
        <v>1</v>
      </c>
      <c r="L32" s="22">
        <f>6/6</f>
        <v>1</v>
      </c>
      <c r="M32" s="22">
        <f>3/3</f>
        <v>1</v>
      </c>
      <c r="N32" s="22"/>
      <c r="O32" s="22"/>
      <c r="P32" s="22"/>
      <c r="Q32" s="22"/>
      <c r="R32" s="22"/>
      <c r="S32" s="22"/>
      <c r="T32" s="54">
        <f>24/24</f>
        <v>1</v>
      </c>
      <c r="U32" s="76">
        <f t="shared" si="3"/>
        <v>1</v>
      </c>
      <c r="V32" s="24" t="s">
        <v>186</v>
      </c>
      <c r="W32" s="29">
        <f t="shared" si="1"/>
        <v>28</v>
      </c>
      <c r="X32" s="13" t="s">
        <v>248</v>
      </c>
      <c r="Y32" s="123" t="s">
        <v>367</v>
      </c>
    </row>
    <row r="33" spans="1:25" ht="131.25" customHeight="1" x14ac:dyDescent="0.25">
      <c r="A33" s="32">
        <v>29</v>
      </c>
      <c r="B33" s="16" t="s">
        <v>69</v>
      </c>
      <c r="C33" s="42" t="s">
        <v>298</v>
      </c>
      <c r="D33" s="1" t="s">
        <v>205</v>
      </c>
      <c r="E33" s="1" t="s">
        <v>92</v>
      </c>
      <c r="F33" s="1" t="s">
        <v>62</v>
      </c>
      <c r="G33" s="5" t="s">
        <v>148</v>
      </c>
      <c r="H33" s="22" t="s">
        <v>215</v>
      </c>
      <c r="I33" s="22">
        <f>2/2</f>
        <v>1</v>
      </c>
      <c r="J33" s="22">
        <f>1/1</f>
        <v>1</v>
      </c>
      <c r="K33" s="22" t="s">
        <v>215</v>
      </c>
      <c r="L33" s="22" t="s">
        <v>215</v>
      </c>
      <c r="M33" s="22" t="s">
        <v>215</v>
      </c>
      <c r="N33" s="22"/>
      <c r="O33" s="22"/>
      <c r="P33" s="22"/>
      <c r="Q33" s="22"/>
      <c r="R33" s="22"/>
      <c r="S33" s="22"/>
      <c r="T33" s="54">
        <f>3/3</f>
        <v>1</v>
      </c>
      <c r="U33" s="76">
        <f t="shared" si="3"/>
        <v>1</v>
      </c>
      <c r="V33" s="24" t="s">
        <v>187</v>
      </c>
      <c r="W33" s="29">
        <f t="shared" si="1"/>
        <v>29</v>
      </c>
      <c r="X33" s="13" t="s">
        <v>249</v>
      </c>
      <c r="Y33" s="123" t="s">
        <v>368</v>
      </c>
    </row>
    <row r="34" spans="1:25" ht="131.25" customHeight="1" x14ac:dyDescent="0.25">
      <c r="A34" s="32">
        <v>30</v>
      </c>
      <c r="B34" s="16" t="s">
        <v>70</v>
      </c>
      <c r="C34" s="42" t="s">
        <v>299</v>
      </c>
      <c r="D34" s="1" t="s">
        <v>205</v>
      </c>
      <c r="E34" s="1" t="s">
        <v>93</v>
      </c>
      <c r="F34" s="1" t="s">
        <v>60</v>
      </c>
      <c r="G34" s="5" t="s">
        <v>149</v>
      </c>
      <c r="H34" s="90">
        <f>1650/1650</f>
        <v>1</v>
      </c>
      <c r="I34" s="91"/>
      <c r="J34" s="92"/>
      <c r="K34" s="90">
        <f>1793/1793</f>
        <v>1</v>
      </c>
      <c r="L34" s="91"/>
      <c r="M34" s="92"/>
      <c r="N34" s="22"/>
      <c r="O34" s="22"/>
      <c r="P34" s="22"/>
      <c r="Q34" s="22"/>
      <c r="R34" s="22"/>
      <c r="S34" s="22"/>
      <c r="T34" s="54">
        <f>+K34</f>
        <v>1</v>
      </c>
      <c r="U34" s="76">
        <f t="shared" si="3"/>
        <v>1</v>
      </c>
      <c r="V34" s="24" t="s">
        <v>188</v>
      </c>
      <c r="W34" s="29">
        <f t="shared" si="1"/>
        <v>30</v>
      </c>
      <c r="X34" s="13" t="s">
        <v>250</v>
      </c>
      <c r="Y34" s="123" t="s">
        <v>369</v>
      </c>
    </row>
    <row r="35" spans="1:25" ht="131.25" customHeight="1" x14ac:dyDescent="0.25">
      <c r="A35" s="32">
        <v>31</v>
      </c>
      <c r="B35" s="16" t="s">
        <v>70</v>
      </c>
      <c r="C35" s="42" t="s">
        <v>300</v>
      </c>
      <c r="D35" s="5" t="s">
        <v>205</v>
      </c>
      <c r="E35" s="2" t="s">
        <v>94</v>
      </c>
      <c r="F35" s="2" t="s">
        <v>60</v>
      </c>
      <c r="G35" s="5" t="s">
        <v>150</v>
      </c>
      <c r="H35" s="90">
        <f>5/5</f>
        <v>1</v>
      </c>
      <c r="I35" s="91"/>
      <c r="J35" s="92"/>
      <c r="K35" s="90">
        <f>9/10</f>
        <v>0.9</v>
      </c>
      <c r="L35" s="91"/>
      <c r="M35" s="92"/>
      <c r="N35" s="22"/>
      <c r="O35" s="22"/>
      <c r="P35" s="22"/>
      <c r="Q35" s="22"/>
      <c r="R35" s="22"/>
      <c r="S35" s="22"/>
      <c r="T35" s="62">
        <f>14/15</f>
        <v>0.93333333333333335</v>
      </c>
      <c r="U35" s="76">
        <f t="shared" si="3"/>
        <v>0.93333333333333335</v>
      </c>
      <c r="V35" s="24" t="s">
        <v>61</v>
      </c>
      <c r="W35" s="29">
        <f t="shared" si="1"/>
        <v>31</v>
      </c>
      <c r="X35" s="13" t="s">
        <v>251</v>
      </c>
      <c r="Y35" s="123" t="s">
        <v>370</v>
      </c>
    </row>
    <row r="36" spans="1:25" ht="131.25" customHeight="1" x14ac:dyDescent="0.25">
      <c r="A36" s="32">
        <v>32</v>
      </c>
      <c r="B36" s="16" t="s">
        <v>70</v>
      </c>
      <c r="C36" s="42" t="s">
        <v>301</v>
      </c>
      <c r="D36" s="1" t="s">
        <v>205</v>
      </c>
      <c r="E36" s="1" t="s">
        <v>95</v>
      </c>
      <c r="F36" s="1" t="s">
        <v>116</v>
      </c>
      <c r="G36" s="1" t="s">
        <v>151</v>
      </c>
      <c r="H36" s="120" t="e">
        <f>1/0</f>
        <v>#DIV/0!</v>
      </c>
      <c r="I36" s="121"/>
      <c r="J36" s="122"/>
      <c r="K36" s="90">
        <f>1/1</f>
        <v>1</v>
      </c>
      <c r="L36" s="91"/>
      <c r="M36" s="92"/>
      <c r="N36" s="25"/>
      <c r="O36" s="25"/>
      <c r="P36" s="25"/>
      <c r="Q36" s="25"/>
      <c r="R36" s="25"/>
      <c r="S36" s="25"/>
      <c r="T36" s="54">
        <f>2/1</f>
        <v>2</v>
      </c>
      <c r="U36" s="78">
        <f t="shared" si="3"/>
        <v>2</v>
      </c>
      <c r="V36" s="1" t="s">
        <v>189</v>
      </c>
      <c r="W36" s="29">
        <f t="shared" si="1"/>
        <v>32</v>
      </c>
      <c r="X36" s="25" t="s">
        <v>252</v>
      </c>
      <c r="Y36" s="123" t="s">
        <v>371</v>
      </c>
    </row>
    <row r="37" spans="1:25" ht="131.25" customHeight="1" x14ac:dyDescent="0.25">
      <c r="A37" s="32">
        <v>33</v>
      </c>
      <c r="B37" s="16" t="s">
        <v>70</v>
      </c>
      <c r="C37" s="42" t="s">
        <v>302</v>
      </c>
      <c r="D37" s="1" t="s">
        <v>205</v>
      </c>
      <c r="E37" s="2" t="s">
        <v>96</v>
      </c>
      <c r="F37" s="2" t="s">
        <v>329</v>
      </c>
      <c r="G37" s="5" t="s">
        <v>152</v>
      </c>
      <c r="H37" s="93">
        <f>27/100</f>
        <v>0.27</v>
      </c>
      <c r="I37" s="94"/>
      <c r="J37" s="95"/>
      <c r="K37" s="93">
        <f>60/100</f>
        <v>0.6</v>
      </c>
      <c r="L37" s="94"/>
      <c r="M37" s="95"/>
      <c r="N37" s="22"/>
      <c r="O37" s="22"/>
      <c r="P37" s="22"/>
      <c r="Q37" s="22"/>
      <c r="R37" s="22"/>
      <c r="S37" s="22"/>
      <c r="T37" s="53">
        <f>+K37</f>
        <v>0.6</v>
      </c>
      <c r="U37" s="77">
        <f t="shared" si="3"/>
        <v>0.6</v>
      </c>
      <c r="V37" s="5" t="s">
        <v>190</v>
      </c>
      <c r="W37" s="29">
        <f t="shared" si="1"/>
        <v>33</v>
      </c>
      <c r="X37" s="38" t="s">
        <v>253</v>
      </c>
      <c r="Y37" s="123" t="s">
        <v>372</v>
      </c>
    </row>
    <row r="38" spans="1:25" ht="131.25" customHeight="1" x14ac:dyDescent="0.25">
      <c r="A38" s="32">
        <v>34</v>
      </c>
      <c r="B38" s="16" t="s">
        <v>71</v>
      </c>
      <c r="C38" s="42" t="s">
        <v>303</v>
      </c>
      <c r="D38" s="1" t="s">
        <v>205</v>
      </c>
      <c r="E38" s="2" t="s">
        <v>97</v>
      </c>
      <c r="F38" s="2" t="s">
        <v>330</v>
      </c>
      <c r="G38" s="5" t="s">
        <v>153</v>
      </c>
      <c r="H38" s="90">
        <f>10/100</f>
        <v>0.1</v>
      </c>
      <c r="I38" s="91"/>
      <c r="J38" s="92"/>
      <c r="K38" s="93">
        <f>30/100</f>
        <v>0.3</v>
      </c>
      <c r="L38" s="94"/>
      <c r="M38" s="95"/>
      <c r="N38" s="26"/>
      <c r="O38" s="26"/>
      <c r="P38" s="26"/>
      <c r="Q38" s="26"/>
      <c r="R38" s="26"/>
      <c r="S38" s="26"/>
      <c r="T38" s="53">
        <f>40/100</f>
        <v>0.4</v>
      </c>
      <c r="U38" s="79">
        <f t="shared" si="3"/>
        <v>0.4</v>
      </c>
      <c r="V38" s="5" t="s">
        <v>191</v>
      </c>
      <c r="W38" s="29">
        <f t="shared" si="1"/>
        <v>34</v>
      </c>
      <c r="X38" s="13" t="s">
        <v>254</v>
      </c>
      <c r="Y38" s="123" t="s">
        <v>373</v>
      </c>
    </row>
    <row r="39" spans="1:25" ht="152.25" customHeight="1" x14ac:dyDescent="0.25">
      <c r="A39" s="32">
        <v>35</v>
      </c>
      <c r="B39" s="16" t="s">
        <v>71</v>
      </c>
      <c r="C39" s="42" t="s">
        <v>304</v>
      </c>
      <c r="D39" s="1" t="s">
        <v>205</v>
      </c>
      <c r="E39" s="2" t="s">
        <v>98</v>
      </c>
      <c r="F39" s="2" t="s">
        <v>331</v>
      </c>
      <c r="G39" s="5" t="s">
        <v>154</v>
      </c>
      <c r="H39" s="90">
        <f>10/100</f>
        <v>0.1</v>
      </c>
      <c r="I39" s="91"/>
      <c r="J39" s="92"/>
      <c r="K39" s="93">
        <f>21/100</f>
        <v>0.21</v>
      </c>
      <c r="L39" s="94"/>
      <c r="M39" s="95"/>
      <c r="N39" s="14"/>
      <c r="O39" s="14"/>
      <c r="P39" s="14"/>
      <c r="Q39" s="11"/>
      <c r="R39" s="11"/>
      <c r="S39" s="11"/>
      <c r="T39" s="53">
        <f>31/100</f>
        <v>0.31</v>
      </c>
      <c r="U39" s="79">
        <f t="shared" si="3"/>
        <v>0.31</v>
      </c>
      <c r="V39" s="5" t="s">
        <v>192</v>
      </c>
      <c r="W39" s="29">
        <f t="shared" si="1"/>
        <v>35</v>
      </c>
      <c r="X39" s="27" t="s">
        <v>255</v>
      </c>
      <c r="Y39" s="123" t="s">
        <v>373</v>
      </c>
    </row>
    <row r="40" spans="1:25" ht="131.25" customHeight="1" x14ac:dyDescent="0.25">
      <c r="A40" s="32">
        <v>36</v>
      </c>
      <c r="B40" s="16" t="s">
        <v>72</v>
      </c>
      <c r="C40" s="42" t="s">
        <v>305</v>
      </c>
      <c r="D40" s="1" t="s">
        <v>205</v>
      </c>
      <c r="E40" s="2" t="s">
        <v>99</v>
      </c>
      <c r="F40" s="2" t="s">
        <v>117</v>
      </c>
      <c r="G40" s="5" t="s">
        <v>155</v>
      </c>
      <c r="H40" s="22">
        <f>5/8</f>
        <v>0.625</v>
      </c>
      <c r="I40" s="22">
        <f>1/1</f>
        <v>1</v>
      </c>
      <c r="J40" s="22">
        <f>3/3</f>
        <v>1</v>
      </c>
      <c r="K40" s="22">
        <f>4/4</f>
        <v>1</v>
      </c>
      <c r="L40" s="22">
        <f>5/5</f>
        <v>1</v>
      </c>
      <c r="M40" s="22">
        <f>7/7</f>
        <v>1</v>
      </c>
      <c r="N40" s="22"/>
      <c r="O40" s="22"/>
      <c r="P40" s="22"/>
      <c r="Q40" s="22"/>
      <c r="R40" s="22"/>
      <c r="S40" s="22"/>
      <c r="T40" s="62">
        <f>25/28</f>
        <v>0.8928571428571429</v>
      </c>
      <c r="U40" s="77">
        <f t="shared" si="3"/>
        <v>0.8928571428571429</v>
      </c>
      <c r="V40" s="5" t="s">
        <v>193</v>
      </c>
      <c r="W40" s="29">
        <f t="shared" si="1"/>
        <v>36</v>
      </c>
      <c r="X40" s="27" t="s">
        <v>386</v>
      </c>
      <c r="Y40" s="123" t="s">
        <v>374</v>
      </c>
    </row>
    <row r="41" spans="1:25" ht="131.25" customHeight="1" x14ac:dyDescent="0.25">
      <c r="A41" s="32">
        <v>37</v>
      </c>
      <c r="B41" s="16" t="s">
        <v>42</v>
      </c>
      <c r="C41" s="42" t="s">
        <v>306</v>
      </c>
      <c r="D41" s="1" t="s">
        <v>206</v>
      </c>
      <c r="E41" s="2" t="s">
        <v>43</v>
      </c>
      <c r="F41" s="2" t="s">
        <v>118</v>
      </c>
      <c r="G41" s="82">
        <v>0.8</v>
      </c>
      <c r="H41" s="22">
        <f>16335184/370000000</f>
        <v>4.4149145945945947E-2</v>
      </c>
      <c r="I41" s="22">
        <f>33217870/370000000</f>
        <v>8.977802702702703E-2</v>
      </c>
      <c r="J41" s="22">
        <f>39040743/370000000</f>
        <v>0.10551552162162162</v>
      </c>
      <c r="K41" s="22">
        <f>41936497/370000000</f>
        <v>0.11334188378378378</v>
      </c>
      <c r="L41" s="22">
        <f>43593582/370000000</f>
        <v>0.11782049189189189</v>
      </c>
      <c r="M41" s="22">
        <f>115087787/370000000</f>
        <v>0.31104807297297299</v>
      </c>
      <c r="N41" s="22"/>
      <c r="O41" s="22"/>
      <c r="P41" s="22"/>
      <c r="Q41" s="22"/>
      <c r="R41" s="22"/>
      <c r="S41" s="22"/>
      <c r="T41" s="53">
        <f>+M41</f>
        <v>0.31104807297297299</v>
      </c>
      <c r="U41" s="79">
        <f t="shared" si="3"/>
        <v>0.31104807297297299</v>
      </c>
      <c r="V41" s="5" t="s">
        <v>194</v>
      </c>
      <c r="W41" s="29">
        <f t="shared" si="1"/>
        <v>37</v>
      </c>
      <c r="X41" s="27" t="s">
        <v>256</v>
      </c>
      <c r="Y41" s="124" t="s">
        <v>375</v>
      </c>
    </row>
    <row r="42" spans="1:25" s="9" customFormat="1" ht="137.25" customHeight="1" x14ac:dyDescent="0.25">
      <c r="A42" s="32">
        <v>38</v>
      </c>
      <c r="B42" s="16" t="s">
        <v>42</v>
      </c>
      <c r="C42" s="42" t="s">
        <v>307</v>
      </c>
      <c r="D42" s="5" t="s">
        <v>206</v>
      </c>
      <c r="E42" s="5" t="s">
        <v>44</v>
      </c>
      <c r="F42" s="5" t="s">
        <v>119</v>
      </c>
      <c r="G42" s="1" t="s">
        <v>156</v>
      </c>
      <c r="H42" s="34">
        <f>10736823578/50261000000</f>
        <v>0.21362136801894113</v>
      </c>
      <c r="I42" s="34">
        <f>19978262761/50261000000</f>
        <v>0.39749035556395612</v>
      </c>
      <c r="J42" s="34">
        <f>20998673851/50261000000</f>
        <v>0.4177925996498279</v>
      </c>
      <c r="K42" s="34">
        <f>28144073570/50261000000</f>
        <v>0.55995848809215898</v>
      </c>
      <c r="L42" s="34">
        <f>33519327073/53440688382</f>
        <v>0.62722483725134881</v>
      </c>
      <c r="M42" s="34">
        <f>35803760603/53440688382</f>
        <v>0.66997192002974826</v>
      </c>
      <c r="N42" s="21"/>
      <c r="O42" s="21"/>
      <c r="P42" s="21"/>
      <c r="Q42" s="21"/>
      <c r="R42" s="21"/>
      <c r="S42" s="21"/>
      <c r="T42" s="55">
        <f>+M42</f>
        <v>0.66997192002974826</v>
      </c>
      <c r="U42" s="84">
        <f t="shared" si="3"/>
        <v>0.66997192002974826</v>
      </c>
      <c r="V42" s="5" t="s">
        <v>195</v>
      </c>
      <c r="W42" s="29">
        <f t="shared" si="1"/>
        <v>38</v>
      </c>
      <c r="X42" s="27" t="s">
        <v>387</v>
      </c>
      <c r="Y42" s="124" t="s">
        <v>376</v>
      </c>
    </row>
    <row r="43" spans="1:25" ht="131.25" customHeight="1" x14ac:dyDescent="0.25">
      <c r="A43" s="32">
        <v>39</v>
      </c>
      <c r="B43" s="16" t="s">
        <v>42</v>
      </c>
      <c r="C43" s="42" t="s">
        <v>308</v>
      </c>
      <c r="D43" s="1" t="s">
        <v>206</v>
      </c>
      <c r="E43" s="2" t="s">
        <v>45</v>
      </c>
      <c r="F43" s="2" t="s">
        <v>120</v>
      </c>
      <c r="G43" s="1" t="s">
        <v>157</v>
      </c>
      <c r="H43" s="34">
        <f>19253568347/50261000000</f>
        <v>0.38307173249636894</v>
      </c>
      <c r="I43" s="34">
        <f>21873452749/50261000000</f>
        <v>0.43519732494379337</v>
      </c>
      <c r="J43" s="34">
        <f>24432449139/50261000000</f>
        <v>0.4861114808499632</v>
      </c>
      <c r="K43" s="34">
        <f>26060394836/50261000000</f>
        <v>0.51850131983048486</v>
      </c>
      <c r="L43" s="34">
        <f>29544749072/53440688382</f>
        <v>0.55285120694574219</v>
      </c>
      <c r="M43" s="34">
        <f>34019250703/53440688382</f>
        <v>0.63657957509504004</v>
      </c>
      <c r="N43" s="26"/>
      <c r="O43" s="26"/>
      <c r="P43" s="26"/>
      <c r="Q43" s="22"/>
      <c r="R43" s="22"/>
      <c r="S43" s="22"/>
      <c r="T43" s="55">
        <f>+M43</f>
        <v>0.63657957509504004</v>
      </c>
      <c r="U43" s="84">
        <f t="shared" si="3"/>
        <v>0.63657957509504004</v>
      </c>
      <c r="V43" s="24" t="s">
        <v>196</v>
      </c>
      <c r="W43" s="29">
        <f t="shared" si="1"/>
        <v>39</v>
      </c>
      <c r="X43" s="27" t="s">
        <v>257</v>
      </c>
      <c r="Y43" s="124" t="s">
        <v>376</v>
      </c>
    </row>
    <row r="44" spans="1:25" ht="131.25" customHeight="1" x14ac:dyDescent="0.25">
      <c r="A44" s="32">
        <v>40</v>
      </c>
      <c r="B44" s="16" t="s">
        <v>42</v>
      </c>
      <c r="C44" s="42" t="s">
        <v>309</v>
      </c>
      <c r="D44" s="1" t="s">
        <v>206</v>
      </c>
      <c r="E44" s="2" t="s">
        <v>46</v>
      </c>
      <c r="F44" s="2" t="s">
        <v>47</v>
      </c>
      <c r="G44" s="82">
        <v>0.7</v>
      </c>
      <c r="H44" s="93">
        <f>6178278681/7557182482</f>
        <v>0.81753731575433986</v>
      </c>
      <c r="I44" s="94"/>
      <c r="J44" s="95"/>
      <c r="K44" s="93">
        <f>10664741520/11382665244</f>
        <v>0.93692832841777285</v>
      </c>
      <c r="L44" s="94"/>
      <c r="M44" s="95"/>
      <c r="N44" s="26"/>
      <c r="O44" s="26"/>
      <c r="P44" s="26"/>
      <c r="Q44" s="22"/>
      <c r="R44" s="22"/>
      <c r="S44" s="22"/>
      <c r="T44" s="62">
        <f>+K44</f>
        <v>0.93692832841777285</v>
      </c>
      <c r="U44" s="76">
        <f t="shared" si="3"/>
        <v>0.93692832841777285</v>
      </c>
      <c r="V44" s="24" t="s">
        <v>197</v>
      </c>
      <c r="W44" s="29">
        <f t="shared" si="1"/>
        <v>40</v>
      </c>
      <c r="X44" s="27" t="s">
        <v>258</v>
      </c>
      <c r="Y44" s="124" t="s">
        <v>376</v>
      </c>
    </row>
    <row r="45" spans="1:25" ht="131.25" customHeight="1" x14ac:dyDescent="0.25">
      <c r="A45" s="32">
        <v>41</v>
      </c>
      <c r="B45" s="16" t="s">
        <v>42</v>
      </c>
      <c r="C45" s="42" t="s">
        <v>310</v>
      </c>
      <c r="D45" s="1" t="s">
        <v>206</v>
      </c>
      <c r="E45" s="2" t="s">
        <v>48</v>
      </c>
      <c r="F45" s="2" t="s">
        <v>121</v>
      </c>
      <c r="G45" s="82" t="s">
        <v>334</v>
      </c>
      <c r="H45" s="26">
        <f>7039857473/29947020782</f>
        <v>0.23507705571939186</v>
      </c>
      <c r="I45" s="26">
        <f>8405364833/37661323700</f>
        <v>0.22318293695555899</v>
      </c>
      <c r="J45" s="26">
        <f>7617680792/35044732938</f>
        <v>0.2173702052595736</v>
      </c>
      <c r="K45" s="26">
        <f>8524980664/34673096466</f>
        <v>0.24586730153620656</v>
      </c>
      <c r="L45" s="26">
        <f>8708243386/33969399149</f>
        <v>0.25635553186569554</v>
      </c>
      <c r="M45" s="26">
        <f>11068931454/33543634782</f>
        <v>0.32998604730635062</v>
      </c>
      <c r="N45" s="26"/>
      <c r="O45" s="26"/>
      <c r="P45" s="26"/>
      <c r="Q45" s="22"/>
      <c r="R45" s="22"/>
      <c r="S45" s="22"/>
      <c r="T45" s="62">
        <f>+M45</f>
        <v>0.32998604730635062</v>
      </c>
      <c r="U45" s="77">
        <f t="shared" si="3"/>
        <v>0.32998604730635062</v>
      </c>
      <c r="V45" s="24" t="s">
        <v>49</v>
      </c>
      <c r="W45" s="29">
        <f t="shared" si="1"/>
        <v>41</v>
      </c>
      <c r="X45" s="27" t="s">
        <v>259</v>
      </c>
      <c r="Y45" s="124" t="s">
        <v>376</v>
      </c>
    </row>
    <row r="46" spans="1:25" ht="131.25" customHeight="1" x14ac:dyDescent="0.25">
      <c r="A46" s="32">
        <v>42</v>
      </c>
      <c r="B46" s="16" t="s">
        <v>42</v>
      </c>
      <c r="C46" s="42" t="s">
        <v>311</v>
      </c>
      <c r="D46" s="1" t="s">
        <v>206</v>
      </c>
      <c r="E46" s="2" t="s">
        <v>50</v>
      </c>
      <c r="F46" s="2" t="s">
        <v>51</v>
      </c>
      <c r="G46" s="82" t="s">
        <v>335</v>
      </c>
      <c r="H46" s="65">
        <f>19002789489-7039857473</f>
        <v>11962932016</v>
      </c>
      <c r="I46" s="66">
        <f>26810413088-8405364833</f>
        <v>18405048255</v>
      </c>
      <c r="J46" s="66">
        <f>23997057389-7617680792</f>
        <v>16379376597</v>
      </c>
      <c r="K46" s="66">
        <f>23821326564-8524980664</f>
        <v>15296345900</v>
      </c>
      <c r="L46" s="66">
        <f>23270094904-8708243386</f>
        <v>14561851518</v>
      </c>
      <c r="M46" s="66">
        <f>23510351044-11068931454</f>
        <v>12441419590</v>
      </c>
      <c r="N46" s="56"/>
      <c r="O46" s="56"/>
      <c r="P46" s="56"/>
      <c r="Q46" s="57"/>
      <c r="R46" s="57"/>
      <c r="S46" s="57"/>
      <c r="T46" s="63">
        <f>+M46</f>
        <v>12441419590</v>
      </c>
      <c r="U46" s="80">
        <f t="shared" si="3"/>
        <v>12441419590</v>
      </c>
      <c r="V46" s="24" t="s">
        <v>49</v>
      </c>
      <c r="W46" s="29">
        <f t="shared" si="1"/>
        <v>42</v>
      </c>
      <c r="X46" s="27" t="s">
        <v>260</v>
      </c>
      <c r="Y46" s="124" t="s">
        <v>376</v>
      </c>
    </row>
    <row r="47" spans="1:25" ht="131.25" customHeight="1" x14ac:dyDescent="0.25">
      <c r="A47" s="32">
        <v>43</v>
      </c>
      <c r="B47" s="16" t="s">
        <v>42</v>
      </c>
      <c r="C47" s="42" t="s">
        <v>312</v>
      </c>
      <c r="D47" s="1" t="s">
        <v>206</v>
      </c>
      <c r="E47" s="2" t="s">
        <v>52</v>
      </c>
      <c r="F47" s="2" t="s">
        <v>53</v>
      </c>
      <c r="G47" s="83" t="s">
        <v>336</v>
      </c>
      <c r="H47" s="35">
        <f>19002789489/7039857473</f>
        <v>2.6993145190625651</v>
      </c>
      <c r="I47" s="35">
        <f>26810413088/8405364833</f>
        <v>3.189678689822077</v>
      </c>
      <c r="J47" s="35">
        <f>23997057389/7617680792</f>
        <v>3.1501789119598489</v>
      </c>
      <c r="K47" s="35">
        <f>23821326564/8524980664</f>
        <v>2.7942968439324076</v>
      </c>
      <c r="L47" s="35">
        <f>23270094904/8708243386</f>
        <v>2.6721916088623203</v>
      </c>
      <c r="M47" s="35">
        <f>23510351044/11068931454</f>
        <v>2.1239946368539506</v>
      </c>
      <c r="N47" s="26"/>
      <c r="O47" s="26"/>
      <c r="P47" s="26"/>
      <c r="Q47" s="23"/>
      <c r="R47" s="26"/>
      <c r="S47" s="26"/>
      <c r="T47" s="58">
        <f>+M47</f>
        <v>2.1239946368539506</v>
      </c>
      <c r="U47" s="81">
        <f t="shared" si="3"/>
        <v>2.1239946368539506</v>
      </c>
      <c r="V47" s="86" t="s">
        <v>49</v>
      </c>
      <c r="W47" s="29">
        <f t="shared" si="1"/>
        <v>43</v>
      </c>
      <c r="X47" s="27" t="s">
        <v>261</v>
      </c>
      <c r="Y47" s="124" t="s">
        <v>376</v>
      </c>
    </row>
    <row r="48" spans="1:25" ht="131.25" customHeight="1" x14ac:dyDescent="0.25">
      <c r="A48" s="32">
        <v>44</v>
      </c>
      <c r="B48" s="16" t="s">
        <v>54</v>
      </c>
      <c r="C48" s="42" t="s">
        <v>313</v>
      </c>
      <c r="D48" s="1" t="s">
        <v>205</v>
      </c>
      <c r="E48" s="2" t="s">
        <v>100</v>
      </c>
      <c r="F48" s="2" t="s">
        <v>122</v>
      </c>
      <c r="G48" s="5" t="s">
        <v>158</v>
      </c>
      <c r="H48" s="93">
        <f>10/10</f>
        <v>1</v>
      </c>
      <c r="I48" s="94"/>
      <c r="J48" s="95"/>
      <c r="K48" s="93">
        <f>8/8</f>
        <v>1</v>
      </c>
      <c r="L48" s="94"/>
      <c r="M48" s="95"/>
      <c r="N48" s="26"/>
      <c r="O48" s="26"/>
      <c r="P48" s="26"/>
      <c r="Q48" s="22"/>
      <c r="R48" s="22"/>
      <c r="S48" s="22"/>
      <c r="T48" s="54">
        <f>18/18</f>
        <v>1</v>
      </c>
      <c r="U48" s="76">
        <f t="shared" si="3"/>
        <v>1</v>
      </c>
      <c r="V48" s="24" t="s">
        <v>198</v>
      </c>
      <c r="W48" s="29">
        <f t="shared" si="1"/>
        <v>44</v>
      </c>
      <c r="X48" s="13" t="s">
        <v>262</v>
      </c>
      <c r="Y48" s="123" t="s">
        <v>377</v>
      </c>
    </row>
    <row r="49" spans="1:25" ht="131.25" customHeight="1" x14ac:dyDescent="0.25">
      <c r="A49" s="32">
        <v>45</v>
      </c>
      <c r="B49" s="16" t="s">
        <v>54</v>
      </c>
      <c r="C49" s="42" t="s">
        <v>314</v>
      </c>
      <c r="D49" s="1" t="s">
        <v>205</v>
      </c>
      <c r="E49" s="2" t="s">
        <v>55</v>
      </c>
      <c r="F49" s="2" t="s">
        <v>123</v>
      </c>
      <c r="G49" s="5" t="s">
        <v>159</v>
      </c>
      <c r="H49" s="93">
        <f>410/412</f>
        <v>0.99514563106796117</v>
      </c>
      <c r="I49" s="94"/>
      <c r="J49" s="95"/>
      <c r="K49" s="93">
        <f>149/153</f>
        <v>0.97385620915032678</v>
      </c>
      <c r="L49" s="94"/>
      <c r="M49" s="95"/>
      <c r="N49" s="26"/>
      <c r="O49" s="26"/>
      <c r="P49" s="26"/>
      <c r="Q49" s="22"/>
      <c r="R49" s="22"/>
      <c r="S49" s="22"/>
      <c r="T49" s="54">
        <f>559/565</f>
        <v>0.98938053097345136</v>
      </c>
      <c r="U49" s="76">
        <f t="shared" si="3"/>
        <v>0.98938053097345136</v>
      </c>
      <c r="V49" s="24" t="s">
        <v>199</v>
      </c>
      <c r="W49" s="29">
        <f t="shared" si="1"/>
        <v>45</v>
      </c>
      <c r="X49" s="13" t="s">
        <v>322</v>
      </c>
      <c r="Y49" s="123" t="s">
        <v>378</v>
      </c>
    </row>
    <row r="50" spans="1:25" ht="131.25" customHeight="1" x14ac:dyDescent="0.25">
      <c r="A50" s="32">
        <v>46</v>
      </c>
      <c r="B50" s="16" t="s">
        <v>54</v>
      </c>
      <c r="C50" s="42" t="s">
        <v>315</v>
      </c>
      <c r="D50" s="1" t="s">
        <v>205</v>
      </c>
      <c r="E50" s="2" t="s">
        <v>56</v>
      </c>
      <c r="F50" s="2" t="s">
        <v>57</v>
      </c>
      <c r="G50" s="5" t="s">
        <v>160</v>
      </c>
      <c r="H50" s="93">
        <f>2/2</f>
        <v>1</v>
      </c>
      <c r="I50" s="94"/>
      <c r="J50" s="95"/>
      <c r="K50" s="93">
        <f>5/5</f>
        <v>1</v>
      </c>
      <c r="L50" s="94"/>
      <c r="M50" s="95"/>
      <c r="N50" s="26"/>
      <c r="O50" s="26"/>
      <c r="P50" s="26"/>
      <c r="Q50" s="22"/>
      <c r="R50" s="22"/>
      <c r="S50" s="22"/>
      <c r="T50" s="54">
        <f>7/7</f>
        <v>1</v>
      </c>
      <c r="U50" s="76">
        <f t="shared" si="3"/>
        <v>1</v>
      </c>
      <c r="V50" s="24" t="s">
        <v>200</v>
      </c>
      <c r="W50" s="29">
        <f t="shared" si="1"/>
        <v>46</v>
      </c>
      <c r="X50" s="13" t="s">
        <v>263</v>
      </c>
      <c r="Y50" s="123" t="s">
        <v>379</v>
      </c>
    </row>
    <row r="51" spans="1:25" ht="131.25" customHeight="1" x14ac:dyDescent="0.25">
      <c r="A51" s="32">
        <v>47</v>
      </c>
      <c r="B51" s="16" t="s">
        <v>54</v>
      </c>
      <c r="C51" s="42" t="s">
        <v>316</v>
      </c>
      <c r="D51" s="1" t="s">
        <v>205</v>
      </c>
      <c r="E51" s="2" t="s">
        <v>58</v>
      </c>
      <c r="F51" s="2" t="s">
        <v>124</v>
      </c>
      <c r="G51" s="5" t="s">
        <v>161</v>
      </c>
      <c r="H51" s="93">
        <f>1/1</f>
        <v>1</v>
      </c>
      <c r="I51" s="94"/>
      <c r="J51" s="95"/>
      <c r="K51" s="93">
        <f>4/4</f>
        <v>1</v>
      </c>
      <c r="L51" s="94"/>
      <c r="M51" s="95"/>
      <c r="N51" s="26"/>
      <c r="O51" s="26"/>
      <c r="P51" s="26"/>
      <c r="Q51" s="22"/>
      <c r="R51" s="22"/>
      <c r="S51" s="22"/>
      <c r="T51" s="54">
        <f>5/5</f>
        <v>1</v>
      </c>
      <c r="U51" s="76">
        <f t="shared" si="3"/>
        <v>1</v>
      </c>
      <c r="V51" s="24" t="s">
        <v>200</v>
      </c>
      <c r="W51" s="29">
        <f t="shared" si="1"/>
        <v>47</v>
      </c>
      <c r="X51" s="13" t="s">
        <v>264</v>
      </c>
      <c r="Y51" s="123" t="s">
        <v>380</v>
      </c>
    </row>
    <row r="52" spans="1:25" ht="131.25" customHeight="1" x14ac:dyDescent="0.25">
      <c r="A52" s="32">
        <v>48</v>
      </c>
      <c r="B52" s="16" t="s">
        <v>54</v>
      </c>
      <c r="C52" s="42" t="s">
        <v>317</v>
      </c>
      <c r="D52" s="1" t="s">
        <v>205</v>
      </c>
      <c r="E52" s="2" t="s">
        <v>101</v>
      </c>
      <c r="F52" s="2" t="s">
        <v>125</v>
      </c>
      <c r="G52" s="5" t="s">
        <v>162</v>
      </c>
      <c r="H52" s="93" t="s">
        <v>215</v>
      </c>
      <c r="I52" s="94"/>
      <c r="J52" s="95"/>
      <c r="K52" s="93">
        <f>6/6</f>
        <v>1</v>
      </c>
      <c r="L52" s="94"/>
      <c r="M52" s="95"/>
      <c r="N52" s="26"/>
      <c r="O52" s="26"/>
      <c r="P52" s="26"/>
      <c r="Q52" s="22"/>
      <c r="R52" s="22"/>
      <c r="S52" s="22"/>
      <c r="T52" s="54">
        <f>6/6</f>
        <v>1</v>
      </c>
      <c r="U52" s="76">
        <f t="shared" si="3"/>
        <v>1</v>
      </c>
      <c r="V52" s="24" t="s">
        <v>200</v>
      </c>
      <c r="W52" s="29">
        <f t="shared" si="1"/>
        <v>48</v>
      </c>
      <c r="X52" s="13" t="s">
        <v>265</v>
      </c>
      <c r="Y52" s="123" t="s">
        <v>381</v>
      </c>
    </row>
    <row r="53" spans="1:25" ht="140.25" customHeight="1" x14ac:dyDescent="0.25">
      <c r="A53" s="32">
        <v>49</v>
      </c>
      <c r="B53" s="16" t="s">
        <v>73</v>
      </c>
      <c r="C53" s="41" t="s">
        <v>318</v>
      </c>
      <c r="D53" s="1" t="s">
        <v>207</v>
      </c>
      <c r="E53" s="2" t="s">
        <v>102</v>
      </c>
      <c r="F53" s="2" t="s">
        <v>126</v>
      </c>
      <c r="G53" s="5" t="s">
        <v>163</v>
      </c>
      <c r="H53" s="39">
        <f>17/26</f>
        <v>0.65384615384615385</v>
      </c>
      <c r="I53" s="39">
        <f>42/49</f>
        <v>0.8571428571428571</v>
      </c>
      <c r="J53" s="39">
        <f>57/46</f>
        <v>1.2391304347826086</v>
      </c>
      <c r="K53" s="39">
        <f>31/39</f>
        <v>0.79487179487179482</v>
      </c>
      <c r="L53" s="39">
        <f>34/27</f>
        <v>1.2592592592592593</v>
      </c>
      <c r="M53" s="39">
        <f>26/38</f>
        <v>0.68421052631578949</v>
      </c>
      <c r="N53" s="26"/>
      <c r="O53" s="26"/>
      <c r="P53" s="26"/>
      <c r="Q53" s="22"/>
      <c r="R53" s="22"/>
      <c r="S53" s="22"/>
      <c r="T53" s="64">
        <f>207/225</f>
        <v>0.92</v>
      </c>
      <c r="U53" s="85">
        <f t="shared" si="3"/>
        <v>0.92</v>
      </c>
      <c r="V53" s="24" t="s">
        <v>201</v>
      </c>
      <c r="W53" s="29">
        <f t="shared" si="1"/>
        <v>49</v>
      </c>
      <c r="X53" s="13" t="s">
        <v>266</v>
      </c>
      <c r="Y53" s="123" t="s">
        <v>382</v>
      </c>
    </row>
    <row r="54" spans="1:25" ht="131.25" customHeight="1" x14ac:dyDescent="0.25">
      <c r="A54" s="32">
        <v>50</v>
      </c>
      <c r="B54" s="16" t="s">
        <v>63</v>
      </c>
      <c r="C54" s="42" t="s">
        <v>319</v>
      </c>
      <c r="D54" s="1" t="s">
        <v>205</v>
      </c>
      <c r="E54" s="2" t="s">
        <v>103</v>
      </c>
      <c r="F54" s="2" t="s">
        <v>127</v>
      </c>
      <c r="G54" s="5" t="s">
        <v>164</v>
      </c>
      <c r="H54" s="93">
        <f>45/96</f>
        <v>0.46875</v>
      </c>
      <c r="I54" s="94"/>
      <c r="J54" s="94"/>
      <c r="K54" s="95"/>
      <c r="L54" s="93" t="s">
        <v>215</v>
      </c>
      <c r="M54" s="95"/>
      <c r="N54" s="26"/>
      <c r="O54" s="26"/>
      <c r="P54" s="26"/>
      <c r="Q54" s="22"/>
      <c r="R54" s="22"/>
      <c r="S54" s="22"/>
      <c r="T54" s="53">
        <f>+H54</f>
        <v>0.46875</v>
      </c>
      <c r="U54" s="79">
        <f t="shared" si="3"/>
        <v>0.46875</v>
      </c>
      <c r="V54" s="24" t="s">
        <v>202</v>
      </c>
      <c r="W54" s="29">
        <f t="shared" si="1"/>
        <v>50</v>
      </c>
      <c r="X54" s="13" t="s">
        <v>267</v>
      </c>
      <c r="Y54" s="123" t="s">
        <v>383</v>
      </c>
    </row>
    <row r="55" spans="1:25" ht="131.25" customHeight="1" x14ac:dyDescent="0.25">
      <c r="A55" s="32">
        <v>51</v>
      </c>
      <c r="B55" s="16" t="s">
        <v>63</v>
      </c>
      <c r="C55" s="42" t="s">
        <v>320</v>
      </c>
      <c r="D55" s="1" t="s">
        <v>205</v>
      </c>
      <c r="E55" s="2" t="s">
        <v>104</v>
      </c>
      <c r="F55" s="2" t="s">
        <v>128</v>
      </c>
      <c r="G55" s="5" t="s">
        <v>165</v>
      </c>
      <c r="H55" s="93">
        <f>19/19</f>
        <v>1</v>
      </c>
      <c r="I55" s="94"/>
      <c r="J55" s="95"/>
      <c r="K55" s="93">
        <f>16/20</f>
        <v>0.8</v>
      </c>
      <c r="L55" s="94"/>
      <c r="M55" s="95"/>
      <c r="N55" s="26"/>
      <c r="O55" s="26"/>
      <c r="P55" s="26"/>
      <c r="Q55" s="22"/>
      <c r="R55" s="22"/>
      <c r="S55" s="22"/>
      <c r="T55" s="62">
        <f>35/39</f>
        <v>0.89743589743589747</v>
      </c>
      <c r="U55" s="77">
        <f t="shared" si="3"/>
        <v>0.89743589743589747</v>
      </c>
      <c r="V55" s="24" t="s">
        <v>203</v>
      </c>
      <c r="W55" s="29">
        <f t="shared" si="1"/>
        <v>51</v>
      </c>
      <c r="X55" s="13" t="s">
        <v>268</v>
      </c>
      <c r="Y55" s="123" t="s">
        <v>384</v>
      </c>
    </row>
    <row r="56" spans="1:25" ht="131.25" customHeight="1" thickBot="1" x14ac:dyDescent="0.3">
      <c r="A56" s="32">
        <v>52</v>
      </c>
      <c r="B56" s="16" t="s">
        <v>63</v>
      </c>
      <c r="C56" s="43" t="s">
        <v>321</v>
      </c>
      <c r="D56" s="1" t="s">
        <v>205</v>
      </c>
      <c r="E56" s="2" t="s">
        <v>105</v>
      </c>
      <c r="F56" s="2" t="s">
        <v>129</v>
      </c>
      <c r="G56" s="5" t="s">
        <v>166</v>
      </c>
      <c r="H56" s="93">
        <f>40/63</f>
        <v>0.63492063492063489</v>
      </c>
      <c r="I56" s="94"/>
      <c r="J56" s="94"/>
      <c r="K56" s="95"/>
      <c r="L56" s="93" t="s">
        <v>215</v>
      </c>
      <c r="M56" s="95"/>
      <c r="N56" s="26"/>
      <c r="O56" s="26"/>
      <c r="P56" s="26"/>
      <c r="Q56" s="22"/>
      <c r="R56" s="22"/>
      <c r="S56" s="22"/>
      <c r="T56" s="53">
        <f>+H56</f>
        <v>0.63492063492063489</v>
      </c>
      <c r="U56" s="79">
        <f t="shared" si="3"/>
        <v>0.63492063492063489</v>
      </c>
      <c r="V56" s="24" t="s">
        <v>204</v>
      </c>
      <c r="W56" s="29">
        <f t="shared" si="1"/>
        <v>52</v>
      </c>
      <c r="X56" s="13" t="s">
        <v>269</v>
      </c>
      <c r="Y56" s="123" t="s">
        <v>385</v>
      </c>
    </row>
  </sheetData>
  <mergeCells count="83">
    <mergeCell ref="K55:M55"/>
    <mergeCell ref="L56:M56"/>
    <mergeCell ref="K31:M31"/>
    <mergeCell ref="K34:M34"/>
    <mergeCell ref="K35:M35"/>
    <mergeCell ref="K36:M36"/>
    <mergeCell ref="K37:M37"/>
    <mergeCell ref="H54:K54"/>
    <mergeCell ref="H55:J55"/>
    <mergeCell ref="H56:K56"/>
    <mergeCell ref="H38:J38"/>
    <mergeCell ref="H39:J39"/>
    <mergeCell ref="H44:J44"/>
    <mergeCell ref="H51:J51"/>
    <mergeCell ref="H52:J52"/>
    <mergeCell ref="H37:J37"/>
    <mergeCell ref="H19:J19"/>
    <mergeCell ref="K19:M19"/>
    <mergeCell ref="H20:M20"/>
    <mergeCell ref="H13:J13"/>
    <mergeCell ref="L54:M54"/>
    <mergeCell ref="K39:M39"/>
    <mergeCell ref="K44:M44"/>
    <mergeCell ref="K48:M48"/>
    <mergeCell ref="K49:M49"/>
    <mergeCell ref="K13:M13"/>
    <mergeCell ref="K50:M50"/>
    <mergeCell ref="K51:M51"/>
    <mergeCell ref="K52:M52"/>
    <mergeCell ref="H50:J50"/>
    <mergeCell ref="H24:J24"/>
    <mergeCell ref="H36:J36"/>
    <mergeCell ref="K38:M38"/>
    <mergeCell ref="H8:J8"/>
    <mergeCell ref="K8:M8"/>
    <mergeCell ref="H9:J9"/>
    <mergeCell ref="K9:M9"/>
    <mergeCell ref="H12:J12"/>
    <mergeCell ref="K12:M12"/>
    <mergeCell ref="K21:M21"/>
    <mergeCell ref="K22:M22"/>
    <mergeCell ref="H26:J26"/>
    <mergeCell ref="K24:M24"/>
    <mergeCell ref="K23:M23"/>
    <mergeCell ref="K25:M25"/>
    <mergeCell ref="H27:J27"/>
    <mergeCell ref="H28:J28"/>
    <mergeCell ref="H25:J25"/>
    <mergeCell ref="H5:J5"/>
    <mergeCell ref="K5:M5"/>
    <mergeCell ref="H6:J6"/>
    <mergeCell ref="K6:M6"/>
    <mergeCell ref="H7:J7"/>
    <mergeCell ref="K7:M7"/>
    <mergeCell ref="B3:B4"/>
    <mergeCell ref="C3:C4"/>
    <mergeCell ref="D3:D4"/>
    <mergeCell ref="E3:E4"/>
    <mergeCell ref="F3:F4"/>
    <mergeCell ref="G3:G4"/>
    <mergeCell ref="V3:V4"/>
    <mergeCell ref="A1:V1"/>
    <mergeCell ref="A3:A4"/>
    <mergeCell ref="W3:W4"/>
    <mergeCell ref="X3:X4"/>
    <mergeCell ref="H3:U3"/>
    <mergeCell ref="W1:Y1"/>
    <mergeCell ref="Y3:Y4"/>
    <mergeCell ref="H48:J48"/>
    <mergeCell ref="H49:J49"/>
    <mergeCell ref="H21:J21"/>
    <mergeCell ref="H22:J22"/>
    <mergeCell ref="H23:J23"/>
    <mergeCell ref="H31:J31"/>
    <mergeCell ref="H34:J34"/>
    <mergeCell ref="H35:J35"/>
    <mergeCell ref="H29:J29"/>
    <mergeCell ref="H30:J30"/>
    <mergeCell ref="K26:M26"/>
    <mergeCell ref="K27:M27"/>
    <mergeCell ref="K28:M28"/>
    <mergeCell ref="K29:M29"/>
    <mergeCell ref="K30:M30"/>
  </mergeCells>
  <printOptions horizontalCentered="1"/>
  <pageMargins left="0.15748031496062992" right="0.15748031496062992" top="0.39370078740157483" bottom="0.39370078740157483" header="0.31496062992125984" footer="0.31496062992125984"/>
  <pageSetup paperSize="281" scale="60" pageOrder="overThenDown" orientation="landscape" horizontalDpi="4294967294" r:id="rId1"/>
  <colBreaks count="1" manualBreakCount="1">
    <brk id="2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 Plan de acción 2019</vt:lpstr>
      <vt:lpstr>'Reporte - Plan de acción 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2019-08-20T16:24:49Z</cp:lastPrinted>
  <dcterms:created xsi:type="dcterms:W3CDTF">2019-05-15T20:53:14Z</dcterms:created>
  <dcterms:modified xsi:type="dcterms:W3CDTF">2019-08-20T16:26:16Z</dcterms:modified>
</cp:coreProperties>
</file>