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hidePivotFieldList="1"/>
  <mc:AlternateContent xmlns:mc="http://schemas.openxmlformats.org/markup-compatibility/2006">
    <mc:Choice Requires="x15">
      <x15ac:absPath xmlns:x15ac="http://schemas.microsoft.com/office/spreadsheetml/2010/11/ac" url="C:\Users\jofga\Desktop\"/>
    </mc:Choice>
  </mc:AlternateContent>
  <xr:revisionPtr revIDLastSave="0" documentId="13_ncr:1_{910EB782-DA43-454D-B9F4-B044356DC81B}" xr6:coauthVersionLast="47" xr6:coauthVersionMax="47" xr10:uidLastSave="{00000000-0000-0000-0000-000000000000}"/>
  <bookViews>
    <workbookView xWindow="-120" yWindow="-120" windowWidth="20730" windowHeight="11310" tabRatio="928" xr2:uid="{00000000-000D-0000-FFFF-FFFF00000000}"/>
  </bookViews>
  <sheets>
    <sheet name="PAI 2022 - V3" sheetId="3" r:id="rId1"/>
    <sheet name="Matriz de Seguimiento" sheetId="20" r:id="rId2"/>
    <sheet name="HV" sheetId="21" state="hidden" r:id="rId3"/>
    <sheet name="Procesos" sheetId="24" state="hidden" r:id="rId4"/>
    <sheet name="AN-01 PFI" sheetId="19" state="hidden" r:id="rId5"/>
    <sheet name="AN-02 PETI" sheetId="10" state="hidden" r:id="rId6"/>
    <sheet name="AN-03 PSPI" sheetId="11" state="hidden" r:id="rId7"/>
    <sheet name="AN-04 PTRSI" sheetId="12" state="hidden" r:id="rId8"/>
    <sheet name="AN-05 PINAR " sheetId="13" state="hidden" r:id="rId9"/>
    <sheet name="AN-06 PIC" sheetId="14" state="hidden" r:id="rId10"/>
    <sheet name="AN-07 PERH" sheetId="16" state="hidden" r:id="rId11"/>
    <sheet name="AN-08 PBI" sheetId="15" state="hidden" r:id="rId12"/>
    <sheet name="AN-09 SG-SST" sheetId="17" state="hidden" r:id="rId13"/>
    <sheet name="ODS" sheetId="7" state="hidden" r:id="rId14"/>
    <sheet name="PDD" sheetId="8" state="hidden" r:id="rId15"/>
    <sheet name="MIPG" sheetId="9" state="hidden" r:id="rId16"/>
    <sheet name="Listas" sheetId="6" state="hidden" r:id="rId17"/>
    <sheet name="Resultados" sheetId="25" state="hidden" r:id="rId18"/>
    <sheet name="Gráficos y Tablas" sheetId="26" r:id="rId19"/>
  </sheets>
  <externalReferences>
    <externalReference r:id="rId20"/>
    <externalReference r:id="rId21"/>
    <externalReference r:id="rId22"/>
    <externalReference r:id="rId23"/>
  </externalReferences>
  <definedNames>
    <definedName name="_xlnm._FilterDatabase" localSheetId="4" hidden="1">'AN-01 PFI'!$A$11:$I$56</definedName>
    <definedName name="_xlnm._FilterDatabase" localSheetId="1" hidden="1">'Matriz de Seguimiento'!$A$5:$AT$54</definedName>
    <definedName name="_xlnm._FilterDatabase" localSheetId="0" hidden="1">'PAI 2022 - V3'!$A$7:$AD$56</definedName>
    <definedName name="_xlnm._FilterDatabase" localSheetId="14" hidden="1">PDD!$A$3:$C$38</definedName>
    <definedName name="_xlnm.Print_Area" localSheetId="18">'Gráficos y Tablas'!$A$1:$Q$45</definedName>
    <definedName name="Áreas" localSheetId="18">[1]LISTAS!$B$3:$B$19</definedName>
    <definedName name="Áreas" localSheetId="2">[2]LISTAS!$B$3:$B$19</definedName>
    <definedName name="Áreas" localSheetId="17">[1]LISTAS!$B$3:$B$19</definedName>
    <definedName name="Áreas">[3]LISTAS!$B$3:$B$19</definedName>
    <definedName name="Comunicaciones">Procesos!$E$3:$E$6</definedName>
    <definedName name="Control_Interno">Procesos!$T$3:$T$8</definedName>
    <definedName name="Digital">Procesos!$H$3</definedName>
    <definedName name="Gerencia">Procesos!$C$3:$C$5</definedName>
    <definedName name="Gestión_Ambiental">Procesos!$O$3</definedName>
    <definedName name="Gestión_Documental">Procesos!$L$3</definedName>
    <definedName name="OBJ_PROCESO" localSheetId="4">#REF!</definedName>
    <definedName name="OBJ_PROCESO" localSheetId="18">#REF!</definedName>
    <definedName name="OBJ_PROCESO" localSheetId="2">#REF!</definedName>
    <definedName name="OBJ_PROCESO" localSheetId="17">#REF!</definedName>
    <definedName name="OBJ_PROCESO">#REF!</definedName>
    <definedName name="OBJET" localSheetId="4">#REF!</definedName>
    <definedName name="OBJET" localSheetId="18">#REF!</definedName>
    <definedName name="OBJET" localSheetId="2">#REF!</definedName>
    <definedName name="OBJET" localSheetId="17">#REF!</definedName>
    <definedName name="OBJET">#REF!</definedName>
    <definedName name="Objetivos" localSheetId="4">'[4]PAI 2021 - V1'!$E$60:$E$65</definedName>
    <definedName name="Objetivos" localSheetId="2">'[2]PAI 2021 - V3'!$E$61:$E$66</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ERIODICIDAD">Listas!$A$13:$A$16</definedName>
    <definedName name="Planeación">Procesos!$D$3:$D$6</definedName>
    <definedName name="Producción">Procesos!$F$3:$F$4</definedName>
    <definedName name="Programación">Procesos!$I$3</definedName>
    <definedName name="Proyectos_Estratégicos">Procesos!$G$3:$G$4</definedName>
    <definedName name="resultados" localSheetId="4">#REF!</definedName>
    <definedName name="resultados" localSheetId="18">#REF!</definedName>
    <definedName name="resultados" localSheetId="2">#REF!</definedName>
    <definedName name="resultados" localSheetId="17">#REF!</definedName>
    <definedName name="Resultados">Listas!$A$19:$A$23</definedName>
    <definedName name="Secretaría_General">Procesos!$R$3:$R$5</definedName>
    <definedName name="Servicio_Ciudadano">Procesos!$S$3:$S$4</definedName>
    <definedName name="Servicios_Administrativos">Procesos!$M$3:$M$4</definedName>
    <definedName name="Sistemas">Procesos!$N$3:$N$5</definedName>
    <definedName name="Subdirección_Administrativa">Procesos!$P$3</definedName>
    <definedName name="Subdirección_Financiera">Procesos!$Q$3:$Q$8</definedName>
    <definedName name="Talento_Humano">Procesos!$K$3:$K$7</definedName>
    <definedName name="Técnica">Procesos!$J$3</definedName>
    <definedName name="TENDENCIA">Listas!$A$8:$A$10</definedName>
    <definedName name="tipo" localSheetId="4">'[4]PAI 2021 - V1'!$AF$6:$AF$8</definedName>
    <definedName name="tipo" localSheetId="18">'[1]PAI 2021 - V4'!$AK$6:$AK$8</definedName>
    <definedName name="tipo" localSheetId="2">'[2]PAI 2021 - V3'!$AK$6:$AK$8</definedName>
    <definedName name="tipo" localSheetId="17">'[1]PAI 2021 - V4'!$AK$6:$AK$8</definedName>
    <definedName name="TIPO">Listas!$A$3:$A$5</definedName>
    <definedName name="_xlnm.Print_Titles" localSheetId="4">'AN-01 PFI'!$7:$11</definedName>
    <definedName name="_xlnm.Print_Titles" localSheetId="1">'Matriz de Seguimiento'!$1:$5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8" i="20" l="1"/>
  <c r="AH8" i="20"/>
  <c r="AH7" i="20"/>
  <c r="AH36" i="20"/>
  <c r="AD1" i="20" l="1"/>
  <c r="AH35" i="20" l="1"/>
  <c r="AH34" i="20"/>
  <c r="AH33" i="20"/>
  <c r="AH32" i="20"/>
  <c r="AH31" i="20"/>
  <c r="AH30" i="20"/>
  <c r="AH29" i="20"/>
  <c r="AH28" i="20"/>
  <c r="AH27" i="20"/>
  <c r="AH26" i="20"/>
  <c r="AH25" i="20"/>
  <c r="AH24" i="20"/>
  <c r="AH42" i="20" l="1"/>
  <c r="AH41" i="20"/>
  <c r="AJ40" i="20"/>
  <c r="AI40" i="20"/>
  <c r="AH40" i="20"/>
  <c r="AJ39" i="20"/>
  <c r="AI39" i="20"/>
  <c r="AH39" i="20"/>
  <c r="AJ38" i="20"/>
  <c r="AI38" i="20"/>
  <c r="AH38" i="20"/>
  <c r="AH37" i="20"/>
  <c r="AE52" i="20" l="1"/>
  <c r="AH48" i="20"/>
  <c r="AE49" i="20"/>
  <c r="AE50" i="20"/>
  <c r="AE51" i="20"/>
  <c r="AH52" i="20"/>
  <c r="AE53" i="20"/>
  <c r="AH45" i="20" l="1"/>
  <c r="AH44" i="20"/>
  <c r="AH43" i="20"/>
  <c r="AJ47" i="20" l="1"/>
  <c r="AI47" i="20"/>
  <c r="AH47" i="20"/>
  <c r="AH46" i="20"/>
  <c r="AE45" i="20"/>
  <c r="AJ23" i="20" l="1"/>
  <c r="AH23" i="20"/>
  <c r="AI23" i="20"/>
  <c r="AH20" i="20"/>
  <c r="AH22" i="20"/>
  <c r="AH21" i="20"/>
  <c r="AH19" i="20"/>
  <c r="I19" i="20"/>
  <c r="AE18" i="20" l="1"/>
  <c r="AH17" i="20"/>
  <c r="AH16" i="20" l="1"/>
  <c r="AH15" i="20"/>
  <c r="AH14" i="20"/>
  <c r="AH13" i="20"/>
  <c r="AH12" i="20"/>
  <c r="AH9" i="20"/>
  <c r="AH11" i="20"/>
  <c r="AJ10" i="20"/>
  <c r="AI10" i="20"/>
  <c r="AH10" i="20"/>
  <c r="AH6" i="20" l="1"/>
  <c r="D55" i="3" l="1"/>
  <c r="D54" i="3"/>
  <c r="D53" i="3"/>
  <c r="D52" i="3"/>
  <c r="D51" i="3"/>
  <c r="D50" i="3"/>
  <c r="D22" i="3"/>
  <c r="D21" i="3"/>
  <c r="D20" i="3"/>
  <c r="D19" i="3"/>
  <c r="D18" i="3"/>
  <c r="D17" i="3"/>
  <c r="D16" i="3"/>
  <c r="D15" i="3"/>
  <c r="D14" i="3"/>
  <c r="D13" i="3"/>
  <c r="D12" i="3"/>
  <c r="D11" i="3"/>
  <c r="D10" i="3"/>
  <c r="R9" i="3"/>
  <c r="W9" i="3" s="1"/>
  <c r="D9" i="3"/>
  <c r="D8" i="3"/>
  <c r="U9" i="3" l="1"/>
  <c r="V9" i="3"/>
  <c r="K19" i="26" l="1"/>
  <c r="I31" i="25"/>
  <c r="K31" i="25" s="1"/>
  <c r="I32" i="25"/>
  <c r="K32" i="25" s="1"/>
  <c r="I33" i="25"/>
  <c r="K33" i="25" s="1"/>
  <c r="I34" i="25"/>
  <c r="K34" i="25" s="1"/>
  <c r="I35" i="25"/>
  <c r="K35" i="25"/>
  <c r="I36" i="25"/>
  <c r="K36" i="25"/>
  <c r="I37" i="25"/>
  <c r="K37" i="25" s="1"/>
  <c r="I38" i="25"/>
  <c r="K38" i="25" s="1"/>
  <c r="I30" i="25"/>
  <c r="K30" i="25" s="1"/>
  <c r="I23" i="25"/>
  <c r="K23" i="25" s="1"/>
  <c r="I24" i="25"/>
  <c r="K24" i="25" s="1"/>
  <c r="I25" i="25"/>
  <c r="K25" i="25" s="1"/>
  <c r="I26" i="25"/>
  <c r="K26" i="25" s="1"/>
  <c r="I22" i="25"/>
  <c r="K22" i="25" s="1"/>
  <c r="H27" i="25"/>
  <c r="G27" i="25"/>
  <c r="F27" i="25"/>
  <c r="E27" i="25"/>
  <c r="D27" i="25"/>
  <c r="AE36" i="20"/>
  <c r="AE6" i="20" l="1"/>
  <c r="D15" i="25" l="1"/>
  <c r="G15" i="25" s="1"/>
  <c r="K14" i="25"/>
  <c r="D14" i="25"/>
  <c r="G14" i="25" s="1"/>
  <c r="D13" i="25"/>
  <c r="G13" i="25" s="1"/>
  <c r="D12" i="25"/>
  <c r="G12" i="25" s="1"/>
  <c r="D11" i="25"/>
  <c r="G11" i="25" s="1"/>
  <c r="D16" i="25" l="1"/>
  <c r="E15" i="25" s="1"/>
  <c r="G16" i="25"/>
  <c r="E13" i="25" l="1"/>
  <c r="C10" i="25"/>
  <c r="K16" i="25" s="1"/>
  <c r="E11" i="25"/>
  <c r="E14" i="25"/>
  <c r="E12" i="25"/>
  <c r="D18" i="25" l="1"/>
  <c r="K17" i="25"/>
  <c r="K19" i="25" s="1"/>
  <c r="AE35" i="20"/>
  <c r="AE34" i="20"/>
  <c r="AE33" i="20"/>
  <c r="AE32" i="20"/>
  <c r="AE31" i="20"/>
  <c r="AE30" i="20"/>
  <c r="AE29" i="20"/>
  <c r="AE28" i="20"/>
  <c r="AE27" i="20"/>
  <c r="AE26" i="20"/>
  <c r="AE25" i="20"/>
  <c r="AE24" i="20"/>
  <c r="AE48" i="20" l="1"/>
  <c r="AE42" i="20" l="1"/>
  <c r="AE41" i="20"/>
  <c r="AG40" i="20"/>
  <c r="AF40" i="20"/>
  <c r="AE40" i="20"/>
  <c r="AG39" i="20"/>
  <c r="AG38" i="20"/>
  <c r="AF39" i="20"/>
  <c r="AE39" i="20"/>
  <c r="AF38" i="20"/>
  <c r="AE38" i="20"/>
  <c r="AE37" i="20"/>
  <c r="AG47" i="20" l="1"/>
  <c r="AF47" i="20"/>
  <c r="AE47" i="20"/>
  <c r="AE44" i="20" l="1"/>
  <c r="AE43" i="20"/>
  <c r="AF23" i="20" l="1"/>
  <c r="AG23" i="20"/>
  <c r="AE23" i="20"/>
  <c r="AE22" i="20" l="1"/>
  <c r="AE21" i="20"/>
  <c r="AE20" i="20"/>
  <c r="AE19" i="20"/>
  <c r="AE16" i="20" l="1"/>
  <c r="AE15" i="20"/>
  <c r="AE14" i="20"/>
  <c r="AE13" i="20"/>
  <c r="AE17" i="20" l="1"/>
  <c r="C8" i="21"/>
  <c r="AE12" i="20" l="1"/>
  <c r="AE11" i="20"/>
  <c r="AG10" i="20"/>
  <c r="AF10" i="20"/>
  <c r="AE10" i="20"/>
  <c r="AE9" i="20"/>
  <c r="AE7" i="20" l="1"/>
  <c r="I30" i="20" l="1"/>
  <c r="J20" i="20"/>
  <c r="I20" i="20"/>
  <c r="B7" i="20"/>
  <c r="C7" i="20"/>
  <c r="D7" i="20"/>
  <c r="F7" i="20"/>
  <c r="G7" i="20"/>
  <c r="H7" i="20"/>
  <c r="A7" i="20" s="1"/>
  <c r="AD7" i="20" s="1"/>
  <c r="I7" i="20"/>
  <c r="J7" i="20"/>
  <c r="K7" i="20"/>
  <c r="L7" i="20"/>
  <c r="M7" i="20"/>
  <c r="N7" i="20"/>
  <c r="O7" i="20"/>
  <c r="P7" i="20"/>
  <c r="Q7" i="20"/>
  <c r="R7" i="20"/>
  <c r="S7" i="20"/>
  <c r="T7" i="20"/>
  <c r="U7" i="20"/>
  <c r="Y7" i="20"/>
  <c r="Z7" i="20"/>
  <c r="AA7" i="20"/>
  <c r="AB7" i="20"/>
  <c r="AC7" i="20"/>
  <c r="B8" i="20"/>
  <c r="C8" i="20"/>
  <c r="D8" i="20"/>
  <c r="F8" i="20"/>
  <c r="G8" i="20"/>
  <c r="H8" i="20"/>
  <c r="A8" i="20" s="1"/>
  <c r="AD8" i="20" s="1"/>
  <c r="I8" i="20"/>
  <c r="J8" i="20"/>
  <c r="K8" i="20"/>
  <c r="L8" i="20"/>
  <c r="M8" i="20"/>
  <c r="N8" i="20"/>
  <c r="O8" i="20"/>
  <c r="P8" i="20"/>
  <c r="Q8" i="20"/>
  <c r="R8" i="20"/>
  <c r="S8" i="20"/>
  <c r="T8" i="20"/>
  <c r="U8" i="20"/>
  <c r="V8" i="20"/>
  <c r="W8" i="20"/>
  <c r="X8" i="20"/>
  <c r="Y8" i="20"/>
  <c r="Z8" i="20"/>
  <c r="AA8" i="20"/>
  <c r="AB8" i="20"/>
  <c r="AC8" i="20"/>
  <c r="B9" i="20"/>
  <c r="C9" i="20"/>
  <c r="D9" i="20"/>
  <c r="F9" i="20"/>
  <c r="G9" i="20"/>
  <c r="H9" i="20"/>
  <c r="A9" i="20" s="1"/>
  <c r="AD9" i="20" s="1"/>
  <c r="I9" i="20"/>
  <c r="J9" i="20"/>
  <c r="K9" i="20"/>
  <c r="L9" i="20"/>
  <c r="M9" i="20"/>
  <c r="N9" i="20"/>
  <c r="O9" i="20"/>
  <c r="P9" i="20"/>
  <c r="Q9" i="20"/>
  <c r="R9" i="20"/>
  <c r="S9" i="20"/>
  <c r="T9" i="20"/>
  <c r="U9" i="20"/>
  <c r="V9" i="20"/>
  <c r="W9" i="20"/>
  <c r="X9" i="20"/>
  <c r="Y9" i="20"/>
  <c r="Z9" i="20"/>
  <c r="AA9" i="20"/>
  <c r="AB9" i="20"/>
  <c r="AC9" i="20"/>
  <c r="B10" i="20"/>
  <c r="C10" i="20"/>
  <c r="D10" i="20"/>
  <c r="F10" i="20"/>
  <c r="G10" i="20"/>
  <c r="H10" i="20"/>
  <c r="A10" i="20" s="1"/>
  <c r="AD10" i="20" s="1"/>
  <c r="I10" i="20"/>
  <c r="J10" i="20"/>
  <c r="K10" i="20"/>
  <c r="L10" i="20"/>
  <c r="M10" i="20"/>
  <c r="N10" i="20"/>
  <c r="O10" i="20"/>
  <c r="P10" i="20"/>
  <c r="Q10" i="20"/>
  <c r="R10" i="20"/>
  <c r="S10" i="20"/>
  <c r="T10" i="20"/>
  <c r="U10" i="20"/>
  <c r="V10" i="20"/>
  <c r="W10" i="20"/>
  <c r="X10" i="20"/>
  <c r="Y10" i="20"/>
  <c r="Z10" i="20"/>
  <c r="AA10" i="20"/>
  <c r="AB10" i="20"/>
  <c r="AC10" i="20"/>
  <c r="B11" i="20"/>
  <c r="C11" i="20"/>
  <c r="D11" i="20"/>
  <c r="F11" i="20"/>
  <c r="G11" i="20"/>
  <c r="H11" i="20"/>
  <c r="A11" i="20" s="1"/>
  <c r="AD11" i="20" s="1"/>
  <c r="I11" i="20"/>
  <c r="J11" i="20"/>
  <c r="K11" i="20"/>
  <c r="L11" i="20"/>
  <c r="M11" i="20"/>
  <c r="N11" i="20"/>
  <c r="O11" i="20"/>
  <c r="P11" i="20"/>
  <c r="Q11" i="20"/>
  <c r="R11" i="20"/>
  <c r="S11" i="20"/>
  <c r="T11" i="20"/>
  <c r="U11" i="20"/>
  <c r="V11" i="20"/>
  <c r="W11" i="20"/>
  <c r="X11" i="20"/>
  <c r="Y11" i="20"/>
  <c r="Z11" i="20"/>
  <c r="AA11" i="20"/>
  <c r="AB11" i="20"/>
  <c r="AC11" i="20"/>
  <c r="B12" i="20"/>
  <c r="C12" i="20"/>
  <c r="D12" i="20"/>
  <c r="F12" i="20"/>
  <c r="G12" i="20"/>
  <c r="H12" i="20"/>
  <c r="A12" i="20" s="1"/>
  <c r="AD12" i="20" s="1"/>
  <c r="I12" i="20"/>
  <c r="J12" i="20"/>
  <c r="K12" i="20"/>
  <c r="L12" i="20"/>
  <c r="M12" i="20"/>
  <c r="N12" i="20"/>
  <c r="O12" i="20"/>
  <c r="P12" i="20"/>
  <c r="Q12" i="20"/>
  <c r="R12" i="20"/>
  <c r="S12" i="20"/>
  <c r="T12" i="20"/>
  <c r="U12" i="20"/>
  <c r="V12" i="20"/>
  <c r="W12" i="20"/>
  <c r="X12" i="20"/>
  <c r="Y12" i="20"/>
  <c r="Z12" i="20"/>
  <c r="AA12" i="20"/>
  <c r="AB12" i="20"/>
  <c r="AC12" i="20"/>
  <c r="B13" i="20"/>
  <c r="C13" i="20"/>
  <c r="D13" i="20"/>
  <c r="F13" i="20"/>
  <c r="G13" i="20"/>
  <c r="H13" i="20"/>
  <c r="A13" i="20" s="1"/>
  <c r="AD13" i="20" s="1"/>
  <c r="I13" i="20"/>
  <c r="J13" i="20"/>
  <c r="K13" i="20"/>
  <c r="L13" i="20"/>
  <c r="M13" i="20"/>
  <c r="N13" i="20"/>
  <c r="O13" i="20"/>
  <c r="P13" i="20"/>
  <c r="Q13" i="20"/>
  <c r="R13" i="20"/>
  <c r="S13" i="20"/>
  <c r="T13" i="20"/>
  <c r="U13" i="20"/>
  <c r="V13" i="20"/>
  <c r="W13" i="20"/>
  <c r="X13" i="20"/>
  <c r="Y13" i="20"/>
  <c r="Z13" i="20"/>
  <c r="AA13" i="20"/>
  <c r="AB13" i="20"/>
  <c r="AC13" i="20"/>
  <c r="B14" i="20"/>
  <c r="C14" i="20"/>
  <c r="D14" i="20"/>
  <c r="F14" i="20"/>
  <c r="G14" i="20"/>
  <c r="H14" i="20"/>
  <c r="A14" i="20" s="1"/>
  <c r="AD14" i="20" s="1"/>
  <c r="I14" i="20"/>
  <c r="J14" i="20"/>
  <c r="K14" i="20"/>
  <c r="L14" i="20"/>
  <c r="M14" i="20"/>
  <c r="N14" i="20"/>
  <c r="O14" i="20"/>
  <c r="P14" i="20"/>
  <c r="Q14" i="20"/>
  <c r="R14" i="20"/>
  <c r="S14" i="20"/>
  <c r="T14" i="20"/>
  <c r="U14" i="20"/>
  <c r="V14" i="20"/>
  <c r="W14" i="20"/>
  <c r="X14" i="20"/>
  <c r="Y14" i="20"/>
  <c r="Z14" i="20"/>
  <c r="AA14" i="20"/>
  <c r="AB14" i="20"/>
  <c r="AC14" i="20"/>
  <c r="B15" i="20"/>
  <c r="C15" i="20"/>
  <c r="D15" i="20"/>
  <c r="F15" i="20"/>
  <c r="G15" i="20"/>
  <c r="H15" i="20"/>
  <c r="A15" i="20" s="1"/>
  <c r="AD15" i="20" s="1"/>
  <c r="I15" i="20"/>
  <c r="J15" i="20"/>
  <c r="K15" i="20"/>
  <c r="L15" i="20"/>
  <c r="M15" i="20"/>
  <c r="N15" i="20"/>
  <c r="O15" i="20"/>
  <c r="P15" i="20"/>
  <c r="Q15" i="20"/>
  <c r="R15" i="20"/>
  <c r="S15" i="20"/>
  <c r="T15" i="20"/>
  <c r="U15" i="20"/>
  <c r="V15" i="20"/>
  <c r="W15" i="20"/>
  <c r="X15" i="20"/>
  <c r="Y15" i="20"/>
  <c r="Z15" i="20"/>
  <c r="AA15" i="20"/>
  <c r="AB15" i="20"/>
  <c r="AC15" i="20"/>
  <c r="B16" i="20"/>
  <c r="C16" i="20"/>
  <c r="D16" i="20"/>
  <c r="F16" i="20"/>
  <c r="G16" i="20"/>
  <c r="H16" i="20"/>
  <c r="A16" i="20" s="1"/>
  <c r="AD16" i="20" s="1"/>
  <c r="I16" i="20"/>
  <c r="J16" i="20"/>
  <c r="K16" i="20"/>
  <c r="L16" i="20"/>
  <c r="M16" i="20"/>
  <c r="N16" i="20"/>
  <c r="O16" i="20"/>
  <c r="P16" i="20"/>
  <c r="Q16" i="20"/>
  <c r="R16" i="20"/>
  <c r="S16" i="20"/>
  <c r="T16" i="20"/>
  <c r="U16" i="20"/>
  <c r="V16" i="20"/>
  <c r="W16" i="20"/>
  <c r="X16" i="20"/>
  <c r="Y16" i="20"/>
  <c r="Z16" i="20"/>
  <c r="AA16" i="20"/>
  <c r="AB16" i="20"/>
  <c r="AC16" i="20"/>
  <c r="B17" i="20"/>
  <c r="C17" i="20"/>
  <c r="D17" i="20"/>
  <c r="F17" i="20"/>
  <c r="G17" i="20"/>
  <c r="H17" i="20"/>
  <c r="A17" i="20" s="1"/>
  <c r="AD17" i="20" s="1"/>
  <c r="I17" i="20"/>
  <c r="J17" i="20"/>
  <c r="K17" i="20"/>
  <c r="L17" i="20"/>
  <c r="M17" i="20"/>
  <c r="N17" i="20"/>
  <c r="O17" i="20"/>
  <c r="P17" i="20"/>
  <c r="Q17" i="20"/>
  <c r="R17" i="20"/>
  <c r="S17" i="20"/>
  <c r="T17" i="20"/>
  <c r="U17" i="20"/>
  <c r="V17" i="20"/>
  <c r="W17" i="20"/>
  <c r="X17" i="20"/>
  <c r="Y17" i="20"/>
  <c r="Z17" i="20"/>
  <c r="AA17" i="20"/>
  <c r="AB17" i="20"/>
  <c r="AC17" i="20"/>
  <c r="B18" i="20"/>
  <c r="C18" i="20"/>
  <c r="D18" i="20"/>
  <c r="F18" i="20"/>
  <c r="G18" i="20"/>
  <c r="H18" i="20"/>
  <c r="A18" i="20" s="1"/>
  <c r="AD18" i="20" s="1"/>
  <c r="I18" i="20"/>
  <c r="J18" i="20"/>
  <c r="K18" i="20"/>
  <c r="L18" i="20"/>
  <c r="M18" i="20"/>
  <c r="N18" i="20"/>
  <c r="O18" i="20"/>
  <c r="P18" i="20"/>
  <c r="Q18" i="20"/>
  <c r="R18" i="20"/>
  <c r="S18" i="20"/>
  <c r="T18" i="20"/>
  <c r="U18" i="20"/>
  <c r="V18" i="20"/>
  <c r="W18" i="20"/>
  <c r="X18" i="20"/>
  <c r="Y18" i="20"/>
  <c r="Z18" i="20"/>
  <c r="AA18" i="20"/>
  <c r="AB18" i="20"/>
  <c r="AC18" i="20"/>
  <c r="B19" i="20"/>
  <c r="C19" i="20"/>
  <c r="D19" i="20"/>
  <c r="F19" i="20"/>
  <c r="G19" i="20"/>
  <c r="H19" i="20"/>
  <c r="A19" i="20" s="1"/>
  <c r="AD19" i="20" s="1"/>
  <c r="J19" i="20"/>
  <c r="K19" i="20"/>
  <c r="L19" i="20"/>
  <c r="M19" i="20"/>
  <c r="N19" i="20"/>
  <c r="O19" i="20"/>
  <c r="P19" i="20"/>
  <c r="Q19" i="20"/>
  <c r="R19" i="20"/>
  <c r="S19" i="20"/>
  <c r="T19" i="20"/>
  <c r="U19" i="20"/>
  <c r="V19" i="20"/>
  <c r="W19" i="20"/>
  <c r="X19" i="20"/>
  <c r="Y19" i="20"/>
  <c r="Z19" i="20"/>
  <c r="AA19" i="20"/>
  <c r="AB19" i="20"/>
  <c r="AC19" i="20"/>
  <c r="B20" i="20"/>
  <c r="C20" i="20"/>
  <c r="D20" i="20"/>
  <c r="F20" i="20"/>
  <c r="G20" i="20"/>
  <c r="H20" i="20"/>
  <c r="A20" i="20" s="1"/>
  <c r="AD20" i="20" s="1"/>
  <c r="K20" i="20"/>
  <c r="L20" i="20"/>
  <c r="M20" i="20"/>
  <c r="N20" i="20"/>
  <c r="O20" i="20"/>
  <c r="P20" i="20"/>
  <c r="Q20" i="20"/>
  <c r="R20" i="20"/>
  <c r="S20" i="20"/>
  <c r="T20" i="20"/>
  <c r="U20" i="20"/>
  <c r="V20" i="20"/>
  <c r="W20" i="20"/>
  <c r="X20" i="20"/>
  <c r="Y20" i="20"/>
  <c r="Z20" i="20"/>
  <c r="AA20" i="20"/>
  <c r="AB20" i="20"/>
  <c r="AC20" i="20"/>
  <c r="B21" i="20"/>
  <c r="C21" i="20"/>
  <c r="D21" i="20"/>
  <c r="E21" i="20"/>
  <c r="F21" i="20"/>
  <c r="G21" i="20"/>
  <c r="H21" i="20"/>
  <c r="A21" i="20" s="1"/>
  <c r="AD21" i="20" s="1"/>
  <c r="I21" i="20"/>
  <c r="J21" i="20"/>
  <c r="K21" i="20"/>
  <c r="L21" i="20"/>
  <c r="M21" i="20"/>
  <c r="N21" i="20"/>
  <c r="O21" i="20"/>
  <c r="P21" i="20"/>
  <c r="Q21" i="20"/>
  <c r="R21" i="20"/>
  <c r="S21" i="20"/>
  <c r="T21" i="20"/>
  <c r="U21" i="20"/>
  <c r="V21" i="20"/>
  <c r="W21" i="20"/>
  <c r="X21" i="20"/>
  <c r="Y21" i="20"/>
  <c r="Z21" i="20"/>
  <c r="AA21" i="20"/>
  <c r="AB21" i="20"/>
  <c r="AC21" i="20"/>
  <c r="B22" i="20"/>
  <c r="C22" i="20"/>
  <c r="D22" i="20"/>
  <c r="E22" i="20"/>
  <c r="F22" i="20"/>
  <c r="G22" i="20"/>
  <c r="H22" i="20"/>
  <c r="A22" i="20" s="1"/>
  <c r="AD22" i="20" s="1"/>
  <c r="I22" i="20"/>
  <c r="J22" i="20"/>
  <c r="K22" i="20"/>
  <c r="L22" i="20"/>
  <c r="M22" i="20"/>
  <c r="N22" i="20"/>
  <c r="O22" i="20"/>
  <c r="P22" i="20"/>
  <c r="Q22" i="20"/>
  <c r="R22" i="20"/>
  <c r="S22" i="20"/>
  <c r="T22" i="20"/>
  <c r="U22" i="20"/>
  <c r="V22" i="20"/>
  <c r="W22" i="20"/>
  <c r="X22" i="20"/>
  <c r="Y22" i="20"/>
  <c r="Z22" i="20"/>
  <c r="AA22" i="20"/>
  <c r="AB22" i="20"/>
  <c r="AC22" i="20"/>
  <c r="B23" i="20"/>
  <c r="C23" i="20"/>
  <c r="D23" i="20"/>
  <c r="E23" i="20"/>
  <c r="F23" i="20"/>
  <c r="G23" i="20"/>
  <c r="H23" i="20"/>
  <c r="A23" i="20" s="1"/>
  <c r="AD23" i="20" s="1"/>
  <c r="I23" i="20"/>
  <c r="J23" i="20"/>
  <c r="K23" i="20"/>
  <c r="L23" i="20"/>
  <c r="M23" i="20"/>
  <c r="N23" i="20"/>
  <c r="O23" i="20"/>
  <c r="P23" i="20"/>
  <c r="Q23" i="20"/>
  <c r="R23" i="20"/>
  <c r="S23" i="20"/>
  <c r="T23" i="20"/>
  <c r="U23" i="20"/>
  <c r="V23" i="20"/>
  <c r="W23" i="20"/>
  <c r="X23" i="20"/>
  <c r="Y23" i="20"/>
  <c r="Z23" i="20"/>
  <c r="AA23" i="20"/>
  <c r="AB23" i="20"/>
  <c r="AC23" i="20"/>
  <c r="B24" i="20"/>
  <c r="C24" i="20"/>
  <c r="D24" i="20"/>
  <c r="E24" i="20"/>
  <c r="F24" i="20"/>
  <c r="G24" i="20"/>
  <c r="H24" i="20"/>
  <c r="A24" i="20" s="1"/>
  <c r="AD24" i="20" s="1"/>
  <c r="I24" i="20"/>
  <c r="J24" i="20"/>
  <c r="K24" i="20"/>
  <c r="L24" i="20"/>
  <c r="M24" i="20"/>
  <c r="N24" i="20"/>
  <c r="O24" i="20"/>
  <c r="P24" i="20"/>
  <c r="Q24" i="20"/>
  <c r="R24" i="20"/>
  <c r="S24" i="20"/>
  <c r="T24" i="20"/>
  <c r="U24" i="20"/>
  <c r="V24" i="20"/>
  <c r="W24" i="20"/>
  <c r="X24" i="20"/>
  <c r="Y24" i="20"/>
  <c r="Z24" i="20"/>
  <c r="AA24" i="20"/>
  <c r="AB24" i="20"/>
  <c r="AC24" i="20"/>
  <c r="B25" i="20"/>
  <c r="C25" i="20"/>
  <c r="D25" i="20"/>
  <c r="E25" i="20"/>
  <c r="F25" i="20"/>
  <c r="G25" i="20"/>
  <c r="H25" i="20"/>
  <c r="A25" i="20" s="1"/>
  <c r="AD25" i="20" s="1"/>
  <c r="I25" i="20"/>
  <c r="J25" i="20"/>
  <c r="K25" i="20"/>
  <c r="L25" i="20"/>
  <c r="M25" i="20"/>
  <c r="N25" i="20"/>
  <c r="O25" i="20"/>
  <c r="P25" i="20"/>
  <c r="Q25" i="20"/>
  <c r="R25" i="20"/>
  <c r="S25" i="20"/>
  <c r="T25" i="20"/>
  <c r="U25" i="20"/>
  <c r="V25" i="20"/>
  <c r="W25" i="20"/>
  <c r="X25" i="20"/>
  <c r="Y25" i="20"/>
  <c r="Z25" i="20"/>
  <c r="AA25" i="20"/>
  <c r="AB25" i="20"/>
  <c r="AC25" i="20"/>
  <c r="B26" i="20"/>
  <c r="C26" i="20"/>
  <c r="D26" i="20"/>
  <c r="E26" i="20"/>
  <c r="F26" i="20"/>
  <c r="G26" i="20"/>
  <c r="H26" i="20"/>
  <c r="A26" i="20" s="1"/>
  <c r="AD26" i="20" s="1"/>
  <c r="I26" i="20"/>
  <c r="J26" i="20"/>
  <c r="K26" i="20"/>
  <c r="L26" i="20"/>
  <c r="M26" i="20"/>
  <c r="N26" i="20"/>
  <c r="O26" i="20"/>
  <c r="P26" i="20"/>
  <c r="Q26" i="20"/>
  <c r="R26" i="20"/>
  <c r="S26" i="20"/>
  <c r="T26" i="20"/>
  <c r="U26" i="20"/>
  <c r="V26" i="20"/>
  <c r="W26" i="20"/>
  <c r="X26" i="20"/>
  <c r="Y26" i="20"/>
  <c r="Z26" i="20"/>
  <c r="AA26" i="20"/>
  <c r="AB26" i="20"/>
  <c r="AC26" i="20"/>
  <c r="B27" i="20"/>
  <c r="C27" i="20"/>
  <c r="D27" i="20"/>
  <c r="E27" i="20"/>
  <c r="F27" i="20"/>
  <c r="G27" i="20"/>
  <c r="H27" i="20"/>
  <c r="A27" i="20" s="1"/>
  <c r="AD27" i="20" s="1"/>
  <c r="I27" i="20"/>
  <c r="J27" i="20"/>
  <c r="K27" i="20"/>
  <c r="L27" i="20"/>
  <c r="M27" i="20"/>
  <c r="N27" i="20"/>
  <c r="O27" i="20"/>
  <c r="P27" i="20"/>
  <c r="Q27" i="20"/>
  <c r="R27" i="20"/>
  <c r="S27" i="20"/>
  <c r="T27" i="20"/>
  <c r="U27" i="20"/>
  <c r="V27" i="20"/>
  <c r="W27" i="20"/>
  <c r="X27" i="20"/>
  <c r="Y27" i="20"/>
  <c r="Z27" i="20"/>
  <c r="AA27" i="20"/>
  <c r="AB27" i="20"/>
  <c r="AC27" i="20"/>
  <c r="B28" i="20"/>
  <c r="C28" i="20"/>
  <c r="D28" i="20"/>
  <c r="E28" i="20"/>
  <c r="F28" i="20"/>
  <c r="G28" i="20"/>
  <c r="H28" i="20"/>
  <c r="A28" i="20" s="1"/>
  <c r="AD28" i="20" s="1"/>
  <c r="I28" i="20"/>
  <c r="J28" i="20"/>
  <c r="K28" i="20"/>
  <c r="L28" i="20"/>
  <c r="M28" i="20"/>
  <c r="N28" i="20"/>
  <c r="O28" i="20"/>
  <c r="P28" i="20"/>
  <c r="Q28" i="20"/>
  <c r="R28" i="20"/>
  <c r="S28" i="20"/>
  <c r="T28" i="20"/>
  <c r="U28" i="20"/>
  <c r="V28" i="20"/>
  <c r="W28" i="20"/>
  <c r="X28" i="20"/>
  <c r="Y28" i="20"/>
  <c r="Z28" i="20"/>
  <c r="AA28" i="20"/>
  <c r="AB28" i="20"/>
  <c r="AC28" i="20"/>
  <c r="B29" i="20"/>
  <c r="C29" i="20"/>
  <c r="D29" i="20"/>
  <c r="E29" i="20"/>
  <c r="F29" i="20"/>
  <c r="G29" i="20"/>
  <c r="H29" i="20"/>
  <c r="A29" i="20" s="1"/>
  <c r="AD29" i="20" s="1"/>
  <c r="I29" i="20"/>
  <c r="J29" i="20"/>
  <c r="K29" i="20"/>
  <c r="L29" i="20"/>
  <c r="M29" i="20"/>
  <c r="N29" i="20"/>
  <c r="O29" i="20"/>
  <c r="P29" i="20"/>
  <c r="Q29" i="20"/>
  <c r="R29" i="20"/>
  <c r="S29" i="20"/>
  <c r="T29" i="20"/>
  <c r="U29" i="20"/>
  <c r="V29" i="20"/>
  <c r="W29" i="20"/>
  <c r="X29" i="20"/>
  <c r="Y29" i="20"/>
  <c r="Z29" i="20"/>
  <c r="AA29" i="20"/>
  <c r="AB29" i="20"/>
  <c r="AC29" i="20"/>
  <c r="B30" i="20"/>
  <c r="C30" i="20"/>
  <c r="D30" i="20"/>
  <c r="E30" i="20"/>
  <c r="F30" i="20"/>
  <c r="G30" i="20"/>
  <c r="H30" i="20"/>
  <c r="A30" i="20" s="1"/>
  <c r="AD30" i="20" s="1"/>
  <c r="J30" i="20"/>
  <c r="K30" i="20"/>
  <c r="L30" i="20"/>
  <c r="M30" i="20"/>
  <c r="N30" i="20"/>
  <c r="O30" i="20"/>
  <c r="P30" i="20"/>
  <c r="Q30" i="20"/>
  <c r="R30" i="20"/>
  <c r="S30" i="20"/>
  <c r="T30" i="20"/>
  <c r="U30" i="20"/>
  <c r="V30" i="20"/>
  <c r="W30" i="20"/>
  <c r="X30" i="20"/>
  <c r="Y30" i="20"/>
  <c r="Z30" i="20"/>
  <c r="AA30" i="20"/>
  <c r="AB30" i="20"/>
  <c r="AC30" i="20"/>
  <c r="B31" i="20"/>
  <c r="C31" i="20"/>
  <c r="D31" i="20"/>
  <c r="E31" i="20"/>
  <c r="F31" i="20"/>
  <c r="G31" i="20"/>
  <c r="H31" i="20"/>
  <c r="A31" i="20" s="1"/>
  <c r="AD31" i="20" s="1"/>
  <c r="I31" i="20"/>
  <c r="J31" i="20"/>
  <c r="K31" i="20"/>
  <c r="L31" i="20"/>
  <c r="M31" i="20"/>
  <c r="N31" i="20"/>
  <c r="O31" i="20"/>
  <c r="P31" i="20"/>
  <c r="Q31" i="20"/>
  <c r="R31" i="20"/>
  <c r="S31" i="20"/>
  <c r="T31" i="20"/>
  <c r="U31" i="20"/>
  <c r="V31" i="20"/>
  <c r="W31" i="20"/>
  <c r="X31" i="20"/>
  <c r="Y31" i="20"/>
  <c r="Z31" i="20"/>
  <c r="AA31" i="20"/>
  <c r="AB31" i="20"/>
  <c r="AC31" i="20"/>
  <c r="B32" i="20"/>
  <c r="C32" i="20"/>
  <c r="D32" i="20"/>
  <c r="E32" i="20"/>
  <c r="F32" i="20"/>
  <c r="G32" i="20"/>
  <c r="H32" i="20"/>
  <c r="A32" i="20" s="1"/>
  <c r="AD32" i="20" s="1"/>
  <c r="I32" i="20"/>
  <c r="J32" i="20"/>
  <c r="K32" i="20"/>
  <c r="L32" i="20"/>
  <c r="M32" i="20"/>
  <c r="N32" i="20"/>
  <c r="O32" i="20"/>
  <c r="P32" i="20"/>
  <c r="Q32" i="20"/>
  <c r="R32" i="20"/>
  <c r="S32" i="20"/>
  <c r="T32" i="20"/>
  <c r="U32" i="20"/>
  <c r="V32" i="20"/>
  <c r="W32" i="20"/>
  <c r="X32" i="20"/>
  <c r="Y32" i="20"/>
  <c r="Z32" i="20"/>
  <c r="AA32" i="20"/>
  <c r="AB32" i="20"/>
  <c r="AC32" i="20"/>
  <c r="B33" i="20"/>
  <c r="C33" i="20"/>
  <c r="D33" i="20"/>
  <c r="E33" i="20"/>
  <c r="F33" i="20"/>
  <c r="G33" i="20"/>
  <c r="H33" i="20"/>
  <c r="A33" i="20" s="1"/>
  <c r="AD33" i="20" s="1"/>
  <c r="I33" i="20"/>
  <c r="J33" i="20"/>
  <c r="K33" i="20"/>
  <c r="L33" i="20"/>
  <c r="M33" i="20"/>
  <c r="N33" i="20"/>
  <c r="O33" i="20"/>
  <c r="P33" i="20"/>
  <c r="Q33" i="20"/>
  <c r="R33" i="20"/>
  <c r="S33" i="20"/>
  <c r="T33" i="20"/>
  <c r="U33" i="20"/>
  <c r="V33" i="20"/>
  <c r="W33" i="20"/>
  <c r="X33" i="20"/>
  <c r="Y33" i="20"/>
  <c r="Z33" i="20"/>
  <c r="AA33" i="20"/>
  <c r="AB33" i="20"/>
  <c r="AC33" i="20"/>
  <c r="B34" i="20"/>
  <c r="C34" i="20"/>
  <c r="D34" i="20"/>
  <c r="E34" i="20"/>
  <c r="F34" i="20"/>
  <c r="G34" i="20"/>
  <c r="H34" i="20"/>
  <c r="A34" i="20" s="1"/>
  <c r="AD34" i="20" s="1"/>
  <c r="I34" i="20"/>
  <c r="J34" i="20"/>
  <c r="K34" i="20"/>
  <c r="L34" i="20"/>
  <c r="M34" i="20"/>
  <c r="N34" i="20"/>
  <c r="O34" i="20"/>
  <c r="P34" i="20"/>
  <c r="Q34" i="20"/>
  <c r="R34" i="20"/>
  <c r="S34" i="20"/>
  <c r="T34" i="20"/>
  <c r="U34" i="20"/>
  <c r="V34" i="20"/>
  <c r="W34" i="20"/>
  <c r="X34" i="20"/>
  <c r="Y34" i="20"/>
  <c r="Z34" i="20"/>
  <c r="AA34" i="20"/>
  <c r="AB34" i="20"/>
  <c r="AC34" i="20"/>
  <c r="B35" i="20"/>
  <c r="C35" i="20"/>
  <c r="D35" i="20"/>
  <c r="E35" i="20"/>
  <c r="F35" i="20"/>
  <c r="G35" i="20"/>
  <c r="H35" i="20"/>
  <c r="A35" i="20" s="1"/>
  <c r="AD35" i="20" s="1"/>
  <c r="I35" i="20"/>
  <c r="J35" i="20"/>
  <c r="K35" i="20"/>
  <c r="L35" i="20"/>
  <c r="M35" i="20"/>
  <c r="N35" i="20"/>
  <c r="O35" i="20"/>
  <c r="P35" i="20"/>
  <c r="Q35" i="20"/>
  <c r="R35" i="20"/>
  <c r="S35" i="20"/>
  <c r="T35" i="20"/>
  <c r="U35" i="20"/>
  <c r="V35" i="20"/>
  <c r="W35" i="20"/>
  <c r="X35" i="20"/>
  <c r="Y35" i="20"/>
  <c r="Z35" i="20"/>
  <c r="AA35" i="20"/>
  <c r="AB35" i="20"/>
  <c r="AC35" i="20"/>
  <c r="B36" i="20"/>
  <c r="C36" i="20"/>
  <c r="D36" i="20"/>
  <c r="E36" i="20"/>
  <c r="F36" i="20"/>
  <c r="G36" i="20"/>
  <c r="H36" i="20"/>
  <c r="A36" i="20" s="1"/>
  <c r="AD36" i="20" s="1"/>
  <c r="I36" i="20"/>
  <c r="J36" i="20"/>
  <c r="K36" i="20"/>
  <c r="L36" i="20"/>
  <c r="M36" i="20"/>
  <c r="N36" i="20"/>
  <c r="O36" i="20"/>
  <c r="P36" i="20"/>
  <c r="Q36" i="20"/>
  <c r="R36" i="20"/>
  <c r="S36" i="20"/>
  <c r="T36" i="20"/>
  <c r="U36" i="20"/>
  <c r="V36" i="20"/>
  <c r="W36" i="20"/>
  <c r="X36" i="20"/>
  <c r="Y36" i="20"/>
  <c r="Z36" i="20"/>
  <c r="AA36" i="20"/>
  <c r="AB36" i="20"/>
  <c r="AC36" i="20"/>
  <c r="B37" i="20"/>
  <c r="C37" i="20"/>
  <c r="D37" i="20"/>
  <c r="E37" i="20"/>
  <c r="F37" i="20"/>
  <c r="G37" i="20"/>
  <c r="H37" i="20"/>
  <c r="A37" i="20" s="1"/>
  <c r="AD37" i="20" s="1"/>
  <c r="I37" i="20"/>
  <c r="J37" i="20"/>
  <c r="K37" i="20"/>
  <c r="L37" i="20"/>
  <c r="M37" i="20"/>
  <c r="N37" i="20"/>
  <c r="O37" i="20"/>
  <c r="P37" i="20"/>
  <c r="Q37" i="20"/>
  <c r="R37" i="20"/>
  <c r="S37" i="20"/>
  <c r="T37" i="20"/>
  <c r="U37" i="20"/>
  <c r="V37" i="20"/>
  <c r="W37" i="20"/>
  <c r="X37" i="20"/>
  <c r="Y37" i="20"/>
  <c r="Z37" i="20"/>
  <c r="AA37" i="20"/>
  <c r="AB37" i="20"/>
  <c r="AC37" i="20"/>
  <c r="B38" i="20"/>
  <c r="C38" i="20"/>
  <c r="D38" i="20"/>
  <c r="E38" i="20"/>
  <c r="F38" i="20"/>
  <c r="G38" i="20"/>
  <c r="H38" i="20"/>
  <c r="A38" i="20" s="1"/>
  <c r="AD38" i="20" s="1"/>
  <c r="I38" i="20"/>
  <c r="J38" i="20"/>
  <c r="K38" i="20"/>
  <c r="L38" i="20"/>
  <c r="M38" i="20"/>
  <c r="N38" i="20"/>
  <c r="O38" i="20"/>
  <c r="P38" i="20"/>
  <c r="Q38" i="20"/>
  <c r="R38" i="20"/>
  <c r="S38" i="20"/>
  <c r="T38" i="20"/>
  <c r="U38" i="20"/>
  <c r="V38" i="20"/>
  <c r="W38" i="20"/>
  <c r="X38" i="20"/>
  <c r="Y38" i="20"/>
  <c r="Z38" i="20"/>
  <c r="AA38" i="20"/>
  <c r="AB38" i="20"/>
  <c r="AC38" i="20"/>
  <c r="B39" i="20"/>
  <c r="C39" i="20"/>
  <c r="D39" i="20"/>
  <c r="E39" i="20"/>
  <c r="F39" i="20"/>
  <c r="G39" i="20"/>
  <c r="H39" i="20"/>
  <c r="A39" i="20" s="1"/>
  <c r="AD39" i="20" s="1"/>
  <c r="I39" i="20"/>
  <c r="J39" i="20"/>
  <c r="K39" i="20"/>
  <c r="L39" i="20"/>
  <c r="M39" i="20"/>
  <c r="N39" i="20"/>
  <c r="O39" i="20"/>
  <c r="P39" i="20"/>
  <c r="Q39" i="20"/>
  <c r="R39" i="20"/>
  <c r="S39" i="20"/>
  <c r="T39" i="20"/>
  <c r="U39" i="20"/>
  <c r="V39" i="20"/>
  <c r="W39" i="20"/>
  <c r="X39" i="20"/>
  <c r="Y39" i="20"/>
  <c r="Z39" i="20"/>
  <c r="AA39" i="20"/>
  <c r="AB39" i="20"/>
  <c r="AC39" i="20"/>
  <c r="B40" i="20"/>
  <c r="C40" i="20"/>
  <c r="D40" i="20"/>
  <c r="E40" i="20"/>
  <c r="F40" i="20"/>
  <c r="G40" i="20"/>
  <c r="H40" i="20"/>
  <c r="A40" i="20" s="1"/>
  <c r="AD40" i="20" s="1"/>
  <c r="I40" i="20"/>
  <c r="J40" i="20"/>
  <c r="K40" i="20"/>
  <c r="L40" i="20"/>
  <c r="M40" i="20"/>
  <c r="N40" i="20"/>
  <c r="O40" i="20"/>
  <c r="P40" i="20"/>
  <c r="Q40" i="20"/>
  <c r="R40" i="20"/>
  <c r="S40" i="20"/>
  <c r="T40" i="20"/>
  <c r="U40" i="20"/>
  <c r="V40" i="20"/>
  <c r="W40" i="20"/>
  <c r="X40" i="20"/>
  <c r="Y40" i="20"/>
  <c r="Z40" i="20"/>
  <c r="AA40" i="20"/>
  <c r="AB40" i="20"/>
  <c r="AC40" i="20"/>
  <c r="B41" i="20"/>
  <c r="C41" i="20"/>
  <c r="D41" i="20"/>
  <c r="E41" i="20"/>
  <c r="F41" i="20"/>
  <c r="G41" i="20"/>
  <c r="H41" i="20"/>
  <c r="A41" i="20" s="1"/>
  <c r="AD41" i="20" s="1"/>
  <c r="I41" i="20"/>
  <c r="J41" i="20"/>
  <c r="K41" i="20"/>
  <c r="L41" i="20"/>
  <c r="M41" i="20"/>
  <c r="N41" i="20"/>
  <c r="O41" i="20"/>
  <c r="P41" i="20"/>
  <c r="Q41" i="20"/>
  <c r="R41" i="20"/>
  <c r="S41" i="20"/>
  <c r="T41" i="20"/>
  <c r="U41" i="20"/>
  <c r="V41" i="20"/>
  <c r="W41" i="20"/>
  <c r="X41" i="20"/>
  <c r="Y41" i="20"/>
  <c r="Z41" i="20"/>
  <c r="AA41" i="20"/>
  <c r="AB41" i="20"/>
  <c r="AC41" i="20"/>
  <c r="B42" i="20"/>
  <c r="C42" i="20"/>
  <c r="D42" i="20"/>
  <c r="E42" i="20"/>
  <c r="F42" i="20"/>
  <c r="G42" i="20"/>
  <c r="H42" i="20"/>
  <c r="A42" i="20" s="1"/>
  <c r="AD42" i="20" s="1"/>
  <c r="I42" i="20"/>
  <c r="J42" i="20"/>
  <c r="K42" i="20"/>
  <c r="L42" i="20"/>
  <c r="M42" i="20"/>
  <c r="N42" i="20"/>
  <c r="O42" i="20"/>
  <c r="P42" i="20"/>
  <c r="Q42" i="20"/>
  <c r="R42" i="20"/>
  <c r="S42" i="20"/>
  <c r="T42" i="20"/>
  <c r="U42" i="20"/>
  <c r="V42" i="20"/>
  <c r="W42" i="20"/>
  <c r="X42" i="20"/>
  <c r="Y42" i="20"/>
  <c r="Z42" i="20"/>
  <c r="AA42" i="20"/>
  <c r="AB42" i="20"/>
  <c r="AC42" i="20"/>
  <c r="B43" i="20"/>
  <c r="C43" i="20"/>
  <c r="D43" i="20"/>
  <c r="E43" i="20"/>
  <c r="F43" i="20"/>
  <c r="G43" i="20"/>
  <c r="H43" i="20"/>
  <c r="A43" i="20" s="1"/>
  <c r="AD43" i="20" s="1"/>
  <c r="I43" i="20"/>
  <c r="J43" i="20"/>
  <c r="K43" i="20"/>
  <c r="L43" i="20"/>
  <c r="M43" i="20"/>
  <c r="N43" i="20"/>
  <c r="O43" i="20"/>
  <c r="P43" i="20"/>
  <c r="Q43" i="20"/>
  <c r="R43" i="20"/>
  <c r="S43" i="20"/>
  <c r="T43" i="20"/>
  <c r="U43" i="20"/>
  <c r="V43" i="20"/>
  <c r="W43" i="20"/>
  <c r="X43" i="20"/>
  <c r="Y43" i="20"/>
  <c r="Z43" i="20"/>
  <c r="AA43" i="20"/>
  <c r="AB43" i="20"/>
  <c r="AC43" i="20"/>
  <c r="B44" i="20"/>
  <c r="C44" i="20"/>
  <c r="D44" i="20"/>
  <c r="E44" i="20"/>
  <c r="F44" i="20"/>
  <c r="G44" i="20"/>
  <c r="H44" i="20"/>
  <c r="A44" i="20" s="1"/>
  <c r="AD44" i="20" s="1"/>
  <c r="I44" i="20"/>
  <c r="J44" i="20"/>
  <c r="K44" i="20"/>
  <c r="L44" i="20"/>
  <c r="M44" i="20"/>
  <c r="N44" i="20"/>
  <c r="O44" i="20"/>
  <c r="P44" i="20"/>
  <c r="Q44" i="20"/>
  <c r="R44" i="20"/>
  <c r="S44" i="20"/>
  <c r="T44" i="20"/>
  <c r="U44" i="20"/>
  <c r="V44" i="20"/>
  <c r="W44" i="20"/>
  <c r="X44" i="20"/>
  <c r="Y44" i="20"/>
  <c r="Z44" i="20"/>
  <c r="AA44" i="20"/>
  <c r="AB44" i="20"/>
  <c r="AC44" i="20"/>
  <c r="B45" i="20"/>
  <c r="C45" i="20"/>
  <c r="D45" i="20"/>
  <c r="E45" i="20"/>
  <c r="F45" i="20"/>
  <c r="G45" i="20"/>
  <c r="H45" i="20"/>
  <c r="A45" i="20" s="1"/>
  <c r="AD45" i="20" s="1"/>
  <c r="I45" i="20"/>
  <c r="J45" i="20"/>
  <c r="K45" i="20"/>
  <c r="L45" i="20"/>
  <c r="M45" i="20"/>
  <c r="N45" i="20"/>
  <c r="O45" i="20"/>
  <c r="P45" i="20"/>
  <c r="Q45" i="20"/>
  <c r="R45" i="20"/>
  <c r="S45" i="20"/>
  <c r="T45" i="20"/>
  <c r="U45" i="20"/>
  <c r="V45" i="20"/>
  <c r="W45" i="20"/>
  <c r="X45" i="20"/>
  <c r="Y45" i="20"/>
  <c r="Z45" i="20"/>
  <c r="AA45" i="20"/>
  <c r="AB45" i="20"/>
  <c r="AC45" i="20"/>
  <c r="B46" i="20"/>
  <c r="C46" i="20"/>
  <c r="D46" i="20"/>
  <c r="E46" i="20"/>
  <c r="F46" i="20"/>
  <c r="G46" i="20"/>
  <c r="H46" i="20"/>
  <c r="A46" i="20" s="1"/>
  <c r="AD46" i="20" s="1"/>
  <c r="I46" i="20"/>
  <c r="J46" i="20"/>
  <c r="K46" i="20"/>
  <c r="L46" i="20"/>
  <c r="M46" i="20"/>
  <c r="N46" i="20"/>
  <c r="O46" i="20"/>
  <c r="P46" i="20"/>
  <c r="Q46" i="20"/>
  <c r="R46" i="20"/>
  <c r="S46" i="20"/>
  <c r="T46" i="20"/>
  <c r="U46" i="20"/>
  <c r="V46" i="20"/>
  <c r="W46" i="20"/>
  <c r="X46" i="20"/>
  <c r="Y46" i="20"/>
  <c r="Z46" i="20"/>
  <c r="AA46" i="20"/>
  <c r="AB46" i="20"/>
  <c r="AC46" i="20"/>
  <c r="B47" i="20"/>
  <c r="C47" i="20"/>
  <c r="D47" i="20"/>
  <c r="E47" i="20"/>
  <c r="F47" i="20"/>
  <c r="G47" i="20"/>
  <c r="H47" i="20"/>
  <c r="A47" i="20" s="1"/>
  <c r="AD47" i="20" s="1"/>
  <c r="I47" i="20"/>
  <c r="J47" i="20"/>
  <c r="K47" i="20"/>
  <c r="L47" i="20"/>
  <c r="M47" i="20"/>
  <c r="N47" i="20"/>
  <c r="O47" i="20"/>
  <c r="P47" i="20"/>
  <c r="Q47" i="20"/>
  <c r="R47" i="20"/>
  <c r="S47" i="20"/>
  <c r="T47" i="20"/>
  <c r="U47" i="20"/>
  <c r="V47" i="20"/>
  <c r="W47" i="20"/>
  <c r="X47" i="20"/>
  <c r="Y47" i="20"/>
  <c r="Z47" i="20"/>
  <c r="AA47" i="20"/>
  <c r="AB47" i="20"/>
  <c r="AC47" i="20"/>
  <c r="B48" i="20"/>
  <c r="C48" i="20"/>
  <c r="D48" i="20"/>
  <c r="F48" i="20"/>
  <c r="G48" i="20"/>
  <c r="H48" i="20"/>
  <c r="A48" i="20" s="1"/>
  <c r="AD48" i="20" s="1"/>
  <c r="I48" i="20"/>
  <c r="J48" i="20"/>
  <c r="K48" i="20"/>
  <c r="L48" i="20"/>
  <c r="M48" i="20"/>
  <c r="N48" i="20"/>
  <c r="O48" i="20"/>
  <c r="P48" i="20"/>
  <c r="Q48" i="20"/>
  <c r="R48" i="20"/>
  <c r="S48" i="20"/>
  <c r="T48" i="20"/>
  <c r="U48" i="20"/>
  <c r="V48" i="20"/>
  <c r="W48" i="20"/>
  <c r="X48" i="20"/>
  <c r="Y48" i="20"/>
  <c r="Z48" i="20"/>
  <c r="AA48" i="20"/>
  <c r="AB48" i="20"/>
  <c r="AC48" i="20"/>
  <c r="B49" i="20"/>
  <c r="C49" i="20"/>
  <c r="D49" i="20"/>
  <c r="F49" i="20"/>
  <c r="G49" i="20"/>
  <c r="H49" i="20"/>
  <c r="A49" i="20" s="1"/>
  <c r="AD49" i="20" s="1"/>
  <c r="I49" i="20"/>
  <c r="J49" i="20"/>
  <c r="K49" i="20"/>
  <c r="L49" i="20"/>
  <c r="M49" i="20"/>
  <c r="N49" i="20"/>
  <c r="O49" i="20"/>
  <c r="P49" i="20"/>
  <c r="Q49" i="20"/>
  <c r="R49" i="20"/>
  <c r="S49" i="20"/>
  <c r="T49" i="20"/>
  <c r="U49" i="20"/>
  <c r="V49" i="20"/>
  <c r="W49" i="20"/>
  <c r="X49" i="20"/>
  <c r="Y49" i="20"/>
  <c r="Z49" i="20"/>
  <c r="AA49" i="20"/>
  <c r="AB49" i="20"/>
  <c r="AC49" i="20"/>
  <c r="B50" i="20"/>
  <c r="C50" i="20"/>
  <c r="D50" i="20"/>
  <c r="F50" i="20"/>
  <c r="G50" i="20"/>
  <c r="H50" i="20"/>
  <c r="A50" i="20" s="1"/>
  <c r="AD50" i="20" s="1"/>
  <c r="I50" i="20"/>
  <c r="J50" i="20"/>
  <c r="K50" i="20"/>
  <c r="L50" i="20"/>
  <c r="M50" i="20"/>
  <c r="N50" i="20"/>
  <c r="O50" i="20"/>
  <c r="P50" i="20"/>
  <c r="Q50" i="20"/>
  <c r="R50" i="20"/>
  <c r="S50" i="20"/>
  <c r="T50" i="20"/>
  <c r="U50" i="20"/>
  <c r="V50" i="20"/>
  <c r="W50" i="20"/>
  <c r="X50" i="20"/>
  <c r="Y50" i="20"/>
  <c r="Z50" i="20"/>
  <c r="AA50" i="20"/>
  <c r="AB50" i="20"/>
  <c r="AC50" i="20"/>
  <c r="B51" i="20"/>
  <c r="C51" i="20"/>
  <c r="D51" i="20"/>
  <c r="F51" i="20"/>
  <c r="G51" i="20"/>
  <c r="H51" i="20"/>
  <c r="A51" i="20" s="1"/>
  <c r="AD51" i="20" s="1"/>
  <c r="I51" i="20"/>
  <c r="J51" i="20"/>
  <c r="K51" i="20"/>
  <c r="L51" i="20"/>
  <c r="M51" i="20"/>
  <c r="N51" i="20"/>
  <c r="O51" i="20"/>
  <c r="P51" i="20"/>
  <c r="Q51" i="20"/>
  <c r="R51" i="20"/>
  <c r="S51" i="20"/>
  <c r="T51" i="20"/>
  <c r="U51" i="20"/>
  <c r="V51" i="20"/>
  <c r="W51" i="20"/>
  <c r="X51" i="20"/>
  <c r="Y51" i="20"/>
  <c r="Z51" i="20"/>
  <c r="AA51" i="20"/>
  <c r="AB51" i="20"/>
  <c r="AC51" i="20"/>
  <c r="B52" i="20"/>
  <c r="C52" i="20"/>
  <c r="D52" i="20"/>
  <c r="F52" i="20"/>
  <c r="G52" i="20"/>
  <c r="H52" i="20"/>
  <c r="A52" i="20" s="1"/>
  <c r="AD52" i="20" s="1"/>
  <c r="I52" i="20"/>
  <c r="J52" i="20"/>
  <c r="K52" i="20"/>
  <c r="L52" i="20"/>
  <c r="M52" i="20"/>
  <c r="N52" i="20"/>
  <c r="O52" i="20"/>
  <c r="P52" i="20"/>
  <c r="Q52" i="20"/>
  <c r="R52" i="20"/>
  <c r="S52" i="20"/>
  <c r="T52" i="20"/>
  <c r="U52" i="20"/>
  <c r="V52" i="20"/>
  <c r="W52" i="20"/>
  <c r="X52" i="20"/>
  <c r="Y52" i="20"/>
  <c r="Z52" i="20"/>
  <c r="AA52" i="20"/>
  <c r="AB52" i="20"/>
  <c r="AC52" i="20"/>
  <c r="B53" i="20"/>
  <c r="C53" i="20"/>
  <c r="D53" i="20"/>
  <c r="F53" i="20"/>
  <c r="G53" i="20"/>
  <c r="H53" i="20"/>
  <c r="A53" i="20" s="1"/>
  <c r="AD53" i="20" s="1"/>
  <c r="I53" i="20"/>
  <c r="J53" i="20"/>
  <c r="K53" i="20"/>
  <c r="L53" i="20"/>
  <c r="M53" i="20"/>
  <c r="N53" i="20"/>
  <c r="O53" i="20"/>
  <c r="P53" i="20"/>
  <c r="Q53" i="20"/>
  <c r="R53" i="20"/>
  <c r="S53" i="20"/>
  <c r="T53" i="20"/>
  <c r="U53" i="20"/>
  <c r="V53" i="20"/>
  <c r="W53" i="20"/>
  <c r="X53" i="20"/>
  <c r="Y53" i="20"/>
  <c r="Z53" i="20"/>
  <c r="AA53" i="20"/>
  <c r="AB53" i="20"/>
  <c r="AC53" i="20"/>
  <c r="C6" i="20"/>
  <c r="D6" i="20"/>
  <c r="F6" i="20"/>
  <c r="G6" i="20"/>
  <c r="H6" i="20"/>
  <c r="A6" i="20" s="1"/>
  <c r="AD6" i="20" s="1"/>
  <c r="I6" i="20"/>
  <c r="J6" i="20"/>
  <c r="K6" i="20"/>
  <c r="L6" i="20"/>
  <c r="M6" i="20"/>
  <c r="N6" i="20"/>
  <c r="O6" i="20"/>
  <c r="P6" i="20"/>
  <c r="Q6" i="20"/>
  <c r="R6" i="20"/>
  <c r="S6" i="20"/>
  <c r="T6" i="20"/>
  <c r="U6" i="20"/>
  <c r="V6" i="20"/>
  <c r="W6" i="20"/>
  <c r="X6" i="20"/>
  <c r="Y6" i="20"/>
  <c r="Z6" i="20"/>
  <c r="AA6" i="20"/>
  <c r="AB6" i="20"/>
  <c r="AC6" i="20"/>
  <c r="B6" i="20"/>
  <c r="E54" i="20"/>
  <c r="I49" i="19"/>
  <c r="I44" i="19"/>
  <c r="I39" i="19"/>
  <c r="I36" i="19"/>
  <c r="I23" i="19"/>
  <c r="I19" i="19"/>
  <c r="I14" i="19"/>
  <c r="G28" i="26" l="1"/>
  <c r="E30" i="26"/>
  <c r="H31" i="26"/>
  <c r="H28" i="26"/>
  <c r="F30" i="26"/>
  <c r="E27" i="26"/>
  <c r="D31" i="26"/>
  <c r="D29" i="26"/>
  <c r="G30" i="26"/>
  <c r="F27" i="26"/>
  <c r="E29" i="26"/>
  <c r="H30" i="26"/>
  <c r="G27" i="26"/>
  <c r="F29" i="26"/>
  <c r="D28" i="26"/>
  <c r="G29" i="26"/>
  <c r="E31" i="26"/>
  <c r="D27" i="26"/>
  <c r="D30" i="26"/>
  <c r="E28" i="26"/>
  <c r="H29" i="26"/>
  <c r="F31" i="26"/>
  <c r="F28" i="26"/>
  <c r="H27" i="26"/>
  <c r="G31" i="26"/>
  <c r="D36" i="26"/>
  <c r="G37" i="26"/>
  <c r="E39" i="26"/>
  <c r="H40" i="26"/>
  <c r="F42" i="26"/>
  <c r="E35" i="26"/>
  <c r="H37" i="26"/>
  <c r="F39" i="26"/>
  <c r="D41" i="26"/>
  <c r="G42" i="26"/>
  <c r="F35" i="26"/>
  <c r="F38" i="26"/>
  <c r="E36" i="26"/>
  <c r="F36" i="26"/>
  <c r="D38" i="26"/>
  <c r="G39" i="26"/>
  <c r="E41" i="26"/>
  <c r="H42" i="26"/>
  <c r="G35" i="26"/>
  <c r="E38" i="26"/>
  <c r="H39" i="26"/>
  <c r="F41" i="26"/>
  <c r="D43" i="26"/>
  <c r="H35" i="26"/>
  <c r="D40" i="26"/>
  <c r="G36" i="26"/>
  <c r="H36" i="26"/>
  <c r="D37" i="26"/>
  <c r="G38" i="26"/>
  <c r="E40" i="26"/>
  <c r="H41" i="26"/>
  <c r="F43" i="26"/>
  <c r="D35" i="26"/>
  <c r="E37" i="26"/>
  <c r="H38" i="26"/>
  <c r="F40" i="26"/>
  <c r="D42" i="26"/>
  <c r="G43" i="26"/>
  <c r="E43" i="26"/>
  <c r="F37" i="26"/>
  <c r="D39" i="26"/>
  <c r="G40" i="26"/>
  <c r="E42" i="26"/>
  <c r="H43" i="26"/>
  <c r="G41" i="26"/>
  <c r="F5" i="26"/>
  <c r="D9" i="26"/>
  <c r="G11" i="26"/>
  <c r="F13" i="26"/>
  <c r="G13" i="26"/>
  <c r="G3" i="26"/>
  <c r="H5" i="26"/>
  <c r="F9" i="26"/>
  <c r="E3" i="26"/>
  <c r="H13" i="26"/>
  <c r="D7" i="26"/>
  <c r="F7" i="26"/>
  <c r="D11" i="26"/>
  <c r="H3" i="26"/>
  <c r="H7" i="26"/>
  <c r="G5" i="26"/>
  <c r="D3" i="26"/>
  <c r="H9" i="26"/>
  <c r="D5" i="26"/>
  <c r="G7" i="26"/>
  <c r="E11" i="26"/>
  <c r="D13" i="26"/>
  <c r="E5" i="26"/>
  <c r="F11" i="26"/>
  <c r="E9" i="26"/>
  <c r="F3" i="26"/>
  <c r="E13" i="26"/>
  <c r="H11" i="26"/>
  <c r="G9" i="26"/>
  <c r="E7" i="26"/>
  <c r="B35" i="21"/>
  <c r="B34" i="21"/>
  <c r="D18" i="21"/>
  <c r="K29" i="21"/>
  <c r="D17" i="21"/>
  <c r="D29" i="21"/>
  <c r="K13" i="21"/>
  <c r="D24" i="21"/>
  <c r="F13" i="21"/>
  <c r="D23" i="21"/>
  <c r="A13" i="21"/>
  <c r="D19" i="21"/>
  <c r="M24" i="21"/>
  <c r="D25" i="21"/>
  <c r="D22" i="21"/>
  <c r="I8" i="21"/>
  <c r="D21" i="21"/>
  <c r="J6" i="21"/>
  <c r="D26" i="21"/>
  <c r="I11" i="19"/>
  <c r="I31" i="26" l="1"/>
  <c r="K31" i="26" s="1"/>
  <c r="D18" i="26"/>
  <c r="I38" i="26"/>
  <c r="K38" i="26" s="1"/>
  <c r="I42" i="26"/>
  <c r="K42" i="26" s="1"/>
  <c r="I37" i="26"/>
  <c r="K37" i="26" s="1"/>
  <c r="I39" i="26"/>
  <c r="K39" i="26" s="1"/>
  <c r="I29" i="26"/>
  <c r="K29" i="26" s="1"/>
  <c r="D16" i="26"/>
  <c r="I28" i="26"/>
  <c r="K28" i="26" s="1"/>
  <c r="G18" i="26"/>
  <c r="D20" i="26"/>
  <c r="G20" i="26" s="1"/>
  <c r="D19" i="26"/>
  <c r="I30" i="26"/>
  <c r="K30" i="26" s="1"/>
  <c r="I35" i="26"/>
  <c r="K35" i="26" s="1"/>
  <c r="I40" i="26"/>
  <c r="K40" i="26" s="1"/>
  <c r="I41" i="26"/>
  <c r="K41" i="26" s="1"/>
  <c r="I36" i="26"/>
  <c r="K36" i="26" s="1"/>
  <c r="I27" i="26"/>
  <c r="K27" i="26" s="1"/>
  <c r="I43" i="26"/>
  <c r="K43" i="26" s="1"/>
  <c r="D17" i="26"/>
  <c r="X7" i="20"/>
  <c r="M27" i="21" s="1"/>
  <c r="E8" i="20"/>
  <c r="E7" i="20"/>
  <c r="D21" i="26" l="1"/>
  <c r="G19" i="26"/>
  <c r="G17" i="26"/>
  <c r="G16" i="26"/>
  <c r="E16" i="26"/>
  <c r="V7" i="20"/>
  <c r="M25" i="21" s="1"/>
  <c r="W7" i="20"/>
  <c r="M26" i="21" s="1"/>
  <c r="E6" i="20"/>
  <c r="G21" i="26" l="1"/>
  <c r="B15" i="26" s="1"/>
  <c r="E20" i="26"/>
  <c r="E18" i="26"/>
  <c r="E17" i="26"/>
  <c r="E19" i="26"/>
  <c r="I12" i="17"/>
  <c r="I12" i="16"/>
  <c r="I12" i="15"/>
  <c r="I12" i="14"/>
  <c r="I12" i="13"/>
  <c r="I13" i="12"/>
  <c r="I16" i="11"/>
  <c r="I14" i="10"/>
  <c r="D23" i="26" l="1"/>
  <c r="K21" i="26"/>
  <c r="K22" i="26" s="1"/>
  <c r="K24" i="26" s="1"/>
  <c r="E53" i="20"/>
  <c r="E52" i="20"/>
  <c r="E51" i="20"/>
  <c r="E50" i="20"/>
  <c r="E49" i="20"/>
  <c r="E48" i="20"/>
  <c r="E16" i="20" l="1"/>
  <c r="E15" i="20"/>
  <c r="E14" i="20"/>
  <c r="E13" i="20"/>
  <c r="E17" i="20"/>
  <c r="E18" i="20"/>
  <c r="E19" i="20"/>
  <c r="E20" i="20"/>
  <c r="D56" i="3"/>
  <c r="H2" i="6"/>
  <c r="G2" i="6"/>
  <c r="F2" i="6"/>
  <c r="E2" i="6"/>
  <c r="D2" i="6"/>
  <c r="H5" i="6"/>
  <c r="H4" i="6"/>
  <c r="H3" i="6"/>
  <c r="G6" i="6"/>
  <c r="G5" i="6"/>
  <c r="G4" i="6"/>
  <c r="G3" i="6"/>
  <c r="F5" i="6"/>
  <c r="F4" i="6"/>
  <c r="F3" i="6"/>
  <c r="E6" i="6"/>
  <c r="E5" i="6"/>
  <c r="E4" i="6"/>
  <c r="E3" i="6"/>
  <c r="D7" i="6"/>
  <c r="D6" i="6"/>
  <c r="D5" i="6"/>
  <c r="D4" i="6"/>
  <c r="D3" i="6"/>
  <c r="E12" i="20"/>
  <c r="E11" i="20"/>
  <c r="E10" i="20" l="1"/>
  <c r="E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6D39BE5C-E15D-466C-8828-29ACCA65E2A9}">
      <text>
        <r>
          <rPr>
            <sz val="11"/>
            <color theme="1"/>
            <rFont val="Calibri"/>
            <family val="2"/>
          </rPr>
          <t>======
ID#AAAATNGAWJg
John Fredy García López    (2022-01-19 00:29:30)
Número consecutivo de acciones.</t>
        </r>
      </text>
    </comment>
    <comment ref="C12" authorId="0" shapeId="0" xr:uid="{FF119E25-79F1-433A-B8F5-CC4015B8064E}">
      <text>
        <r>
          <rPr>
            <sz val="11"/>
            <color theme="1"/>
            <rFont val="Calibri"/>
            <family val="2"/>
          </rPr>
          <t>======
ID#AAAATNGAWJw
John Fredy García López    (2022-01-19 00:29:30)
Descripción específica de las actividades a realizar en el cumplimiento de la implementación del subsistema.</t>
        </r>
      </text>
    </comment>
    <comment ref="D12" authorId="0" shapeId="0" xr:uid="{2AC8C802-D265-4D28-A691-674517DA097C}">
      <text>
        <r>
          <rPr>
            <sz val="11"/>
            <color theme="1"/>
            <rFont val="Calibri"/>
            <family val="2"/>
          </rPr>
          <t>======
ID#AAAATNGAWJE
John Fredy García López    (2022-01-19 00:29:30)
Defina el área y cargo responsable de la ejecución de la actividad planteada.</t>
        </r>
      </text>
    </comment>
    <comment ref="E12" authorId="0" shapeId="0" xr:uid="{EAD89332-3893-414A-9C05-78605AECCF9C}">
      <text>
        <r>
          <rPr>
            <sz val="11"/>
            <color theme="1"/>
            <rFont val="Calibri"/>
            <family val="2"/>
          </rPr>
          <t>======
ID#AAAATNGAWJ0
John Fredy García López    (2022-01-19 00:29:30)
Defina el indicador con el que se mide la actividad propuesta, o el producto esperado de la actividad propuesta.</t>
        </r>
      </text>
    </comment>
    <comment ref="F12" authorId="0" shapeId="0" xr:uid="{7E43D4AC-B242-4867-BC2B-15AEE901B03B}">
      <text>
        <r>
          <rPr>
            <sz val="11"/>
            <color theme="1"/>
            <rFont val="Calibri"/>
            <family val="2"/>
          </rPr>
          <t>======
ID#AAAATNGAWJo
John Fredy García López    (2022-01-19 00:29:30)
Establezca la meta que se pretende alcanzar, en cumplimiento del indicador formulado.</t>
        </r>
      </text>
    </comment>
    <comment ref="I12" authorId="0" shapeId="0" xr:uid="{741629F6-66A4-4E6C-90BD-A7A33CEFC1ED}">
      <text>
        <r>
          <rPr>
            <sz val="11"/>
            <color theme="1"/>
            <rFont val="Calibri"/>
            <family val="2"/>
          </rPr>
          <t>======
ID#AAAATNGAWJM
John Fredy García López    (2022-01-19 00:29:30)
Definir ponderación de la actividad (si se requiere)</t>
        </r>
      </text>
    </comment>
    <comment ref="I14" authorId="0" shapeId="0" xr:uid="{00F52926-C7EB-4FA2-8797-716D9E3C877D}">
      <text>
        <r>
          <rPr>
            <sz val="11"/>
            <color theme="1"/>
            <rFont val="Calibri"/>
            <family val="2"/>
          </rPr>
          <t>======
ID#AAAATNGAWI4
John Fredy García López    (2022-01-19 00:29:30)
Debe corresponder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5ADC74C7-93DD-4D4A-94F9-8A9ADCF7117E}">
      <text>
        <r>
          <rPr>
            <sz val="11"/>
            <color theme="1"/>
            <rFont val="Calibri"/>
            <family val="2"/>
          </rPr>
          <t>======
ID#AAAATNGAWI0
John Fredy García López    (2022-01-19 00:29:30)
Número consecutivo de acciones.</t>
        </r>
      </text>
    </comment>
    <comment ref="C14" authorId="0" shapeId="0" xr:uid="{A915589A-B6B7-4906-BCD9-911C8E915394}">
      <text>
        <r>
          <rPr>
            <sz val="11"/>
            <color theme="1"/>
            <rFont val="Calibri"/>
            <family val="2"/>
          </rPr>
          <t>======
ID#AAAATNGAWI8
John Fredy García López    (2022-01-19 00:29:30)
Descripción específica de las actividades a realizar en el cumplimiento de la implementación del subsistema.</t>
        </r>
      </text>
    </comment>
    <comment ref="D14" authorId="0" shapeId="0" xr:uid="{A51E58DF-AB15-465A-8F69-CC1A6BD8ECE4}">
      <text>
        <r>
          <rPr>
            <sz val="11"/>
            <color theme="1"/>
            <rFont val="Calibri"/>
            <family val="2"/>
          </rPr>
          <t>======
ID#AAAATNGAWIk
John Fredy García López    (2022-01-19 00:29:30)
Defina el área y cargo responsable de la ejecución de la actividad planteada.</t>
        </r>
      </text>
    </comment>
    <comment ref="E14" authorId="0" shapeId="0" xr:uid="{DC027C75-BFDC-41A7-BD84-902390A2B662}">
      <text>
        <r>
          <rPr>
            <sz val="11"/>
            <color theme="1"/>
            <rFont val="Calibri"/>
            <family val="2"/>
          </rPr>
          <t>======
ID#AAAATNGAWJQ
John Fredy García López    (2022-01-19 00:29:30)
Defina el indicador con el que se mide la actividad propuesta, o el producto esperado de la actividad propuesta.</t>
        </r>
      </text>
    </comment>
    <comment ref="F14" authorId="0" shapeId="0" xr:uid="{133DAD46-57E0-4D38-A130-069150F23EFE}">
      <text>
        <r>
          <rPr>
            <sz val="11"/>
            <color theme="1"/>
            <rFont val="Calibri"/>
            <family val="2"/>
          </rPr>
          <t>======
ID#AAAATNGAWIo
John Fredy García López    (2022-01-19 00:29:30)
Establezca la meta que se pretende alcanzar, en cumplimiento del indicador formulado.</t>
        </r>
      </text>
    </comment>
    <comment ref="I15" authorId="0" shapeId="0" xr:uid="{5CF8511C-E1E3-44DA-B1EA-4ACB0B7DE41D}">
      <text>
        <r>
          <rPr>
            <sz val="11"/>
            <color theme="1"/>
            <rFont val="Calibri"/>
            <family val="2"/>
          </rPr>
          <t>======
ID#AAAATNGAWJs
John Fredy García López    (2022-01-19 00:29:30)
Definir ponderación de la actividad (si se requiere)</t>
        </r>
      </text>
    </comment>
    <comment ref="I16" authorId="0" shapeId="0" xr:uid="{5A3FA9E4-1DD7-45A5-94A6-4D0570042691}">
      <text>
        <r>
          <rPr>
            <sz val="11"/>
            <color theme="1"/>
            <rFont val="Calibri"/>
            <family val="2"/>
          </rPr>
          <t>======
ID#AAAATNGAWJc
John Fredy García López    (2022-01-19 00:29:30)
Debe corresponder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855F9A2A-3CBA-4A6A-B629-801279EEABA5}">
      <text>
        <r>
          <rPr>
            <sz val="11"/>
            <color theme="1"/>
            <rFont val="Calibri"/>
            <family val="2"/>
          </rPr>
          <t>======
ID#AAAATNGAWIs
John Fredy García López    (2022-01-19 00:29:30)
Número consecutivo de acciones.</t>
        </r>
      </text>
    </comment>
    <comment ref="C11" authorId="0" shapeId="0" xr:uid="{D277560E-2F28-4250-B991-C9CE4F092DDE}">
      <text>
        <r>
          <rPr>
            <sz val="11"/>
            <color theme="1"/>
            <rFont val="Calibri"/>
            <family val="2"/>
          </rPr>
          <t>======
ID#AAAATNGAWJA
John Fredy García López    (2022-01-19 00:29:30)
Descripción específica de las actividades a realizar en el cumplimiento de la implementación del subsistema.</t>
        </r>
      </text>
    </comment>
    <comment ref="D11" authorId="0" shapeId="0" xr:uid="{C8CD93B8-9E8B-4D3E-96D4-96F1DA3C6677}">
      <text>
        <r>
          <rPr>
            <sz val="11"/>
            <color theme="1"/>
            <rFont val="Calibri"/>
            <family val="2"/>
          </rPr>
          <t>======
ID#AAAATNGAWIw
John Fredy García López    (2022-01-19 00:29:30)
Defina el área y cargo responsable de la ejecución de la actividad planteada.</t>
        </r>
      </text>
    </comment>
    <comment ref="E11" authorId="0" shapeId="0" xr:uid="{AA89847C-C6E8-45A3-8FCE-07431E41D890}">
      <text>
        <r>
          <rPr>
            <sz val="11"/>
            <color theme="1"/>
            <rFont val="Calibri"/>
            <family val="2"/>
          </rPr>
          <t>======
ID#AAAATNGAWJY
John Fredy García López    (2022-01-19 00:29:30)
Defina el indicador con el que se mide la actividad propuesta, o el producto esperado de la actividad propuesta.</t>
        </r>
      </text>
    </comment>
    <comment ref="F11" authorId="0" shapeId="0" xr:uid="{F3DFD87A-8610-4ABC-B4E7-78F1F55DC65A}">
      <text>
        <r>
          <rPr>
            <sz val="11"/>
            <color theme="1"/>
            <rFont val="Calibri"/>
            <family val="2"/>
          </rPr>
          <t>======
ID#AAAATNGAWJk
John Fredy García López    (2022-01-19 00:29:30)
Establezca la meta que se pretende alcanzar, en cumplimiento del indicador formulado.</t>
        </r>
      </text>
    </comment>
    <comment ref="I11" authorId="0" shapeId="0" xr:uid="{2D6DF5C9-B850-4D84-A068-032F3986BFAE}">
      <text>
        <r>
          <rPr>
            <sz val="11"/>
            <color theme="1"/>
            <rFont val="Calibri"/>
            <family val="2"/>
          </rPr>
          <t>======
ID#AAAATNGAWJI
John Fredy García López    (2022-01-19 00:29:30)
Definir ponderación de la actividad (si se requiere)</t>
        </r>
      </text>
    </comment>
    <comment ref="I13" authorId="0" shapeId="0" xr:uid="{0518F910-1697-4114-9B9A-53B7C6CD0AB2}">
      <text>
        <r>
          <rPr>
            <sz val="11"/>
            <color theme="1"/>
            <rFont val="Calibri"/>
            <family val="2"/>
          </rPr>
          <t>======
ID#AAAATNGAWJU
John Fredy García López    (2022-01-19 00:29:30)
Debe corresponder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549B184A-4389-4ADD-ADAC-13727AE1BECB}">
      <text>
        <r>
          <rPr>
            <sz val="11"/>
            <color theme="1"/>
            <rFont val="Calibri"/>
            <family val="2"/>
          </rPr>
          <t>======
ID#AAAAUY_uglA
    (2022-01-18 22:47:19)
Número consecutivo de acciones.</t>
        </r>
      </text>
    </comment>
    <comment ref="C11" authorId="0" shapeId="0" xr:uid="{5B89F76B-097C-4A25-A32D-6E25AA133BB9}">
      <text>
        <r>
          <rPr>
            <sz val="11"/>
            <color theme="1"/>
            <rFont val="Calibri"/>
            <family val="2"/>
          </rPr>
          <t>======
ID#AAAAUY_uglE
    (2022-01-18 22:47:19)
Descripción específica de las actividades a realizar en el cumplimiento de la implementación del subsistema.</t>
        </r>
      </text>
    </comment>
    <comment ref="D11" authorId="0" shapeId="0" xr:uid="{E09F976E-2CF8-4F40-998E-15EE2FB038F1}">
      <text>
        <r>
          <rPr>
            <sz val="11"/>
            <color theme="1"/>
            <rFont val="Calibri"/>
            <family val="2"/>
          </rPr>
          <t>======
ID#AAAAUY_ugk8
    (2022-01-18 22:47:19)
Defina el área y cargo responsable de la ejecución de la actividad planteada.</t>
        </r>
      </text>
    </comment>
    <comment ref="E11" authorId="0" shapeId="0" xr:uid="{72158CAA-4513-40CC-99FA-B4ED9A3226FE}">
      <text>
        <r>
          <rPr>
            <sz val="11"/>
            <color theme="1"/>
            <rFont val="Calibri"/>
            <family val="2"/>
          </rPr>
          <t>======
ID#AAAAUY_ugkw
    (2022-01-18 22:47:19)
Defina el indicador con el que se mide la actividad propuesta, o el producto esperado de la actividad propuesta.</t>
        </r>
      </text>
    </comment>
    <comment ref="F11" authorId="0" shapeId="0" xr:uid="{50061367-C6B4-4FE8-8060-193F18E670F7}">
      <text>
        <r>
          <rPr>
            <sz val="11"/>
            <color theme="1"/>
            <rFont val="Calibri"/>
            <family val="2"/>
          </rPr>
          <t>======
ID#AAAAUY_ugk0
    (2022-01-18 22:47:19)
Establezca la meta que se pretende alcanzar, en cumplimiento del indicador formulado.</t>
        </r>
      </text>
    </comment>
    <comment ref="I11" authorId="0" shapeId="0" xr:uid="{74D0E8C1-55A9-4B19-A657-BA7244AFC5D0}">
      <text>
        <r>
          <rPr>
            <sz val="11"/>
            <color theme="1"/>
            <rFont val="Calibri"/>
            <family val="2"/>
          </rPr>
          <t>======
ID#AAAAUY_uglI
    (2022-01-18 22:47:19)
Definir ponderación de la actividad (si se requiere)</t>
        </r>
      </text>
    </comment>
    <comment ref="I12" authorId="0" shapeId="0" xr:uid="{B04F84CF-F8A3-4965-ADD8-20E1986AFEA2}">
      <text>
        <r>
          <rPr>
            <sz val="11"/>
            <color theme="1"/>
            <rFont val="Calibri"/>
            <family val="2"/>
          </rPr>
          <t>======
ID#AAAAUY_ugk4
    (2022-01-18 22:47:19)
Debe corresponder 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C4EF55B-BC85-4874-A3AA-AA0B6C16A20B}">
      <text>
        <r>
          <rPr>
            <b/>
            <sz val="9"/>
            <color indexed="81"/>
            <rFont val="MingLiU_HKSCS"/>
            <family val="1"/>
          </rPr>
          <t>Número consecutivo de acciones.</t>
        </r>
      </text>
    </comment>
    <comment ref="C11" authorId="0" shapeId="0" xr:uid="{19E12FB2-663B-4726-896D-9FEC6DDA7CD0}">
      <text>
        <r>
          <rPr>
            <b/>
            <sz val="9"/>
            <color indexed="81"/>
            <rFont val="Tahoma"/>
            <family val="2"/>
          </rPr>
          <t>Descripción específica de las actividades a realizar en el cumplimiento de la implementación del subsistema.</t>
        </r>
      </text>
    </comment>
    <comment ref="D11" authorId="0" shapeId="0" xr:uid="{43AAE523-33B9-46FC-9947-B0059399CF7C}">
      <text>
        <r>
          <rPr>
            <b/>
            <sz val="9"/>
            <color indexed="81"/>
            <rFont val="Tahoma"/>
            <family val="2"/>
          </rPr>
          <t>Defina el área y cargo responsable de la ejecución de la actividad planteada.</t>
        </r>
      </text>
    </comment>
    <comment ref="E11" authorId="0" shapeId="0" xr:uid="{7098A859-8F4E-4075-9E8C-01D77B6A9CBE}">
      <text>
        <r>
          <rPr>
            <b/>
            <sz val="9"/>
            <color indexed="81"/>
            <rFont val="Tahoma"/>
            <family val="2"/>
          </rPr>
          <t>Defina el indicador con el que se mide la actividad propuesta, o el producto esperado de la actividad propuesta.</t>
        </r>
      </text>
    </comment>
    <comment ref="F11" authorId="0" shapeId="0" xr:uid="{44D8B886-8A5A-42B3-9379-B336C0F942FA}">
      <text>
        <r>
          <rPr>
            <b/>
            <sz val="9"/>
            <color indexed="81"/>
            <rFont val="Tahoma"/>
            <family val="2"/>
          </rPr>
          <t>Establezca la meta que se pretende alcanzar, en cumplimiento del indicador formulado.</t>
        </r>
      </text>
    </comment>
    <comment ref="I11" authorId="0" shapeId="0" xr:uid="{B72A5AC6-F730-42A5-AA14-8EBE848B8D77}">
      <text>
        <r>
          <rPr>
            <b/>
            <sz val="9"/>
            <color indexed="81"/>
            <rFont val="Tahoma"/>
            <family val="2"/>
          </rPr>
          <t>Definir ponderación de la actividad (si se requiere)</t>
        </r>
        <r>
          <rPr>
            <sz val="9"/>
            <color indexed="81"/>
            <rFont val="Tahoma"/>
            <family val="2"/>
          </rPr>
          <t xml:space="preserve">
</t>
        </r>
      </text>
    </comment>
    <comment ref="I12" authorId="0" shapeId="0" xr:uid="{CDE37E70-8308-445E-BDC7-3760CF855686}">
      <text>
        <r>
          <rPr>
            <b/>
            <sz val="9"/>
            <color indexed="81"/>
            <rFont val="Tahoma"/>
            <family val="2"/>
          </rPr>
          <t>Debe corresponder al 100%</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AAC15BA-1B9D-400B-8AA8-D362BFED2BC5}">
      <text>
        <r>
          <rPr>
            <b/>
            <sz val="9"/>
            <color indexed="81"/>
            <rFont val="MingLiU_HKSCS"/>
            <family val="1"/>
          </rPr>
          <t>Número consecutivo de acciones.</t>
        </r>
      </text>
    </comment>
    <comment ref="C11" authorId="0" shapeId="0" xr:uid="{B5A5BB7D-1FE5-487C-B973-16C87E4B07ED}">
      <text>
        <r>
          <rPr>
            <b/>
            <sz val="9"/>
            <color indexed="81"/>
            <rFont val="Tahoma"/>
            <family val="2"/>
          </rPr>
          <t>Descripción específica de las actividades a realizar en el cumplimiento de la implementación del subsistema.</t>
        </r>
      </text>
    </comment>
    <comment ref="D11" authorId="0" shapeId="0" xr:uid="{DE6B59A2-8801-48F5-8A91-33F4D3E89B4F}">
      <text>
        <r>
          <rPr>
            <b/>
            <sz val="9"/>
            <color indexed="81"/>
            <rFont val="Tahoma"/>
            <family val="2"/>
          </rPr>
          <t>Defina el área y cargo responsable de la ejecución de la actividad planteada.</t>
        </r>
      </text>
    </comment>
    <comment ref="E11" authorId="0" shapeId="0" xr:uid="{603E018D-A587-4316-8B4B-6E66033D88C1}">
      <text>
        <r>
          <rPr>
            <b/>
            <sz val="9"/>
            <color indexed="81"/>
            <rFont val="Tahoma"/>
            <family val="2"/>
          </rPr>
          <t>Defina el indicador con el que se mide la actividad propuesta, o el producto esperado de la actividad propuesta.</t>
        </r>
      </text>
    </comment>
    <comment ref="F11" authorId="0" shapeId="0" xr:uid="{03BEBB0A-034B-41E5-9219-536ACA19D04C}">
      <text>
        <r>
          <rPr>
            <b/>
            <sz val="9"/>
            <color indexed="81"/>
            <rFont val="Tahoma"/>
            <family val="2"/>
          </rPr>
          <t>Establezca la meta que se pretende alcanzar, en cumplimiento del indicador formulado.</t>
        </r>
      </text>
    </comment>
    <comment ref="I11" authorId="0" shapeId="0" xr:uid="{C4F4A7EB-986C-421B-81AC-80DF2A736C8F}">
      <text>
        <r>
          <rPr>
            <b/>
            <sz val="9"/>
            <color indexed="81"/>
            <rFont val="Tahoma"/>
            <family val="2"/>
          </rPr>
          <t>Definir ponderación de la actividad (si se requiere)</t>
        </r>
        <r>
          <rPr>
            <sz val="9"/>
            <color indexed="81"/>
            <rFont val="Tahoma"/>
            <family val="2"/>
          </rPr>
          <t xml:space="preserve">
</t>
        </r>
      </text>
    </comment>
    <comment ref="I12" authorId="0" shapeId="0" xr:uid="{2969CBA4-2460-4EFE-9D40-582D3E703B4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F39A5282-A597-468B-B4D9-01445B6CB6F9}">
      <text>
        <r>
          <rPr>
            <b/>
            <sz val="9"/>
            <color indexed="81"/>
            <rFont val="MingLiU_HKSCS"/>
            <family val="1"/>
          </rPr>
          <t>Número consecutivo de acciones.</t>
        </r>
      </text>
    </comment>
    <comment ref="C11" authorId="0" shapeId="0" xr:uid="{9B1721B1-0457-4385-B362-F79F26AD5DA8}">
      <text>
        <r>
          <rPr>
            <b/>
            <sz val="9"/>
            <color indexed="81"/>
            <rFont val="Tahoma"/>
            <family val="2"/>
          </rPr>
          <t>Descripción específica de las actividades a realizar en el cumplimiento de la implementación del subsistema.</t>
        </r>
      </text>
    </comment>
    <comment ref="D11" authorId="0" shapeId="0" xr:uid="{1AB167BE-2F96-4CF6-840D-E4282265EB23}">
      <text>
        <r>
          <rPr>
            <b/>
            <sz val="9"/>
            <color indexed="81"/>
            <rFont val="Tahoma"/>
            <family val="2"/>
          </rPr>
          <t>Defina el área y cargo responsable de la ejecución de la actividad planteada.</t>
        </r>
      </text>
    </comment>
    <comment ref="E11" authorId="0" shapeId="0" xr:uid="{B4ED0E56-D422-4307-89DB-D0A8B8004B66}">
      <text>
        <r>
          <rPr>
            <b/>
            <sz val="9"/>
            <color indexed="81"/>
            <rFont val="Tahoma"/>
            <family val="2"/>
          </rPr>
          <t>Defina el indicador con el que se mide la actividad propuesta, o el producto esperado de la actividad propuesta.</t>
        </r>
      </text>
    </comment>
    <comment ref="F11" authorId="0" shapeId="0" xr:uid="{3734978A-B4B4-4C36-A625-285DB36F4ED6}">
      <text>
        <r>
          <rPr>
            <b/>
            <sz val="9"/>
            <color indexed="81"/>
            <rFont val="Tahoma"/>
            <family val="2"/>
          </rPr>
          <t>Establezca la meta que se pretende alcanzar, en cumplimiento del indicador formulado.</t>
        </r>
      </text>
    </comment>
    <comment ref="I11" authorId="0" shapeId="0" xr:uid="{5BCDBE35-121D-4376-8E84-43789278A1B9}">
      <text>
        <r>
          <rPr>
            <b/>
            <sz val="9"/>
            <color indexed="81"/>
            <rFont val="Tahoma"/>
            <family val="2"/>
          </rPr>
          <t>Definir ponderación de la actividad (si se requiere)</t>
        </r>
        <r>
          <rPr>
            <sz val="9"/>
            <color indexed="81"/>
            <rFont val="Tahoma"/>
            <family val="2"/>
          </rPr>
          <t xml:space="preserve">
</t>
        </r>
      </text>
    </comment>
    <comment ref="I12" authorId="0" shapeId="0" xr:uid="{92E9137C-FF44-4E22-9D57-52500C0A9899}">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965B8C1-3F70-4721-8A9C-629FF9B6F2C2}">
      <text>
        <r>
          <rPr>
            <sz val="10"/>
            <color rgb="FF000000"/>
            <rFont val="Arial"/>
            <family val="2"/>
          </rPr>
          <t>Número consecutivo de acciones.</t>
        </r>
      </text>
    </comment>
    <comment ref="C11" authorId="0" shapeId="0" xr:uid="{73B00DEB-9A72-4488-AE72-A0F2EB40EB56}">
      <text>
        <r>
          <rPr>
            <sz val="10"/>
            <color rgb="FF000000"/>
            <rFont val="Arial"/>
            <family val="2"/>
          </rPr>
          <t>Descripción específica de las actividades a realizar en el cumplimiento de la implementación del subsistema.</t>
        </r>
      </text>
    </comment>
    <comment ref="D11" authorId="0" shapeId="0" xr:uid="{C46E9A2F-AE21-4467-8023-AE3AA56A53A5}">
      <text>
        <r>
          <rPr>
            <sz val="10"/>
            <color rgb="FF000000"/>
            <rFont val="Arial"/>
            <family val="2"/>
          </rPr>
          <t>Defina el área y cargo responsable de la ejecución de la actividad planteada.</t>
        </r>
      </text>
    </comment>
    <comment ref="E11" authorId="0" shapeId="0" xr:uid="{EF76537C-7730-403D-8076-F4E77B3F8C85}">
      <text>
        <r>
          <rPr>
            <sz val="10"/>
            <color rgb="FF000000"/>
            <rFont val="Arial"/>
            <family val="2"/>
          </rPr>
          <t>Defina el indicador con el que se mide la actividad propuesta, o el producto esperado de la actividad propuesta.</t>
        </r>
      </text>
    </comment>
    <comment ref="F11" authorId="0" shapeId="0" xr:uid="{38B71819-6818-47CA-B9D8-7A9CA4090E51}">
      <text>
        <r>
          <rPr>
            <sz val="10"/>
            <color rgb="FF000000"/>
            <rFont val="Arial"/>
            <family val="2"/>
          </rPr>
          <t>Establezca la meta que se pretende alcanzar, en cumplimiento del indicador formulado.</t>
        </r>
      </text>
    </comment>
    <comment ref="I11" authorId="0" shapeId="0" xr:uid="{99B0B914-BDD2-4FFF-A6A7-F77B8D050ED1}">
      <text>
        <r>
          <rPr>
            <sz val="10"/>
            <color rgb="FF000000"/>
            <rFont val="Arial"/>
            <family val="2"/>
          </rPr>
          <t xml:space="preserve">Definir ponderación de la actividad (si se requiere)
</t>
        </r>
      </text>
    </comment>
    <comment ref="I12" authorId="0" shapeId="0" xr:uid="{A2AF04FC-C825-4A0B-8F7D-64AED138C853}">
      <text>
        <r>
          <rPr>
            <sz val="10"/>
            <color rgb="FF000000"/>
            <rFont val="Arial"/>
            <family val="2"/>
          </rPr>
          <t xml:space="preserve">Debe corresponder al 100%
</t>
        </r>
      </text>
    </comment>
  </commentList>
</comments>
</file>

<file path=xl/sharedStrings.xml><?xml version="1.0" encoding="utf-8"?>
<sst xmlns="http://schemas.openxmlformats.org/spreadsheetml/2006/main" count="2391" uniqueCount="1186">
  <si>
    <t>Descripción</t>
  </si>
  <si>
    <t>Objetivo estratégico</t>
  </si>
  <si>
    <t>Proyecto / Plan</t>
  </si>
  <si>
    <t>Descripción del indicador</t>
  </si>
  <si>
    <t>Fórmula del indicador</t>
  </si>
  <si>
    <t>Actividades</t>
  </si>
  <si>
    <t>Unidad de medición</t>
  </si>
  <si>
    <t>Periodicidad</t>
  </si>
  <si>
    <t>Línea base</t>
  </si>
  <si>
    <t>Observaciones</t>
  </si>
  <si>
    <t>Líder estratégico</t>
  </si>
  <si>
    <t>Responsable de la medición</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</si>
  <si>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</si>
  <si>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</si>
  <si>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</si>
  <si>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</si>
  <si>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</si>
  <si>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</si>
  <si>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</si>
  <si>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</si>
  <si>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</si>
  <si>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</si>
  <si>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</si>
  <si>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</si>
  <si>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</si>
  <si>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</si>
  <si>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</si>
  <si>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</si>
  <si>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</si>
  <si>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</si>
  <si>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</si>
  <si>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Meta 2022</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</si>
  <si>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</si>
  <si>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</si>
  <si>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</si>
  <si>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</si>
  <si>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</si>
  <si>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</si>
  <si>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</si>
  <si>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</si>
  <si>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</si>
  <si>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</si>
  <si>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</si>
  <si>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</si>
  <si>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</si>
  <si>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</si>
  <si>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</si>
  <si>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</si>
  <si>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</si>
  <si>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</si>
  <si>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</si>
  <si>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</si>
  <si>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</si>
  <si>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</si>
  <si>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</si>
  <si>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</si>
  <si>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</si>
  <si>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</si>
  <si>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</si>
  <si>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</si>
  <si>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</si>
  <si>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</si>
  <si>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</si>
  <si>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</si>
  <si>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</si>
  <si>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</si>
  <si>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</si>
  <si>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</si>
  <si>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</si>
  <si>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</si>
  <si>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</si>
  <si>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Impulso y apropiación de herramientas de lecciones aprendidas.</t>
  </si>
  <si>
    <t>Posicionar al interior de Capital la cultura de gestión del conocimiento</t>
  </si>
  <si>
    <t>Lecciones aprendidas consolidadas.</t>
  </si>
  <si>
    <t>1 Eficacia: Cumplimiento de metas</t>
  </si>
  <si>
    <t>Medir la cantidad de lecciones aprendidas que se consolidan en la herramienta.</t>
  </si>
  <si>
    <t>Lecciones aprendidas documentadas</t>
  </si>
  <si>
    <t>Lecciones aprendidas identificadas para documentar.</t>
  </si>
  <si>
    <t>Porcentaje (%)</t>
  </si>
  <si>
    <t>1 Creciente: El resultado tiende a crecer en el tiempo</t>
  </si>
  <si>
    <t xml:space="preserve">1. Definición de los proyectos a los cuales se les documentará lecciones aprendidas.
2. Elaboración de los documentos de lecciones aprendidas.
3. Presentación de resultados. </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</si>
  <si>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</si>
  <si>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</si>
  <si>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</si>
  <si>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</si>
  <si>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</si>
  <si>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</si>
  <si>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Seguimiento a la ejecución de recursos del Plan Anual de Adquisiciones - PAA.</t>
  </si>
  <si>
    <t>5. Realizar el diagnóstico, diseño e implementación de una estructura administrativa acorde a las necesidades de Capital.</t>
  </si>
  <si>
    <t>Porcentaje de cumplimiento de los resultados del plan de fortalecimiento institucional.</t>
  </si>
  <si>
    <t>2 Eficiencia: Uso de los recursos.</t>
  </si>
  <si>
    <t>Realizar seguimientos sobre los avances mensuales a los resultados del plan de fortalecimiento institucional, con el fin de cumplir los requisitos de implementación y mantenimiento del Modelo Integrado de Planeación y Gestión - MIPG.</t>
  </si>
  <si>
    <t>Porcentaje de avances ejecutado para el mes</t>
  </si>
  <si>
    <t>Porcentaje de avances programado para el mes</t>
  </si>
  <si>
    <t>Lograr como mínimo el cumplimiento del 90% de los compromisos establecidos en el Plan de Fortalecimiento Institucional - PFI para la implementación del Modelo Integrado de Planeación y Gestión en la vigencia 2022.</t>
  </si>
  <si>
    <t>1. Mensualmente adelantar seguimiento a los resultados del PFI para reporte al SPI.
2. Trimestralmente consolidar el avance para el reporte a proyectos de inversión en SEGPLAN.</t>
  </si>
  <si>
    <t xml:space="preserve">Porcentaje del cumplimiento oportuno del cronograma de informes a cargo de planeación </t>
  </si>
  <si>
    <t xml:space="preserve">Número de informes o reportes ejecutados oportunamente por planeación </t>
  </si>
  <si>
    <t xml:space="preserve">Número de informes o reportes programados para ser ejecutados por planeación </t>
  </si>
  <si>
    <t>2 Constante: Se espera un valor o rango de resultado estable en el tiempo</t>
  </si>
  <si>
    <t>31% - 70%</t>
  </si>
  <si>
    <t xml:space="preserve">No aplica </t>
  </si>
  <si>
    <t>Medir el nivel de cumplimiento en la ejecución de los recursos sobre las adquisiciones planeadas para la vigencia</t>
  </si>
  <si>
    <t xml:space="preserve">Porcentaje de cumplimiento del Plan Anual de Adquisiciones </t>
  </si>
  <si>
    <t>Recursos ejecutados del Plan Anual de Adquisiciones - PAA de la vigencia 2022</t>
  </si>
  <si>
    <t>Total de recursos programados en el Plan Anual de Adquisiciones - PAA para la vigencia 2022</t>
  </si>
  <si>
    <t>31% - 60%</t>
  </si>
  <si>
    <t>61% - 90%</t>
  </si>
  <si>
    <t>Propósito 1
Logro de ciudad: 3 - 9 - 10
Propósito 3
Logro de ciudad: 22 - 23
Propósito 5
Logro de ciudad: 30</t>
  </si>
  <si>
    <t>Participación ciudadana en la gestión pública.</t>
  </si>
  <si>
    <t>Lograr la ejecución presupuestal como mínimo al 90% de acuerdo con la programación establecida en el Plan Anual de Adquisiciones - PAA.</t>
  </si>
  <si>
    <t>Informe mensual que exponga el trabajo conjunto con las entidades.</t>
  </si>
  <si>
    <t>La medición para el producto propuesto consiste en la elaboración de un documento que reúna las actividades realizadas con insumos. (piezas, imágenes, links).</t>
  </si>
  <si>
    <t>Informes elaborados, que den cuenta de las actividades adelantadas</t>
  </si>
  <si>
    <t>Número de informes planeados.</t>
  </si>
  <si>
    <t>Porcentaje (%).</t>
  </si>
  <si>
    <t>31%-60%</t>
  </si>
  <si>
    <t>61%-90%</t>
  </si>
  <si>
    <t>1. Levantamiento base de datos de aliados, entidades distritales y canales regionales.
2. Acompañamiento trabajo conjunto áreas de Capital y entidades objetivo.</t>
  </si>
  <si>
    <t>No aplica</t>
  </si>
  <si>
    <r>
      <t xml:space="preserve">Publicaciones logradas por el trabajo de </t>
    </r>
    <r>
      <rPr>
        <i/>
        <sz val="10"/>
        <color theme="1"/>
        <rFont val="Arial"/>
        <family val="2"/>
      </rPr>
      <t>free press</t>
    </r>
    <r>
      <rPr>
        <sz val="10"/>
        <color theme="1"/>
        <rFont val="Arial"/>
        <family val="2"/>
      </rPr>
      <t xml:space="preserve"> en los diferentes medios de comunicación.</t>
    </r>
  </si>
  <si>
    <t>Número de publicaciones alcanzadas</t>
  </si>
  <si>
    <t>Número de publicaciones proyectadas</t>
  </si>
  <si>
    <t>1. Recopilación de la información. 
2. Redacción de artículos / boletines.
3. Aprobación del producto.
4. Envío a medios.
5. Seguimiento.
6. Materialización de la publicación y/o entrevista.
7. Elaboración del informe de gestión.</t>
  </si>
  <si>
    <t>3 Efectividad: Impacto o beneficios generados.</t>
  </si>
  <si>
    <t>Realizar publicaciones, campañas, boletines y/o comunicados que ayuden a fomentar la cultura organizacional y el sentido de pertenencia.</t>
  </si>
  <si>
    <t>Número de solicitudes de comunicación recibidas sobre cultura organizacional y sentido de pertenencia.</t>
  </si>
  <si>
    <t>1. Definición de acciones con RRHH.
2. Recopilación de información
3. Realización de piezas gráficas.
4. Socialización</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</si>
  <si>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marketing, Capital Social y relaciones públicas, aun no deben iniciar.
2. Los porcentajes de cada trimestre corresponderán al avance alcanzado de acuerdo con Estrategia de marketing, Capital Social y relaciones públicas establecidas para la vigencia.
3. Al final de la vigencia, la sumatoria del resultado de cada trimestre corresponderá a la meta establecida, es decir 100 %. Los resultados parciales (cada trimestre) serán definidos de acuerdo Estrategia de marketing,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de marketing, Capital Social y relaciones públicas.</t>
  </si>
  <si>
    <t>&lt; 70 %</t>
  </si>
  <si>
    <t>70 % - 99,5 %</t>
  </si>
  <si>
    <t>99,6 -100%</t>
  </si>
  <si>
    <t>&gt; 100%</t>
  </si>
  <si>
    <t>Profesional de ventas y mercadeo y equipo de comunicación pública, según corresponda</t>
  </si>
  <si>
    <t>Proyecto audiovisual de cocreación de contenidos con el sector audiovisual local.</t>
  </si>
  <si>
    <t>Gestión presupuestal para llamados públicos</t>
  </si>
  <si>
    <t xml:space="preserve">Presupuesto diseñado, apropiado y/o comprometido para llamados públicos de cocreación con sector audiovisual local </t>
  </si>
  <si>
    <t>Presupuesto total para la producción de contenidos propios recursos hacienda y FuTic plan de inversión</t>
  </si>
  <si>
    <t>Rango entre 25 % al 40%</t>
  </si>
  <si>
    <t>Rango entre 25 % al 35,9 %</t>
  </si>
  <si>
    <t>Se realizará la medición teniendo en cuenta el intervalo de cumplimiento entre 25 % al 35,9 % del presupuesto total asignado a la Dirección Operativa, asignado a los llamados públicos.</t>
  </si>
  <si>
    <t>&lt; 23 %</t>
  </si>
  <si>
    <t>23 % al 24,9 %</t>
  </si>
  <si>
    <t>Entre 36 % y 40 %</t>
  </si>
  <si>
    <t>70 % - 99,9 %</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</si>
  <si>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</si>
  <si>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</si>
  <si>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</si>
  <si>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</si>
  <si>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Porcentaje de avance en la intervención de las plataformas</t>
  </si>
  <si>
    <t>Medición de la continuidad del servicio.</t>
  </si>
  <si>
    <t>Garantizar la calidad y continuidad de la señal de transmisión del canal, evaluando y monitoreando el correcto funcionamiento de los equipos técnicos que intervienen en la cadena de emisión y transmisión.</t>
  </si>
  <si>
    <t>Continuidad en la prestación del servicio</t>
  </si>
  <si>
    <t>100 - ((∑(Tiempo en minutos de falla de la seña del periodo reportado)</t>
  </si>
  <si>
    <t>∑(tiempo en minutos de la señal programa total))100%</t>
  </si>
  <si>
    <t>99 % - 100 %</t>
  </si>
  <si>
    <t>86 % - 95 %</t>
  </si>
  <si>
    <t>96 % - 100 %</t>
  </si>
  <si>
    <t>&gt; 100 %</t>
  </si>
  <si>
    <t>5. Realizar el diagnóstico, diseño e implementación de una estructura administrativa acorde a las necesidades de capital.</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</si>
  <si>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</si>
  <si>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</si>
  <si>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Cumplimiento del Plan Institucional de Gestión Ambiental - PIGA</t>
  </si>
  <si>
    <t>Se espera llevar el seguimiento de la implementación de las acciones establecidas en el Plan de Acción PIGA para cada vigencia en coherencia con la concertación para el periodo 2021-2024</t>
  </si>
  <si>
    <t>Número de actividades ejecutadas del Plan Institucional de Gestión Ambiental - PIGA</t>
  </si>
  <si>
    <t>Número de actividades programadas del Plan Institucional de Gestión Ambiental - PIGA</t>
  </si>
  <si>
    <t>&lt;30%</t>
  </si>
  <si>
    <t>71% - 89%</t>
  </si>
  <si>
    <t>&gt;89%</t>
  </si>
  <si>
    <t>Formulación del Plan de Acción anual PIGA (10%)
Ejecución de las actividades programadas (80%)
Seguimiento semestral del Plan de Acción para informes ante la SDA. (10%)</t>
  </si>
  <si>
    <t>Realizar el seguimiento al cumplimiento de las actividades programadas en el Plan Estratégico de tecnologías de la información - PETI</t>
  </si>
  <si>
    <t>Ejecutar como mínimo el 95% de las actividades programadas en el plan de tecnologías de la información (Plan Estratégico de Tecnologías de la Información - PETI).</t>
  </si>
  <si>
    <t>1. Planificación (20%)
2. Ejecución (80%)
3. Seguimiento al cumplimiento
4. Análisis y mejoramiento</t>
  </si>
  <si>
    <t xml:space="preserve">Fortalecer la plataforma tecnológica de la Entidad (Hardware y Software), manteniendo un esquema de alta disponibilidad y seguridad. </t>
  </si>
  <si>
    <t>Cumplimiento de actividades del Plan de seguridad y privacidad de la información</t>
  </si>
  <si>
    <t>Realizar el seguimiento al cumplimiento de las actividades programadas en el Plan de seguridad y privacidad de la información</t>
  </si>
  <si>
    <t xml:space="preserve">Ejecutar como mínimo el 95% de las actividades programadas en el Plan de Seguridad y Privacidad de la Información </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</si>
  <si>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</si>
  <si>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</si>
  <si>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Ejecutar como mínimo el 95% de las actividades programadas en el Plan de tratamiento de riesgos de seguridad y privacidad de la información.</t>
  </si>
  <si>
    <t>Ejecutar los planes y proyectos definidos en el Plan Institucional de Archivos PINAR de Canal Capital</t>
  </si>
  <si>
    <t>En relación a lo definido en el PINAR se presente ejecutar las actividades en cumplimiento de los cronogramas establecidos.</t>
  </si>
  <si>
    <t>Número de actividades ejecutadas del Plan Institucional de Archivos PINAR</t>
  </si>
  <si>
    <t>Número de actividades programadas del Plan Institucional de Archivos PINAR</t>
  </si>
  <si>
    <t>Se pretende dar cumplimiento como mínimo al 90% de las actividades establecidas en el Plan Institucional de Archivos PINAR para la vigencia 2022</t>
  </si>
  <si>
    <t>1. Actualización Tabla de Retención Documental. (35%)
2. Implementación y ejecución del SGDEA. (35%)
3. Seguimiento al cumplimiento de los planes proyectados.(30%)</t>
  </si>
  <si>
    <t xml:space="preserve">Profesional de Gestión Documental </t>
  </si>
  <si>
    <t>Plan de Fortalecimiento a la gestión administrativa y operativa de Servicios Administrativos</t>
  </si>
  <si>
    <t>Garantizar condiciones adecuadas en la infraestructura física de Canal Capital en sus dos sedes.</t>
  </si>
  <si>
    <t>Cumplimiento en los mantenimientos, adecuaciones o reparaciones locativas en la vigencia 2022</t>
  </si>
  <si>
    <t>Se espera medir el avance en el cumplimiento de las actividades programadas para garantizar y mantener en condiciones adecuadas la infraestructura física de la entidad.</t>
  </si>
  <si>
    <t>Número de adecuaciones, mantenimientos o reparaciones ejecutadas</t>
  </si>
  <si>
    <t>Número de adecuaciones, mantenimientos o reparaciones programadas</t>
  </si>
  <si>
    <t>1. Compra e instalación de una cocina integral para el inmueble (50%)
2. Mantenimientos, adecuaciones y/o reparaciones correctivas tanto a la sede calle 26 como al inmueble. (10%)
3. Mantenimientos locativos preventivos tanto a la sede calle 26 como al inmueble (40%)</t>
  </si>
  <si>
    <t>Técnico de Servicios Administrativos</t>
  </si>
  <si>
    <t>Salvaguardar el patrimonio de bienes muebles de Canal Capital evitando detrimentos patrimoniales a la entidad</t>
  </si>
  <si>
    <t>Cumplimiento de los cronogramas de Tomas Físicas de Inventarios en la vigencia 2022</t>
  </si>
  <si>
    <t>Se espera medir el avance en el cumplimiento de las actividades programadas para salvaguardar el patrimonio de bienes muebles de la entidad</t>
  </si>
  <si>
    <t xml:space="preserve">Número de tomas físicas ejecutadas </t>
  </si>
  <si>
    <t>Número de áreas programadas para tomas físicas</t>
  </si>
  <si>
    <t>1. Realizar una toma física de inventarios a los elementos catalogados como Consumo Controlado de Canal Capital (20%)
2. Realizar una toma física aleatoria a los bienes catalogados como Propiedad, Planta y Equipo de Canal Capital. (20%)
3. Realizar una toma física completa a los bienes catalogados como Propiedad, Planta y Equipo de Canal Capital (60%)</t>
  </si>
  <si>
    <t>Porcentaje de avance en la implementación del plan institucional de capacitación</t>
  </si>
  <si>
    <t>Realizar el seguimiento al cumplimiento de las acciones definidas en el Plan Institucional de Capacitación de la vigencia 2022.</t>
  </si>
  <si>
    <t>1.Identificación de necesidades de capacitación (20%)
2.Formulación del Plan de capacitación (10%)
3.Ejecución de las actividades programadas (50%)
4.Seguimiento al plan de capacitación. (20%)</t>
  </si>
  <si>
    <t>Profesional de Recursos Humanos</t>
  </si>
  <si>
    <t>Promedio de implementación de resultados del Plan estratégico de Recursos Humanos para las vigencias de medición.</t>
  </si>
  <si>
    <t>Realizar seguimiento al cumplimiento de las acciones definidas en el Plan Estratégico de Recursos Humanos de la vigencia 2022.</t>
  </si>
  <si>
    <t>1.Analisis de los resultados obtenidos vigencias anteriores(30%)
3.Ejecución de las actividades programadas (50%)
4.Seguimiento al plan de integridad. (20%)</t>
  </si>
  <si>
    <t>Cumplimiento del Plan de Bienestar e Incentivos</t>
  </si>
  <si>
    <t>Realizar el seguimiento al cumplimiento de las acciones definidas en el Plan de Bienestar e incentivos de la vigencia 2022.</t>
  </si>
  <si>
    <t xml:space="preserve">Se pretende dar cumplimiento al 90% de las actividades establecidas en el plan de bienestar e incentivos vigencia 2022, identificando las actividades que generan mayor impacto sobre los colaboradores de la entidad y que la evolución de la emergencia sanitaria permita desarrollar.
</t>
  </si>
  <si>
    <t>1.Formulación del Plan de bienestar e incentivos (30%)
3.Ejecución de las actividades programadas (50%)
4.Seguimiento al plan de bienestar. (20%)</t>
  </si>
  <si>
    <t>Cumplimiento del Plan de Seguridad y Salud formulado e implementado.</t>
  </si>
  <si>
    <t>Realizar el seguimiento al cumplimiento de las acciones definidas en el Plan de Seguridad y Salud en el trabajo de la vigencia 2022.</t>
  </si>
  <si>
    <t>1. Formulación del Plan de reinversión con ARL (150%)
2. Formulación del Plan de trabajo SST  (15%) 
3. Ejecución de las actividades programadas (50%)
4. Seguimiento al plan de trabajo.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</si>
  <si>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</si>
  <si>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</si>
  <si>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</si>
  <si>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2022.</t>
  </si>
  <si>
    <t>Se pretende dar cumplimiento al 100% de las actividades establecidas en el plan de integridad vigencia 2022, identificando la apropiación del plan y las actividades que generan mayor impacto sobre los colaboradores de la entidad.</t>
  </si>
  <si>
    <t>1.Formulación del Plan de integridad (30%)
3.Ejecución de las actividades programadas (50%)
4.Seguimiento al plan de integridad. (20%)</t>
  </si>
  <si>
    <t>Plan de Austeridad</t>
  </si>
  <si>
    <t xml:space="preserve">implementar el Plan de Austeridad en el gasto para la vigencia 2022 </t>
  </si>
  <si>
    <t>Cumplimiento del plan de austeridad</t>
  </si>
  <si>
    <t>No aplica.</t>
  </si>
  <si>
    <t>Profesional de la subdirección Administrativa</t>
  </si>
  <si>
    <t>Equilibrio Presupuestal</t>
  </si>
  <si>
    <t>Optimización de recursos</t>
  </si>
  <si>
    <t>Medir el recaudo de los ingresos frente a los compromisos suscritos</t>
  </si>
  <si>
    <t xml:space="preserve">Recaudo Acumulado de Recursos Propios </t>
  </si>
  <si>
    <t xml:space="preserve">Compromisos Acumulados de Recursos Propios </t>
  </si>
  <si>
    <t>≥ 100%</t>
  </si>
  <si>
    <t>&lt;90%</t>
  </si>
  <si>
    <t>&gt;100%</t>
  </si>
  <si>
    <t>Trimestral.</t>
  </si>
  <si>
    <t xml:space="preserve">La meta del indicador el igual o mayor a 100% no obstante el comportamiento histórico ha evidenciado que el resultado en los períodos intermedios se encuentra por debajo de la meta. </t>
  </si>
  <si>
    <t>Subdirector Financiero</t>
  </si>
  <si>
    <t>Profesional de Presupuesto</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</si>
  <si>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</si>
  <si>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</si>
  <si>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</si>
  <si>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</si>
  <si>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</si>
  <si>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</si>
  <si>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Mensual.</t>
  </si>
  <si>
    <t xml:space="preserve">Este indicador mide el pago de las personas naturales, sin embargo, por temas tributarios o documental se podría presentar una desviación en los días de trámite.  </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</si>
  <si>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</si>
  <si>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</si>
  <si>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</si>
  <si>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</si>
  <si>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</si>
  <si>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</si>
  <si>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</si>
  <si>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0</t>
  </si>
  <si>
    <t xml:space="preserve">Contar con una disponibilidad suficiente de recursos en un período determinado. </t>
  </si>
  <si>
    <t xml:space="preserve">&lt;1 </t>
  </si>
  <si>
    <t>&gt;1</t>
  </si>
  <si>
    <t>&gt;2,5</t>
  </si>
  <si>
    <t>&gt;3</t>
  </si>
  <si>
    <t xml:space="preserve">Elaborar los estados contables mensuales                     </t>
  </si>
  <si>
    <t xml:space="preserve">Este indicador se determina con los Ingresos percibidos por el área de Ventas y Mercadeo. </t>
  </si>
  <si>
    <t>Informar la situación financiera de la Entidad</t>
  </si>
  <si>
    <t>Gestión mensual contable - Estados contables</t>
  </si>
  <si>
    <t>Presentar la situación financiera de la empresa en el periodo correspondiente.</t>
  </si>
  <si>
    <t>Ingresos</t>
  </si>
  <si>
    <t>∑ Costos y/o Gastos</t>
  </si>
  <si>
    <t>≥ 1</t>
  </si>
  <si>
    <t>≤ 0,9</t>
  </si>
  <si>
    <t xml:space="preserve">=1 </t>
  </si>
  <si>
    <t xml:space="preserve">&gt; 1 </t>
  </si>
  <si>
    <t>&gt; 1 ,5</t>
  </si>
  <si>
    <t xml:space="preserve">Para que este indicador sea aceptable deber ser superior a 1 dado que aquí se encuentra el punto de equilibrio. </t>
  </si>
  <si>
    <t>Profesional de Contabilidad</t>
  </si>
  <si>
    <t>Una Cartera efectiva</t>
  </si>
  <si>
    <t>Gestión de la cartera.</t>
  </si>
  <si>
    <t>Identificar las edades de cartera y oportunidad de recaudo de los diferentes clientes de la empresa.</t>
  </si>
  <si>
    <t xml:space="preserve">Total Recaudo </t>
  </si>
  <si>
    <t>Total servicios cobrados al cierre del trimestre acumulado * 100</t>
  </si>
  <si>
    <t>Lograr al cierre del trimestre un recaudo igual o superior al 70% al respecto de lo facturado dentro del mismo</t>
  </si>
  <si>
    <t>&gt; 70%</t>
  </si>
  <si>
    <t>Elaborar informe de cartera.</t>
  </si>
  <si>
    <t>Profesional de Facturación</t>
  </si>
  <si>
    <t xml:space="preserve">Financiera comunica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</si>
  <si>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</si>
  <si>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</si>
  <si>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</si>
  <si>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</si>
  <si>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Emitir piezas comunicativas sobres los procesos internos de la Subdirección Financiera. </t>
  </si>
  <si>
    <t xml:space="preserve">Suministrar insumo para piezas comunicativas          </t>
  </si>
  <si>
    <t>¿Cómo vamos?</t>
  </si>
  <si>
    <t xml:space="preserve">Revisión y actualización, de ser necesario, del Manual de supervisión e interventoría </t>
  </si>
  <si>
    <t>Revisar y actualizar, de ser necesario, el Manual de supervisión e interventoría de conformidad con el régimen contractual aplicable a la entidad</t>
  </si>
  <si>
    <t>Cumplimiento en la revisión y actualización (si es requerido) del Manual de supervisión e interventoría</t>
  </si>
  <si>
    <t>Revisar el Manual de supervisión e interventoría y adelantar los ajustes y actualizaciones que se consideren pertinentes y oportunos.</t>
  </si>
  <si>
    <t xml:space="preserve">Porcentaje de avance en la revisión y actualización del Manual de supervisión e interventoría </t>
  </si>
  <si>
    <t>1. Mesas de trabajo con las áreas involucradas en la revisión del Manual de supervisión e interventoría
2. Solicitud de revisión a Planeación del Manual de  supervisión e interventoría
3. Expedición de la resolución de adopción de la nueva versión del Manual de  supervisión e interventoría
4. Socialización de a nueva versión del Manual de  supervisión e interventoría
5. Capacitaciones a las áreas sobre el Manual de supervisión e interventoría</t>
  </si>
  <si>
    <t>Asesor jurídico</t>
  </si>
  <si>
    <t>Actualización de la información sobre procesos disciplinarios.</t>
  </si>
  <si>
    <t>Gestionar y mantener actualizada la información sobre procesos disciplinarios en el sistema distrital de información disciplinaria del Distrito Capital.</t>
  </si>
  <si>
    <t>Cumplimiento en el cargue y actualización del Sistema distrital de información disciplinaria</t>
  </si>
  <si>
    <t>Contar con información completa en la plataforma que permita adelantar seguimientos respecto a los procesos disciplinarios que adelanta la entidad.</t>
  </si>
  <si>
    <t>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</si>
  <si>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</si>
  <si>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</si>
  <si>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</si>
  <si>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</si>
  <si>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Capacitaciones realizadas</t>
  </si>
  <si>
    <t>Capacitaciones programadas</t>
  </si>
  <si>
    <t>1. Convocar a  supervisores y apoyos a la supervisión a las capacitaciones
2. Capacitar en asuntos relacionados con la política de prevención de daño antijurídico</t>
  </si>
  <si>
    <t>Plan de Acción de la Política Institucional de Servicio al Ciudadano.</t>
  </si>
  <si>
    <t>Fortalecer y mejorar la atención que se brinda al ciudadano, garantizando la calidad del servicio que presta la entidad.</t>
  </si>
  <si>
    <t>Cumplimiento del Plan de Acción de la Política Institucional de Servicio al Ciudadano</t>
  </si>
  <si>
    <t>Realizar el seguimiento al cumplimiento de las actividades de mejora propuestas en el Plan de Acción.</t>
  </si>
  <si>
    <t xml:space="preserve"> &lt;30%</t>
  </si>
  <si>
    <t>Entre el 30% - 60%</t>
  </si>
  <si>
    <t>1. Seguimiento al cumplimiento de las actividades propuestas. (80%)
2.  Análisis de cumplimiento de expectativas. (20%)</t>
  </si>
  <si>
    <t>Auxiliar de Atención al Ciudadano</t>
  </si>
  <si>
    <t>Gestión oportuna de PQRS</t>
  </si>
  <si>
    <t>Atender los diferentes requerimientos de los ciudadanos con el apoyo del área competente para satisfacer sus necesidades.</t>
  </si>
  <si>
    <t>Porcentaje de respuestas entregadas antes del cumplimiento de los términos de ley</t>
  </si>
  <si>
    <t>Establecer acciones de mejora y tomar decisiones que contribuyan al mejoramiento continuo en la atención y respuesta de PQRS</t>
  </si>
  <si>
    <t xml:space="preserve"> Peticiones recibidas durante el mes</t>
  </si>
  <si>
    <t>Peticiones respondidas durante el mes antes del cumplimiento de los términos de ley</t>
  </si>
  <si>
    <t>Adelantar actividades de aseguramiento y consultoría de forma objetiva e independiente a los diferentes procesos, proyectos y políticas de Capital buscando generar valor a la entidad.</t>
  </si>
  <si>
    <t>Actividades de aseguramiento y Consultoría.</t>
  </si>
  <si>
    <t>Monitorear el cumplimiento de las actividades establecidas en el Plan Anual de Auditoría.</t>
  </si>
  <si>
    <t>Número de actividades cumplidas del Plan Anual de Auditorías a la fecha de reporte del PAI.</t>
  </si>
  <si>
    <t>Número de actividades programadas en el Plan Anual de Auditorías a la fecha de corte del PAI.</t>
  </si>
  <si>
    <t>90% - 94%</t>
  </si>
  <si>
    <t>94% - 96%</t>
  </si>
  <si>
    <t>&gt;96%</t>
  </si>
  <si>
    <t>Ejecutar las actividades formuladas en el Plan Anual de Auditoría.</t>
  </si>
  <si>
    <t>Contratista Profesional Oficina de Control Interno</t>
  </si>
  <si>
    <t>Cumplimiento plan de mejoramiento por procesos</t>
  </si>
  <si>
    <t>Monitorear el cumplimiento de las actividades formuladas en el Plan de Mejoramiento por Procesos (PMP)</t>
  </si>
  <si>
    <t>Número de acciones cumplidas con fecha vencida del Plan de Mejoramiento por procesos a la fecha de reporte del PAI.</t>
  </si>
  <si>
    <t>Número de acciones vencidas con estado abierto del Plan de Mejoramiento por procesos a la fecha de reporte del PAI.</t>
  </si>
  <si>
    <t>&lt;50%</t>
  </si>
  <si>
    <t>51% - 59%</t>
  </si>
  <si>
    <t>60% - 64%</t>
  </si>
  <si>
    <t>&gt;65%</t>
  </si>
  <si>
    <t>Realizar seguimiento a las acciones formuladas en el Plan de Mejoramiento por procesos.</t>
  </si>
  <si>
    <t>La información registrada dependerá del cumplimiento a lo formulado en el Plan por las áreas responsables.</t>
  </si>
  <si>
    <t>Cumplimiento de las actividades que se establezcan en el Plan Anticorrupción y de Atención al Ciudadano (PAAC)</t>
  </si>
  <si>
    <t>Monitorear el cumplimiento de las actividades formuladas en el PAAC.</t>
  </si>
  <si>
    <t>Avances en el cumplimiento de las acciones programadas en el Plan Anticorrupción y de Atención al Ciudadano - PAAC</t>
  </si>
  <si>
    <t>Total de acciones programadas en el Plan Anticorrupción y de Atención al Ciudadano - PAAC</t>
  </si>
  <si>
    <t>60% - 69%</t>
  </si>
  <si>
    <t>&gt;70%</t>
  </si>
  <si>
    <t>Realizar seguimiento a las actividades que se establezcan anualmente en el PAAC.</t>
  </si>
  <si>
    <t>Monitorear el cumplimiento de las actividades asociadas a la gestión de riesgos institucionales (Mapa de riesgos y política de administración de riesgos)</t>
  </si>
  <si>
    <t xml:space="preserve">Avances en el cumplimiento de las actividades establecidas en materia de gestión del riesgo. </t>
  </si>
  <si>
    <t>Total de acciones con seguimiento en la Política de Administración de Riesgos y en los mapas de riesgos por procesos .</t>
  </si>
  <si>
    <t>Realizar seguimiento a las actividades establecidas en materia de Gestión del riesgo.</t>
  </si>
  <si>
    <t>El reporte del indicador para el 2 y 4 trimestre de la vigencia incluirá el seguimiento a la Política de Administración de Riesgos y Mapas de riesgos de gestión.
La información registrada dependerá del cumplimiento a lo formulado en el Plan por las áreas responsables.</t>
  </si>
  <si>
    <t>Modificaciones al Plan Anual de Auditoría.</t>
  </si>
  <si>
    <t>Monitorear los cambios efectuados al Plan Anual de Auditoría durante la vigencia.</t>
  </si>
  <si>
    <t>Número de actualizaciones aprobadas al Plan Anual de Auditoría</t>
  </si>
  <si>
    <t>Número de actualizaciones esperadas (4)</t>
  </si>
  <si>
    <t>Formulación del Plan Anual sin modificaciones a lo largo de la vigencia.</t>
  </si>
  <si>
    <t xml:space="preserve"> &gt;= 100%</t>
  </si>
  <si>
    <t>&lt;= 75%</t>
  </si>
  <si>
    <t>&lt;= 50%</t>
  </si>
  <si>
    <t>&lt;= 25%</t>
  </si>
  <si>
    <t xml:space="preserve">Realizar el seguimiento al Plan Anual de Auditoría. </t>
  </si>
  <si>
    <t>La modificación al Plan Anual de Auditoría se realizaría bajo requerimiento de la Alta Dirección y/o requerimiento de entes de control y vigilancia o por alertas emitidas en el seguimiento trimestral de este.</t>
  </si>
  <si>
    <t xml:space="preserve">Impacto en la mejora de los procesos resultado de las Auditorías Internas </t>
  </si>
  <si>
    <t>Medir el valor generado mediante las Auditorías Internas adelantadas en Capital.</t>
  </si>
  <si>
    <t>Sumatoria de los Criterios de la Evaluación de Auditoría.</t>
  </si>
  <si>
    <t>Número de criterios Evaluados.</t>
  </si>
  <si>
    <t>Número</t>
  </si>
  <si>
    <t>&lt; 3</t>
  </si>
  <si>
    <t>3,1 - 3,5</t>
  </si>
  <si>
    <t>3,6 - 3,9</t>
  </si>
  <si>
    <t>(Promedio de horas de contenido infantil emitidas en el trimestre + promedio de horas de contenido para adolescente emitidas en el trimestre)</t>
  </si>
  <si>
    <t>(Promedio de horas totales emitidos en el trimestre)</t>
  </si>
  <si>
    <t>Rango entre 
20 % al 30 %</t>
  </si>
  <si>
    <t>Tramitar la totalidad de las PQRS recibidas en la entidad y hacer seguimiento mensual sobre el cumplimiento de las mismas.</t>
  </si>
  <si>
    <t>2.9.1</t>
  </si>
  <si>
    <t>2.4.2</t>
  </si>
  <si>
    <t>2.1.3</t>
  </si>
  <si>
    <t>3.3.1</t>
  </si>
  <si>
    <t>3.6.2</t>
  </si>
  <si>
    <t>3.7.3</t>
  </si>
  <si>
    <t>3.7.4</t>
  </si>
  <si>
    <t>3.7.5</t>
  </si>
  <si>
    <t>4.4.1</t>
  </si>
  <si>
    <t>4.8.2</t>
  </si>
  <si>
    <t>5.7.1</t>
  </si>
  <si>
    <t>5.6.2</t>
  </si>
  <si>
    <t>5.5.3</t>
  </si>
  <si>
    <t>5.5.4</t>
  </si>
  <si>
    <t>5.6.5</t>
  </si>
  <si>
    <t>5.6.6</t>
  </si>
  <si>
    <t>5.5.7</t>
  </si>
  <si>
    <t>5.6.8</t>
  </si>
  <si>
    <t>5.5.9</t>
  </si>
  <si>
    <t>5.5.10</t>
  </si>
  <si>
    <t>5.6.11</t>
  </si>
  <si>
    <t>5.6.12</t>
  </si>
  <si>
    <t>5.6.13</t>
  </si>
  <si>
    <t>5.6.14</t>
  </si>
  <si>
    <t>5.6.15</t>
  </si>
  <si>
    <t>5.6.16</t>
  </si>
  <si>
    <t>5.5.17</t>
  </si>
  <si>
    <t>5.5.18</t>
  </si>
  <si>
    <t>5.5.19</t>
  </si>
  <si>
    <t>5.5.20</t>
  </si>
  <si>
    <t>5.5.21</t>
  </si>
  <si>
    <t>5.5.22</t>
  </si>
  <si>
    <t>5.6.23</t>
  </si>
  <si>
    <t>5.6.24</t>
  </si>
  <si>
    <t>5.6.25</t>
  </si>
  <si>
    <t>5.5.26</t>
  </si>
  <si>
    <t>5.5.27</t>
  </si>
  <si>
    <t>5.6.28</t>
  </si>
  <si>
    <t>5.6.29</t>
  </si>
  <si>
    <t>5.6.30</t>
  </si>
  <si>
    <t>5.6.31</t>
  </si>
  <si>
    <t>5.6.32</t>
  </si>
  <si>
    <t>5.6.33</t>
  </si>
  <si>
    <t>Hacer seguimiento a la implementación de las acciones definidas para el cumplimiento del Modelo Integrado de Planeación y Gestión - MIPG, a través del Plan de Fortalecimiento Institucional - PFI.</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</si>
  <si>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</si>
  <si>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11. Ciudades y comunidades sostenibles.
17. Alianzas para lograr los objetivos.</t>
  </si>
  <si>
    <t>Propósito 5
Logro de ciudad: 27 - 30</t>
  </si>
  <si>
    <t>Transparencia, acceso a la información y lucha contra la corrupción.</t>
  </si>
  <si>
    <t>Elaborar doce (12) informes, uno cada mes, con la información de la gestión realizada en cada uno de ellos. Estos informes son de carácter cuantitativo y cualitativo en tanto que responden a cifras y descripciones.</t>
  </si>
  <si>
    <t>Lograr 320 impactos positivos en distintos medios de comunicación.</t>
  </si>
  <si>
    <t>Plan de Comunicaciones externas - informes mensuales de trabajo conjunto con entidades.</t>
  </si>
  <si>
    <t>Plan de Comunicaciones externas - Publicaciones free press</t>
  </si>
  <si>
    <t>Transparencia, acceso a la información y lucha contra la corrupción.
Fortalecimiento organizacional y simplificación de procesos.</t>
  </si>
  <si>
    <t>Definir un plan integral que incluya las acciones internas y externas, en lo concerniente al apoyo transversal y la asesoría de comunicación que se dé en el marco de las solicitudes de las distintas áreas de Capital.
Analizar, potenciar y crear, si es necesario y se cuenta con los recursos para ello, canales de comunicación interna que generen y compartan mensajes integrales, de pertenencia y de marca.</t>
  </si>
  <si>
    <t>Publicaciones free press gestionadas</t>
  </si>
  <si>
    <t>Continuar con la planificación estratégica de las tecnologías de la información de Capital, para el período 2022,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</si>
  <si>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Cumplimiento de actividades del Plan Estratégico de Tecnologías de la Información - PETI 2022</t>
  </si>
  <si>
    <t>Cumplimiento de lo establecido en el Plan Institucional de Archivos PINAR para la vigencia 2022</t>
  </si>
  <si>
    <t>Fomentar espacios de difusión del conocimiento interno, encaminados a fortalecer las competencias individuales y colectivas de los colaboradores, generando mejores prácticas de gestión.</t>
  </si>
  <si>
    <t>Contribuir al Mejoramiento de la Calidad de vida de los colaboradores de la Entidad, formulando y desarrollando programas que fomenten un ambiente de trabajo positivo generando así articulación y cumplimiento de los diferentes procesos internos.</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</si>
  <si>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t>
  </si>
  <si>
    <t>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t>
  </si>
  <si>
    <t>Controlar que exista equilibrio presupuestal en las operaciones de la empresa.</t>
  </si>
  <si>
    <t>Comparar el ingreso frente al gasto de recursos propios y generar alertas.</t>
  </si>
  <si>
    <t>Se pretende mantener como mínimo el 90% de avance en la implementación del SGSST con el mantenimiento de acciones adelantadas en vigencias anteriores y el cumplimiento del plan de trabajo proyectado en la vigencia 2022.</t>
  </si>
  <si>
    <t xml:space="preserve">Liquidar ordenes e pago y diligenciar matriz de control  </t>
  </si>
  <si>
    <t>Mantener actualizado al 100% el sistema de información para los procesos disciplinarios.</t>
  </si>
  <si>
    <t>Plan Anual de Auditoría - Aseguramiento y consulta.</t>
  </si>
  <si>
    <t>Plan Anual de Auditoría - Plan de mejoramiento por procesos.</t>
  </si>
  <si>
    <t>Plan Anual de Auditoría - Plan Anticorrupción y de Atención al Ciudadano PAAC.</t>
  </si>
  <si>
    <t>Plan Anual de Auditoría - Gestión de Riesgos.</t>
  </si>
  <si>
    <t>Plan Anual de Auditoría - Modificaciones.</t>
  </si>
  <si>
    <t>Plan Anual de Auditoría - Impacto en la mejora de los procesos.</t>
  </si>
  <si>
    <t>Adelantar la documentación y análisis de dos (2) experiencias al interior de la entidad que puedan ser catalogadas como lecciones aprendidas, de acuerdo con las gestiones adelantadas en la vigencia 2021 y experiencias de la vigencia 2022.</t>
  </si>
  <si>
    <t xml:space="preserve">Con este indicador se pretende medir la oportunidad en los reportes de información respecto a la planeación establecida para el seguimiento a las diferentes temáticas de planeación, permitiendo generar alertas tempranas a posibles incumplimientos. </t>
  </si>
  <si>
    <t xml:space="preserve">Implementación y seguimiento al cronograma de informes de segunda línea de defensa a cargo de planeación </t>
  </si>
  <si>
    <t>Identificar las diferentes temáticas de gestión que se desarrollan desde planeación y que son articuladas en el cronograma de informes de segunda línea de defensa a cargo de planeación.</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</si>
  <si>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t>
  </si>
  <si>
    <t>1. Elaboración del Plan Anual de Adquisiciones - PAA de acuerdo con el presupuesto (40%). 
2. Actualizar el Plan Anual de Adquisiciones - PAA de acuerdo con los reportes del BOGDATA (30%)
3. Actualizaciones del Plan Anual de Adquisiciones PAA según solicitudes generadas por la diferentes áreas (30%).</t>
  </si>
  <si>
    <t>71% - 99%</t>
  </si>
  <si>
    <t>Plan de Comunicaciones - Sentido de pertenencia</t>
  </si>
  <si>
    <t>Definir un plan integral que incluya las acciones internas y externas a desarrollarse en el año 2022, haciendo énfasis en el sentido de pertenencia por la marca.
Trabajar con el área de Talento Humano para fortalecer la Cultura Organizacional y fomentar el sentido de pertenencia</t>
  </si>
  <si>
    <t>Número de comunicaciones gestionadas sobre cultura organizacional y sentido de pertenencia</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</si>
  <si>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</si>
  <si>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</si>
  <si>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2022, por cuanto el porcentaje de avance de cada trimestre puede variar de acuerdo a las condiciones del proyecto.</t>
  </si>
  <si>
    <t>1. Los rangos de tolerancia establecidos solo aplicarán para el resultado final del indicador con corte a 31 de diciembre de 2022, por cuanto el porcentaje de avance de cada trimestre puede variar de acuerdo a las condiciones del proyecto.</t>
  </si>
  <si>
    <t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t>
  </si>
  <si>
    <t>&gt;90%</t>
  </si>
  <si>
    <t xml:space="preserve">Porcentaje de avances de las acciones programadas en el Plan Estratégico de tecnologías de la información - PETI </t>
  </si>
  <si>
    <t xml:space="preserve">Porcentaje de avances de las acciones programadas en el Plan de seguridad y privacidad de la información </t>
  </si>
  <si>
    <t>Porcentaje de avances de las acciones programadas en el Plan de tratamiento de riesgos de seguridad y privacidad de la información.</t>
  </si>
  <si>
    <t>71% - 94%</t>
  </si>
  <si>
    <t>&gt;95%</t>
  </si>
  <si>
    <t xml:space="preserve">Número de procesos disciplinarios cargados en el sistema de información </t>
  </si>
  <si>
    <t>Número de procesos disciplinarios presentados en la entidad.</t>
  </si>
  <si>
    <t>Porcentaje de avances de las acciones programadas en el Plan de Acción de Servicio a la Ciudadanía</t>
  </si>
  <si>
    <t>Entre el 60% - 99%</t>
  </si>
  <si>
    <t>Impulsar el posicionamiento de Capital en las diferentes entidades del orden Distrital, Regional y Nacional.
Con este se busca crear trabajo conjunto con las áreas creativas de Capital, las entidades del Distrito, canales regionales y aliados.</t>
  </si>
  <si>
    <t>Programación infantil y adolescentes en la pantalla principal de Capital</t>
  </si>
  <si>
    <t>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</si>
  <si>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Para el reporte de esta actividad se tendrá en cuenta el total de horas emitidas se tomará con base en 18 horas del total de la programación (de 6 am a las 23:59) emitidas en la pantalla principal de Capital (no incluye los indicadores del Canal Eureka)</t>
  </si>
  <si>
    <t>Lograr el cumplimiento al 100% de las actividades de rediseño en las plataformas a intervenir para la vigencia 2022.</t>
  </si>
  <si>
    <t>Realizar mediciones y seguimientos en procura de mantener la disponibilidad de la señal en promedio cercana al 100%.</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</si>
  <si>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</si>
  <si>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t>
  </si>
  <si>
    <t>1. Se tendrán como exclusiones en la medición los mantenimientos programados que afecten el retorno de señal en alguno de los puntos de monitoreo.
2. El reporte se realizará a planeación de manera trimestral, sin embargo los datos serán reflejados en el reporte por cada uno de los meses.</t>
  </si>
  <si>
    <t xml:space="preserve">Fortalecer la gestión y tratamiento de riesgos de seguridad digital en las plataformas tecnológicas de la Entidad (Hardware y Software), manteniendo un esquema de alta disponibilidad y seguridad. </t>
  </si>
  <si>
    <t>Se pretende mantener en adecuadas condiciones de infraestructura física ambas sedes del canal asegurando espacios idóneos para el normal funcionamiento de la entidad.</t>
  </si>
  <si>
    <t xml:space="preserve">Porcentaje programado de acciones del Plan Estratégico de tecnologías de la información - PETI para la vigencia </t>
  </si>
  <si>
    <t>Porcentaje programado de acciones del Plan de seguridad y privacidad de la información para la vigencia</t>
  </si>
  <si>
    <t>Porcentaje programado de acciones del Plan de tratamiento de riesgos de  seguridad y privacidad de la información para la vigencia</t>
  </si>
  <si>
    <t>Porcentaje programado de acciones del Plan Institucional de Capacitación para la vigencia</t>
  </si>
  <si>
    <t>Porcentaje programado de acciones del Plan Estratégico de Recursos Humanos para la vigencia</t>
  </si>
  <si>
    <t>Porcentaje programado de acciones del Plan de Bienestar e incentivos para la vigencia</t>
  </si>
  <si>
    <t>Porcentaje programado de acciones del Plan de Seguridad y Salud en el Trabajo para la vigencia</t>
  </si>
  <si>
    <t>Porcentaje programado de acciones del Plan de Integridad para la vigencia</t>
  </si>
  <si>
    <t>Porcentaje de avances en las acciones programadas en el Plan de integridad</t>
  </si>
  <si>
    <t>Porcentaje de avances en las acciones programadas en el Plan de Seguridad y Seguridad en el trabajo</t>
  </si>
  <si>
    <t>Porcentaje de avances en las acciones programadas en el Plan de bienestar e inventivos</t>
  </si>
  <si>
    <t>Porcentaje de avances en las acciones programadas en el Plan Estratégico de Recursos Humanos</t>
  </si>
  <si>
    <t>Porcentaje de avances en las acciones programadas del Plan Institucional de Capacitación</t>
  </si>
  <si>
    <t>Se pretende dar cumplimiento al 100% de las actividades establecidas en el plan de capacitación PIC para la vigencia 2022 atendiendo las necesidades de los diferentes grupos de trabajo de la entidad, las ofertas institucionales y el cumplimiento normativo cuando se requiera.</t>
  </si>
  <si>
    <t>Lograr mantener el indicar en un resultado igual o mayor a 1</t>
  </si>
  <si>
    <t>Tomar las cifras de los estados contables mensuales para determinar el resultado del indicador.</t>
  </si>
  <si>
    <t>Actualizar el Manual de supervisión e interventoría.</t>
  </si>
  <si>
    <t>Porcentaje de avance programado para el manual de supervisión e interventoría para la vigencia.</t>
  </si>
  <si>
    <t>Porcentaje programado de acciones del Plan de Acción de Servicio a la Ciudadanía para la vigencia.</t>
  </si>
  <si>
    <t>Dar cumplimiento al 100% de las acciones de mejoras establecidas en el Plan de Acción de la Política Institucional de Servicio al Ciudadano, para la vigencia 2022.</t>
  </si>
  <si>
    <t>Gestionar el 100% de las PQRS recibidas en la entidad antes de los tiempos de Ley.</t>
  </si>
  <si>
    <t>Lograr un nivel de cumplimiento cercano al 96% de las actividades programadas en el Plan Anual de Auditorías, conforme a la normatividad vigente aplicable.</t>
  </si>
  <si>
    <t>Lograr un nivel de avance del 65% en el cierre de las acciones formuladas en el PMP</t>
  </si>
  <si>
    <t>Lograr un nivel de avance del 75% en el cumplimiento de las acciones formuladas en el PAAC</t>
  </si>
  <si>
    <t xml:space="preserve">Lograr un nivel de avance del 65% en el cumplimiento de las acciones con seguimiento de la Política de Administración de riesgo y de los mapas de riesgo institucional. </t>
  </si>
  <si>
    <t>Obtener una calificación promedio de 4 puntos en las Evaluaciones de las Auditorias ejecutadas.</t>
  </si>
  <si>
    <t>Plan de Comunicaciones internas - Gestión de comunicaciones internas.</t>
  </si>
  <si>
    <t>Gestión de comunicaciones internas adelantadas</t>
  </si>
  <si>
    <t xml:space="preserve">
Número de solicitudes de comunicaciones internas recibidas.</t>
  </si>
  <si>
    <t>Número de solicitudes de comunicaciones internas atendidas</t>
  </si>
  <si>
    <t>Se espera cumplir al menos, en un 90% de las solicitudes de comunicaciones internas recibidas</t>
  </si>
  <si>
    <t>Realizar Informes trimestrales que expongan el trabajo conjunto con las áreas transversales, las evidencias realizadas y el resultado de la medición de impacto (o percepción). También se adelantará encuesta de impacto trimestral que mida canal y comunicación. ¿Cuál canal tiene mejor acogida? ¿Por dónde se enteró…?
1. Aplicación de la encuesta
2. Análisis de medios 
3. Intervención - mejora</t>
  </si>
  <si>
    <t>Realizar gestión oportuna sobre los requerimientos y necesidades internas de comunicación, recibida por parte de las áreas de Capital.</t>
  </si>
  <si>
    <t>Gestión de comunicaciones internas adelantadas en el fortalecimiento de la Cultura Organizacional y el sentido de pertenencia.</t>
  </si>
  <si>
    <t>Se espera cumplir, al menos con el 90% de las solicitudes de comunicaciones internas recibidas sobre cultura organizacional y sentido de pertenencia.</t>
  </si>
  <si>
    <t>3. Salud y bienestar.
4. Educación de calidad.
5. Igualdad de Género.
9. Industria, innovación e infraestructura.
10. Reducción de las desigualdades.
17. Alianzas para lograr los objetivos.</t>
  </si>
  <si>
    <t>Participación ciudadana en la gestión pública.
Gestión del conocimiento y la innovación.
Gobierno Abierto.</t>
  </si>
  <si>
    <t>9. Industria, innovación e infraestructura.
16. Paz, justicia e instituciones sólidas.</t>
  </si>
  <si>
    <t>Propósito 1
Logro de ciudad: 5
Propósito 5
Logro de ciudad: 29 - 30</t>
  </si>
  <si>
    <t>Gobierno Digital.</t>
  </si>
  <si>
    <t>Gobierno Digital.
Seguridad Digital.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</si>
  <si>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</si>
  <si>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</si>
  <si>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</si>
  <si>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Propósito 5
Logro de ciudad: 29 - 30</t>
  </si>
  <si>
    <t>Gestión documental y archivo.
Seguimiento y evaluación del desempeño institucional.</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</si>
  <si>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</si>
  <si>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</si>
  <si>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</si>
  <si>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Gestión presupuestal y eficiencia del gasto público.
Seguimiento y evaluación del desempeño institucional.</t>
  </si>
  <si>
    <t>Gestión estratégica del talento humano.
Integridad
Gestión presupuestal y eficiencia del gasto público.</t>
  </si>
  <si>
    <t>8. Trabajo decente y crecimiento económico.
16. Paz, justicia e instituciones sólidas.</t>
  </si>
  <si>
    <t>Propósito 5
Logro de ciudad: 30</t>
  </si>
  <si>
    <t>Gestión presupuestal y eficiencia del gasto público.</t>
  </si>
  <si>
    <t>Fortalecimiento organizacional y simplificación de procesos.</t>
  </si>
  <si>
    <t>Defensa jurídica.</t>
  </si>
  <si>
    <t>Propósito 1
Logro de ciudad: 3
Propósito 3
Logro de ciudad: 23
Propósito 5
Logros de ciudad: 27 - 30</t>
  </si>
  <si>
    <t>Servicio al ciudadano
Participación Ciudadana en la Gestión Pública
Racionalización de trámites</t>
  </si>
  <si>
    <t>11. Ciudades y comunidades sostenibles.
16. Paz, justicia e instituciones sólidas.</t>
  </si>
  <si>
    <t>Seguimiento y evaluación del desempeño institucional.
Control Interno.</t>
  </si>
  <si>
    <t>Realizar seguimiento a los componentes objeto de austeridad.</t>
  </si>
  <si>
    <t>Número de acciones adelantadas con relación al plan de austeridad para la vigencia</t>
  </si>
  <si>
    <t>Número de acciones programadas para realizar con relación al plan de austeridad para la vigencia</t>
  </si>
  <si>
    <t>En cumplimiento con el Decreto 492 de 2019 los informes se deben realizar cada semestre.</t>
  </si>
  <si>
    <t>Gestión estratégica del talento humano.
Integridad
Gestión del conocimiento y la innovación.</t>
  </si>
  <si>
    <t>PLAN DE ACCIÓN INSTITUCIONAL 2022
CAPITAL - SISTEMA DE COMUNICACIÓN PÚBLICA</t>
  </si>
  <si>
    <t>Versiones del plan de acción institucional 2022</t>
  </si>
  <si>
    <t>01 - (31 de enero)</t>
  </si>
  <si>
    <t>5. Igualdad de Género.
10. Reducción de las desigualdades.
11. Ciudades y comunidades sostenibles.
16. Paz, justicia e instituciones sólidas.
17. Alianzas para lograr los objetivos.</t>
  </si>
  <si>
    <t>Planeación estratégica.
Seguimiento y evaluación del desempeño institucional
Participación ciudadana en la gestión pública.</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</si>
  <si>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</si>
  <si>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</si>
  <si>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</si>
  <si>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</si>
  <si>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</si>
  <si>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</si>
  <si>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</si>
  <si>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</si>
  <si>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</si>
  <si>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</si>
  <si>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</si>
  <si>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</si>
  <si>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</si>
  <si>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</si>
  <si>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</si>
  <si>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</si>
  <si>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</si>
  <si>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</si>
  <si>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</si>
  <si>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</si>
  <si>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</si>
  <si>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</si>
  <si>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</si>
  <si>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</si>
  <si>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</si>
  <si>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</si>
  <si>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</si>
  <si>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</si>
  <si>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</si>
  <si>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</si>
  <si>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</si>
  <si>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</si>
  <si>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</si>
  <si>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</si>
  <si>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</si>
  <si>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</si>
  <si>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</si>
  <si>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</si>
  <si>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</si>
  <si>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</si>
  <si>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</si>
  <si>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</si>
  <si>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</si>
  <si>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</si>
  <si>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</si>
  <si>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</si>
  <si>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</si>
  <si>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</si>
  <si>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</si>
  <si>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</si>
  <si>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</si>
  <si>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</si>
  <si>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</si>
  <si>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</si>
  <si>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</si>
  <si>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</si>
  <si>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</si>
  <si>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</si>
  <si>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</si>
  <si>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</si>
  <si>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</si>
  <si>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</si>
  <si>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</si>
  <si>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</si>
  <si>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</si>
  <si>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</si>
  <si>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</si>
  <si>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</si>
  <si>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</si>
  <si>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</si>
  <si>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</si>
  <si>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</si>
  <si>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</si>
  <si>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</si>
  <si>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</si>
  <si>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</si>
  <si>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</si>
  <si>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</si>
  <si>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</si>
  <si>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</si>
  <si>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</si>
  <si>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</si>
  <si>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</si>
  <si>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</si>
  <si>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</si>
  <si>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</si>
  <si>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</si>
  <si>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</si>
  <si>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</si>
  <si>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</si>
  <si>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</si>
  <si>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</si>
  <si>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</si>
  <si>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</si>
  <si>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</si>
  <si>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</si>
  <si>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</si>
  <si>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</si>
  <si>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</si>
  <si>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</si>
  <si>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</si>
  <si>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</si>
  <si>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</si>
  <si>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</si>
  <si>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</si>
  <si>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</si>
  <si>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</si>
  <si>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</si>
  <si>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</si>
  <si>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</si>
  <si>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</si>
  <si>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</si>
  <si>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</si>
  <si>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PLAN DE T.I.</t>
  </si>
  <si>
    <t xml:space="preserve">Objetivo:    </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</si>
  <si>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</si>
  <si>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Versión del plan:</t>
  </si>
  <si>
    <t>Fecha de Aprobación:</t>
  </si>
  <si>
    <t>Plan de actividades</t>
  </si>
  <si>
    <t>No.</t>
  </si>
  <si>
    <t>Actividad a desarrollar</t>
  </si>
  <si>
    <t>Responsable</t>
  </si>
  <si>
    <t>Indicador y/o producto esperado</t>
  </si>
  <si>
    <t>Meta programada</t>
  </si>
  <si>
    <t>Cronograma</t>
  </si>
  <si>
    <t>Ponderación</t>
  </si>
  <si>
    <t>INICIO</t>
  </si>
  <si>
    <t>FIN</t>
  </si>
  <si>
    <t>Monitoreo del protocolo IPV6</t>
  </si>
  <si>
    <t>Sistemas</t>
  </si>
  <si>
    <t>Informes mensuales de monitoreo</t>
  </si>
  <si>
    <t>Data center con replicación implementado</t>
  </si>
  <si>
    <t>Adquisición e implementación del robot de backup LTO8 en el data center principal</t>
  </si>
  <si>
    <t>Robot de backup LTO8 implementado</t>
  </si>
  <si>
    <t>Adquisición e implementación del sistema de seguridad perimetral firewall para alta disponibilidad</t>
  </si>
  <si>
    <t>Firewall del alta disponibilidad adquirido e implementado</t>
  </si>
  <si>
    <t>Desarrollar y mejora de los módulos administrativos el marco del sistema de gestión empresarial</t>
  </si>
  <si>
    <r>
      <rPr>
        <b/>
        <sz val="10"/>
        <color theme="1"/>
        <rFont val="Arial"/>
        <family val="2"/>
      </rPr>
      <t xml:space="preserve">Nota: </t>
    </r>
    <r>
      <rPr>
        <sz val="10"/>
        <color theme="1"/>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</si>
  <si>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</si>
  <si>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</si>
  <si>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</si>
  <si>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</si>
  <si>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Actualización de las actividades y demás campos para la vigencia 2022.</t>
  </si>
  <si>
    <t>Documentar políticas, procedimientos, lineamientos, instructivos, etc. Asociados al MSPI y Gobierno Digital.</t>
  </si>
  <si>
    <t>Documentos publicados en la intranet de la entidad</t>
  </si>
  <si>
    <t>Estrategias implementadas del SGSI.</t>
  </si>
  <si>
    <t>Implementar controles de seguridad en la plataforma tecnológica de la entidad</t>
  </si>
  <si>
    <t>Controles implementados en la plataforma tecnológica</t>
  </si>
  <si>
    <t>Alistamiento para la certificación en ISO 27001 de un proceso de la entidad.</t>
  </si>
  <si>
    <t xml:space="preserve">Documento de gestión </t>
  </si>
  <si>
    <t>Seguimiento</t>
  </si>
  <si>
    <t>Matriz de riesgos de seguridad digital</t>
  </si>
  <si>
    <t>PLAN INSTITUCIONAL DE ARCHIVOS - PINAR</t>
  </si>
  <si>
    <t>Fecha de Aprobación</t>
  </si>
  <si>
    <t xml:space="preserve">Transferencias Secundarias </t>
  </si>
  <si>
    <t xml:space="preserve">Entrega de transferencias secundarias por parte de Canal Capital al Archivo de Bogotá. </t>
  </si>
  <si>
    <t>Reporte de actividades y avances de acuerdo con lo definido en el Plan Institucional de Archivos - PINAR</t>
  </si>
  <si>
    <t>Actualización de las TRD</t>
  </si>
  <si>
    <t xml:space="preserve">Aprobación de TRD </t>
  </si>
  <si>
    <t xml:space="preserve">Sistema de Gestión Documental </t>
  </si>
  <si>
    <t xml:space="preserve">Implementación y ejecución del SGDEA.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</si>
  <si>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</si>
  <si>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</si>
  <si>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</si>
  <si>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</si>
  <si>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</si>
  <si>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</si>
  <si>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</si>
  <si>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</si>
  <si>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</si>
  <si>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</si>
  <si>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</si>
  <si>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</si>
  <si>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</si>
  <si>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</si>
  <si>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</si>
  <si>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</si>
  <si>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</si>
  <si>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</si>
  <si>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</si>
  <si>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</si>
  <si>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</si>
  <si>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</si>
  <si>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</si>
  <si>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</si>
  <si>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</si>
  <si>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</si>
  <si>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</si>
  <si>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</si>
  <si>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</si>
  <si>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</si>
  <si>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</si>
  <si>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plan de trabajo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</si>
  <si>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</si>
  <si>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</si>
  <si>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</si>
  <si>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</si>
  <si>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Porcentaje de avance de la Estrategia Capital Social y relaciones públicas</t>
  </si>
  <si>
    <t xml:space="preserve">Porcentaje de avance de la formulación y ejecución de la Estrategia Capital Social y relaciones públicas. </t>
  </si>
  <si>
    <t xml:space="preserve">Porcentaje total de avance  planeada para 2022 para la  formulación y ejecución de la Estrategia Capital Social y relaciones públicas.  </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</si>
  <si>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Capital Social y relaciones públicas, aun no deben iniciar.
2. Los porcentajes de cada trimestre corresponderán al avance alcanzado de acuerdo con Estrategia Capital Social y relaciones públicas establecidas para la vigencia.
3. Al final de la vigencia, la sumatoria del resultado de cada trimestre corresponderá a la meta establecida, es decir 100 %. Los resultados parciales (cada trimestre) serán definidos de acuerdo Estrategia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Capital Social y relaciones públicas.</t>
  </si>
  <si>
    <t>Da cuenta del avance en las ventas a través de suscripción de contratos, adiciones contractuales, ofertas comerciales (comunicación pública, ATL, BTL, producción audiovisual, transmisiones audiovisuales, estrategias 360o) y recaudos de pauta digital en plataformas y redes sociales de Capital.</t>
  </si>
  <si>
    <t>&lt;20%</t>
  </si>
  <si>
    <t>40% -60%</t>
  </si>
  <si>
    <t>60 -100%</t>
  </si>
  <si>
    <t>* Diseñar la Estrategia Capital Social y relaciones públicas  de Capital.
* Ejecutar la Estrategia Capital Social y relaciones públicas  de Capital.
* Suscripción de contratos y ejecución según Estrategia Capital Social y relaciones públicas de Capital.</t>
  </si>
  <si>
    <t>Porcentaje de cumplimiento de la meta de ventas para el 2022.</t>
  </si>
  <si>
    <t>Elaborar, socializar e implementar el Plan Institucional de Archivos (PINAR) con el propósito de facilitar la planeación estratégica de la función archivística y articularla con los demás planes y proyectos estratégicos asociados al Modelo Integrado de Planeación y Gestión (MIPG) previstos por Canal Capital.</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</si>
  <si>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</si>
  <si>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</si>
  <si>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</si>
  <si>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Fecha de publicación</t>
  </si>
  <si>
    <t>Política operativa asociada</t>
  </si>
  <si>
    <t>Realizar los ejercicios de reporte de avances en el FURAG, de acuerdo con los lineamientos que se definan para ello.</t>
  </si>
  <si>
    <t>Planeación - Líderes de procesos</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</si>
  <si>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</si>
  <si>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</si>
  <si>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</si>
  <si>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</si>
  <si>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</si>
  <si>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Definir e implementar las actividades asociadas a la dimensión 02 - "Direccionamiento estratégico y planeación "y sus políticas operativas</t>
  </si>
  <si>
    <t>Definir e implementar las actividades asociadas a la dimensión 03 - "Gestión con valores para el resultado" y sus políticas operativas.</t>
  </si>
  <si>
    <t>Definir e implementar las actividades asociadas a la dimensión 04 - "Evaluación de resultados" y sus políticas operativas</t>
  </si>
  <si>
    <t>Definir e implementar las actividades asociadas a la dimensión 05 - "Información y comunicación" y sus políticas operativas</t>
  </si>
  <si>
    <t>Definir e implementar las actividades asociadas a la dimensión 06 - "Gestión del conocimiento y la innovación "y sus políticas operativas</t>
  </si>
  <si>
    <t>Definir e implementar las actividades asociadas a la dimensión 07 - "Control Interno "y sus políticas operativas</t>
  </si>
  <si>
    <t>Control Interno - Líder de política (según circular 06 de 2019)</t>
  </si>
  <si>
    <t>FURAG reportado
Línea base a partir del reporte de la vigencia 2021.</t>
  </si>
  <si>
    <t>Plan de Fortalecimiento Institucional - PFI (Anexo 1)</t>
  </si>
  <si>
    <t>Plan Estratégico de Tecnologías de la Información - PETI 2022 (Anexo 2)</t>
  </si>
  <si>
    <t>PLAN SEGURIDAD Y PRIVACIDAD DE LA INFORMACIÓN</t>
  </si>
  <si>
    <t>PLAN TRATAMIENTO DE RIESGOS DE SEGURIDAD Y PRIVACIDAD DE LA INFORMACIÓN</t>
  </si>
  <si>
    <t>Plan Institucional de Archivos - PINAR (Anexo 5)</t>
  </si>
  <si>
    <t>Plan Institucional de Capacitación - PIC (Anexo 6)</t>
  </si>
  <si>
    <t xml:space="preserve"> Plan del Subsistema de Gestión de Seguridad y Salud en el Trabajo, SG-SST (Anexo 9)</t>
  </si>
  <si>
    <t>Plan de bienestar e incentivos - PBI (Anexo 8)</t>
  </si>
  <si>
    <t>Plan estratégico de Recursos Humanos - PERH (Anexo 7)</t>
  </si>
  <si>
    <t>Plan de Seguridad y Privacidad de la Información 2022 - PSPI (Anexo 3)</t>
  </si>
  <si>
    <t>Plan de tratamiento de riesgos de seguridad y privacidad de la información 2022 - PTRSI (Anexo 4)</t>
  </si>
  <si>
    <t>Estrategia</t>
  </si>
  <si>
    <t>Esta acción se llevará a cabo en colaboración con el área de sistemas de la Subdirección Administrativa.</t>
  </si>
  <si>
    <t xml:space="preserve">Dar cumplimiento al 100% de los compromisos de planeación en la presentación de informes o reportes asignados al área  </t>
  </si>
  <si>
    <t>1. Publicar y socializar el cronograma de informes de segunda línea de defensa (20%). 
2. Llevar a cabo los seguimientos programados según las temáticas definidas a cargo de planeación (60%). 
3. Revisar y analizar posibles mejoras a partir de los seguimientos a través del Plan de Acción Institucional (20%).</t>
  </si>
  <si>
    <t>Promover a Capital entre potenciales clientes / aliados y directivos del sector público, como una empresa idónea para el desarrollo de estrategias de comunicación y relaciones públicas, así mismo gestionar una estrategia de negocios bajo un modelo de "Capital Social".</t>
  </si>
  <si>
    <t>Con base en la Estrategia Capital Social y relaciones públicas 2022 se realizará el monitoreo de los resultados del indicador.
Los resultados parciales mensualmente definidos en la estratégica, serán sumados trimestralmente para obtener los resultados de este reporte. El resultado obtenido en diciembre de 2022 corresponderá a la sumatoria de los resultados trimestrales reportados.</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</si>
  <si>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a las medidas para la contención de la pandemia asociadas a COVID 19.
6. Implementación de nuevas prácticas o tecnologías implementadas por Capital o los clientes para la suscripción del contrato
Algunos de estos serán claves al momento del monitoreo y reporte, así como de la necesidad de ajuste a lo largo de la vigencia.</t>
  </si>
  <si>
    <t>Realizar llamados públicos  en búsqueda de invitar al sector audiovisual local para Cocrear (a partir de un detonante creativo generado por Capital) proyectos audiovisuales que deberán ser ejecutados bajo la supervisión de Capital.</t>
  </si>
  <si>
    <t>Porcentaje programado para 2022 de actividades de rediseño en las plataformas a intervenir (página web y canal de YouTube)</t>
  </si>
  <si>
    <t xml:space="preserve">Profesional de apoyo de planeación - referente ambiental </t>
  </si>
  <si>
    <t>Para ejecutar de manera adecuada las actividades descritas, dependerá de los recursos que se destinen para tal fin y de contar con el personal idóneo para realizarlas.</t>
  </si>
  <si>
    <t>Se pretende cuidar y proteger el patrimonio de la entidad realizando revisiones física periódicas.</t>
  </si>
  <si>
    <t xml:space="preserve">
Se pretende dar cumplimiento como mínimo del 90% de las actividades establecidas en el plan estratégico de recursos humanos para la vigencia 2022 partiendo de los avances realizados en las vigencias anteriores y la consecución de los objetivos establecidos </t>
  </si>
  <si>
    <t>se pretende dar cumplimiento en el 100% en lo relacionado con el seguimiento en la implementación del plan de austeridad y sus componentes</t>
  </si>
  <si>
    <t>Formulación del plan de Austeridad 20%
Socialización del plan de austeridad 10%
Realizar informes 70%</t>
  </si>
  <si>
    <t xml:space="preserve">Lograr mínimo el 85% del total de cuentas tramitadas en 5 días. </t>
  </si>
  <si>
    <t>Cumplimiento de los tiempos establecidos para el recaudo, generando una cartera dinámica</t>
  </si>
  <si>
    <t xml:space="preserve">La información acá reportada es el recaudo bruto es decir incluye los descuentos hechos por los clientes, dado que si se hiciera sin esta información no sería comparable. </t>
  </si>
  <si>
    <t xml:space="preserve">Dar a conocer a los colaboradores las diferentes etapas de los procedimientos financieros y temas de interés. </t>
  </si>
  <si>
    <t>Realizar 4 capacitaciones en el transcurso de la vigencia, orientados a evitar daños antijurídicos</t>
  </si>
  <si>
    <t>Cumplimiento de las actividades que se establecidas en materia de gestión del riesgo.</t>
  </si>
  <si>
    <t xml:space="preserve">Los resultados de la auditoría corresponderán a las evaluaciones diligenciadas y remitidas por parte de los líderes de los procesos evaluados. </t>
  </si>
  <si>
    <t>Creación del plan estratégico y plan de acción institucional de la vigencia 2022,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t>
  </si>
  <si>
    <t>Data center con replicación tier 2 en la sede principal</t>
  </si>
  <si>
    <t>Módulos administrativos implementados del ERP</t>
  </si>
  <si>
    <t>Implementar el plan de sensibilización del SGSI.</t>
  </si>
  <si>
    <t>Implementación de la matriz de riesgos de seguridad digital</t>
  </si>
  <si>
    <t xml:space="preserve">Contratista que asesora los procesos de la Dirección operativa </t>
  </si>
  <si>
    <r>
      <t xml:space="preserve">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t>
    </r>
    <r>
      <rPr>
        <b/>
        <sz val="10"/>
        <rFont val="Arial"/>
        <family val="2"/>
      </rPr>
      <t>Nota 1:</t>
    </r>
    <r>
      <rPr>
        <sz val="10"/>
        <rFont val="Arial"/>
        <family val="2"/>
      </rPr>
      <t xml:space="preserve"> La persona designada por la Dirección Operativa para la consolidación y reporte de este indicador será el contratista que asesora los procesos que pertenecen a dicha instancia.
</t>
    </r>
    <r>
      <rPr>
        <b/>
        <sz val="10"/>
        <rFont val="Arial"/>
        <family val="2"/>
      </rPr>
      <t>Nota 2:</t>
    </r>
    <r>
      <rPr>
        <sz val="10"/>
        <rFont val="Arial"/>
        <family val="2"/>
      </rPr>
      <t xml:space="preserve">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r>
  </si>
  <si>
    <t>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t>
  </si>
  <si>
    <t>1. Definir plan de trabajo interno para el rediseño de la página web y el correspondiente a la fortalecimiento del canal de YouTube respecto a los recursos y decisiones administrativas de Capital
2. Ejecutar plan de trabajo de intervención de las plataformas a optimizar
3. Realizar las etapas técnicas concernientes a la producción de las plataformas.
Nota 1: La persona designada por la Dirección Operativa para la consolidación y reporte de este indicador será el contratista que asesora los procesos que pertenecen a dicha instancia.
Nota 2: El equipo de producción digital,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</si>
  <si>
    <t>Medir la participación de la programación infantil y adolescente en la pantalla principal de Capital, en cumplimiento del objeto del proceso de diseño y creación de contenidos y el desarrollo de las actividades descritas en el procedimiento "MDCC-PD-002 GESTIÓN DE PROGRAMACIÓN PARA EL SERVICIO DE TELEVISIÓN", en cuanto se refiere a la programación mensual.</t>
  </si>
  <si>
    <t>Emitir programación infantil y adolescente en la pantalla principal de Capital, de tal manera que entre el 20 % y el 30 % de los contenidos que están en pantalla entre las 6:00 y las 24:00 correspondan a este tipo de programación.</t>
  </si>
  <si>
    <t>9. Promover el relacionamiento con la ciudadanía y grupos poblacionales, a través de diferentes mecanismos, plataformas y herramientas.</t>
  </si>
  <si>
    <t>2 - (17 de marzo)</t>
  </si>
  <si>
    <t>5. Igualdad de Género.
10. Reducción de las desigualdades.
11. Ciudades y comunidades sostenibles.
17. Alianzas para lograr los objetivos.</t>
  </si>
  <si>
    <t>1.9.1</t>
  </si>
  <si>
    <t>Capital plural</t>
  </si>
  <si>
    <t>Desarrollar un plan de acción interno y externo para la transversalización de las políticas públicas poblacionales y de medios comunitarios, en las prácticas de gestión y misionales propias de Capital.</t>
  </si>
  <si>
    <t>Gestión de compromisos poblacionales y de medios comunitarios.</t>
  </si>
  <si>
    <t>Medir las gestiones adelantadas para el cumplimiento de compromisos sobre políticas públicas poblacionales y medios comunitarios.
Se parte de la atención a los compromisos sobre 6 grupos étnicos, 7 grupos sociales, y medios comunitarios.</t>
  </si>
  <si>
    <t>Actividades de gestión adelantadas sobre compromisos poblacionales y de medios comunitarios</t>
  </si>
  <si>
    <t>Compromisos adquiridos para grupos poblacionales y de medios comunitarios.</t>
  </si>
  <si>
    <t>Atender el 100% de los compromisos adquiridos por parte de Capital en el marco de las políticas públicas poblacionales y medios comunitarios.</t>
  </si>
  <si>
    <t>Menos de 70%</t>
  </si>
  <si>
    <t>71% - 80%</t>
  </si>
  <si>
    <t>81% - 99%</t>
  </si>
  <si>
    <t>• Gestionar la generación de contenidos por medio del desarrollo colectivo de proyectos en conjunto con los grupos poblacionales y gestión de recursos sostenibles.
* Apoyar la visibilización de las prácticas, liderazgos y productos de comunicación de los grupo poblacionales y medios comunitarios en las plataformas digitales, señal abierta y en los entornos sonoros.
* Acompañar el fortalecimiento de capacidades del equipo humano de capital en derechos humanos desde una perspectiva plural.
* Promover la transformación e implementación de procesos y procedimientos en el sistema de gestión para la transversalización de los enfoques de política pública orientados a las poblaciones y a la comunicación comunitaria.</t>
  </si>
  <si>
    <t>Podrán reportarse acciones e iniciativas adicionales que se deriven del accionar estratégico de la entidad y que aportan a la visibilización y gestiones de los compromisos definidos.</t>
  </si>
  <si>
    <t>Asesor poblacional y de medios comunitarios.</t>
  </si>
  <si>
    <t>1.2.2</t>
  </si>
  <si>
    <t>Conocer y caracterizar las audiencias de Capital, para contar con información que permita desarrollar productos y contenidos enfocados al cliente final.</t>
  </si>
  <si>
    <t>Audiencias caracterizadas</t>
  </si>
  <si>
    <t>Proyectos desarrollados a través de la estrategia inbound</t>
  </si>
  <si>
    <t>Capital pretende identificar, a través de este indicador, la caracterización de nuestras audiencias para de esa manera producir y circular contenido de valor para cada una de ellas y sus necesidades. Asimismo, Capital podrá entregar contenido uno a uno con cada ciudadano o ciudadana interesados en la entidad.</t>
  </si>
  <si>
    <t>Número de leads convertidos</t>
  </si>
  <si>
    <t>Número de visitantes a las plataformas de Capital</t>
  </si>
  <si>
    <t>Con este indicador, Capital quiere segmentar e identificar los intereses de la ciudadanía en cada uno de los proyectos que tiene la entidad y el estado de avance de los mismos.</t>
  </si>
  <si>
    <t xml:space="preserve">Porcentaje de avance en los proyectos </t>
  </si>
  <si>
    <t>Número de proyectos a adelantar en la vigencia</t>
  </si>
  <si>
    <t>Lograr una tasa de conversión de 0.01% de visitantes a los contenidos de Capital</t>
  </si>
  <si>
    <t>&lt;0.0052%</t>
  </si>
  <si>
    <t>1. Diseñar formularios para el registro de datos de las audiencias de Capital.
2. Desarrollar landing pages con contenido atractivo para promover el intercambio de datos.
3. Implementar planes de pauta digital segmentada para cada uno de nuestros proyectos con el fin de finalizar visitantes y convertirlos en leads y leads calificados (sujeto a disponibilidad de recursos).</t>
  </si>
  <si>
    <t xml:space="preserve">Lograr el 95% de avance en la ejecución de los proyectos de Capital </t>
  </si>
  <si>
    <t>&lt;40%</t>
  </si>
  <si>
    <t>40% - 70%</t>
  </si>
  <si>
    <t>70% - 94%</t>
  </si>
  <si>
    <t>1. Adelantar 4 proyectos de inbound marketing para las áreas de Eureka, Comunicaciones y Proyectos estratégicos.
2. Semanalmente se adelantan comités de inbound marketing para analizar el avance en la implementación de los proyectos.
3. Trimestralmente se consolida y reporta el avance en los 4 proyectos.</t>
  </si>
  <si>
    <t>Asesor de Gerencia - Líder del equipo digital</t>
  </si>
  <si>
    <t>Conocimiento de audiencias a través de la estrategia inbound (caracterización de audiencias)</t>
  </si>
  <si>
    <t>Conocimiento de audiencias a través de la estrategia inbound (desarrollo de proyectos)</t>
  </si>
  <si>
    <t>Estrategia de marketing, Capital Social y relaciones públicas (avance en la estrategia).</t>
  </si>
  <si>
    <t>Estrategia de marketing, Capital Social y relaciones públicas (cumplimiento de ventas)</t>
  </si>
  <si>
    <t>02 - Actualización del plan de acción con la inclusión de los siguientes proyectos / planes, para su medición en la vigencia: 1.9.1 - "Capital Plural" y 1.2.1 y 1.2.2 - "Conocimiento de audiencias a través de la estrategia inbound". Se realiza la revisión a los indicadores comerciales 4.4.1 y 4.8.2 - "Estrategia de marketing, Capital Social y relaciones públicas", y se adelanta ajuste en la meta propuesta de acuerdo a lo solicitado por el área. Se revisa el indicador 3.7.3 "Plan Estratégico de Tecnologías de la Información - PETI 2022" y se ajusta en cuanto a su responsabilidad compartida entre las áreas de sistemas y la coordinación técnica. Se actualiza a su versión 1 el anexo 01 - Plan de fortalecimiento institucional, de acuerdo con las actividades concertadas con las diferentes áreas de la entidad. Finalmente, se incluye la revisión de forma y ajustes menores en la redacción y descripción en general de los indicadores.</t>
  </si>
  <si>
    <t>1 - Se formula el documento a partir de las actividades pendientes por finalizar el cumplimiento del Plan de Fortalecimiento Institucional 2021 así como con el análisis realizado por las áreas de la entidad frente a las actividades identificadas en la matriz de recomendaciones del FURAG.</t>
  </si>
  <si>
    <t>3.1</t>
  </si>
  <si>
    <t xml:space="preserve">Gestión estratégica del talento humano </t>
  </si>
  <si>
    <t>Implementar programas de desvinculación asistida en la entidad.</t>
  </si>
  <si>
    <t>Talento humano</t>
  </si>
  <si>
    <t>Programa de Desvinculación asistida</t>
  </si>
  <si>
    <t>3.2</t>
  </si>
  <si>
    <t>Gestionar lo relacionado con la ampliación gradual de la planta de personal de la entidad en concordancia con el cumplimiento de los objetivos institucionales</t>
  </si>
  <si>
    <t>proyecto de ampliación de planta radicado en el DASCD</t>
  </si>
  <si>
    <t>3.3</t>
  </si>
  <si>
    <t>Gestionar la implementación de los lineamientos antisoborno y relacionados con temas de integridad contenidos en la Política Integral de Transparencia, Acceso a la Información, Lucha contra la Corrupción y Gestión Antisoborno.</t>
  </si>
  <si>
    <t>Lineamientos antisoborno</t>
  </si>
  <si>
    <t>3.4</t>
  </si>
  <si>
    <t>Implementar canales de consulta y orientación para el manejo de conflictos de interés</t>
  </si>
  <si>
    <t>Canal de consulta implementado</t>
  </si>
  <si>
    <t>4.1</t>
  </si>
  <si>
    <t xml:space="preserve">Planeación estratégica </t>
  </si>
  <si>
    <t>Revisar y actualizar la política de planeación institucional teniendo en cuenta los cambios en el contexto estratégico y el diagnóstico de capacidades y entornos.</t>
  </si>
  <si>
    <t>Planeación</t>
  </si>
  <si>
    <t>Una (1) política revisada y actualizada durante la vigencia</t>
  </si>
  <si>
    <t>4.2</t>
  </si>
  <si>
    <t>Revisar y actualizar (si aplica) el manual de implementación del MIPG en Capital.</t>
  </si>
  <si>
    <t>Un Manual revisado y actualizado (si aplica)</t>
  </si>
  <si>
    <t>4.3</t>
  </si>
  <si>
    <t>Revisar las matrices de riesgos de acuerdo con la metodología vigente.</t>
  </si>
  <si>
    <t>Matrices de gestión de riesgo revisadas y actualizadas/Total de procesos de la entidad</t>
  </si>
  <si>
    <t>5.1</t>
  </si>
  <si>
    <t>Actualizar en lo pertinente el Modelo de Operación por Procesos y alinear al mismo la información de los procesos institucionales.</t>
  </si>
  <si>
    <t>Información de procesos actualizada/Total de procesos de la entidad</t>
  </si>
  <si>
    <t>5.2</t>
  </si>
  <si>
    <t>Participación ciudadana en la gestión pública</t>
  </si>
  <si>
    <t xml:space="preserve">Implementar la Política Institucional de Participación Ciudadana de acuerdo con la programación y los lineamientos para la vigencia 2022. </t>
  </si>
  <si>
    <t xml:space="preserve">Planeación </t>
  </si>
  <si>
    <t>Matrices de seguimiento diligenciadas</t>
  </si>
  <si>
    <t>5.3</t>
  </si>
  <si>
    <t xml:space="preserve">Realizar la revisión y actualización de la caracterización de los procesos de la entidad </t>
  </si>
  <si>
    <t>Número de caracterizaciones de proceso actualizadas/Total de procesos de la entidad</t>
  </si>
  <si>
    <t>Racionalización de Trámites</t>
  </si>
  <si>
    <t>Documentar la política institucional de racionalización de trámites</t>
  </si>
  <si>
    <t>Planeación
Servicio al ciudadano</t>
  </si>
  <si>
    <t>Una (1) política documentada</t>
  </si>
  <si>
    <t xml:space="preserve">Servicio al ciudadano </t>
  </si>
  <si>
    <t xml:space="preserve">Gestionar mejoras de software para la atención a la ciudadanía </t>
  </si>
  <si>
    <t>Servicio al ciudadano
Sistemas</t>
  </si>
  <si>
    <t>Articulación del sistema Bogotá Te Escucha con el sistema de Correspondencia</t>
  </si>
  <si>
    <t>Desarrollar una estrategia para fortalecer los sistemas de medición de satisfacción de los ciudadanos y su seguimiento.</t>
  </si>
  <si>
    <t xml:space="preserve">Una estrategia diseñada e implementada </t>
  </si>
  <si>
    <t>Gestionar capacitaciones para el personal de atención al ciudadano y otros colaboradores en asuntos de atención preferencial con enfoque diferencial.</t>
  </si>
  <si>
    <t>Servicio al ciudadano
Talento Humano</t>
  </si>
  <si>
    <t>Dos (2) capacitaciones realizadas</t>
  </si>
  <si>
    <t>Gestionar la adopción de lineamientos, políticas y normas para la atención diferencial a población en condición de discapacidad o grupos poblacionales/étnicos.</t>
  </si>
  <si>
    <t xml:space="preserve">Mejoras diseñadas e implementadas en  la atención diferencial a población en condición de discapacidad o grupos poblacionales/étnico </t>
  </si>
  <si>
    <t xml:space="preserve">Adoptar y aplicar los lineamientos de la guía de lenguaje claro a los documentos internos de la entidad. </t>
  </si>
  <si>
    <t>100% del lineamiento implementado</t>
  </si>
  <si>
    <t>Revisar e implementar las mejoras de accesibilidad y los lineamientos de MINTIC para el portal web de Capital.</t>
  </si>
  <si>
    <t>Equipo Digital</t>
  </si>
  <si>
    <t>Actualmente Capital cuenta con dos páginas: Una, canalcapital.gov.co destinada a los temas oficiales y conexioncapital.co, enfocada en el tráfico de noticias, especiales web, estrenos de series, podcast y demás. Como parte del proyecto del 2022 del equipo digital de Capital está la fase final de desarrollo de una página nueva que unificará las dos existentes y con este fin, poder llevar a nuestras audiencias a un mismo lugar donde se encuentren todos los temas de interés. 
En ese mismo sentido implementaremos las mejoras en temas de accesibilidad como: 
-Botón de Accesibilidad en el menú con las opciones:
1. Zona de relevo - Lenguaje de señas.
2. Contraste de color.
3. Tamaño de letra.
4. Lupa.</t>
  </si>
  <si>
    <t>Realizar la medición a la gestión institucional de la información contemplada en los portales de datos abiertos del caso.</t>
  </si>
  <si>
    <t>Reportes trimestrales  de seguimiento sobre el uso externo que le dan a los set de datos abiertos.</t>
  </si>
  <si>
    <t>Llevar a cabo el monitoreo de la exposición al riesgo específicamente en lo relacionado con tecnologías nuevas y emergentes.</t>
  </si>
  <si>
    <t>Monitoreos e informes de los riesgos asociados a la plataforma tecnológica del  canal</t>
  </si>
  <si>
    <t>6.1</t>
  </si>
  <si>
    <t xml:space="preserve">Seguimiento y evaluación del desempeño institucional </t>
  </si>
  <si>
    <t>Presentar balances periódicos ante la alta dirección sobre el estado de avance de la gestión institucional.</t>
  </si>
  <si>
    <t>Número de balances periódicos presentados/Total de sesiones ordinarias CIGD adelantadas</t>
  </si>
  <si>
    <t>6.2</t>
  </si>
  <si>
    <t xml:space="preserve">Realizar un ejercicio de autoevaluación institucional </t>
  </si>
  <si>
    <t>Un (1) ejercicio de autoevaluación realizado en la vigencia</t>
  </si>
  <si>
    <t>7.1</t>
  </si>
  <si>
    <t xml:space="preserve">Transparencia, acceso a la información y lucha contra la corrupción </t>
  </si>
  <si>
    <t xml:space="preserve">Actualizar el normograma y publicarlo en la página web para consulta ciudadana. </t>
  </si>
  <si>
    <t>Planeación 
Coordinación Jurídica</t>
  </si>
  <si>
    <t xml:space="preserve">Normograma actualizado y publicado en página web. </t>
  </si>
  <si>
    <t>7.2</t>
  </si>
  <si>
    <t>Formular el plan de implementación de la Política de Transparencia, Acceso a la Información, lucha contra la corrupción y gestión antisoborno</t>
  </si>
  <si>
    <t>Un (1) plan de implementación diseñado para la política</t>
  </si>
  <si>
    <t>7.3</t>
  </si>
  <si>
    <t>Actualizar las TRD teniendo en cuenta los cambios en el modelo de operación del canal.</t>
  </si>
  <si>
    <t xml:space="preserve">Gestión Documental </t>
  </si>
  <si>
    <t>Numero de actividades ejecutadas/Numero de actividades programadas</t>
  </si>
  <si>
    <t xml:space="preserve">Implementar las fases del sistema el SGDEA (Sistema de Gestión de Documentos Electrónicos de Archivo). </t>
  </si>
  <si>
    <t>Numero de fases ejecutadas/Numero de fases programadas</t>
  </si>
  <si>
    <t>8.1</t>
  </si>
  <si>
    <t xml:space="preserve">Gestión del conocimiento y la innovación </t>
  </si>
  <si>
    <t xml:space="preserve">Diseñar el Plan de Implementación de la Política y avanzar en la implementación de acuerdo con las capacidades institucionales y recursos disponibles durante la vigencia. </t>
  </si>
  <si>
    <t>8.2</t>
  </si>
  <si>
    <t>Implementar y analizar resultados de la herramienta de lecciones aprendidas en proyectos y procesos institucionales.</t>
  </si>
  <si>
    <t>Cinco (5) lecciones aprendidas documentadas</t>
  </si>
  <si>
    <t>8.3</t>
  </si>
  <si>
    <t xml:space="preserve">Participar en los espacios de capacitación y socialización de herramientas, lineamientos y/o conocimientos relacionados con la Gestión del Conocimiento y la Innovación convocados por entidades distritales rectoras en la materia. </t>
  </si>
  <si>
    <t>Número de participaciones en espacios de capacitación y socialización/Invitaciones recibidas</t>
  </si>
  <si>
    <t>8.4</t>
  </si>
  <si>
    <t xml:space="preserve">Diseñar e implementar el Plan de Capacitaciones de acuerdo con las necesidades de conocimiento identificadas al interior de la entidad.  </t>
  </si>
  <si>
    <t>Plan de capacitación</t>
  </si>
  <si>
    <t>9.1</t>
  </si>
  <si>
    <t xml:space="preserve">Control Interno </t>
  </si>
  <si>
    <t>Realizar el monitoreo a los riesgos institucionales atendiendo a los tiempos definidos por la segunda línea de defensa.</t>
  </si>
  <si>
    <t>Número de monitoreos adelantados/Número de monitoreos definidos en el calendario de segunda línea de defensa</t>
  </si>
  <si>
    <t>9.2</t>
  </si>
  <si>
    <t>Revisar y actualizar la política institucional de administración del riesgo teniendo en cuenta los cambios en el contexto estratégico y el diagnóstico de capacidades y entornos</t>
  </si>
  <si>
    <t>9.3</t>
  </si>
  <si>
    <t xml:space="preserve">Realizar mínimo una capacitación asociada a la gestión institucional del riesgo. </t>
  </si>
  <si>
    <t>Una (1) capacitación asociada a la gestión institucional del riesgo</t>
  </si>
  <si>
    <t>9.4</t>
  </si>
  <si>
    <t xml:space="preserve">Documentar mapa de aseguramiento según los lineamientos de la circular 003 de 2020 </t>
  </si>
  <si>
    <t>Control Interno
Planeación</t>
  </si>
  <si>
    <t>Mapa de Aseguramiento documentado</t>
  </si>
  <si>
    <t>9.5</t>
  </si>
  <si>
    <t xml:space="preserve">Formular lineamientos orientados a complementar la gestión del riesgo desde el enfoque de corrupción de forma complementaria a las directrices definidas desde la segunda línea de defensa </t>
  </si>
  <si>
    <t>Documento de recomendaciones que permitan el fortalecimiento en la gestión de los riesgos de corrupción</t>
  </si>
  <si>
    <t>9.6</t>
  </si>
  <si>
    <t>Realizar seguimiento a la gestión de riesgos de corrupción de la entidad y monitorear el progreso del tratamiento de la línea de denuncia.</t>
  </si>
  <si>
    <t xml:space="preserve">Soporte de los seguimientos realizados </t>
  </si>
  <si>
    <t>9.7</t>
  </si>
  <si>
    <t xml:space="preserve">Llevar a cabo seguimientos a la implementación de la política de administración del riesgo de la entidad en la vigencia 2022. </t>
  </si>
  <si>
    <t xml:space="preserve">Realizado dos seguimientos a la implementación de la política de administración de riesgos- </t>
  </si>
  <si>
    <t>1.2.3</t>
  </si>
  <si>
    <t>1.3.4</t>
  </si>
  <si>
    <t>1.1.5</t>
  </si>
  <si>
    <t>HOJA DE VIDA DEL INDICADOR</t>
  </si>
  <si>
    <t>CÓDIGO: EPLE-FT-017</t>
  </si>
  <si>
    <t>RESPONSABLE: PLANEACIÓN</t>
  </si>
  <si>
    <t>ÁREA RESPONSABLE</t>
  </si>
  <si>
    <t>CÓDIGO</t>
  </si>
  <si>
    <t>PROYECTO / PLAN</t>
  </si>
  <si>
    <t>LÍDER ESTRATÉGICO</t>
  </si>
  <si>
    <t>RESPONSABLE(S) DE LA MEDICIÓN</t>
  </si>
  <si>
    <t>1. ALINEACIÓN ESTRATÉGICA</t>
  </si>
  <si>
    <t>Correspondencia ODS</t>
  </si>
  <si>
    <t>Correspondencia PDD</t>
  </si>
  <si>
    <t>Correspondencia MIPG</t>
  </si>
  <si>
    <t>2. INFORMACIÓN DEL INDICADOR</t>
  </si>
  <si>
    <t>Tipo de indicador</t>
  </si>
  <si>
    <t>Actividades de gestión</t>
  </si>
  <si>
    <t>Periodicidad de reporte</t>
  </si>
  <si>
    <t>3. REPORTE DE INFORMACIÓN</t>
  </si>
  <si>
    <t>INDICADOR</t>
  </si>
  <si>
    <t>Enero</t>
  </si>
  <si>
    <t>Febrero</t>
  </si>
  <si>
    <t>Marzo</t>
  </si>
  <si>
    <t>Abril</t>
  </si>
  <si>
    <t>Mayo</t>
  </si>
  <si>
    <t>Junio</t>
  </si>
  <si>
    <t>Julio</t>
  </si>
  <si>
    <t>Agosto</t>
  </si>
  <si>
    <t>Septiembre</t>
  </si>
  <si>
    <t>Octubre</t>
  </si>
  <si>
    <t>Noviembre</t>
  </si>
  <si>
    <t>Diciembre</t>
  </si>
  <si>
    <t>RESULTADO</t>
  </si>
  <si>
    <t>4. ANÁLISIS DE RESULTADOS</t>
  </si>
  <si>
    <t>El análisis de resultados en la presente sección debe ser consecuente con los avance obtenidos en el período de seguimiento para el indicador reportado, teniendo en cuenta las actividades de gestión descritas para el mismo.</t>
  </si>
  <si>
    <t>SEGUIMIENTO 1</t>
  </si>
  <si>
    <t>SEGUIMIENTO 2</t>
  </si>
  <si>
    <t>SEGUIMIENTO 3</t>
  </si>
  <si>
    <t>SEGUIMIENTO 4</t>
  </si>
  <si>
    <t>ÁREA</t>
  </si>
  <si>
    <t>Comunicaciones</t>
  </si>
  <si>
    <t>Proyectos_Estratégicos</t>
  </si>
  <si>
    <t>Digital</t>
  </si>
  <si>
    <t>Programación</t>
  </si>
  <si>
    <t>Técnica</t>
  </si>
  <si>
    <t>Talento_Humano</t>
  </si>
  <si>
    <t>Gestión_Documental</t>
  </si>
  <si>
    <t>Servicios_Administrativos</t>
  </si>
  <si>
    <t>Gestión_Ambiental</t>
  </si>
  <si>
    <t>Subdirección_Administrativa</t>
  </si>
  <si>
    <t>Subdirección_Financiera</t>
  </si>
  <si>
    <t>Secretaría_General</t>
  </si>
  <si>
    <t>Servicio_Ciudadano</t>
  </si>
  <si>
    <t>Control_Interno</t>
  </si>
  <si>
    <t>Gerencia</t>
  </si>
  <si>
    <t>Producción</t>
  </si>
  <si>
    <t>Objetivo(s) del proyecto, plan o estrategia</t>
  </si>
  <si>
    <t>Nombre del indicador</t>
  </si>
  <si>
    <t>VERSIÓN: 6</t>
  </si>
  <si>
    <t>Meta</t>
  </si>
  <si>
    <t>FECHA: 01/04/2022</t>
  </si>
  <si>
    <t>Ene</t>
  </si>
  <si>
    <t>Feb</t>
  </si>
  <si>
    <t>Mar</t>
  </si>
  <si>
    <t>Abr</t>
  </si>
  <si>
    <t>May</t>
  </si>
  <si>
    <t>Jun</t>
  </si>
  <si>
    <t>Jul</t>
  </si>
  <si>
    <t>Ago</t>
  </si>
  <si>
    <t>Sep</t>
  </si>
  <si>
    <t>Oct</t>
  </si>
  <si>
    <t>Nov</t>
  </si>
  <si>
    <t>Dic</t>
  </si>
  <si>
    <t>REPORTE 2022</t>
  </si>
  <si>
    <t>SEGUIMIENTOS</t>
  </si>
  <si>
    <t>Estado</t>
  </si>
  <si>
    <t>RESULTADOS</t>
  </si>
  <si>
    <t>Sin iniciar</t>
  </si>
  <si>
    <t>-</t>
  </si>
  <si>
    <r>
      <rPr>
        <b/>
        <sz val="10"/>
        <color theme="1"/>
        <rFont val="Arial"/>
        <family val="2"/>
      </rPr>
      <t xml:space="preserve">Dirección Operativa </t>
    </r>
    <r>
      <rPr>
        <sz val="10"/>
        <color theme="1"/>
        <rFont val="Arial"/>
        <family val="2"/>
      </rPr>
      <t xml:space="preserve">
(Coordinación de Producción, Contenidos ciudadanos,  Digital, Coordinación de Programación y Coordinación Técnica)</t>
    </r>
  </si>
  <si>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</si>
  <si>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</si>
  <si>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</si>
  <si>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</si>
  <si>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</si>
  <si>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</si>
  <si>
    <t>Alerta - Sin avance</t>
  </si>
  <si>
    <t>Total</t>
  </si>
  <si>
    <t>Valor</t>
  </si>
  <si>
    <t>Avance ponderado para el tercer trimestre</t>
  </si>
  <si>
    <t>Antes</t>
  </si>
  <si>
    <t>Puntero</t>
  </si>
  <si>
    <t>Después</t>
  </si>
  <si>
    <r>
      <rPr>
        <b/>
        <sz val="10"/>
        <color theme="1"/>
        <rFont val="Arial"/>
        <family val="2"/>
      </rPr>
      <t xml:space="preserve">Gerencia </t>
    </r>
    <r>
      <rPr>
        <sz val="10"/>
        <color theme="1"/>
        <rFont val="Arial"/>
        <family val="2"/>
      </rPr>
      <t xml:space="preserve">
(Gerencia, Planeación, Prensa y Comunicaciones, proyectos estratégicos)</t>
    </r>
  </si>
  <si>
    <t>Estrategias</t>
  </si>
  <si>
    <t>Muy Satisfactorio</t>
  </si>
  <si>
    <t>Valoración</t>
  </si>
  <si>
    <t>Desempeño</t>
  </si>
  <si>
    <t>OE-1</t>
  </si>
  <si>
    <t>OE-2</t>
  </si>
  <si>
    <t>OE-3</t>
  </si>
  <si>
    <t>OE-4</t>
  </si>
  <si>
    <t>OE-5</t>
  </si>
  <si>
    <t>Muy satisfactorio (Superior a 90%)</t>
  </si>
  <si>
    <t>Satisfactorio (entre 60% y 90%)</t>
  </si>
  <si>
    <t>Aceptable (entre 30% y 60%)</t>
  </si>
  <si>
    <t>Alerta (Inferior al 30%)</t>
  </si>
  <si>
    <t>03 - Actualización del plan de acción, con la revisión y ajustes solicitados por el área de proyectos estratégicos a los indicadores 4.8.2 "Estrategia de marketing, Capital Social y relaciones públicas (cumplimiento de ventas)" y 4.4.1 "Estrategia de marketing, Capital Social y relaciones públicas (avance en la estrategia)" solicitado por correo electrónico de fecha 17 de junio. Adicionalmente, se hacen ajustes menores de redacción y fortalecimiento a la descripción en general de los indicadores, así como los ajustes pertinentes en los responsables de medición, de acuerdo con las denominaciones definidas por Resolución interna 050 de 2022, para funcionarios de la planta.</t>
  </si>
  <si>
    <t>Asesora de Planeación - Profesional de Apoyo de Planeación.</t>
  </si>
  <si>
    <t>Asesora de planeación -Profesional de Planeación.</t>
  </si>
  <si>
    <t>Asesor de Comunicaciones - Profesional especializado de Prensa y Comunicaciones</t>
  </si>
  <si>
    <t>Asesor de Comunicaciones - Jefe de Prensa</t>
  </si>
  <si>
    <t>Asesor de Comunicaciones - Profesional de Comunicaciones Internas</t>
  </si>
  <si>
    <t xml:space="preserve">Valor en pesos de la venta cuatrimetral (BTL, ATL, Digital, pauta canal, transmisiones, proyecto audiovisual y recaudo pauta digital)
</t>
  </si>
  <si>
    <t>Valor en pesos de las ventas cuatrimetral proyectadas de Capital (BTL, ATL, Digital, pauta canal, transmisiones, proyecto audiovisual y recaudo pauta digital) * 60%.</t>
  </si>
  <si>
    <t>0%
La línea base en cero ya que este indicador no fue medido en la vigencia 2021 y la dinámica de 2020 fue atípica para ser tenida en cuenta como línea base.</t>
  </si>
  <si>
    <t>60%
($5.010.000.000)</t>
  </si>
  <si>
    <r>
      <t xml:space="preserve">Este indicador se plantea con base en el cumplimiento del 60% de la meta de ventas establecida por Capital, para la vigencia 2022, a partir de un análisis histórico del comportamiento de las ventas, entre 2020 y 2021.
Este análisis también arroja que las ventas tienen un mejor comportamiento durante el segundo semestre que en el primer semestre de cada vigencia. Por lo anterior, los resultados esperados por semestre será así:
</t>
    </r>
    <r>
      <rPr>
        <b/>
        <sz val="10"/>
        <color theme="1"/>
        <rFont val="Arial"/>
        <family val="2"/>
      </rPr>
      <t xml:space="preserve">
Primer cuatrimestre: Ventas por el 10% del indicador ($501.000.000)
Segundo cuatrimestre: Ventas por el 20% del indicador ($1.002.000.000)
Tercer cuatrimestre: Ventas por el 70% del indicador ($3.507.000.000)</t>
    </r>
    <r>
      <rPr>
        <sz val="10"/>
        <color theme="1"/>
        <rFont val="Arial"/>
        <family val="2"/>
      </rPr>
      <t xml:space="preserve">
El valor reportado corresponderá a la gestión de contratos (suscritos) en un porcentaje mínimo del 60% respecto a la meta anual de ventas definida por Capital.
</t>
    </r>
    <r>
      <rPr>
        <b/>
        <sz val="10"/>
        <color theme="1"/>
        <rFont val="Arial"/>
        <family val="2"/>
      </rPr>
      <t>Nota 1</t>
    </r>
    <r>
      <rPr>
        <sz val="10"/>
        <color theme="1"/>
        <rFont val="Arial"/>
        <family val="2"/>
      </rPr>
      <t xml:space="preserve">: este resultado incluye el valor recaudado por pauta digital.
</t>
    </r>
    <r>
      <rPr>
        <b/>
        <sz val="10"/>
        <color theme="1"/>
        <rFont val="Arial"/>
        <family val="2"/>
      </rPr>
      <t>Nota 2</t>
    </r>
    <r>
      <rPr>
        <sz val="10"/>
        <color theme="1"/>
        <rFont val="Arial"/>
        <family val="2"/>
      </rPr>
      <t xml:space="preserve">: el valor de la meta anual y los rangos de tolerancia establecidos en la columna T, U, V y W de este archivo, corresponden a la meta anual y no a las esperadas para cada cuatrimestre.
</t>
    </r>
    <r>
      <rPr>
        <b/>
        <sz val="10"/>
        <color theme="1"/>
        <rFont val="Arial"/>
        <family val="2"/>
      </rPr>
      <t>Nota 3:</t>
    </r>
    <r>
      <rPr>
        <sz val="10"/>
        <color theme="1"/>
        <rFont val="Arial"/>
        <family val="2"/>
      </rPr>
      <t xml:space="preserve"> Los valores que se registrarán incluyen IVA, para efectos de validación de datos respecto al control de los contratos suscritos con los clientes</t>
    </r>
  </si>
  <si>
    <t>Profesional especializado de Programación.</t>
  </si>
  <si>
    <t>Profesional especializado del área Técnica</t>
  </si>
  <si>
    <t>Profesional Especializada área Jurídica</t>
  </si>
  <si>
    <t>3 - (07 de julio)</t>
  </si>
  <si>
    <r>
      <t>03 - Actualización del plan de acción, con la revisión y ajustes solicitados por el área de proyectos estratégicos a los indicadores 4.8.2 "Estrategia de marketing, Capital Social y relaciones públicas (cumplimiento de ventas)" y 4.4.1 "Estrategia de marketing, Capital Social y relaciones públicas (avance en la estrategia)"</t>
    </r>
    <r>
      <rPr>
        <sz val="10"/>
        <color rgb="FFFF0000"/>
        <rFont val="Arial"/>
        <family val="2"/>
      </rPr>
      <t xml:space="preserve"> </t>
    </r>
    <r>
      <rPr>
        <sz val="10"/>
        <color theme="1"/>
        <rFont val="Arial"/>
        <family val="2"/>
      </rPr>
      <t>solicitado por correo electrónico d</t>
    </r>
    <r>
      <rPr>
        <sz val="10"/>
        <rFont val="Arial"/>
        <family val="2"/>
      </rPr>
      <t xml:space="preserve">e fecha 17 de junio. </t>
    </r>
    <r>
      <rPr>
        <sz val="10"/>
        <color theme="1"/>
        <rFont val="Arial"/>
        <family val="2"/>
      </rPr>
      <t xml:space="preserve">Adicionalmente, se hacen ajustes menores de redacción y fortalecimiento a la descripción en general de los indicadores, así como los ajustes pertinentes en los responsables de medición, de acuerdo con las denominaciones definidas </t>
    </r>
    <r>
      <rPr>
        <sz val="10"/>
        <rFont val="Arial"/>
        <family val="2"/>
      </rPr>
      <t xml:space="preserve">por Resolución interna 050 </t>
    </r>
    <r>
      <rPr>
        <sz val="10"/>
        <color theme="1"/>
        <rFont val="Arial"/>
        <family val="2"/>
      </rPr>
      <t>de 2022, para funcionarios de la planta.</t>
    </r>
  </si>
  <si>
    <t>T1: Gestionar la generación de contenidos por medio del desarrollo colectivo de proyectos en conjunto con los grupos poblacionales y gestión de recursos sostenibles: Realizamos una alianza con la SCRD para diseñar una convocatoria que permita la producción de contenidos audiovisuales para los 7 grupos étnicos priorizados (Afro, Raizal, Palenquero, Rrom, Indígena, AIB, Muisca). * Apoyar la visibilización de las prácticas, liderazgos y productos de comunicación de los grupo poblacionales y medios comunitarios en las plataformas digitales, señal abierta y en los entornos sonoros: Apoyamos la conmemoración del día internacional de los derechos de las mujeres, así como la fecha emblemática del Año Bueno Muisca adelantada por el Cabildo de Suba. * Acompañar el fortalecimiento de capacidades del equipo humano de capital en derechos humanos desde una perspectiva plural: Realizamos una sesión de fortalecimiento de capacidades con el equipo administrativo de Capital sobre género, sexo, identidad de género y orientaciones sexuales. Así mismo, acordamos una serie de sensibilizaciones a desarrollarse durante el año de la mano de la Secretaría de la Mujer y la SDP.
T2: Gestionar la generación de contenidos por medio del desarrollo colectivo de proyectos en conjunto con los grupos poblacionales y gestión de recursos sostenibles: Una vez gestionada la alianza de la Convocatoria para la Comuncación Comunitaria de Grupos Étnicos, se realizá el lanzamiento de la convocatoria que beneficiará a los grupos étnicos del Distrito con 300 millones de pesos en becas de 10 millones, recurso fuente SCRD. * Apoyar la visibilización de las prácticas, liderazgos y productos de comunicación de los grupo poblacionales y medios comunitarios en las plataformas digitales, señal abierta y en los entornos sonoros: Apoyamos la conmemoración del día del pueblo Rrom, el día de la afrocolombianidad y los preparativos de cubrimiento para el día por la ciudadanía LGBTIQ. * Acompañar el fortalecimiento de capacidades del equipo humano de capital en derechos humanos desde una perspectiva plural: Realizamos una sesión de fortalecimiento de capacidades con el equipo administrativo de Capital sobre grupos étnicos. Así mismo, acompañamos a los equipos en el desarrollo de las campañas asociadas a fechas emblemáticas.</t>
  </si>
  <si>
    <t>MATRIZ DE SEGUIMIENTO AL PLAN DE ACCIÓN INSTITUCIONAL
CAPITAL - SISTEMA DE COMUNICACIÓN PÚBLICA
Corte: 30 de junio de 2022</t>
  </si>
  <si>
    <t>Sin iniciar / Sin reporte</t>
  </si>
  <si>
    <t>T1: Durante el primer trimestre del año se determinó al interior del área que una de las lecciones aprendidas a documentar estaría asociada a los avances en la implementación del ERP en los procesos administrativos de la entidad y su impacto positivo en la eficiencia y optimización de las gestiones internas. Para este fin, se avanzó en la construcción de un documento de memorias y presentación con información (desde la óptica de planeación) de los principales aspectos a resaltar y de mejorar en los diferentes módulos; información que sirve de insumo para la construcción del documento de lecciones aprendidas. En este sentido se evidencian avances en la gestión del indicador y se espera en los trimestres posteriores la consolidación de ésta en la herramienta de documentación correspondiente, así como la definición de la segunda lección aprendida, para dar cumplimiento de la meta propuesta.
T2: Durante el segundo trimestre del año se llevó a cabo el diseño del Plan de Implementación para la Política Institucional de Gestión del Conocimiento e Innovación Pública de Capital, la cual incorpora en su estrategia de Gestión del Conocimiento la implementación de la herramienta de lecciones aprendidas, formalizando así su uso al interior de la entidad. De esta manera se genera una gestión complementaria entre los instrumentos de Planeación que permite posicionar la herramienta de cara a la documentación de lecciones de diferentes proyectos y áreas.</t>
  </si>
  <si>
    <t xml:space="preserve">T1: Los resultados analizados corresponden con el seguimiento mensual del Plan de Fortalecimiento Institucional - PFI, concertado con las áreas, para la implementación de las dimensiones y políticas del MIPG. Al cierre del primer trimestre se cuenta con un nivel de ejecución del 20.43% superior a lo programado para el mismo trimestre (19.28%). Esto gracias a que se avanzó en actividades que para la fecha no se tenían programadas: en acciones de servicio al ciudadano (5.7 - capacitaciones en enfoque diferencial), sistemas (acción 5.11 - datos abiertos) y de Talento Humano (acción 8.4 - Diseño del plan de capacitaciones). Se observa un comportamiento normal y conforme con lo programado para el indicador, por lo cual no se hace observaciones adicionales.
T2: Los resultados analizados corresponden con el seguimiento mensual del Plan de Fortalecimiento Institucional - PFI, concertado con las áreas, para la implementación de las dimensiones y políticas del MIPG. Al cierre del segundo trimestre se cuenta con un nivel de ejecución del 47.07%, el cual no presenta una diferencia importante frente a lo programado para el mismo trimestre (51.10%). El leve rezago que se observa se debe a acciones que han tenido una implementación ligeramente ralentizada durante el segundo trimestre del año (Talento Humano (3.1, 3.3 y 3.4), Planeación (5.3 y 7.1), Servicio al ciudadano (5.8, 5.9) y Control Interno (9.5)). Pese a ello, los niveles de cumplimiento alcanzados con corte a junio de 2022 no comprometen la efectiva ejecución de las acciones programadas, por lo que no se realizan observaciones adicionales. </t>
  </si>
  <si>
    <t xml:space="preserve">T1: Para el primer trimestre del año se cumplió el el 100% de los compromisos asociadso con la presentación de informes de gestión en el marco de la segunda línea de defensa liderada por Planeación. Para el periodo de seguimientos a los proyectos de inversión a través de las diferentes plataformas disponibles (SEGPLAN y SPI), así mismo, se dio continuidad al seguimiento y presentación de informes de la ejecución de recursos suministrado por el FUTIC, se realizaron los seguimientos a la implemenetación de las diferentes políticas públocas así como al plan de acción institucional y se actualizaron de forma integral del Plan Anticorrupción y de Atención al Ciudadano, así como la revisión y actualización de los riesgos de corrupción de los procesos, adicionalmente se presentaron los diferentes balances de gestión del cierre de la vigencia 2021 a las entidades respectivas.
T2: Frente al segundo trimestre del año se alcanzó el cumplimiento al 100% de los compromisos relacionados con la segunda línea de defensa liderada desde planeación, los reportes presentados corresponden con el seguimiento a los proyectos de inversión a través de las diferentes plataformas definidas pata ral fin (SEGPLAN y SPI), el seguimiento a la ejecución de recursos suministrados por FUTIC, el reporte de avance a los compromisos adquiridos en materia de  políticas públicas así como el reporte de seguimiento a la ejecución presupuestal presentado a la personaería de forma mensual.   </t>
  </si>
  <si>
    <t>T1: Con corte al 31 de marzo, se realizaron tres informes mensuales que dan cuenta del trabajo realizado por Comunicaciones Estrategicas en cuanto al relacionamiento con entidades públicas y privaas del sector cultural, lo cual dió como resultado: 1 Alianza con evento/entidad del sector cultura. 1 Apoyo en divulgación por parte del sector cultura. 7 Alianzas con evento/entidad del sector privado. 1 Alianza a evento/entidad del sector audiovisual. 1 Apoyo a evento/entidad del Distrito.  
T2: Con corte al 30 de junio, se realizaron tres informes mensuales que dan cuenta del trabajo realizado por Comunicaciones Estrategicas en cuanto al relacionamiento con entidades públicas y privaas del sector cultural, lo cual dió como resultado: 1 Alianza con evento/entidad del sector cultura. 3 Alianzas con evento/entidad del sector privado. 3 Alianza a evento/entidad del sector audiovisual. 2 Alianzas con evento/entidad del sector académico. 1 Alianza con evento/entidad de la televisión regional.</t>
  </si>
  <si>
    <t>T1: Durante el primer trimestre del año se lograron 101 impactos en medios de comunicación a nivel nacional, en prensa escrita, radio e internet.
T2: Durante el segundo trimestre del año se lograron 151 impactos en medios de comunicación a nivel nacional, en prensa escrita, radio e internet.</t>
  </si>
  <si>
    <t>T1: Durante el primer trimestre del año se cumplieron con todas las solicitudes de las áreas de Capital para efectos de comunicaciones internas, las cuales se compartieron a través de comunicados/mailing (19)  y en el boletín interno semanal (8) que se enviaron a todos los colaboradores del Sistema. 
T2: Durante el segundo trimestre del año se cumplieron con todas las solicitudes de las áreas de Capital para efectos de comunicaciones internas, las cuales se compartieron a través de comunicados/mailing (24)  y en el boletín interno semanal (12) que se enviaron a todos los colaboradores del Sistema.</t>
  </si>
  <si>
    <t>T1: La elaboración del Plan Anual de Adquisiciones para la presente vigencia se realizó por medio de la nueva herramienta ERP del Canal, el cual tomó como base el PAA 2021 en ejecución, este PAA se revisó con cada una de las áreas. En cuanto a la ejecución 2022, se tiene un porcentaje de avance bastante bueno debido a que por la Ley de gerantías se adelantó la contratación sobre todo para el primer semestre en la parte operativa y para el total de la vigencia en la mayoría de la parte administrativa, quedando pendiente la contratación por convocatorias públicas la cual dará inicio a partir del segundo trimestre.
T2: En el presente periodo aunque estuvimos en ley de garantías, se realizaron adiciones a contratos que venían de la vigencia anterior, pero lo más relevante de la ejecución de recursos fue la adjudicación de convoicatorias públicas para la ejecución de recursos del Futic. Con esta ejecución se garantiza la producción de programas en el segundo semestre del año. Quedan pendientes por adjudicar oras convocatorias, pero éstas se encuentran dentrop de los cronogramas planteados, al igual que los contratos pendientes tanto en la parte administrativa con en la misional, esta contratación se llevará a cabo en el segundo semestre de acuerdo con lo programado.</t>
  </si>
  <si>
    <t>T1: Durante el primer trimestre del año se cumplieron con todas las solicitudes de comunicaciones sobre cultura organizacional y sentido de pertenencia, las cuales se evidencian a través del envío semanal del boletín interno (8) donde figuraron comunicaciones como las de los valores que nos caracterizan como capital y la carta del trato digno.
T2: Durante el segundo trimestre del año se cumplieron con todas las solicitudes de comunicaciones sobre cultura organizacional y sentido de pertenencia, las cuales se evidencian a través del envío semanal del boletín interno (12) donde figuraron comunicaciones como las de los valores que nos caracterizan como capital, un (1) comunicado interno y cuatro (4) mailing.</t>
  </si>
  <si>
    <r>
      <t xml:space="preserve">La estrategia estará dividida en tres componentes, a continuación se describen las actividades definidas para cada uno de ellos:
</t>
    </r>
    <r>
      <rPr>
        <b/>
        <sz val="10"/>
        <color theme="1"/>
        <rFont val="Arial"/>
        <family val="2"/>
      </rPr>
      <t>Para el componente de Mejoramiento de los productos y servicios misionales:</t>
    </r>
    <r>
      <rPr>
        <sz val="10"/>
        <color theme="1"/>
        <rFont val="Arial"/>
        <family val="2"/>
      </rPr>
      <t xml:space="preserve">
1.  Organizar los procesos del área y del equipo </t>
    </r>
    <r>
      <rPr>
        <b/>
        <sz val="10"/>
        <color theme="1"/>
        <rFont val="Arial"/>
        <family val="2"/>
      </rPr>
      <t xml:space="preserve">
</t>
    </r>
    <r>
      <rPr>
        <sz val="10"/>
        <color theme="1"/>
        <rFont val="Arial"/>
        <family val="2"/>
      </rPr>
      <t xml:space="preserve">
</t>
    </r>
    <r>
      <rPr>
        <b/>
        <sz val="10"/>
        <color theme="1"/>
        <rFont val="Arial"/>
        <family val="2"/>
      </rPr>
      <t>Para el componente "Seguimiento a Capital Social"</t>
    </r>
    <r>
      <rPr>
        <sz val="10"/>
        <color theme="1"/>
        <rFont val="Arial"/>
        <family val="2"/>
      </rPr>
      <t xml:space="preserve">
1. Estructuración modelo de negocio
2. Comercializadores
3. Campaña de posicionamiento
4. Salir al aire
5. Inbound Marketing
6. Producción de comerciales CS
7. Seguimiento de pauta CS
8. Evaluación, divulgación del modelo y planeación 2023
</t>
    </r>
    <r>
      <rPr>
        <b/>
        <sz val="10"/>
        <color theme="1"/>
        <rFont val="Arial"/>
        <family val="2"/>
      </rPr>
      <t>Para el componente "Estrategia de relaciones públicas con Directivas de entidades públicas"</t>
    </r>
    <r>
      <rPr>
        <sz val="10"/>
        <color theme="1"/>
        <rFont val="Arial"/>
        <family val="2"/>
      </rPr>
      <t xml:space="preserve">
1. Acercamiento a las entidades (Transmilenio, ERU, Movilidad, Metro, Desarrollo Económico e Integración social)
2. Presentación y ajuste de propuestas a las Directivas de las entidades públicas
3. Firma de contratos y ejecución
4. Balance de la estrategia y planeación para 2023.</t>
    </r>
  </si>
  <si>
    <t>T1: En lo corrido del 1er trimestre de 2022 la estrategia de Capital Social ha tenido un avance del 23 % y se ha desarrollo sin anomalias, a continuación se describe el avance alcanzado por cada componente: Componente 1: Avance del 50%, en coherencia con el plan definido para el trimestre. Componente 2: Avance del 19,16 %, en coherencia con el plan definido para el trimestre Componente 3: Se han iniciado las actividades propuestas para el trimestre pero su desarrollo y finalización se encuentra en proceso, por esta razón el valor de este componente es de cero (0), en coherencia con el plan definido para el trimestre. Los resultados de esta medición serán acumulados a lo largo del año hasta alcanzar el 100 % total de cumplimiento para la vigencia. Por lo anterior se concluye se ha alcanzado la meta definida respecto a la estrategia diseñada por Proyectos estratégicos.
T2: En lo corrido del 2do trimestre de 2022 la estrategia de Capital Social ha tenido un avance del 34 % y se ha desarrollo sin anomalias, a continuación se describe el avance alcanzado por cada componente: Componente 1: Avance del 36 %, en coherencia con el plan definido para el trimestre. Componente 2: Avance del 50 %, en coherencia con el plan definido para el trimestre. Componente 3: Avance del 15 %, en coherencia con el plan definido para el trimestre. Los resultados de esta medición serán acumulados a lo largo del año hasta alcanzar el 100 % total de cumplimiento para la vigencia. Por lo anterior se concluye se ha alcanzado la meta definida respecto a la estrategia diseñada por Proyectos estratégicos.</t>
  </si>
  <si>
    <t>C1: Este indicador de medicion cuatrimestral ha tenido un desempeño satisfactorio y ha excedido la proyección propuesta para el 1er cuatrimestre de 2022 como se describe a contiuación:
Numerador: Valor en pesos de la venta cuatrimetral (BTL, ATL, Digital, pauta canal, transmisiones, proyecto audiovisual y recaudo pauta digital)ya que el valor en pesos de la venta semestral (BTL, ATL, Digital, pauta canal, transmisiones, proyecto audiovisual y recaudo pauta digital). 
Análisis
En el periodo comprendido entre enero y abril de 2022 se ha tenido un avance en las ventas a través de suscripción de contratos, adiciones contractuales, ofertas comerciales (comunicación pública, ATL, BTL, producción audiovisual, transmisiones audiovisuales, estrategias 360o) y recaudos de pauta digital en plataformas y redes sociales de Capital. por contratos suscritos las siguientes entidades:
Enero Gran Américas Fontibón 1 SAS, La huella VNA comunicaciones SAS, Central unitaria de trabajadores de Colombia CUT, 
Febrero La huella VNA comunicaciones, Canal regional de televisión Teveandina ltda., Laboratorios naturtech S.A.S diez (10) emisiones de infomercial, La huella VNA comunicaciones S.A.S doscientos setenta y seis (276) emisiones de infomerciales. Comisión volumen agencia- Caracol Televisión Comisión volumen agencia- RCN Televisión Comisión volumen agencia- Diario la república Universal Mccann servicios de medios Ltda.
Marzo Laboratorios Naturtech S.A.S diez emisiones de infomercial Universal group agencia de comunicaciones (3 oc, mismo contrato Secretaria de educación Fundación JS MOTORSPORT E-somos Fontibón S.A.S
Century media S.A.S Corporación parque nacional Chicamocha
Abril RED PRODEPAZ FAO Fundación JS MOTORSPORT Fundación Gilberto Álzate Avendaño MAVAL GROUP SAS AUTODROMOS CLUB LOS TORTUGAS RTVC Sistema De Medios Públicos emisión MINTIC Colombia 4.0
El valor alcanzado de ventas para el cuatrimestre fue de $1.575.102.766 valor que supera al esperado el cual era el correspondiente al 10% del valor todal del año es decir $501.000.000
Denominador: Valor en pesos de las ventas cuatrimetral proyectadas de Capital (BTL, ATL, Digital, pauta canal, transmisiones, proyecto audiovisual y recaudo pauta digital) * 60%.
Análisis: Para el cálculo del denominador se tuvo en cuenta la Meta anual de ventas de $ 8´350.000.000 para Capital en 2022 valor aprobado en el plan de acción 2022, el 60% de este valor equivale a $ 5´010,000 por lo que será el referente en lo que queda de la vigencia si no se identifica una modificación de esta. Como resultado de la relación matemática se determina que el indicador para el cuatrimestre fue superado ya que el valor alcanzado fue del 31.4 % respecto al estimado del 10%, lo anterior debido a las oportunidades comerciales que se presentaron en el mes de abril ya que en el monitoreo realizado con corte al mes de marzo el avance era proporcional a la meta. Con base en este resultado se realizará la revisión y tendencia de ventas para el 2 cuatrimestre y en caso encontrar la misma dinámica del indicador se procederá a reestructurar la meta o el porcentaje del denominador según se considere pertinente.</t>
  </si>
  <si>
    <t>&lt; 15 %</t>
  </si>
  <si>
    <t>15 % al 19.9 %</t>
  </si>
  <si>
    <t>20 % al 30 %</t>
  </si>
  <si>
    <t>entre 31 % y 40 %</t>
  </si>
  <si>
    <t xml:space="preserve">Estrategia de cocreación de contenidos con la ciudadanía </t>
  </si>
  <si>
    <t xml:space="preserve">Gestionar una estrategia que incluya la participación activa de la ciudadania infantil en el diseño, producción y/o circulación del contenidos de Capital y de Eureka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</si>
  <si>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</si>
  <si>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</si>
  <si>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</si>
  <si>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</si>
  <si>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Lograr el cumplimiento al 100% para la  ejecución del proyecto audiovisual que incluya la participación activa de la ciudadanía infantil</t>
  </si>
  <si>
    <t>T1: Para el primer trimestre 2022 se logró cumplir el indicador "gestión presupuestal para llamados públicos", en lo referente a la primera etapa denominada "diseñado" la cual hace referencia a la incorporación del presupuesto establecido en el Plan Anual de Adquisiciones aprobado para la Dirección Operativa en la vigencia. 
Numerador: Presupuesto asignado a llamados públicos $4.522.000.000 según Plan Anual de Adquisiciones
Denominador $15.280.132.250 presupuesto dirección operativa para la realizacion de producciones en la vigencia 2022
A lo largo del trimestre estos valores sufrieron ajustes asociados a recortes sin que esto afectará la meta establecida, asi mismo los equipos de producción han iniciado la elaboración documentos técnicos y precontractuales para los llamados públicos conforme los cronogramadas de trabajo definidos para la vigencia. De acuerdo con lo anterior se concluye que a la fecha se cuenta con un cumplimiento del indicador del 29,5 %, estando esto dentro del rango de meta establecido para este indicador.
T2: Para el segundo trimestre 2022 se logró cumplir el indicador "gestión presupuestal para llamados públicos", en lo referente a la primera etapa denominada "diseñado" la cual hace referencia a la incorporación del presupuesto establecido en el Plan Anual de Adquisiciones aprobado para la Dirección Operativa en la vigencia
Numerador: Presupuesto asignado a llamados públicos $4,132,000,000 según Plan Anual de Adquisiciones
Denominador $11´738. 998. 505 presupuesto dirección operativa para la realizacion de producciones en la vigencia 2022
A lo largo del trimestre el valor correspondiente al numerador y al denominador han tenido modificaciones sin que esto afectará la meta establecida, asi mismo los equipos de producción han gestionado la contratación para los llamados públicos conforme los cronograma de trabajo definidos para la vigencia. De acuerdo con lo anterior se concluye que a la fecha se cuenta con un cumplimiento del indicador del 35,20 %, estando esto dentro del rango de meta establecido para este indicador.</t>
  </si>
  <si>
    <t>T1: En el primer trimestre de 2022 la Estrategia de cocreación de contenidos, que incluye la participación activa de la ciudadanía infantil en alguna o varias etapas definidas para su ejecución, tuvo avance en la etapa denominada "diseño" la cual hace referencia a la estructuración de la propuesta técnica que podría tener el proyecto audiovisual de cocreación, alcanzando el siguiente resultado: 1. Mundo Eureka 25% de avance: se realizó publicación en SECOP II de la solicitud a cotizar para el estudio de mercado de la convocatoria pública para administración delegada para proveer los bienes y servicios asociados a la preproducción y producción del proyecto Mundo Eureka. 2. Microcontenidos 1er infancia 25 % de avance: se realizó elaboración de estudios previos para la convocatoria CP-02-2022
3. Microcontenidos adolescentes 25 % de avance: se realizó elaboración de estudios previos para la convocatoria CP-02-2022 4. Cuidado del planeta 25 % de avance: se realizó elaboración de estudios previos para la convocatoria CP-02-2022 5. Estereotipo de genero 25 % de avance: se realizó elaboración de estudios previos para la convocatoria CP-02-2022. Asi mismo se obtiene avance del proyecto Generación eureka 25 % de avance por cuanto se realizaron 5 talleres (4 (cuatro) virtuales y 1 (uno) presencial) se cuenta con soporte de la metodologia y de las conclusiones de cada taller. Con base en la información descrita se obtiene un resultado promedio del 25 % de avance de la estrategia de cocreación de contenidos infantiles para el periodo de medición en coherencia con la meta de 25 % establecida para el primer trimestre de 2022. El resultado del trimestre corresponde a 100% permitiendo concluir que se ha alcanzado la meta propuesta. Nota: esta medición será progresiva a lo largo del año hasta alcanzar el 100 % total acumulado de cumplimiento.
T2: En el segundo trimestre de 2022 la Estrategia de cocreación de contenidos, que incluye la participación activa de la ciudadanía infantil en alguna o varias etapas definidas para su ejecución, tuvo avance en la etapa denominada "diseño" la cual hace referencia a la estructuración de la propuesta técnica que podría tener el proyecto audiovisual de cocreación, alcanzando el siguiente resultado: 1. Mundo Eureka 25% de avance: se elaboró del Estudios Previos Convocatoria Pública CP-03-2022 cuyo objeto es 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 realizó la publicación proyecto de pliego de condiciones de la convocatoria CP-03-2022 Administración Delegada en SECOP II, la publicación de pliego definitivo de la convocatoria CP-03-2022 Administración Delegada en SECOP II y se recibieron las propuestas allegadas de la convocatoria CP-03-2022 Administración Delegada. 2. Microcontenidos 1er infancia 25 % de avance: Se realizo la Publicación de proyecto de pliego de condiciones Publicación de pliego definitivo y se realizó la declaratoria de desierto el Lote 5: “PROYECTO NO FICCIÓN MICROHISTORIAS EUREKA PRIMERA INFANCIA” mediante resolución 91 de 2022. 3. Microcontenidos adolescentes 25 % de avance: Se realizo la Publicación de proyecto de pliego de condiciones Publicación de pliego definitivo y se realizó la adjudicación del Lote 6: Proyecto “NO FICCIÓN MICROHISTORIAS EUREKA ADOLESCENTES” mediante resolución 99 de 2022. 4. Cuidado del planeta 25 % de avance: Se realizo la Publicación de proyecto de pliego de condiciones Publicación de pliego definitivo y se realizo la Adjudicado Lote 1: Proyecto “FICCIÓN CUIDADO DEL PLANETA” mediante resolución 95 de 2022. 5. Estereotipo de genero 25 % de avance: Se realizo la Publicación de proyecto de pliego de condiciones Publicación de pliego definitivo y se realizó la adjudicación Lote 2: Proyecto “FICCIÓN ESTEREOTIPOS DE GÉNERO” mediante resolución 96 de 2022. Así mismo se obtiene avance del proyecto Generación eureka 25 % de avance en el diseño y publicación de las piezas promocionales para los llamados de participación de la ciudadanía infantil correspondientes a: *Lanzamiento de la serie Animalxs
*Lanzamiento de la serie Valentine *Lanzamiento de la serie Alpha.  Llamado a participar de la ciudadanía infantil para que nos envíen sus mensajes sobre qué harían si fueran presidente. Llamado a participar de la ciudadanía infantil para que nos envíen sus creaciones en eureka comparte tu arte.  Actividad de participación en el marco de la Feria Internacional del Libro de Bogotá con presencia de 1736 niñas, niños, adolescentes, educadores y padres/madres de familia. Lanzamiento de la serie Animalxs en el marco de la feria del libro con un conversatorio con protagonistas y guías de la serie, en la cual participaron 45 adolescentes, 2 profesores, con un alcance en redes de 1600 personas. Conversatorio eureka tu canal para la socialización de la propuesta de canal con participación de niñas y niños de Generación Eureka, así como de 45 personas asistentes dentro del marco de la Feria Internacional del Libro. Encuentro virtual Facebook Live para poner en diálogo y en discusión de una manera cotidiana la siguiente pregunta: ¿Por qué cuesta tanto hablar de sexualidad con nuestros padres? para aportar acerca del tema y generar reflexiones acerca de la ciudadanía sexual y la construcción de la identidad sexual. Encuentro virtual Facebook Live para poner en diálogo y en discusión de una manera cotidiana la siguiente pregunta: ¿Cómo prevenir y enfrentar el bullying? para brindar información relevante a las familias, maestros, chicos y chicas que sufren o hacen parte de esta problemática, que les permita una mejor comprensión del tema, revertir estereotipos y transmitir buenas prácticas para prevenir y enfrentar las situaciones de bullying.En el segundo trimestre se elaboró la metodologia y se realizaron talleres con generación eureka en las siguientes fechas: 1. Abril 9 de 2022 2. Abril 21 y 22 de 2022 3. Mayo 12 y 13 de 2022 4. Junio 2 y 3 de 2022 5. Junio 18 de 2022
Con base en la información descrita se obtiene un resultado promedio del 25 % de avance de la estrategia de cocreación de contenidos infantiles para el periodo de medición en coherencia con la meta de 25 % establecida para el periodo de reporte. El resultado del trimestre corresponde a 100% permitiendo concluir que se ha alcanzado la meta propuesta. Nota: esta medición será  progresiva a lo largo del año hasta alcanzar el 100 % total acumulado de cumplimiento.</t>
  </si>
  <si>
    <t>T1: En el primer trimestre de 2022 se ha tenido un avance con relación al rediseño de página web y optimización del canal de YouTube de capital como se describe a continuación: 1. Se dio inicio a la segunda fase del rediseño con el proceso de contratación de los ingerieros que tendrán a cargo el desarrollo, esta vinculación se realizó a través de la temporal Soluciones Inmediatas. Un (1) ingeniero lider de desarrollo, Dos (2) desarrolladores Fullstack, Un (1) desarrollador Backend. Nota: los soportes de las contrataciones reposan en la temporal. En el transcurso del mes de marzo el equipo tuvo avances en el dignóstico de contenido de la página para poder iniciar el proceso de migración de la información. Se adjunta archivo con el resultado del diagnóstico (Tipos de contenido Taxonomia).
El anterior resultado corresponde al 25 % de avance establecido para el periodo de medición el cual se cumplio al 100 %, esta medición será acumulada a lo largo del año hasta alcanzar el 100 % total acumulado de cumplimiento. Por lo anterior se concluye se ha alcanzado la meta definida respecto al valor definido para el trimestre.
T2: El segundo trimestre se realizó el desarrollo del sitio web de Canal Capital para lo cual se han efectuado las siguientes actividades: 1. Montaje de Drupal base en versión 9. 2. Desarrollo de tipos de contenido. 3. Maquetación de secciones principales. 4. Maquetación de despliegue de contenidos. 5. Maquetación de despliegue de programas. 6. Opciones de accesibilidad. 7. Desarrollo de Scripts de Migración para los contenidos de https://www.canalcapital.gov.co/ y https://conexioncapital.co/ El anterior resultado corresponde al 25 % de avance establecido para el periodo de medición el cual se cumplio al 100 %, esta medición será acumulada a lo largo del año hasta alcanzar el 100 % del cumplimiento. Por lo anterior se concluye se ha alcanzado la meta definida respecto al valor establecido para el trimestre.</t>
  </si>
  <si>
    <t>T1: Los datos reportados hacen parte del informe entregado trimestralmente a la Comisión de Regulación de Comunicaciones (CRC). La información permite concluir que en el primer trimestre de 2022 se realizó un aporte del 24 % de contenido infantil y adolescente respecto a la parrilla de programación del periodo, que se mide entre 6:00 a.m. y 12:00 p.m. Las cifras alcanzadas se encuentran dentro del rango de meta propuesta clasificada como "satisfactoria". Se mantuvo la estrategia la franja de Eureka en Capital en cuanto a la intensidad horaria de los contenidos infantiles y juveniles teniendo en cuenta periodos vacacionales y estudiantiles.
T2: Los datos reportados hacen parte del informe entregado trimestralmente a la Comisión de Regulación de Comunicaciones (CRC). La información permite concluir que en el segundo trimestre de 2022 se realizó un aporte del 34 % de contenido infantil y adolescente respecto a la parrilla de programación del periodo, que se mide entre 6:00 a.m. y 12:00 p.m. Las cifras alcanzadas se encuentran dentro del rango clasificado como "muy satisfactorio" por cuanto el resultado supera el rango del 20 al 30 % en cuatro puntos porcentuales, lo anterior debido a que en abril y junio se dio un incremento signitificativo ocasionado por los periodos correspondientes a semana santa, vacaciones de mitad de año y festivos, adicionalemente se dieron mútiples estrenos para público adolescente y eso también aportó al incremento.</t>
  </si>
  <si>
    <t>T1: Durante el primer trimestre no se presentó indisponibilidad en la señal del Canal, teniendo para este trimestre, la continuidad en la prestación del servicio al 100%.
T2: Durante el segundo trimestre se presentó indisponibilidad en la señal por fallas operativas en los días 01, 24 y 29 de junio, se reporta la continuidad del servicio para el mes de junio del 99,89%, el promedio para el trimestre del indicador de la continuidad en la prestación del servicio es del 99,96%. Con base en la información se permite concluir que durante el segundo trimestre del año el indicador se ha cumplido conforme se ha establecido y que las fallas presentadas no afectaron el resultado total de la medición y que fueron implementadas las acciones correspondientes a la mitigación de las mismas.</t>
  </si>
  <si>
    <t>T1: Para este periodo aún no se han adelantado avances frente a las acciones propuestas.
T2: Se encuentra en construcción el formato para medición de turnos en el canal presencial, por lo que se solicito a otras entidades ejemplos o guías de su implementación teniendo en cuenta que Capital no recibe tantas PQRS por este medio.</t>
  </si>
  <si>
    <t xml:space="preserve">T1: Para este periodo se reportan las peticiones recibidas versus las peticiones respondidas antes de los tiempos definidos por la Ley. Se evidencia que ninguna petición se respondió después de los tiempos de Ley.
T2: Para el trimestre se recibieron 104 peticiones y se dio respuesta antes de los tiempos definidos por la Ley a 119 peticiones, esto teniendo en cuenta que las peticiones cerradas dentro de los tiempos de Ley incluyen algunas peticiones registradas en el trimestre anterior. </t>
  </si>
  <si>
    <t>T1: El manual se encuentra elaborado en su totalidad y en proceso de revisión final por parte de la Secretaría General, previo al trámite de concepto favorable por parte del comité de contratación.
T2: Mediante la Resolución No. 115 del 1 de julio de 2022, se adoptó el nuevo manual de Supervisión e Interventoria del Canal e igualmente, se realizó la socialización del citado manual.</t>
  </si>
  <si>
    <t>T1: Con el propósito de definir aspectos relativos a la división de roles prevista en la Ley 1952 de 2019 modificada por la Ley 2094 de 2021 Código Unico Disicplinario, el Canal ha elevado consultas a la Dirección Distrital de Asuntos Disciplinarios de la Secretaría Jurídica Distrital, al Departamento Administrativo del Servicio Civil Distrital (DASCD) y a la Secretaría Jurídica Distrital para de esta manera estudiar la posibilidad de acceder a la creación de la Oficina de Control Disciplinario Interno que haga parte de la estructura organizacional de la entidad, o a la conformación de un Grupo Formal de trabajo para así solicitar las capacitaciones respectivas del manejo del Sistema de Información Disciplinaria -SID a la Dirección Distrital de Asuntos Disciplinarios. Con ocasión de las nuevas disposiciones de la Dirección Distrital de Asuntos Disciplinarios respecto de las solicitudes de creación, modificación o eliminación de usuarios SID y otras observaciones, informadas mediante el oficio de radicado extermo 2-2022-1201 del 2 de febrero, se está tomandon las acciones necesarias para retomar los trámites solicitados al 31 de diciembre de 2021 relacionados con la creación de implicados en el Sistema de Información Disciplinaria y los usuarios nuevos que se requieran con ocasión de la estructuración del Grupo Formal de Control Interno Disciplinario.
T2: 1, 2, 3 y 4. Con ocasión de las nuevas disposiciones de la Dirección Distrital de Asuntos Disciplinarios - DDAD respecto de las solicitudes de creación, modificación o eliminación de usuarios SID y otras observaciones, informadas mediante el oficio de radicado extermo 2-2022-1201 del 2 de febrero, se realizó la solicitud a la DDAD relacionada con (i) la desvinculación de dos usuarios, (ii) la verificación y cambio en el rol de la Secretaria general, (iii) la creación de un trabajador oficial para vincularlo como implicado en el Sistema de Información Disciplinaria, (iv) la creación de un usuario nuevo para una abogada que hacer parte del equipo de Control Interno Disciplinario del Canal y, (v) la programación de capacitación para el manual de usuario para el manejo del sistema. A dicha solicitud se obtuvo respuesta por parte de Yuly Tatiana Palacios Vargas del Grupo Sistema de Información Disciplinario y en tal sentido se está llevando a cabo la actualización del sistema con los procesos disciplinarios que se llevan actualmente en la entidad. Adicional a lo anterior se tiene previsto realizar el registro a la Comunidad Jurídica del Conocimiento de la Agencia Nacional de Defensa Jurídica del Estado, la cual ofrece herramientas para fortalecer las competencias de los abogados que ejercen la defensa judicial del Estado, consolidando una red de buenas prácticas para mejorar la calidad del litigio público. 5. Con ocasión de la entrada en vigencia de la Ley 1952 de 2019, modificada por la Ley 2094 de 2021, se está llevando a cabo la actualización del procedimiento diisplinario en lo relacionado con la división de roles y la fase de prevención, intrucción y juzgamiento establecida en la norma.</t>
  </si>
  <si>
    <t>T1: Se está llevando a cabo la organización para el agendamiento de capacitaciones para el próximo trimestre en materia de prevención de daño antijurídico. 
T2: Dando cumplimiento a lo consagrado en el artículo 42 de la Resolución 104 de 2018 de la Secretaría Jurídica Distrital, y de conformidad con la Circular No. 002 de 2022, se llevó a cabo la mesa de trabajo de seguimiento de la información por parte de la Dirección Distrital de Defensa Judicial y Prevención del Daño Antijurídico de la Secretaría Jurídica Distrital, la cual se realiza anualmente, y en la que, se elevó solicitud a la Secretaría Jurídica para que se programe una capacitación en el tema de la Política de Prevención del Daño Antijurídico para los colaboradores del Canal; sin embargo aún cuando la entidad ha informado que presenta demoras en el agendamiento de la misma debido al cronograma de las mesas de trabajo de todas las entidades del Distrito, tambien mencionan que está pendiente la fecha para que esta se lleve a cabo.</t>
  </si>
  <si>
    <t>5 Semestral</t>
  </si>
  <si>
    <t xml:space="preserve">S1: Resultado de las evaluaciones remitidas (2) por parte de los procesos que fueron objeto de evaluación durante el segundo semestre de la vigencia se logro un resultado "muy satisfactorio" en los resultados de las informes presentados. Sin embargo es necesario fortalecer las acciones de revisión continua, articulación con los resposables de los procesos y de la información, con el fin de presentar observaciones más acertadas que permitan el fortalecimiento del Sistema de Control Interno Institucional. </t>
  </si>
  <si>
    <t>T1: La modificación al Plan anual de auditoria se dio como resultado de la solicitud del grupo directivo. La petición fue dirigida para dejar programada la verificación al proceso de emisión de contenidos para el segundo semestre de 2022 e incluir la auditoria de acompañamiento al área de sistemas para alistamiento a la certificación en la norma 27001. La modificación al Plan anual de auditoria se efectuó el 07 de marzo  en el Comité institucional de Coordinación de control interno.
T2: Durante el segundo trimetre no se realizaron ajustes al Plan anual de auditoria.</t>
  </si>
  <si>
    <t>C1: El reporte se efetua exclusivamente sobre las acciones formuladas en el mapa de riesgos por procesos. Se solicita al area de planeacion mesa de trabajo para el ajuste del denominador toda vez que la politica de administración de riesgos no contempla acciones susceptibles del mismo seguimiento del mapá de riesgos. De esta manera el indicador se ajustaria a la realidad de lo que se quiere medir.</t>
  </si>
  <si>
    <t xml:space="preserve">C1: El resultado obtenido se da gracias al reporte continuo previo al corte del seguimiento. Como estrategia de aviso se uso el correo institucional a traves del cual se envio pieza informativa. </t>
  </si>
  <si>
    <t xml:space="preserve">C1: El resultado obtenido se da por la falta de reporte de las areas con acciones pendientes en el plan de mejoramiento por procesos. En particular la subdirección administrativa - gestion documental y subdireccion financiera, no efectuaron el reporte completo de acuerdo a los paramestros establecidos para todas las dependencias del canal. Para el proximo seguimiento se mantendran las mesas de trabajo y seguimiento con las areas referenciadas para mitigar dudas o confusiones en el reporte. De igual manera se remitiran comunicaciones separadas de solicitud de informacion para el reporte de plan de mejoramiento a las areas gestion documental y subdirecion financiera las cuales tendran copia dirigida a la Gerencia General.  </t>
  </si>
  <si>
    <t xml:space="preserve">T1: Se dio cumplimiento a las actividades programadas. El seguimiento permanente a las actividades desarrolladas por el equipo permite tener un control en el desempeño y en el cumplimiento de los tiempos establecidos. 
T2: A pesar de la dificultades administrativas en la vinculacion del equipo de trabajo de la oficina de control interno por la situacion especial de ley de garantias y la gestion de la empresa temporal, la oficina cumplio con las actividades programadas dentro de los plazos establecidos. </t>
  </si>
  <si>
    <t>T1: El indicador se encuentra en un 23,27% lo cual corresponde en estado de alerta, no obstante es de aclarar que con corte a 31 de marzo de 2022 la ejecucioón de compromisos es mayor a la de recauda dado que en el mes de enero se adelanto la contratación que cubriria el periodo de ley de garatias y algunos contratos fueron registrados por el total de la vigencia; se recomienda realizar revisión del flujo de caja y el plan anual de adquisiones para deterinar el respaldo de los pagos de los comprimisos adquiridos, como al igual el planteamineto de estrategias de ventas de servicios para incrementar el recaudo de recursos propios.
T2: Con corte a 30 de junio de 2022 el indicador se encuentra en grado de tolerancia en alerta, dado que presenta un procentaje del 41,27%; lo anterior dado que el  valor de la contratación es superior a los ingresos que la entidad ha recibido puesto que en el primer mes de la vigencia se adelanto la contratación que cubriria el periodo de ley de garatias y algunos contratos fueron registratos por el total de la vigencia; se recomienda realizar revisión del flujo de caja y el plan anual de adquisiones para deterinar el respaldo de los pagos de los comprimisos adquiridos, como al igual el planteamineto de estrategias de ventas de servicios para incrementar el recaudo de recursos propios. Es importante resaltar que se cuenta con un apaplancamiento de futic para el pago de gastos de funcionamiento por valor de $1,077 millones de pesos.</t>
  </si>
  <si>
    <t xml:space="preserve">T1: Durante el primer trimestre se evidenció que el promedio de pagos inferior a 5 días corresponde al 83,77% teniendo en cuenta que se le da prioridad a los contratistas personas naturales, esto indica que se esta realizando una buena gestion en la cadena de: radicacion, liquidacion, descargue de presupuesto y pago tesoral.
T2: Durante el segundo trimestre se evidenció que mas del 80% de los pagos se realizan dentro de los 5 días después de su radicación, esto indica que el promedio de los 5 días del trámite de cuentas dentro de la Subdirección presenta una buena gestión, dando prioridad a las cuentas de cobro de personas naturales. </t>
  </si>
  <si>
    <t>T1: Para el primer trimestre del 2022, se observa una mayor disponibilidad de fondos teniendo en cuenta que se toma la Disponibilidad Final del 2021 que para el ejercicio es de aproximadamente la suma de $6,923 millones de pesos; Y un primer desembolso por parte de la Secretaria de Hacienda por concepto de  aporte ordinario por valor de $ 3,500 millones de pesos.  Es de anotar que a lafecha  se han realizado giros por valor de $5,906 millones de pesos.
T2: En el segundo trimestre de 2022, econtramos una disponibilidad de $ 6,519 un poco menor al trimestre anterior, debido al aumento de  los giros que  en promedio fueron de $ 2,239 millones de pesos; Se recibio por parte de la Secretaria de Hacienda la segunda transferencia de aporte de ordinario por valor de $3,500 millones de pesos programada en PAC autorizado.</t>
  </si>
  <si>
    <t>T1: Capital presentó un déficit preliminar con corte a 31 de marzo por valor de -$701 millones de pesos, sustentado principalmente en el incremento en los costos y gastos de administración y operación
T2: Para el cierre preliminar del periodo de junio de 2022 se presentó un déficit preliminar de $3.854 millones de pesos m/cte, sustentado principalmente en el incremento en los costos y gastos de administración y operación. Al corte preliminar del mes de junio de 2022 Canal Capital tiene un resultado como déficit acumulado de $44.936 millones, que equivale al 73% de los aportes sociales del Canal, por lo cual se sugiere especial atención dado que el déficit acumulado ha ido disminuyendo de manera considerable el patrimonio neto.</t>
  </si>
  <si>
    <t>T1: A 31 de marzo de 2022 se obtubo una gestion de cobro 70,26% del total de servicios facturados por venta de servicios al cierre del trimestre y realizando la compraración con el total del recaudo de dichos servicios facturados en el primer trimestre de 2022 (cabe indicar que este recaudo es bruto, es decir se incluyen los descuentos que realizaron los clientes), quedado una cartera por recolectar de $226.918.339. Cabe resaltar que el 86,31% de los recursos pendientes por recaudo corresponden a facturas emitidas en el mes de marzo de 2022.
T2:A 30 de junio de 2022 se obtubo una gestion de cobro 83.40% del total de servicios facturados por venta de servicios al cierre del trimestre y realizando la compraración con el total del recaudo de dichos servicios facturados en el segundo trimestre de 2022 (cabe indicar que este recaudo es bruto, es decir se incluyen los descuentos que realizaron los clientes). Quedó un saldo cartera por recolectar (este monto solo hace alusion al trimestre) de $322.648.523. Cabe resaltar que el 85.08% de los recursos pendientes por recaudo corresponden a facturas emitidas en el mes de junio de 2022.</t>
  </si>
  <si>
    <t>T1: A traves de comunicado interno emitido por el área de Comunicaciones el 20 de enero y 04 de febrero se realizaron actualizaciones al Formato de Certificado de Supervisor 
T2: En el segundo trimestre la Subdirección Financiera emitio tres comunicados internos: El día 7 de junio se publicó la pieza comunicativa del área de facturación y Cartera donde indicaba los Tips al momento de solicitar Facturas. El día 22 de junio se publicó la pieza comunicatica del área de Radicación donde indican las recomendaciones para el trámite de cuentas.  El dia 28 de junio se publicó pieza comunicativa del áre de presupuesto en lo referente a las liberaciones de CDP y RP.</t>
  </si>
  <si>
    <t>T1: Para el periodo reportado, se realizaron las siguientes actividades acorde a la hoja de ruta programada para la ejecución del PETI 2022: * Durante los meses de enero, febrero y marzo, se desarrollaron mejoras al Módulo Financiera y se realiza el lanzamiento completo del módulo en el mes de marzo. * Adicionalmente, se realizaron reuniones y capacitaciones con el equipo multidisciplinario ERP. * Se estructuró Jerárquica de acceso a equipos de comunicaciones del Canal Capital área Técnica. * Se realizan las configuraciones necesarias para levantar la administración remota del servicio de almacenamiento SAN MSA HP 2050. * Se recibe certificado SSL para su respectiva configuración en el servidor de la intranet, específicamente para el dominio “intranetcanalcapital.gov.co”
T2: * Durante los meses de abril, mayo y junio de 2022, se desarrollaron ajustes finales modulo Plan Anual de Adquisiciones (PAA) -Financiera y se dió inicio al desarollo de los siguientes módulos: (i) elecciones, (ii) radicacion, (iii) gestion documental y (iv) proveedores. * Adicionalmente, se realizaron reuniones y capacitaciones con el equipo multidisciplinario ERP con los equipos de: Financiera, Radicacion, Gestion Documental, Elecciones y Proveedores. * Se realiza monitoreo sobre el módulo de alarmas y de alertas de disponibilidad de los servicios tecnológicos. * Se elaboró el procedimiento de desarrollo de software AGRI-SI-PD-019 DESARROLLO DE SOFTWARE, de conformidad con la metodolia ágil de scrum para el ciclo de vida del desarrollo de la entidad. * Se realiza upgrade general mandatorio con el fin de solucionar una falla potencial en un grupo de Routers.</t>
  </si>
  <si>
    <t>T1: Para el periodo reportado, se realizaron las siguientes actividades acorde al Plan de Seguridad y privacidad de la información 2022: * Informe de seguridad desde la plataforma de antivirus bitdefender. * Se realizó monitoreo en el módulo de alertas y se encuentran una serie de eventos de desconexión. * Se realizó la publicación del documento Indice_de_informacion_Clasificada_Reservada_2021 V2, en el botón de transparencia de la página web de la entidad * Se realizó la actualización del Registro Nacional de las Bases de Datos de la entidad, ante la Superintendencia de Industria y Comercio-SIC. * Se participó en mesas técnicas de trabajo de seguridad y privacidad de la información, convocadas por la Alta Consejería Distrital de TIC:
T2: Para el periodo reportado, correspondiente al segundo trimestre de 2022, se adelantaron  las  actividades que a continuación se relacionan, en observancia de lo fijado en el Plan de Seguridad y privacidad de la información 2022: * Se reportó la herramienta del Modelo de Seguridad y Privacidad de la Información-MSPI y Protección de Datos Personales a la Alta Consejeria Distrital para las TIC. * Se gestionaron incidentes de indisponibilidad del servicio DHCP RELAY al proveedor de la entidad para este servicio: Columbus. * En el marco de la implementación del Sistema de Gestión de  Seguridad de la Información (SGSI), se llevó a cabo una Charla sobre los servicios tecnológicos y procesos que lidera el área de Sistemas, lo anterior dirigido a todos los colaboradores y contratistas de la entidad. * Participación en todo el proceso de la auditoría interna realizada al procedimiento de Copias de Seguridad, con el fin de iniciar con el proceso de la certificación en ISO27001, donde se formuló borrador del Plan de mejoramiento de acuerdo con las observaciones realizadas por la Oficina de Control Interno de Canal Capital.</t>
  </si>
  <si>
    <t>T1: Para el periodo reportado, se realizaron las siguientes actividades acorde al plan de tratamiento de riesgos de seguridad y privacidad de la información 2022: * Se revisan y se toman medidas preventivas sobre vulnerabilidades reportadas en los  boletines de seguridad del CSIRPONAL y COLCERT. * Se realizo monitoreo en el módulo de alertas y se encuentran  eventos de seguridad los cuales han sido bloqueados. *  Se enviaron correos electrónicos al área de comunicaciones  sobre socializaciones de modalidades de MALWARE, SPAM, Phishing y medidas preventivas de seguridad de la información para mitigar riesgos sobre la data de la entidad. * Se realizó ajuste y entrega de la matriz de riesgos de seguridad digital al área de planeación, con la identificación y tratamiento a realizar sobre los riesgos.
T2: Para el periodo reportado, se emprendieron  las siguientes actividades enmarcadas y dando pleno cumplimiento del Plan de tratamiento de riesgos de seguridad y privacidad de la información 2022: * Revisiión e implementación de medidas preventivas sobre vulnerabilidades reportadas en los  boletines de seguridad del CSIRPONAL y COLCERT del CSIRT Distrito. * Remisión de correos electrónicos al área de Comunicaciones Internas de la entidad en donde se dan a conocer las socializaciones de modalidades de MALWARE, SPAM, Phishing y de medidas preventivas de seguridad de la información para mitigar riesgos sobre la data de la entidad. * Se aprobo y oficializó el Formato de AGRI-SI-FT-045 MATRIZ DE RIESGOS DE SEGURIDAD DIGITAL en su V01. * Se implementaron reglas y políticas en el sistema de seguridad perimetral: FIREWALL de la entidad, con el fin de mitigar riesgos de seguridad y privacidad de la información en los servicios tecnológicos.</t>
  </si>
  <si>
    <t>T1: Para el primer trimestre del año se obtuvo un avance del 15%, el mismo se relaciona con la entrega de los residuos peligrosos y RAEES dispuestos en el cuarto de almacenamiento temporal de la sede principal. De igual forma se avanzó en la gestión logística para la construcción de la estrategia de comunicación de movilidad sostenible; así como en la comunicación de diferentes temas de índole ambiental a los diferentes colaboradores de la entidad. Adicionalmente, se gestionó de forma parcial la fase de planificación de la semana ambiental 2022. Finalmente se gestionó el traslado presupuestal para la adición de los contratos de bienestar y ferretería en cumplimiento al Plan de Acción PIGA 2022. 
T2: Para el segundo trimestre del año se obtuvo un avance del 35%, relacionado con la continuidad en el desarrollo de las acciones definidas en el Plan de Acción Institucional del PIGA, para ello durante el periodo de reporte se avanzó en la realización de las inspecciones a los sistemas de abastecimiento de agua, energía y disposición final de residuos. Asimismo, se llevó a cabo el proceso de registro y análisis de consumo de los recursos consumidos en el segundo trimestre del año en la entidad emitiendo el respectivo informe. Finalmente, se realizó la Semana Ambiental 2022 y se abrieron espacios de capacitación en diferentes temas de gestión ambiental como: residuos peligrosos, ahorro y uso eficiente del agua o plásticos de un solo uso.</t>
  </si>
  <si>
    <t>T1: Se realizaron entrevistas con las areas productores para la revisión y aprobación de las tablas de retención documental. Se realizaron reuniones para la revisión del módulo de correspondencia en relación a la ejecución e implementación del ERP. (SGDEA).
T2: * Durante las Jornadas de Archivatón que se han adelantado desde el mes de mayo de 2022 con las diferentes áreas de la entidad, se ha realizado la revisión de las Tablas de Retención Documental de las mismas. * Se han realizado reuniones parala implementación y desarrollo del Módulo de Correspondencia con el Área de Sistemas.</t>
  </si>
  <si>
    <t>T1: Acción No.1 - Durante el I Trimestre del 2022 se realizó la compra e instalación de una cocina integral para la casa de la 69, inmueble propiedad de Canal Capital. Acción No. 2 - Durante el I Trimestre del 2022 se realizó la adecuación de estantería para un archivador en la casa de la 69 y adecuación de la oficina de Gestión Documental.
T2: * Acción No. 2 - Durante el segundo trimestre de 2022 se implementaron las adecuaciones necesarias para el traslado de Sala Teusaquillo de la sede Calle 69 a la sede Calle 26 y la adecuación de puestos de trabajo en la sede Calle 69 de la entidad. *Acción No. 3 - Durante el segundo trimestre de 2022 se realizaron diversos mantenimientos locativos, entre los cuales se destacan los siguientes: Sede calle 26: Modificación mueble del Máster de Emisión, resane y pintura en estudio No. 2 y cafetería sexto piso. Por suparte, para la  Sede Calle 69 se ejecutaron las siguientes labores destacables: Resane y pintura en muro exterior, cambio de bordes en madera de escaleras, limpieza y fumigación de matamaleza ubicada alrededor del inmueble.</t>
  </si>
  <si>
    <t>T1: Durante el I Trimestre de 2022 se realizó la Toma Física del Inventario asignado al Director Operativo de la entidad de elementos de Propiedad, Planta y Equipo.
T2: Durante el segundo trimestre de 2022 se llevó a cabo la toma física del Inventario a los bienes catalogados como consumo controlado de Canal Capital.</t>
  </si>
  <si>
    <t>T1: Dentro del PIC para este periodo estaban contempladas seis (6) capacitaciones de las cuales se desarrollaron seis (6)
Además, se realizaron siete (7) capacitaciones no programadas las cuales no estaban incluidas en el PIC, lo que nos arroja un total de trece (13) capacitaciones dictadas en el primer periodo de 2022. No obstante lo anterior, solo se reportan las seis (6) contempladas en el PIC, dos (2) por contrato y cuatro (4) internas.
T2: Dentro del PIC para el periodo objeto de reporte, se encontraban contempladas dieciséis (16) capacitaciones de las cuales se desarrollaron dieciséis (16). Además, se realizaron dieciséis (16) capacitaciones no programadas las cuales no estaban incluidas en el PIC, lo que nos arroja un total de treinta y dos (32) capacitaciones dictadas en el segundo trimestre de 2022. No obstante lo anterior, para efectos del presente repore, únicamente se consignan las dieciséis (16) contempladas en el PIC, cinco (5) por contrato y once (11) internas. Adicionalmente, durante la vigencia evaluada se realizaron dos(2) cursos con el SENA: uno de Excel avanzado y otro de Inglés básico.</t>
  </si>
  <si>
    <t>T1: Se han realizado las capacitaciones pertinentes en el primer trimestre del año. Adicionalmente, se realizaron las intervenciones y reuniones grupales por áreas de acuerdo con los resultados arrojados por la Encuesta de riesgo Psicosocial y clima laboral. 
T2: Para el segundo trimestre de 2022, se evidenció una mayor participación en las capacitaciones donde alcanzamos un 42% de colaboradores que asistieron y participaron activamente de las mismas. Sumado a ello, se contrató a una profesional en psicología para relizar los talleres de trabajo en equipo, solución de conflictos y sentido de pertenencia por la entidad. Por su parte, en relación al software de nómina se identificaron las características de contratación pra ello y actualmente, este asunto se encuentra en proceso de cotización con socieades que cumplan con la herramienta que cuente con las características que requiere Capital para la gestión de su nómina.</t>
  </si>
  <si>
    <t>T1: Para este primer periodo se tenian programadas diez (10) actividades, de las cuales se realizaron un total de veinte (20), distribuidas de la siguiente manera: (i) Las diez (10) que estaban contempladas en el cronograma de Bienestar e Incentivos y (ii) diez (10) adicionales como valor agregado.
T2: Para el segundo trimestre se tenian programadas quince (15) actividades, de las cuales se realizaron un total de veinticinco (25). Dichas actividades se encontraban distribuidas de la siguiente manera: (i) Quince (15) que estaban contempladas en el cronograma del Plan de Bienestar e Incentivos y (ii) diez (10) adicionales como valor agregado.</t>
  </si>
  <si>
    <t>T1: Se realizaron las actividades de inversión definidas en el plan de trabajo diseñado con la ARL (Asesoría COVID y EPP- Suministro de sofware para pausas activas - capacitacion en prevencion y manejo de emergencias) Dentro del Plan de Trabajo del SGSST para el año 2022, se realizaron las reuniones programadas para el COPASST y el Comité de Convivencia Laboral; asi como las actividaes relacionadas al programa de riesgo psicosocial. Se cargan los soportes de actividades en Drive. 
T2: Se llevaron a cabo las actividades de inversión definidas en el Plan de Trabajo diseñado con la ARL (Asesoría COVID y EPP,  Jornadas mensuales de pausas activas, capacitación en prevención y manejo de emergencias, riesgo quimico, riesgo eléctrico, jornadas de relajación en puesto de trabajo). Dentro del Plan de Trabajo del Sistema de Gestión de la Seguridad y Salud en el trabajo (SGSST) para la vigencia 2022, se adelantaron las reuniones programadas para el Comité paritario de seguridad en el trabajo (COPASST) y el Comité de Convivencia Laboral. Adicionalmente, se destaca que dentro de la vigencia evalauda, se continuó con la ejecución del programa de Riesgo Psicosocial.</t>
  </si>
  <si>
    <t>T1: Se realizaron las actividades de inversión definidas en el plan de trabajo diseñado con la ARL (Asesoría COVID y EPP- Suministro de sofware para pausas activas - capacitacion en prevencion y manejo de emergencias). Dentro del Plan de Trabajo del SGSST para el año 2022, se realizaron las reuniones programadas para el COPASST y el Comité de Convivencia Laboral; asi como las actividaes relacionadas al programa de riesgo psicosocial. Se cargan los soportes de actividades en Drive. 
T2: Se adelantó la implementación de una serie de actividades al interior de la entidad con el fin de incentivar el conocimiento del Código de Integridad de Canal Capital, de las cuales se destaca lo siguiente: (i) Realzación de cursos a gestores de integridad vigentes; (ii) Concurso del código de integridad para todos los colaboradores de la entidad; (iii) divulgación de los valores en los canales de comunicación interna como: Boletines internos y comunicado actividades de bienestar y capacitación. Sumado a lo anterior, se realizó una encuesta sobre el Código de Integridad de la entidad, con base en la cual se analizaron  resultados y se publicaron en la Intranet para el conocimiento de todos nuestros colaboradores.</t>
  </si>
  <si>
    <t>Dirección Operativa</t>
  </si>
  <si>
    <t>(Gerencia, Planeación, Prensa y Comunicaciones, Proyectos Estratégicos).</t>
  </si>
  <si>
    <t>(Producción, Contenidos ciudadanos,  Digital, Programación y Técnica).</t>
  </si>
  <si>
    <t>Secretaría General</t>
  </si>
  <si>
    <t>Subdirección Administrativa</t>
  </si>
  <si>
    <t>(Talento Humano, Sistemas, Servicios Administrativos, Gestión Documental y Gestión Ambiental).</t>
  </si>
  <si>
    <t>Subdirección Financiera</t>
  </si>
  <si>
    <t>(Presupuesto, Tesorería, Contabilidad, Facturación).</t>
  </si>
  <si>
    <t>Gerencia General</t>
  </si>
  <si>
    <t>Profesional especializado de Sistemas - Profesional especializado del área técnica</t>
  </si>
  <si>
    <t>Profesional especializado de Sistemas</t>
  </si>
  <si>
    <t>Liderazgo estratégico</t>
  </si>
  <si>
    <t>T1: * Proyección memorando solicitud de información a las áreas de la Subdirección Administrativa para iniciar el esquema del Plan de Austeridad 2022. * Recepción de información de parte de las áreas de la Subdirección Administrativa para plasmar dichos datos en la proyección del Plan de Austeridad. * Realización de reunión para concertar asuntos de la proyección del Plan de Austeridad 2022 de la entidad. * Memorando con observaciones a sugerencias al Plan de Austeridad (Memorando 240 OCI). NOTA: Para el primer trimestre de la vigencia 2022 se adelantaron las gestiones correspondientes para obtener los datos por exponer en el Plan de Austeridad 2022 para los rubros objeto de austeridad, encontrandose pendiente la realización de una Mesa de Trabajo con la Oficina de Control Interno para coordinar asuntos concernientes a la formulación del Plan, de conformidad con las observaciones que allí se planteen. Así las cosas, se prevé que para el segundo trimestre de 2022, se cuente con la versión aprobada del referido Plan de Austeridad.
T2: * Para el segundo trimestre de 2022, se realizó la formulación correspondiente al Plan de Austeridad de la entidad, de conformidad con los lineamientos fijados en el Decreto Distrital 492 de 2019. * Adicionalmente, en lo que concierne a la socialización del mismo, se tiene que dicho documento fue socializado y aprobado ante el Comité de Gestión y Desempeño adelantado el día seis (06) de junio de 2022.
NOTA: El periodo de socializaciones con los colaboradores de la entidad se inició en el mes de julio de 2022 -por ejemplo, se llevó a cabo una primera socialización el 11 de julio de 2022 mediante el Boletín interno de la entidad-.
Por su parte, en relación a los reportes internos y externos sobre el Plan de Austeridad, tqmbién iniciaron el mes de julio; razón por la cual no se contemplan avances sobre este particular (envío de informes) para el segundo trimestre de 2022, dado que los requerimientos allegados a la Subdireccion Administrativa en relación a dicho Plan, datan del mes de julio.</t>
  </si>
  <si>
    <t>(Jurídica y Atención Al Ciudadano).</t>
  </si>
  <si>
    <t>T1: Durante enero, febrero y marzo hubo un total de visitantes de 1177977 de los cuales se conviertieron 157 en leads, esto implica una tasa de conversión del 0.013% En los rasgos de tolerencia corresponde a un indicador muy satisfactorio. En este periodo le fue muy bien a la implementación de la plataforma teniendo en cuenta que hasta ahora los equipos están aprendiendo a utilizarla.
T2: Durante abril, mayo y junio hubo un total de visitantes de 822916 de los cuales se convirtieron 2546 en leads, esto implica una tasa de conversión del 0.3094%. Lo cual indica un crecimiento en la taza de conversión, casi el 30% de los visitantes de este trimestre, se transformaron en Leads. Esto gracias a los esfuerzos para implementar la estrategia INBOUND.</t>
  </si>
  <si>
    <t>T1: Proyecto 1 - Durante el primer trimestre el equipo de proyectos estratégicos realizó las siguientes actividades: Capacitación del equipo en Inbound Marketing y uso de RD Station, Creación del flujo del cliente y acciones para activar la conversión de leads, Trabajo conjunto con el área de digital para la creación de piezas tales como sticker para usar en el portal de Conexión Capital y la creación de un banner lateral en el Home de Conexión Capital, Diseño de la landing de Capital Social que contiene el formulario para recolectar datos de posibles leads. Envío de conceptos de copys para avanzar en la estrategia de expectativa y promoción de Capital Social que puedan ser usados en Redes Sociales para luego dirigir a la Landing. Gracias al trabajo con digital, se cuenta con un kit de imágenes y fondos para trabajar los contenidos. Teniendo en cuenta que la fecha de lanzamiento de Capital Social se modificó para el 2 de mayo, el equipo se encuentra trabajando en las siguientes acciones: Descarga y migración de la base de datos de la Cámara de Comercio a la plataforma de RD Station. Creación y envío del mailing de bienvenida a los leads y para el mailing de la base de datos Diseño (con apoyo de Digital) del video de 5" para el pop up de salida. Diseño del micrositio de capital. Conversión de leads obtenidos por el diligenciamiento del formulario en Capital Social.
Proyecto 2 - Durante el primer trimestre de 2022 se realizaron las siguientes acciones de Eureka para alcanzar la meta planteada: Envío de 4 correos electrónicos Tres con la propuesta de contenido y programación del mes y uno adicional para apoyar la actividad de participación del videoclip de Pa' las que sea. Pop up para inclusión en base de datos  Se rediseñó el pop up y la landing con el form que registra nuevos leads en la base de datos de eureka. Durante el primer trimestre se registraron 65 leads nuevos. Pop up videoclip PA' las que sea. Durante dos semanas del mes de marzo se activó un pop up informativo que invitaba a la participación en el videoclip de la canción de la serie. Activación de botón de WhatsApp en el micrositio. En línea con el cumplimiento de la meta anual planteada, que fue duplicar el número de leads orgánicos, es decir, obtener 64 nuevos lead trimestralmente, 514 al cierre de 2022, el proyecto eureka cumplió en un 100% el objetivo durante este periodo.
Proyecto 3 - Boletin de prensa: Durante el primer trimestre de 2022 se construyó e implementó la plantilla de boletín de prensa y se enviaron dos mailings a la base de datos de periodistas de Capital. La meta de migrar este producto a la plataforma de inbound marketing se cumplió al 100%.
Proyecto 4 - Capitalízate: durante este periodo se construyó la propuesta de boletín de programación bajo el nombre de Capitalízate y se migraron las bases de datos a la plataforma de inbound marketing sin embargo no se alcanzó a hacer ningún envío por lo que el proyecto en este trimestre avanzó en un 40%.
T2: Proyecto 1 ABRIL:Se continuó en capacitaciones con Laura Beltrán, asesora de RD Station. • Se creó la landing page de capital el mes de abril, que pasó por varias revisiones del equipo, en donde se acordó sacarla al aire luego del lanzamiento oficial de Capital Social. • Se diseñó el primer correo "CAPITAL INFORMATIVO 1".
MAYO:El 2 de mayo se envió el primer correo nombrado "CAPITAL INFORMATIVO 1" a una base de datos de 1480. Se entregó efectivamente a 1443 contactos y fue abierto 672 veces. • El 5 de mayo se activó la landing page. • El 11 de mayo se solicitó un kit gráfico para la realización de las piezas que se utilizarían para Capital Social en RD STATION. • El segundo correo, nombrado "CAPITAL INFORMATIVO 2", se envió el 13 de mayo a una base de datos de 1447. Se entregó efectivamente a 1426 contactos y se abrió 642 veces. • Se realizó un Pop Up el cual se activó el 20 de mayo. ESTADO ACTUAL : OFF. • Del 01 de mayo al 30 se registró 341 visitas y  43 leads.
JUNIO. El tercer correo enviado, nombrado "CAPITAL INFORMATIVO 3", se envió el 1° de junio, a una base de datos de 1441 contactos. Se entregó efectivamente a 1428 contactos y se abrió 602 veces. • Se volvió a activar el pop up de salida el 16/06/2022. En total. obtuvo 23.860  visitantes y 10 leads ESTADO ACTUAL : DESACTIVADO.
• El 8 de junio se subió a la plataforma la base de datos de 300 contactos adicionales.  • El 11 de junio se realizó un flujo de automatización con el objetivo de hacer remarketing de los últimos tres correos a la última base de datos cargada a la plataforma de 300 contactos. • Del 01 de Junio al 30 se registró 276 visitas y  20 leads.
Proyecto 2 • Envío de 7 correos electrónicos, tres con la propuesta de contenido y programación del mes, dos para apoyar la actividad de participación de eurekrea comparte tu arte, uno como invitación al live del mes de abril (Sexualidad)  y otro como invitación al Live del mes de junio (Bullying) • Flujo de  piezas para invitación a la descarga de un capítulo exclusivo de Valentine, como regalo para los visitantes del espacio de eureka en la FilBo. El flujo estaba compuesto por: Pop up en página principal de eureka y anding con formulario para la visualización del capítulo. • Landing Page eurekreacomparte tu arte, para centralizar el contenido relacionado con la actividad de manera informativa. La landing tuvo 720 visitas  de abril a junio. • Landing page de recepción de dudas sobre sexualidadpara recibir respuesta durante el Live de abril.
Durante el segundo trimestre se registraron en total  67 leads nuevos y 901 visitas de la siguiente forma: Suscripción al boletín 46 visitantes, 19 leads. Landing Page eurekrea 720 visitantes, 0 leads (el objetivo no eran leads porque era una página informativa) Landing Page sexualidad 4 visitantes, 3 leads. Landing Page FilBo 131 visitantes, 48 leads. En línea con el cumplimiento de la meta anual planteada, que fue duplicar el número de leads orgánicos, es decir, obtener 64 nuevos lead trimestralmente, 514 al cierre de 2022, el proyecto eureka cumplió en un 100% el objetivo durante este periodo.
Proyecto 3 - Boletín de prensa: Para el segundo trimestre correspondiente a abril, mayo y junio de 2022 se enviaron en total seis boletines de prensa dirigido a los medios de comunicación, correspondientes a las hitos mensuales de Capital. Teniendo un cumplimiento del 100%. A partir del 24 de mayo se decidió continuar los envíos desde el mail personal del Jefe de Prensa de Capital debido a las bajas métricas arrojadas por la plataforma y al seguimiento realizado a cada medio, evidenciando que los periodistas no están abriendo mails de un destinatario genérico como es el correo de comunicaciones.  Por lo anterior solicitamos que este proyecto no se siga midiendo en la plataforma de inbound porque no nos favorece en nuestra meta anual de publicaciones. 
Proyecto 4 - Capitalízate: Este boletín quincenal que presenta la apuesta de Capital como Sistema de comunicación, inició su primer envío en abril de 2022 a las bases de datos externas e internas que Comunicaciones migró a la plataforma de inbound. De tal manera para este segundo trimestre comprendido entre abril, mayo y junio del presente año, el cumplimiento de la acción es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</si>
</sst>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quot;$&quot;* #,##0.00_-;\-&quot;$&quot;* #,##0.00_-;_-&quot;$&quot;* &quot;-&quot;??_-;_-@_-"/>
    <numFmt numFmtId="165" formatCode="0.0%"/>
    <numFmt numFmtId="166" formatCode="d/m/yyyy"/>
    <numFmt numFmtId="167" formatCode="0.0000%"/>
    <numFmt numFmtId="168" formatCode="0.000%"/>
  </numFmts>
  <fonts count="57"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i/>
      <sz val="10"/>
      <color theme="1"/>
      <name val="Arial"/>
      <family val="2"/>
    </font>
    <font>
      <b/>
      <sz val="11"/>
      <color theme="1"/>
      <name val="Calibri"/>
      <family val="2"/>
      <scheme val="minor"/>
    </font>
    <font>
      <u/>
      <sz val="11"/>
      <color theme="10"/>
      <name val="Calibri"/>
      <family val="2"/>
      <scheme val="minor"/>
    </font>
    <font>
      <sz val="11"/>
      <color theme="1"/>
      <name val="Calibri"/>
    </font>
    <font>
      <sz val="12"/>
      <color theme="1"/>
      <name val="Arial"/>
      <family val="2"/>
    </font>
    <font>
      <b/>
      <i/>
      <sz val="11"/>
      <color theme="1"/>
      <name val="Arial"/>
      <family val="2"/>
    </font>
    <font>
      <sz val="11"/>
      <name val="Calibri"/>
      <family val="2"/>
    </font>
    <font>
      <sz val="11"/>
      <color theme="1"/>
      <name val="Arial"/>
      <family val="2"/>
    </font>
    <font>
      <b/>
      <sz val="11"/>
      <color theme="1"/>
      <name val="Arial"/>
      <family val="2"/>
    </font>
    <font>
      <sz val="11"/>
      <color rgb="FFA5A5A5"/>
      <name val="Arial"/>
      <family val="2"/>
    </font>
    <font>
      <b/>
      <u/>
      <sz val="11"/>
      <color rgb="FFA5A5A5"/>
      <name val="Arial"/>
      <family val="2"/>
    </font>
    <font>
      <b/>
      <u/>
      <sz val="11"/>
      <color theme="1"/>
      <name val="Arial"/>
      <family val="2"/>
    </font>
    <font>
      <i/>
      <sz val="11"/>
      <color theme="1"/>
      <name val="Arial"/>
      <family val="2"/>
    </font>
    <font>
      <b/>
      <i/>
      <sz val="11"/>
      <color rgb="FFA5A5A5"/>
      <name val="Arial"/>
      <family val="2"/>
    </font>
    <font>
      <b/>
      <u/>
      <sz val="12"/>
      <color theme="1"/>
      <name val="Arial"/>
      <family val="2"/>
    </font>
    <font>
      <sz val="10"/>
      <color rgb="FF000000"/>
      <name val="Arial"/>
      <family val="2"/>
    </font>
    <font>
      <sz val="11"/>
      <color theme="1"/>
      <name val="Calibri"/>
      <family val="2"/>
    </font>
    <font>
      <b/>
      <i/>
      <sz val="12"/>
      <color theme="1"/>
      <name val="Arial"/>
      <family val="2"/>
    </font>
    <font>
      <sz val="12"/>
      <color rgb="FFA5A5A5"/>
      <name val="Arial"/>
      <family val="2"/>
    </font>
    <font>
      <b/>
      <u/>
      <sz val="12"/>
      <color rgb="FFA5A5A5"/>
      <name val="Arial"/>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indexed="9"/>
      <name val="Arial"/>
      <family val="2"/>
    </font>
    <font>
      <b/>
      <sz val="10"/>
      <name val="Arial"/>
      <family val="2"/>
    </font>
    <font>
      <b/>
      <sz val="9"/>
      <color indexed="81"/>
      <name val="MingLiU_HKSCS"/>
      <family val="1"/>
    </font>
    <font>
      <b/>
      <sz val="9"/>
      <color indexed="81"/>
      <name val="Tahoma"/>
      <family val="2"/>
    </font>
    <font>
      <sz val="9"/>
      <color indexed="81"/>
      <name val="Tahoma"/>
      <family val="2"/>
    </font>
    <font>
      <b/>
      <i/>
      <sz val="10"/>
      <name val="Arial"/>
      <family val="2"/>
    </font>
    <font>
      <i/>
      <sz val="10"/>
      <name val="Arial"/>
      <family val="2"/>
    </font>
    <font>
      <b/>
      <u/>
      <sz val="10"/>
      <name val="Arial"/>
      <family val="2"/>
    </font>
    <font>
      <sz val="10"/>
      <color theme="0" tint="-0.499984740745262"/>
      <name val="Arial"/>
      <family val="2"/>
    </font>
    <font>
      <b/>
      <sz val="8"/>
      <color theme="1"/>
      <name val="Arial"/>
      <family val="2"/>
    </font>
    <font>
      <sz val="8"/>
      <color theme="1"/>
      <name val="Arial"/>
      <family val="2"/>
    </font>
    <font>
      <sz val="10"/>
      <color rgb="FFFF0000"/>
      <name val="Arial"/>
      <family val="2"/>
    </font>
    <font>
      <b/>
      <sz val="11"/>
      <color theme="0"/>
      <name val="Calibri"/>
      <family val="2"/>
      <scheme val="minor"/>
    </font>
    <font>
      <sz val="11"/>
      <color theme="0"/>
      <name val="Calibri"/>
      <family val="2"/>
      <scheme val="minor"/>
    </font>
    <font>
      <b/>
      <sz val="11"/>
      <color rgb="FFFF0000"/>
      <name val="Calibri"/>
      <family val="2"/>
      <scheme val="minor"/>
    </font>
    <font>
      <b/>
      <sz val="11"/>
      <name val="Calibri"/>
      <family val="2"/>
      <scheme val="minor"/>
    </font>
  </fonts>
  <fills count="23">
    <fill>
      <patternFill patternType="none"/>
    </fill>
    <fill>
      <patternFill patternType="gray125"/>
    </fill>
    <fill>
      <patternFill patternType="solid">
        <fgColor theme="5"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rgb="FFF4B083"/>
        <bgColor rgb="FFF4B083"/>
      </patternFill>
    </fill>
    <fill>
      <patternFill patternType="solid">
        <fgColor rgb="FFFFFFFF"/>
        <bgColor rgb="FFFFFFFF"/>
      </patternFill>
    </fill>
    <fill>
      <patternFill patternType="solid">
        <fgColor theme="0"/>
        <bgColor indexed="64"/>
      </patternFill>
    </fill>
    <fill>
      <patternFill patternType="solid">
        <fgColor theme="5"/>
        <bgColor indexed="64"/>
      </patternFill>
    </fill>
    <fill>
      <patternFill patternType="solid">
        <fgColor theme="5" tint="0.39997558519241921"/>
        <bgColor rgb="FF000000"/>
      </patternFill>
    </fill>
    <fill>
      <patternFill patternType="solid">
        <fgColor theme="5" tint="0.39997558519241921"/>
        <bgColor theme="5"/>
      </patternFill>
    </fill>
    <fill>
      <patternFill patternType="solid">
        <fgColor theme="5" tint="0.39997558519241921"/>
        <bgColor rgb="FF7F7F7F"/>
      </patternFill>
    </fill>
    <fill>
      <patternFill patternType="solid">
        <fgColor theme="5" tint="0.39997558519241921"/>
        <bgColor rgb="FF003366"/>
      </patternFill>
    </fill>
    <fill>
      <patternFill patternType="solid">
        <fgColor theme="0"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
      <patternFill patternType="solid">
        <fgColor theme="5" tint="0.59999389629810485"/>
        <bgColor indexed="64"/>
      </patternFill>
    </fill>
  </fills>
  <borders count="1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1">
    <xf numFmtId="0" fontId="0" fillId="0" borderId="0"/>
    <xf numFmtId="41" fontId="8" fillId="0" borderId="0" applyFont="0" applyFill="0" applyBorder="0" applyAlignment="0" applyProtection="0"/>
    <xf numFmtId="9" fontId="8"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xf numFmtId="0" fontId="25" fillId="0" borderId="0"/>
    <xf numFmtId="9" fontId="25" fillId="0" borderId="0" applyFont="0" applyFill="0" applyBorder="0" applyAlignment="0" applyProtection="0"/>
    <xf numFmtId="0" fontId="9" fillId="0" borderId="0"/>
    <xf numFmtId="9" fontId="9" fillId="0" borderId="0" applyFont="0" applyFill="0" applyBorder="0" applyAlignment="0" applyProtection="0"/>
    <xf numFmtId="164" fontId="8" fillId="0" borderId="0" applyFont="0" applyFill="0" applyBorder="0" applyAlignment="0" applyProtection="0"/>
  </cellStyleXfs>
  <cellXfs count="909">
    <xf numFmtId="0" fontId="0" fillId="0" borderId="0" xfId="0"/>
    <xf numFmtId="0" fontId="1" fillId="0" borderId="0" xfId="0" applyFont="1"/>
    <xf numFmtId="0" fontId="1" fillId="0" borderId="0" xfId="0" applyFont="1" applyBorder="1"/>
    <xf numFmtId="0" fontId="5" fillId="0" borderId="0" xfId="0" applyFont="1"/>
    <xf numFmtId="0" fontId="1" fillId="0" borderId="0" xfId="0" applyFont="1" applyBorder="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3" borderId="4" xfId="0" applyFont="1" applyFill="1" applyBorder="1" applyAlignment="1">
      <alignment horizontal="center" vertical="center"/>
    </xf>
    <xf numFmtId="0" fontId="6" fillId="0" borderId="4" xfId="0" applyFont="1" applyBorder="1"/>
    <xf numFmtId="0" fontId="1" fillId="0" borderId="5" xfId="0" applyFont="1" applyFill="1" applyBorder="1" applyAlignment="1">
      <alignment horizontal="center" vertical="center" wrapText="1"/>
    </xf>
    <xf numFmtId="0" fontId="6" fillId="0" borderId="0" xfId="0" applyFont="1"/>
    <xf numFmtId="0" fontId="7" fillId="0" borderId="4" xfId="0" applyFont="1" applyFill="1" applyBorder="1"/>
    <xf numFmtId="0" fontId="7" fillId="0" borderId="0" xfId="0" applyFont="1" applyFill="1"/>
    <xf numFmtId="0" fontId="7" fillId="3" borderId="4" xfId="0" applyFont="1" applyFill="1" applyBorder="1"/>
    <xf numFmtId="9" fontId="1" fillId="0" borderId="4"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9" fontId="1" fillId="0" borderId="4" xfId="2" applyFont="1" applyFill="1" applyBorder="1" applyAlignment="1">
      <alignment horizontal="center" vertical="center" wrapText="1"/>
    </xf>
    <xf numFmtId="0" fontId="2" fillId="0" borderId="0" xfId="0" applyFont="1" applyBorder="1" applyAlignment="1">
      <alignment horizontal="center" vertical="center"/>
    </xf>
    <xf numFmtId="0" fontId="1" fillId="0" borderId="0" xfId="0" applyFont="1" applyFill="1"/>
    <xf numFmtId="165" fontId="1" fillId="0" borderId="4" xfId="2" applyNumberFormat="1" applyFont="1" applyFill="1" applyBorder="1" applyAlignment="1">
      <alignment horizontal="center" vertical="center" wrapText="1"/>
    </xf>
    <xf numFmtId="9" fontId="1" fillId="0" borderId="4" xfId="2" applyNumberFormat="1" applyFont="1" applyFill="1" applyBorder="1" applyAlignment="1">
      <alignment horizontal="center" vertical="center" wrapText="1"/>
    </xf>
    <xf numFmtId="0" fontId="1" fillId="0" borderId="0" xfId="0" applyFont="1" applyFill="1" applyAlignment="1">
      <alignment horizontal="center"/>
    </xf>
    <xf numFmtId="0" fontId="1" fillId="0" borderId="0" xfId="0" applyFont="1" applyFill="1" applyBorder="1"/>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 xfId="1" applyNumberFormat="1" applyFont="1" applyFill="1" applyBorder="1" applyAlignment="1">
      <alignment horizontal="center" vertical="center" wrapText="1"/>
    </xf>
    <xf numFmtId="41" fontId="1" fillId="0" borderId="4" xfId="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11" fillId="0" borderId="0" xfId="0" applyFont="1"/>
    <xf numFmtId="0" fontId="12" fillId="0" borderId="0" xfId="4"/>
    <xf numFmtId="0" fontId="11" fillId="4" borderId="19" xfId="0" applyFont="1" applyFill="1" applyBorder="1" applyAlignment="1">
      <alignment horizontal="center" vertical="center"/>
    </xf>
    <xf numFmtId="0" fontId="11" fillId="4" borderId="21"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1" fillId="4" borderId="4" xfId="0" applyFont="1" applyFill="1" applyBorder="1" applyAlignment="1">
      <alignment vertical="center"/>
    </xf>
    <xf numFmtId="0" fontId="11" fillId="4" borderId="33" xfId="0" applyFont="1" applyFill="1" applyBorder="1" applyAlignment="1">
      <alignment wrapText="1"/>
    </xf>
    <xf numFmtId="0" fontId="0" fillId="0" borderId="33" xfId="0" applyBorder="1" applyAlignment="1">
      <alignment wrapText="1"/>
    </xf>
    <xf numFmtId="0" fontId="11" fillId="4" borderId="4" xfId="0" applyFont="1" applyFill="1" applyBorder="1"/>
    <xf numFmtId="0" fontId="0" fillId="0" borderId="33"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1" fillId="4"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4" fillId="5" borderId="34" xfId="5" applyFont="1" applyFill="1" applyBorder="1" applyAlignment="1">
      <alignment horizontal="center" vertical="center"/>
    </xf>
    <xf numFmtId="0" fontId="4" fillId="5" borderId="34" xfId="5" applyFont="1" applyFill="1" applyBorder="1" applyAlignment="1">
      <alignment horizontal="center" vertical="center"/>
    </xf>
    <xf numFmtId="0" fontId="13" fillId="0" borderId="0" xfId="5"/>
    <xf numFmtId="0" fontId="17" fillId="5" borderId="0" xfId="5" applyFont="1" applyFill="1" applyAlignment="1">
      <alignment vertical="center"/>
    </xf>
    <xf numFmtId="0" fontId="18" fillId="5" borderId="0" xfId="5" applyFont="1" applyFill="1" applyAlignment="1">
      <alignment horizontal="right" vertical="center"/>
    </xf>
    <xf numFmtId="0" fontId="19" fillId="5" borderId="0" xfId="5" applyFont="1" applyFill="1" applyAlignment="1">
      <alignment horizontal="left" vertical="center" wrapText="1"/>
    </xf>
    <xf numFmtId="0" fontId="20" fillId="5" borderId="0" xfId="5" applyFont="1" applyFill="1" applyAlignment="1">
      <alignment horizontal="left" vertical="center" wrapText="1"/>
    </xf>
    <xf numFmtId="0" fontId="21" fillId="5" borderId="0" xfId="5" applyFont="1" applyFill="1" applyAlignment="1">
      <alignment horizontal="left" vertical="center"/>
    </xf>
    <xf numFmtId="0" fontId="17" fillId="5" borderId="0" xfId="5" applyFont="1" applyFill="1" applyAlignment="1">
      <alignment horizontal="right" vertical="center"/>
    </xf>
    <xf numFmtId="0" fontId="18" fillId="5" borderId="0" xfId="5" applyFont="1" applyFill="1" applyAlignment="1">
      <alignment horizontal="center" vertical="center"/>
    </xf>
    <xf numFmtId="0" fontId="23" fillId="5" borderId="0" xfId="5" applyFont="1" applyFill="1" applyAlignment="1">
      <alignment horizontal="left" vertical="center" wrapText="1"/>
    </xf>
    <xf numFmtId="0" fontId="21" fillId="5" borderId="0" xfId="5" applyFont="1" applyFill="1" applyAlignment="1">
      <alignment vertical="center" wrapText="1"/>
    </xf>
    <xf numFmtId="0" fontId="21" fillId="5" borderId="0" xfId="5" applyFont="1" applyFill="1" applyAlignment="1">
      <alignment vertical="center"/>
    </xf>
    <xf numFmtId="0" fontId="24" fillId="5" borderId="35" xfId="5" applyFont="1" applyFill="1" applyBorder="1" applyAlignment="1">
      <alignment vertical="center" wrapText="1"/>
    </xf>
    <xf numFmtId="0" fontId="24" fillId="5" borderId="35" xfId="5" applyFont="1" applyFill="1" applyBorder="1" applyAlignment="1">
      <alignment vertical="center"/>
    </xf>
    <xf numFmtId="0" fontId="2" fillId="6" borderId="48" xfId="5" applyFont="1" applyFill="1" applyBorder="1" applyAlignment="1">
      <alignment horizontal="center" vertical="center" wrapText="1"/>
    </xf>
    <xf numFmtId="0" fontId="2" fillId="6" borderId="49" xfId="5" applyFont="1" applyFill="1" applyBorder="1" applyAlignment="1">
      <alignment horizontal="center" vertical="center" wrapText="1"/>
    </xf>
    <xf numFmtId="10" fontId="2" fillId="6" borderId="51" xfId="5" applyNumberFormat="1" applyFont="1" applyFill="1" applyBorder="1" applyAlignment="1">
      <alignment horizontal="center" vertical="center" wrapText="1"/>
    </xf>
    <xf numFmtId="0" fontId="25" fillId="0" borderId="52" xfId="5" applyFont="1" applyBorder="1" applyAlignment="1">
      <alignment horizontal="center" vertical="center" wrapText="1"/>
    </xf>
    <xf numFmtId="0" fontId="25" fillId="0" borderId="53" xfId="5" applyFont="1" applyBorder="1" applyAlignment="1">
      <alignment horizontal="left" vertical="center" wrapText="1"/>
    </xf>
    <xf numFmtId="0" fontId="25" fillId="0" borderId="53" xfId="5" applyFont="1" applyBorder="1" applyAlignment="1">
      <alignment horizontal="center" vertical="center" wrapText="1"/>
    </xf>
    <xf numFmtId="9" fontId="25" fillId="0" borderId="54" xfId="5" applyNumberFormat="1" applyFont="1" applyBorder="1" applyAlignment="1">
      <alignment horizontal="center" vertical="center" wrapText="1"/>
    </xf>
    <xf numFmtId="166" fontId="25" fillId="0" borderId="55" xfId="5" applyNumberFormat="1" applyFont="1" applyBorder="1" applyAlignment="1">
      <alignment horizontal="center" vertical="center" wrapText="1"/>
    </xf>
    <xf numFmtId="166" fontId="25" fillId="0" borderId="56" xfId="5" applyNumberFormat="1" applyFont="1" applyBorder="1" applyAlignment="1">
      <alignment horizontal="center" vertical="center" wrapText="1"/>
    </xf>
    <xf numFmtId="9" fontId="1" fillId="0" borderId="57" xfId="5" applyNumberFormat="1" applyFont="1" applyBorder="1" applyAlignment="1">
      <alignment horizontal="center" vertical="center" wrapText="1"/>
    </xf>
    <xf numFmtId="0" fontId="25" fillId="0" borderId="58" xfId="5" applyFont="1" applyBorder="1" applyAlignment="1">
      <alignment horizontal="left" vertical="center" wrapText="1"/>
    </xf>
    <xf numFmtId="0" fontId="25" fillId="0" borderId="45" xfId="5" applyFont="1" applyBorder="1" applyAlignment="1">
      <alignment horizontal="center" vertical="center" wrapText="1"/>
    </xf>
    <xf numFmtId="0" fontId="25" fillId="0" borderId="59" xfId="5" applyFont="1" applyBorder="1" applyAlignment="1">
      <alignment horizontal="left" vertical="center" wrapText="1"/>
    </xf>
    <xf numFmtId="0" fontId="25" fillId="0" borderId="59" xfId="5" applyFont="1" applyBorder="1" applyAlignment="1">
      <alignment horizontal="center" vertical="center" wrapText="1"/>
    </xf>
    <xf numFmtId="9" fontId="25" fillId="0" borderId="60" xfId="5" applyNumberFormat="1" applyFont="1" applyBorder="1" applyAlignment="1">
      <alignment horizontal="center" vertical="center" wrapText="1"/>
    </xf>
    <xf numFmtId="166" fontId="25" fillId="0" borderId="48" xfId="5" applyNumberFormat="1" applyFont="1" applyBorder="1" applyAlignment="1">
      <alignment horizontal="center" vertical="center" wrapText="1"/>
    </xf>
    <xf numFmtId="166" fontId="25" fillId="0" borderId="49" xfId="5" applyNumberFormat="1" applyFont="1" applyBorder="1" applyAlignment="1">
      <alignment horizontal="center" vertical="center" wrapText="1"/>
    </xf>
    <xf numFmtId="9" fontId="1" fillId="0" borderId="61" xfId="5" applyNumberFormat="1" applyFont="1" applyBorder="1" applyAlignment="1">
      <alignment horizontal="center" vertical="center" wrapText="1"/>
    </xf>
    <xf numFmtId="0" fontId="25" fillId="5" borderId="0" xfId="5" applyFont="1" applyFill="1" applyAlignment="1">
      <alignment horizontal="center" vertical="center" wrapText="1"/>
    </xf>
    <xf numFmtId="166" fontId="25" fillId="5" borderId="0" xfId="5" applyNumberFormat="1" applyFont="1" applyFill="1" applyAlignment="1">
      <alignment horizontal="center" vertical="center" wrapText="1"/>
    </xf>
    <xf numFmtId="0" fontId="25" fillId="5" borderId="55" xfId="5" applyFont="1" applyFill="1" applyBorder="1" applyAlignment="1">
      <alignment horizontal="center" vertical="center" wrapText="1"/>
    </xf>
    <xf numFmtId="166" fontId="25" fillId="5" borderId="56" xfId="5" applyNumberFormat="1" applyFont="1" applyFill="1" applyBorder="1" applyAlignment="1">
      <alignment horizontal="center" vertical="center" wrapText="1"/>
    </xf>
    <xf numFmtId="0" fontId="25" fillId="5" borderId="54" xfId="5" applyFont="1" applyFill="1" applyBorder="1" applyAlignment="1">
      <alignment horizontal="left" vertical="center" wrapText="1"/>
    </xf>
    <xf numFmtId="0" fontId="25" fillId="5" borderId="64" xfId="5" applyFont="1" applyFill="1" applyBorder="1" applyAlignment="1">
      <alignment horizontal="left" vertical="center" wrapText="1"/>
    </xf>
    <xf numFmtId="0" fontId="25" fillId="5" borderId="56" xfId="5" applyFont="1" applyFill="1" applyBorder="1" applyAlignment="1">
      <alignment horizontal="center" vertical="center" wrapText="1"/>
    </xf>
    <xf numFmtId="0" fontId="25" fillId="5" borderId="48" xfId="5" applyFont="1" applyFill="1" applyBorder="1" applyAlignment="1">
      <alignment horizontal="center" vertical="center" wrapText="1"/>
    </xf>
    <xf numFmtId="0" fontId="25" fillId="5" borderId="60" xfId="5" applyFont="1" applyFill="1" applyBorder="1" applyAlignment="1">
      <alignment horizontal="left" vertical="center" wrapText="1"/>
    </xf>
    <xf numFmtId="0" fontId="25" fillId="5" borderId="65" xfId="5" applyFont="1" applyFill="1" applyBorder="1" applyAlignment="1">
      <alignment horizontal="left" vertical="center" wrapText="1"/>
    </xf>
    <xf numFmtId="0" fontId="25" fillId="5" borderId="49" xfId="5" applyFont="1" applyFill="1" applyBorder="1" applyAlignment="1">
      <alignment horizontal="center" vertical="center" wrapText="1"/>
    </xf>
    <xf numFmtId="0" fontId="25" fillId="5" borderId="0" xfId="5" applyFont="1" applyFill="1" applyAlignment="1">
      <alignment horizontal="left" vertical="center" wrapText="1"/>
    </xf>
    <xf numFmtId="0" fontId="14" fillId="5" borderId="0" xfId="5" applyFont="1" applyFill="1" applyAlignment="1">
      <alignment horizontal="center" vertical="center"/>
    </xf>
    <xf numFmtId="0" fontId="22" fillId="5" borderId="0" xfId="5" applyFont="1" applyFill="1" applyAlignment="1">
      <alignment horizontal="left" vertical="center" wrapText="1"/>
    </xf>
    <xf numFmtId="0" fontId="14" fillId="5" borderId="35" xfId="5" applyFont="1" applyFill="1" applyBorder="1" applyAlignment="1">
      <alignment horizontal="center" vertical="center"/>
    </xf>
    <xf numFmtId="0" fontId="2" fillId="6" borderId="45" xfId="5" applyFont="1" applyFill="1" applyBorder="1" applyAlignment="1">
      <alignment horizontal="center" vertical="center" wrapText="1"/>
    </xf>
    <xf numFmtId="0" fontId="2" fillId="6" borderId="66" xfId="5" applyFont="1" applyFill="1" applyBorder="1" applyAlignment="1">
      <alignment horizontal="center" vertical="center" wrapText="1"/>
    </xf>
    <xf numFmtId="0" fontId="2" fillId="6" borderId="67" xfId="5" applyFont="1" applyFill="1" applyBorder="1" applyAlignment="1">
      <alignment vertical="center" wrapText="1"/>
    </xf>
    <xf numFmtId="0" fontId="25" fillId="0" borderId="58" xfId="5" applyFont="1" applyBorder="1" applyAlignment="1">
      <alignment horizontal="center" vertical="center" wrapText="1"/>
    </xf>
    <xf numFmtId="9" fontId="25" fillId="0" borderId="68" xfId="5" applyNumberFormat="1" applyFont="1" applyBorder="1" applyAlignment="1">
      <alignment horizontal="center" vertical="center" wrapText="1"/>
    </xf>
    <xf numFmtId="166" fontId="25" fillId="0" borderId="52" xfId="5" applyNumberFormat="1" applyFont="1" applyBorder="1" applyAlignment="1">
      <alignment horizontal="center" vertical="center" wrapText="1"/>
    </xf>
    <xf numFmtId="166" fontId="25" fillId="0" borderId="69" xfId="5" applyNumberFormat="1" applyFont="1" applyBorder="1" applyAlignment="1">
      <alignment horizontal="center" vertical="center" wrapText="1"/>
    </xf>
    <xf numFmtId="9" fontId="1" fillId="0" borderId="70" xfId="5" applyNumberFormat="1" applyFont="1" applyBorder="1" applyAlignment="1">
      <alignment horizontal="center" vertical="center" wrapText="1"/>
    </xf>
    <xf numFmtId="0" fontId="25" fillId="0" borderId="55" xfId="5" applyFont="1" applyBorder="1" applyAlignment="1">
      <alignment horizontal="center" vertical="center" wrapText="1"/>
    </xf>
    <xf numFmtId="9" fontId="1" fillId="0" borderId="71" xfId="5" applyNumberFormat="1" applyFont="1" applyBorder="1" applyAlignment="1">
      <alignment horizontal="center" vertical="center" wrapText="1"/>
    </xf>
    <xf numFmtId="9" fontId="1" fillId="0" borderId="72" xfId="5" applyNumberFormat="1" applyFont="1" applyBorder="1" applyAlignment="1">
      <alignment horizontal="center" vertical="center" wrapText="1"/>
    </xf>
    <xf numFmtId="0" fontId="1" fillId="5" borderId="0" xfId="5" applyFont="1" applyFill="1" applyAlignment="1">
      <alignment horizontal="left" vertical="center" wrapText="1"/>
    </xf>
    <xf numFmtId="0" fontId="2" fillId="6" borderId="51" xfId="5" applyFont="1" applyFill="1" applyBorder="1" applyAlignment="1">
      <alignment horizontal="center" vertical="center" wrapText="1"/>
    </xf>
    <xf numFmtId="0" fontId="1" fillId="0" borderId="0" xfId="5" applyFont="1" applyAlignment="1">
      <alignment horizontal="center" vertical="center" wrapText="1"/>
    </xf>
    <xf numFmtId="9" fontId="1" fillId="0" borderId="50" xfId="5" applyNumberFormat="1" applyFont="1" applyBorder="1" applyAlignment="1">
      <alignment horizontal="center" vertical="center" wrapText="1"/>
    </xf>
    <xf numFmtId="0" fontId="14" fillId="0" borderId="0" xfId="5" applyFont="1" applyAlignment="1">
      <alignment horizontal="center" vertical="center"/>
    </xf>
    <xf numFmtId="0" fontId="14" fillId="0" borderId="0" xfId="5" applyFont="1" applyAlignment="1">
      <alignment vertical="center"/>
    </xf>
    <xf numFmtId="0" fontId="14" fillId="0" borderId="0" xfId="5" applyFont="1" applyAlignment="1">
      <alignment vertical="center" wrapText="1"/>
    </xf>
    <xf numFmtId="0" fontId="14" fillId="7" borderId="0" xfId="5" applyFont="1" applyFill="1" applyAlignment="1">
      <alignment vertical="center"/>
    </xf>
    <xf numFmtId="0" fontId="14" fillId="7" borderId="34" xfId="5" applyFont="1" applyFill="1" applyBorder="1" applyAlignment="1">
      <alignment horizontal="center" vertical="center"/>
    </xf>
    <xf numFmtId="0" fontId="4" fillId="7" borderId="34" xfId="5" applyFont="1" applyFill="1" applyBorder="1" applyAlignment="1">
      <alignment horizontal="center" vertical="center"/>
    </xf>
    <xf numFmtId="0" fontId="14" fillId="7" borderId="34" xfId="5" applyFont="1" applyFill="1" applyBorder="1" applyAlignment="1">
      <alignment horizontal="left" vertical="center" wrapText="1"/>
    </xf>
    <xf numFmtId="0" fontId="25" fillId="0" borderId="0" xfId="5" applyFont="1"/>
    <xf numFmtId="0" fontId="14" fillId="7" borderId="0" xfId="5" applyFont="1" applyFill="1" applyAlignment="1">
      <alignment horizontal="center" vertical="center"/>
    </xf>
    <xf numFmtId="0" fontId="4" fillId="7" borderId="0" xfId="5" applyFont="1" applyFill="1" applyAlignment="1">
      <alignment horizontal="right" vertical="center"/>
    </xf>
    <xf numFmtId="0" fontId="28" fillId="7" borderId="0" xfId="5" applyFont="1" applyFill="1" applyAlignment="1">
      <alignment horizontal="left" vertical="center" wrapText="1"/>
    </xf>
    <xf numFmtId="0" fontId="29" fillId="7" borderId="0" xfId="5" applyFont="1" applyFill="1" applyAlignment="1">
      <alignment horizontal="left" vertical="center" wrapText="1"/>
    </xf>
    <xf numFmtId="0" fontId="24" fillId="7" borderId="0" xfId="5" applyFont="1" applyFill="1" applyAlignment="1">
      <alignment horizontal="left" vertical="center"/>
    </xf>
    <xf numFmtId="0" fontId="14" fillId="7" borderId="0" xfId="5" applyFont="1" applyFill="1" applyAlignment="1">
      <alignment horizontal="left" vertical="center" wrapText="1"/>
    </xf>
    <xf numFmtId="0" fontId="18" fillId="7" borderId="0" xfId="5" applyFont="1" applyFill="1" applyAlignment="1">
      <alignment horizontal="right" vertical="center"/>
    </xf>
    <xf numFmtId="0" fontId="17" fillId="7" borderId="0" xfId="5" applyFont="1" applyFill="1" applyAlignment="1">
      <alignment horizontal="right" vertical="center"/>
    </xf>
    <xf numFmtId="0" fontId="18" fillId="7" borderId="0" xfId="5" applyFont="1" applyFill="1" applyAlignment="1">
      <alignment horizontal="center" vertical="center"/>
    </xf>
    <xf numFmtId="0" fontId="17" fillId="7" borderId="0" xfId="5" applyFont="1" applyFill="1" applyAlignment="1">
      <alignment vertical="center"/>
    </xf>
    <xf numFmtId="0" fontId="23" fillId="7" borderId="0" xfId="5" applyFont="1" applyFill="1" applyAlignment="1">
      <alignment horizontal="left" vertical="center" wrapText="1"/>
    </xf>
    <xf numFmtId="0" fontId="17" fillId="7" borderId="0" xfId="5" applyFont="1" applyFill="1" applyAlignment="1">
      <alignment horizontal="left" vertical="center" wrapText="1"/>
    </xf>
    <xf numFmtId="0" fontId="22" fillId="7" borderId="0" xfId="5" applyFont="1" applyFill="1" applyAlignment="1">
      <alignment horizontal="left" vertical="center" wrapText="1"/>
    </xf>
    <xf numFmtId="0" fontId="21" fillId="7" borderId="0" xfId="5" applyFont="1" applyFill="1" applyAlignment="1">
      <alignment vertical="center" wrapText="1"/>
    </xf>
    <xf numFmtId="0" fontId="21" fillId="7" borderId="0" xfId="5" applyFont="1" applyFill="1" applyAlignment="1">
      <alignment vertical="center"/>
    </xf>
    <xf numFmtId="0" fontId="24" fillId="7" borderId="0" xfId="5" applyFont="1" applyFill="1" applyAlignment="1">
      <alignment vertical="center" wrapText="1"/>
    </xf>
    <xf numFmtId="0" fontId="24" fillId="7" borderId="0" xfId="5" applyFont="1" applyFill="1" applyAlignment="1">
      <alignment vertical="center"/>
    </xf>
    <xf numFmtId="0" fontId="1" fillId="7" borderId="0" xfId="5" applyFont="1" applyFill="1" applyAlignment="1">
      <alignment vertical="center"/>
    </xf>
    <xf numFmtId="0" fontId="1" fillId="0" borderId="0" xfId="5" applyFont="1" applyAlignment="1">
      <alignment vertical="center"/>
    </xf>
    <xf numFmtId="0" fontId="1" fillId="0" borderId="52" xfId="5" applyFont="1" applyBorder="1" applyAlignment="1">
      <alignment horizontal="center" vertical="center" wrapText="1"/>
    </xf>
    <xf numFmtId="0" fontId="25" fillId="5" borderId="58" xfId="5" applyFont="1" applyFill="1" applyBorder="1" applyAlignment="1">
      <alignment horizontal="center" vertical="center" wrapText="1"/>
    </xf>
    <xf numFmtId="0" fontId="1" fillId="5" borderId="58" xfId="5" applyFont="1" applyFill="1" applyBorder="1" applyAlignment="1">
      <alignment horizontal="center" vertical="center" wrapText="1"/>
    </xf>
    <xf numFmtId="9" fontId="1" fillId="5" borderId="58" xfId="5" applyNumberFormat="1" applyFont="1" applyFill="1" applyBorder="1" applyAlignment="1">
      <alignment horizontal="center" vertical="center" wrapText="1"/>
    </xf>
    <xf numFmtId="166" fontId="1" fillId="5" borderId="53" xfId="5" applyNumberFormat="1" applyFont="1" applyFill="1" applyBorder="1" applyAlignment="1">
      <alignment horizontal="center" vertical="center" wrapText="1"/>
    </xf>
    <xf numFmtId="0" fontId="1" fillId="5" borderId="69" xfId="5" applyFont="1" applyFill="1" applyBorder="1" applyAlignment="1">
      <alignment horizontal="center" vertical="center" wrapText="1"/>
    </xf>
    <xf numFmtId="0" fontId="1" fillId="0" borderId="55" xfId="5" applyFont="1" applyBorder="1" applyAlignment="1">
      <alignment horizontal="center" vertical="center" wrapText="1"/>
    </xf>
    <xf numFmtId="0" fontId="25" fillId="5" borderId="53" xfId="5" applyFont="1" applyFill="1" applyBorder="1" applyAlignment="1">
      <alignment horizontal="center" vertical="center" wrapText="1"/>
    </xf>
    <xf numFmtId="0" fontId="1" fillId="5" borderId="53" xfId="5" applyFont="1" applyFill="1" applyBorder="1" applyAlignment="1">
      <alignment horizontal="center" vertical="center" wrapText="1"/>
    </xf>
    <xf numFmtId="9" fontId="1" fillId="5" borderId="53" xfId="5" applyNumberFormat="1" applyFont="1" applyFill="1" applyBorder="1" applyAlignment="1">
      <alignment horizontal="center" vertical="center" wrapText="1"/>
    </xf>
    <xf numFmtId="0" fontId="1" fillId="5" borderId="56" xfId="5" applyFont="1" applyFill="1" applyBorder="1" applyAlignment="1">
      <alignment horizontal="center" vertical="center" wrapText="1"/>
    </xf>
    <xf numFmtId="0" fontId="1" fillId="0" borderId="48" xfId="5" applyFont="1" applyBorder="1" applyAlignment="1">
      <alignment horizontal="center" vertical="center" wrapText="1"/>
    </xf>
    <xf numFmtId="0" fontId="1" fillId="0" borderId="59" xfId="5" applyFont="1" applyBorder="1" applyAlignment="1">
      <alignment horizontal="left" vertical="center" wrapText="1"/>
    </xf>
    <xf numFmtId="0" fontId="1" fillId="0" borderId="59" xfId="5" applyFont="1" applyBorder="1" applyAlignment="1">
      <alignment horizontal="center" vertical="center" wrapText="1"/>
    </xf>
    <xf numFmtId="166" fontId="1" fillId="0" borderId="59" xfId="5" applyNumberFormat="1" applyFont="1" applyBorder="1" applyAlignment="1">
      <alignment horizontal="center" vertical="center" wrapText="1"/>
    </xf>
    <xf numFmtId="0" fontId="1" fillId="0" borderId="49" xfId="5" applyFont="1" applyBorder="1" applyAlignment="1">
      <alignment horizontal="left" vertical="center" wrapText="1"/>
    </xf>
    <xf numFmtId="0" fontId="14" fillId="0" borderId="0" xfId="5" applyFont="1" applyAlignment="1">
      <alignment horizontal="left" vertical="center" wrapText="1"/>
    </xf>
    <xf numFmtId="0" fontId="30" fillId="8" borderId="0" xfId="6" applyFont="1" applyFill="1" applyAlignment="1">
      <alignment vertical="center"/>
    </xf>
    <xf numFmtId="0" fontId="30" fillId="8" borderId="77" xfId="6" applyFont="1" applyFill="1" applyBorder="1" applyAlignment="1">
      <alignment horizontal="center" vertical="center"/>
    </xf>
    <xf numFmtId="0" fontId="31" fillId="8" borderId="77" xfId="6" applyFont="1" applyFill="1" applyBorder="1" applyAlignment="1">
      <alignment horizontal="center" vertical="center"/>
    </xf>
    <xf numFmtId="0" fontId="30" fillId="8" borderId="77" xfId="6" applyFont="1" applyFill="1" applyBorder="1" applyAlignment="1">
      <alignment horizontal="left" vertical="center" wrapText="1"/>
    </xf>
    <xf numFmtId="0" fontId="30" fillId="0" borderId="0" xfId="6" applyFont="1" applyAlignment="1">
      <alignment vertical="center"/>
    </xf>
    <xf numFmtId="0" fontId="30" fillId="8" borderId="0" xfId="6" applyFont="1" applyFill="1" applyAlignment="1">
      <alignment horizontal="center" vertical="center"/>
    </xf>
    <xf numFmtId="0" fontId="33" fillId="8" borderId="0" xfId="6" applyFont="1" applyFill="1" applyAlignment="1">
      <alignment vertical="center"/>
    </xf>
    <xf numFmtId="0" fontId="34" fillId="8" borderId="0" xfId="6" applyFont="1" applyFill="1" applyAlignment="1">
      <alignment horizontal="right" vertical="center" indent="2"/>
    </xf>
    <xf numFmtId="0" fontId="35" fillId="8" borderId="0" xfId="6" applyFont="1" applyFill="1" applyAlignment="1">
      <alignment horizontal="left" vertical="center" wrapText="1"/>
    </xf>
    <xf numFmtId="0" fontId="36" fillId="8" borderId="0" xfId="6" applyFont="1" applyFill="1" applyAlignment="1">
      <alignment horizontal="left" vertical="center" wrapText="1"/>
    </xf>
    <xf numFmtId="0" fontId="37" fillId="8" borderId="0" xfId="6" applyFont="1" applyFill="1" applyAlignment="1">
      <alignment horizontal="left" vertical="center"/>
    </xf>
    <xf numFmtId="0" fontId="33" fillId="8" borderId="0" xfId="6" applyFont="1" applyFill="1" applyAlignment="1">
      <alignment horizontal="left" vertical="center" wrapText="1"/>
    </xf>
    <xf numFmtId="0" fontId="34" fillId="8" borderId="0" xfId="6" applyFont="1" applyFill="1" applyAlignment="1">
      <alignment horizontal="right" vertical="center"/>
    </xf>
    <xf numFmtId="0" fontId="33" fillId="8" borderId="0" xfId="6" applyFont="1" applyFill="1" applyAlignment="1">
      <alignment horizontal="right" vertical="center"/>
    </xf>
    <xf numFmtId="0" fontId="34" fillId="8" borderId="0" xfId="6" applyFont="1" applyFill="1" applyAlignment="1">
      <alignment horizontal="center" vertical="center"/>
    </xf>
    <xf numFmtId="0" fontId="39" fillId="8" borderId="0" xfId="6" applyFont="1" applyFill="1" applyAlignment="1">
      <alignment horizontal="left" vertical="center" wrapText="1"/>
    </xf>
    <xf numFmtId="0" fontId="38" fillId="8" borderId="0" xfId="6" applyFont="1" applyFill="1" applyAlignment="1">
      <alignment horizontal="left" vertical="center" wrapText="1"/>
    </xf>
    <xf numFmtId="0" fontId="37" fillId="8" borderId="0" xfId="6" applyFont="1" applyFill="1" applyAlignment="1">
      <alignment vertical="center" wrapText="1"/>
    </xf>
    <xf numFmtId="0" fontId="37" fillId="8" borderId="0" xfId="6" applyFont="1" applyFill="1" applyAlignment="1">
      <alignment vertical="center"/>
    </xf>
    <xf numFmtId="0" fontId="40" fillId="8" borderId="0" xfId="6" applyFont="1" applyFill="1" applyAlignment="1">
      <alignment vertical="center" wrapText="1"/>
    </xf>
    <xf numFmtId="0" fontId="40" fillId="8" borderId="0" xfId="6" applyFont="1" applyFill="1" applyAlignment="1">
      <alignment vertical="center"/>
    </xf>
    <xf numFmtId="0" fontId="30" fillId="8" borderId="0" xfId="6" applyFont="1" applyFill="1" applyAlignment="1">
      <alignment horizontal="left" vertical="center" wrapText="1"/>
    </xf>
    <xf numFmtId="0" fontId="25" fillId="8" borderId="0" xfId="6" applyFill="1" applyAlignment="1">
      <alignment vertical="center"/>
    </xf>
    <xf numFmtId="0" fontId="25" fillId="0" borderId="0" xfId="6" applyAlignment="1">
      <alignment vertical="center"/>
    </xf>
    <xf numFmtId="0" fontId="25" fillId="0" borderId="14" xfId="6" applyBorder="1" applyAlignment="1">
      <alignment horizontal="center" vertical="center" wrapText="1"/>
    </xf>
    <xf numFmtId="0" fontId="25" fillId="0" borderId="5" xfId="6" applyBorder="1" applyAlignment="1">
      <alignment horizontal="center" vertical="center" wrapText="1"/>
    </xf>
    <xf numFmtId="9" fontId="25" fillId="0" borderId="5" xfId="6" applyNumberFormat="1" applyBorder="1" applyAlignment="1">
      <alignment horizontal="center" vertical="center" wrapText="1"/>
    </xf>
    <xf numFmtId="14" fontId="25" fillId="0" borderId="5" xfId="6" applyNumberFormat="1" applyBorder="1" applyAlignment="1">
      <alignment horizontal="center" vertical="center" wrapText="1"/>
    </xf>
    <xf numFmtId="0" fontId="25" fillId="0" borderId="11" xfId="6" applyBorder="1" applyAlignment="1">
      <alignment horizontal="center" vertical="center" wrapText="1"/>
    </xf>
    <xf numFmtId="0" fontId="25" fillId="0" borderId="6" xfId="6" applyBorder="1" applyAlignment="1">
      <alignment horizontal="center" vertical="center" wrapText="1"/>
    </xf>
    <xf numFmtId="0" fontId="25" fillId="0" borderId="4" xfId="6" applyBorder="1" applyAlignment="1" applyProtection="1">
      <alignment horizontal="center" vertical="center" wrapText="1"/>
      <protection locked="0"/>
    </xf>
    <xf numFmtId="0" fontId="25" fillId="0" borderId="4" xfId="6" applyBorder="1" applyAlignment="1">
      <alignment horizontal="center" vertical="center" wrapText="1"/>
    </xf>
    <xf numFmtId="9" fontId="25" fillId="0" borderId="4" xfId="6" applyNumberFormat="1" applyBorder="1" applyAlignment="1">
      <alignment horizontal="center" vertical="center" wrapText="1"/>
    </xf>
    <xf numFmtId="0" fontId="25" fillId="0" borderId="7" xfId="6" applyBorder="1" applyAlignment="1">
      <alignment horizontal="center" vertical="center" wrapText="1"/>
    </xf>
    <xf numFmtId="0" fontId="25" fillId="0" borderId="9" xfId="6" applyBorder="1" applyAlignment="1">
      <alignment horizontal="center" vertical="center" wrapText="1"/>
    </xf>
    <xf numFmtId="0" fontId="25" fillId="0" borderId="8" xfId="6" applyBorder="1" applyAlignment="1" applyProtection="1">
      <alignment horizontal="left" vertical="center" wrapText="1"/>
      <protection locked="0"/>
    </xf>
    <xf numFmtId="0" fontId="25" fillId="0" borderId="8" xfId="6" applyBorder="1" applyAlignment="1">
      <alignment horizontal="left" vertical="center" wrapText="1"/>
    </xf>
    <xf numFmtId="0" fontId="25" fillId="0" borderId="8" xfId="6" applyBorder="1" applyAlignment="1">
      <alignment horizontal="center" vertical="center" wrapText="1"/>
    </xf>
    <xf numFmtId="14" fontId="25" fillId="0" borderId="8" xfId="6" applyNumberFormat="1" applyBorder="1" applyAlignment="1">
      <alignment horizontal="center" vertical="center" wrapText="1"/>
    </xf>
    <xf numFmtId="9" fontId="25" fillId="0" borderId="8" xfId="6" applyNumberFormat="1" applyBorder="1" applyAlignment="1">
      <alignment horizontal="center" vertical="center" wrapText="1"/>
    </xf>
    <xf numFmtId="0" fontId="25" fillId="0" borderId="10" xfId="6" applyBorder="1" applyAlignment="1">
      <alignment horizontal="left" vertical="center" wrapText="1"/>
    </xf>
    <xf numFmtId="0" fontId="25" fillId="8" borderId="0" xfId="6" applyFill="1" applyAlignment="1">
      <alignment horizontal="center" vertical="center" wrapText="1"/>
    </xf>
    <xf numFmtId="0" fontId="25" fillId="8" borderId="0" xfId="6" applyFill="1" applyAlignment="1" applyProtection="1">
      <alignment horizontal="left" vertical="center" wrapText="1"/>
      <protection locked="0"/>
    </xf>
    <xf numFmtId="14" fontId="25" fillId="8" borderId="0" xfId="6" applyNumberFormat="1" applyFill="1" applyAlignment="1">
      <alignment horizontal="center" vertical="center" wrapText="1"/>
    </xf>
    <xf numFmtId="0" fontId="25" fillId="8" borderId="0" xfId="6" applyFill="1" applyAlignment="1">
      <alignment horizontal="left" vertical="center" wrapText="1"/>
    </xf>
    <xf numFmtId="0" fontId="42" fillId="8" borderId="0" xfId="6" applyFont="1" applyFill="1" applyAlignment="1">
      <alignment vertical="center" wrapText="1"/>
    </xf>
    <xf numFmtId="0" fontId="42" fillId="0" borderId="0" xfId="6" applyFont="1" applyAlignment="1">
      <alignment vertical="center" wrapText="1"/>
    </xf>
    <xf numFmtId="0" fontId="25" fillId="0" borderId="0" xfId="6" applyAlignment="1" applyProtection="1">
      <alignment horizontal="left" vertical="center" wrapText="1"/>
      <protection locked="0"/>
    </xf>
    <xf numFmtId="0" fontId="25" fillId="0" borderId="0" xfId="6" applyAlignment="1" applyProtection="1">
      <alignment horizontal="center" vertical="center" wrapText="1"/>
      <protection locked="0"/>
    </xf>
    <xf numFmtId="0" fontId="25" fillId="0" borderId="0" xfId="6" applyAlignment="1">
      <alignment horizontal="center" vertical="center" wrapText="1"/>
    </xf>
    <xf numFmtId="0" fontId="30" fillId="0" borderId="0" xfId="6" applyFont="1" applyAlignment="1">
      <alignment horizontal="left" vertical="center" wrapText="1"/>
    </xf>
    <xf numFmtId="0" fontId="30" fillId="0" borderId="0" xfId="6" applyFont="1" applyAlignment="1">
      <alignment horizontal="center" vertical="center"/>
    </xf>
    <xf numFmtId="0" fontId="30" fillId="0" borderId="0" xfId="6" applyFont="1" applyAlignment="1">
      <alignment vertical="center" wrapText="1"/>
    </xf>
    <xf numFmtId="0" fontId="25" fillId="0" borderId="5" xfId="6" applyBorder="1" applyAlignment="1">
      <alignment horizontal="left" vertical="center" wrapText="1"/>
    </xf>
    <xf numFmtId="0" fontId="25" fillId="0" borderId="11" xfId="6" applyBorder="1" applyAlignment="1">
      <alignment horizontal="left" vertical="center" wrapText="1"/>
    </xf>
    <xf numFmtId="0" fontId="25" fillId="0" borderId="4" xfId="6" applyBorder="1" applyAlignment="1" applyProtection="1">
      <alignment horizontal="left" vertical="center" wrapText="1"/>
      <protection locked="0"/>
    </xf>
    <xf numFmtId="0" fontId="25" fillId="0" borderId="4" xfId="6" applyBorder="1" applyAlignment="1">
      <alignment horizontal="left" vertical="center" wrapText="1"/>
    </xf>
    <xf numFmtId="0" fontId="25" fillId="0" borderId="7" xfId="6" applyBorder="1" applyAlignment="1">
      <alignment horizontal="left" vertical="center" wrapText="1"/>
    </xf>
    <xf numFmtId="0" fontId="30" fillId="7" borderId="0" xfId="6" applyFont="1" applyFill="1" applyAlignment="1">
      <alignment vertical="center"/>
    </xf>
    <xf numFmtId="0" fontId="30" fillId="7" borderId="34" xfId="6" applyFont="1" applyFill="1" applyBorder="1" applyAlignment="1">
      <alignment horizontal="center" vertical="center"/>
    </xf>
    <xf numFmtId="0" fontId="31" fillId="7" borderId="34" xfId="6" applyFont="1" applyFill="1" applyBorder="1" applyAlignment="1">
      <alignment horizontal="center" vertical="center"/>
    </xf>
    <xf numFmtId="0" fontId="30" fillId="7" borderId="34" xfId="6" applyFont="1" applyFill="1" applyBorder="1" applyAlignment="1">
      <alignment horizontal="left" vertical="center" wrapText="1"/>
    </xf>
    <xf numFmtId="0" fontId="25" fillId="0" borderId="0" xfId="6"/>
    <xf numFmtId="0" fontId="30" fillId="7" borderId="0" xfId="6" applyFont="1" applyFill="1" applyAlignment="1">
      <alignment horizontal="center" vertical="center"/>
    </xf>
    <xf numFmtId="0" fontId="33" fillId="7" borderId="0" xfId="6" applyFont="1" applyFill="1" applyAlignment="1">
      <alignment vertical="center"/>
    </xf>
    <xf numFmtId="0" fontId="34" fillId="7" borderId="0" xfId="6" applyFont="1" applyFill="1" applyAlignment="1">
      <alignment horizontal="right" vertical="center"/>
    </xf>
    <xf numFmtId="0" fontId="19" fillId="7" borderId="0" xfId="6" applyFont="1" applyFill="1" applyAlignment="1">
      <alignment horizontal="left" vertical="center" wrapText="1"/>
    </xf>
    <xf numFmtId="0" fontId="20" fillId="7" borderId="0" xfId="6" applyFont="1" applyFill="1" applyAlignment="1">
      <alignment horizontal="left" vertical="center" wrapText="1"/>
    </xf>
    <xf numFmtId="0" fontId="37" fillId="7" borderId="0" xfId="6" applyFont="1" applyFill="1" applyAlignment="1">
      <alignment horizontal="left" vertical="center"/>
    </xf>
    <xf numFmtId="0" fontId="33" fillId="7" borderId="0" xfId="6" applyFont="1" applyFill="1" applyAlignment="1">
      <alignment horizontal="left" vertical="center" wrapText="1"/>
    </xf>
    <xf numFmtId="0" fontId="33" fillId="7" borderId="0" xfId="6" applyFont="1" applyFill="1" applyAlignment="1">
      <alignment horizontal="right" vertical="center"/>
    </xf>
    <xf numFmtId="0" fontId="34" fillId="7" borderId="0" xfId="6" applyFont="1" applyFill="1" applyAlignment="1">
      <alignment horizontal="center" vertical="center"/>
    </xf>
    <xf numFmtId="0" fontId="23" fillId="7" borderId="0" xfId="6" applyFont="1" applyFill="1" applyAlignment="1">
      <alignment horizontal="left" vertical="center" wrapText="1"/>
    </xf>
    <xf numFmtId="0" fontId="38" fillId="7" borderId="0" xfId="6" applyFont="1" applyFill="1" applyAlignment="1">
      <alignment horizontal="left" vertical="center" wrapText="1"/>
    </xf>
    <xf numFmtId="0" fontId="37" fillId="7" borderId="0" xfId="6" applyFont="1" applyFill="1" applyAlignment="1">
      <alignment vertical="center" wrapText="1"/>
    </xf>
    <xf numFmtId="0" fontId="37" fillId="7" borderId="0" xfId="6" applyFont="1" applyFill="1" applyAlignment="1">
      <alignment vertical="center"/>
    </xf>
    <xf numFmtId="0" fontId="40" fillId="7" borderId="0" xfId="6" applyFont="1" applyFill="1" applyAlignment="1">
      <alignment vertical="center" wrapText="1"/>
    </xf>
    <xf numFmtId="0" fontId="40" fillId="7" borderId="0" xfId="6" applyFont="1" applyFill="1" applyAlignment="1">
      <alignment vertical="center"/>
    </xf>
    <xf numFmtId="0" fontId="30" fillId="7" borderId="0" xfId="6" applyFont="1" applyFill="1" applyAlignment="1">
      <alignment horizontal="left" vertical="center" wrapText="1"/>
    </xf>
    <xf numFmtId="0" fontId="9" fillId="7" borderId="0" xfId="6" applyFont="1" applyFill="1" applyAlignment="1">
      <alignment vertical="center"/>
    </xf>
    <xf numFmtId="0" fontId="9" fillId="0" borderId="14" xfId="6" applyFont="1" applyBorder="1" applyAlignment="1">
      <alignment horizontal="center" vertical="center" wrapText="1"/>
    </xf>
    <xf numFmtId="0" fontId="9" fillId="0" borderId="5" xfId="6" applyFont="1" applyBorder="1" applyAlignment="1">
      <alignment horizontal="center" vertical="center" wrapText="1"/>
    </xf>
    <xf numFmtId="9" fontId="9" fillId="0" borderId="5" xfId="6" applyNumberFormat="1" applyFont="1" applyBorder="1" applyAlignment="1">
      <alignment horizontal="center" vertical="center" wrapText="1"/>
    </xf>
    <xf numFmtId="14" fontId="9" fillId="0" borderId="5" xfId="6" applyNumberFormat="1" applyFont="1" applyBorder="1" applyAlignment="1">
      <alignment horizontal="center" vertical="center" wrapText="1"/>
    </xf>
    <xf numFmtId="0" fontId="9" fillId="0" borderId="11" xfId="6" applyFont="1" applyBorder="1" applyAlignment="1">
      <alignment horizontal="center" vertical="center" wrapText="1"/>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9" fontId="9" fillId="0" borderId="4" xfId="6" applyNumberFormat="1" applyFont="1" applyBorder="1" applyAlignment="1">
      <alignment horizontal="center" vertical="center" wrapText="1"/>
    </xf>
    <xf numFmtId="0" fontId="9" fillId="0" borderId="7" xfId="6" applyFont="1" applyBorder="1" applyAlignment="1">
      <alignment horizontal="center" vertical="center" wrapText="1"/>
    </xf>
    <xf numFmtId="0" fontId="9" fillId="0" borderId="9" xfId="6" applyFont="1" applyBorder="1" applyAlignment="1">
      <alignment horizontal="center" vertical="center" wrapText="1"/>
    </xf>
    <xf numFmtId="0" fontId="9" fillId="0" borderId="8" xfId="6" applyFont="1" applyBorder="1" applyAlignment="1">
      <alignment horizontal="center" vertical="center" wrapText="1"/>
    </xf>
    <xf numFmtId="14" fontId="9" fillId="0" borderId="8" xfId="6" applyNumberFormat="1" applyFont="1" applyBorder="1" applyAlignment="1">
      <alignment horizontal="center" vertical="center" wrapText="1"/>
    </xf>
    <xf numFmtId="0" fontId="9" fillId="0" borderId="10" xfId="6" applyFont="1" applyBorder="1" applyAlignment="1">
      <alignment horizontal="left" vertical="center" wrapText="1"/>
    </xf>
    <xf numFmtId="0" fontId="9" fillId="7" borderId="0" xfId="6" applyFont="1" applyFill="1" applyAlignment="1">
      <alignment horizontal="center" vertical="center" wrapText="1"/>
    </xf>
    <xf numFmtId="0" fontId="9" fillId="7" borderId="0" xfId="6" applyFont="1" applyFill="1" applyAlignment="1">
      <alignment horizontal="left" vertical="center" wrapText="1"/>
    </xf>
    <xf numFmtId="14" fontId="9" fillId="7" borderId="0" xfId="6" applyNumberFormat="1" applyFont="1" applyFill="1" applyAlignment="1">
      <alignment horizontal="center" vertical="center" wrapText="1"/>
    </xf>
    <xf numFmtId="0" fontId="42" fillId="7" borderId="0" xfId="6" applyFont="1" applyFill="1" applyAlignment="1">
      <alignment vertical="center" wrapText="1"/>
    </xf>
    <xf numFmtId="0" fontId="9" fillId="0" borderId="0" xfId="6" applyFont="1" applyAlignment="1">
      <alignment horizontal="left" vertical="center" wrapText="1"/>
    </xf>
    <xf numFmtId="0" fontId="9" fillId="0" borderId="0" xfId="6" applyFont="1" applyAlignment="1">
      <alignment horizontal="center" vertical="center" wrapText="1"/>
    </xf>
    <xf numFmtId="0" fontId="9" fillId="0" borderId="0" xfId="6" applyFont="1" applyAlignment="1">
      <alignment vertical="center"/>
    </xf>
    <xf numFmtId="0" fontId="1" fillId="0" borderId="5" xfId="0" applyFont="1" applyBorder="1" applyAlignment="1">
      <alignment horizontal="center" vertical="center" wrapText="1"/>
    </xf>
    <xf numFmtId="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42" fillId="10" borderId="39" xfId="5" applyFont="1" applyFill="1" applyBorder="1" applyAlignment="1">
      <alignment horizontal="center" vertical="center" wrapText="1"/>
    </xf>
    <xf numFmtId="0" fontId="42" fillId="10" borderId="63" xfId="5" applyFont="1" applyFill="1" applyBorder="1" applyAlignment="1">
      <alignment horizontal="center" vertical="center" wrapText="1"/>
    </xf>
    <xf numFmtId="0" fontId="13" fillId="0" borderId="0" xfId="5" applyAlignment="1"/>
    <xf numFmtId="0" fontId="14" fillId="5" borderId="0" xfId="5" applyFont="1" applyFill="1" applyBorder="1" applyAlignment="1">
      <alignment horizontal="center" vertical="center"/>
    </xf>
    <xf numFmtId="0" fontId="4" fillId="5" borderId="0" xfId="5" applyFont="1" applyFill="1" applyBorder="1" applyAlignment="1">
      <alignment horizontal="center" vertical="center"/>
    </xf>
    <xf numFmtId="0" fontId="13" fillId="0" borderId="0" xfId="5" applyBorder="1"/>
    <xf numFmtId="0" fontId="1" fillId="5" borderId="0" xfId="5" applyFont="1" applyFill="1" applyBorder="1" applyAlignment="1">
      <alignment horizontal="left" vertical="center" wrapText="1"/>
    </xf>
    <xf numFmtId="0" fontId="25" fillId="5" borderId="89" xfId="5" applyFont="1" applyFill="1" applyBorder="1" applyAlignment="1">
      <alignment horizontal="center" vertical="center" wrapText="1"/>
    </xf>
    <xf numFmtId="166" fontId="25" fillId="5" borderId="90" xfId="5" applyNumberFormat="1" applyFont="1" applyFill="1" applyBorder="1" applyAlignment="1">
      <alignment horizontal="center" vertical="center" wrapText="1"/>
    </xf>
    <xf numFmtId="0" fontId="25" fillId="5" borderId="90" xfId="5" applyFont="1" applyFill="1" applyBorder="1" applyAlignment="1">
      <alignment horizontal="center" vertical="center" wrapText="1"/>
    </xf>
    <xf numFmtId="0" fontId="25" fillId="5" borderId="91" xfId="5" applyFont="1" applyFill="1" applyBorder="1" applyAlignment="1">
      <alignment horizontal="center" vertical="center" wrapText="1"/>
    </xf>
    <xf numFmtId="0" fontId="25" fillId="5" borderId="94" xfId="5" applyFont="1" applyFill="1" applyBorder="1" applyAlignment="1">
      <alignment horizontal="center" vertical="center" wrapText="1"/>
    </xf>
    <xf numFmtId="0" fontId="42" fillId="10" borderId="87" xfId="5" applyFont="1" applyFill="1" applyBorder="1" applyAlignment="1">
      <alignment horizontal="center" vertical="center" wrapText="1"/>
    </xf>
    <xf numFmtId="0" fontId="42" fillId="10" borderId="88" xfId="5" applyFont="1" applyFill="1" applyBorder="1" applyAlignment="1">
      <alignment horizontal="center" vertical="center" wrapText="1"/>
    </xf>
    <xf numFmtId="0" fontId="21" fillId="5" borderId="0" xfId="5" applyFont="1" applyFill="1" applyBorder="1" applyAlignment="1">
      <alignment horizontal="left" vertical="center"/>
    </xf>
    <xf numFmtId="0" fontId="23" fillId="5" borderId="0" xfId="5" applyFont="1" applyFill="1" applyBorder="1" applyAlignment="1">
      <alignment horizontal="left" vertical="center" wrapText="1"/>
    </xf>
    <xf numFmtId="0" fontId="22" fillId="5" borderId="0" xfId="5" applyFont="1" applyFill="1" applyBorder="1" applyAlignment="1">
      <alignment horizontal="left" vertical="center" wrapText="1"/>
    </xf>
    <xf numFmtId="0" fontId="21" fillId="5" borderId="0" xfId="5" applyFont="1" applyFill="1" applyBorder="1" applyAlignment="1">
      <alignment vertical="center"/>
    </xf>
    <xf numFmtId="0" fontId="13" fillId="0" borderId="0" xfId="5" applyBorder="1" applyAlignment="1"/>
    <xf numFmtId="0" fontId="42" fillId="11" borderId="53" xfId="5" applyFont="1" applyFill="1" applyBorder="1" applyAlignment="1">
      <alignment vertical="center" wrapText="1"/>
    </xf>
    <xf numFmtId="0" fontId="42" fillId="11" borderId="59" xfId="5" applyFont="1" applyFill="1" applyBorder="1" applyAlignment="1">
      <alignment horizontal="center" vertical="center" wrapText="1"/>
    </xf>
    <xf numFmtId="10" fontId="42" fillId="12" borderId="59" xfId="5" applyNumberFormat="1" applyFont="1" applyFill="1" applyBorder="1" applyAlignment="1">
      <alignment horizontal="center" vertical="center" wrapText="1"/>
    </xf>
    <xf numFmtId="0" fontId="42" fillId="2" borderId="4" xfId="6" applyFont="1" applyFill="1" applyBorder="1" applyAlignment="1">
      <alignment vertical="center" wrapText="1"/>
    </xf>
    <xf numFmtId="0" fontId="42" fillId="2" borderId="8" xfId="6" applyFont="1" applyFill="1" applyBorder="1" applyAlignment="1">
      <alignment horizontal="center" vertical="center" wrapText="1"/>
    </xf>
    <xf numFmtId="10" fontId="42" fillId="2" borderId="8" xfId="7" applyNumberFormat="1" applyFont="1" applyFill="1" applyBorder="1" applyAlignment="1" applyProtection="1">
      <alignment horizontal="center" vertical="center" wrapText="1"/>
    </xf>
    <xf numFmtId="0" fontId="42" fillId="2" borderId="4" xfId="6" applyFont="1" applyFill="1" applyBorder="1" applyAlignment="1">
      <alignment horizontal="center" vertical="center" wrapText="1"/>
    </xf>
    <xf numFmtId="0" fontId="25" fillId="0" borderId="16" xfId="6" applyBorder="1" applyAlignment="1">
      <alignment horizontal="center" vertical="center" wrapText="1"/>
    </xf>
    <xf numFmtId="0" fontId="25" fillId="0" borderId="17" xfId="6" applyBorder="1" applyAlignment="1">
      <alignment horizontal="left" vertical="center" wrapText="1"/>
    </xf>
    <xf numFmtId="0" fontId="25" fillId="0" borderId="17" xfId="6" applyBorder="1" applyAlignment="1">
      <alignment horizontal="center" vertical="center" wrapText="1"/>
    </xf>
    <xf numFmtId="9" fontId="25" fillId="0" borderId="17" xfId="6" applyNumberFormat="1" applyBorder="1" applyAlignment="1">
      <alignment horizontal="center" vertical="center" wrapText="1"/>
    </xf>
    <xf numFmtId="14" fontId="25" fillId="0" borderId="17" xfId="6" applyNumberFormat="1" applyBorder="1" applyAlignment="1">
      <alignment horizontal="center" vertical="center" wrapText="1"/>
    </xf>
    <xf numFmtId="0" fontId="25" fillId="0" borderId="18" xfId="6" applyBorder="1" applyAlignment="1">
      <alignment horizontal="left" vertical="center" wrapText="1"/>
    </xf>
    <xf numFmtId="14" fontId="25" fillId="0" borderId="27" xfId="6" applyNumberFormat="1" applyBorder="1" applyAlignment="1">
      <alignment horizontal="center" vertical="center" wrapText="1"/>
    </xf>
    <xf numFmtId="0" fontId="42" fillId="13" borderId="4" xfId="6" applyFont="1" applyFill="1" applyBorder="1" applyAlignment="1">
      <alignment horizontal="center" vertical="center" wrapText="1"/>
    </xf>
    <xf numFmtId="0" fontId="42" fillId="13" borderId="8" xfId="6" applyFont="1" applyFill="1" applyBorder="1" applyAlignment="1">
      <alignment horizontal="center" vertical="center" wrapText="1"/>
    </xf>
    <xf numFmtId="10" fontId="42" fillId="13" borderId="8" xfId="6" applyNumberFormat="1" applyFont="1" applyFill="1" applyBorder="1" applyAlignment="1">
      <alignment horizontal="center" vertical="center" wrapText="1"/>
    </xf>
    <xf numFmtId="0" fontId="9" fillId="8" borderId="0" xfId="6" applyFont="1" applyFill="1" applyAlignment="1">
      <alignment vertical="center"/>
    </xf>
    <xf numFmtId="0" fontId="9" fillId="8" borderId="0" xfId="6" applyFont="1" applyFill="1" applyAlignment="1">
      <alignment horizontal="left" vertical="center"/>
    </xf>
    <xf numFmtId="0" fontId="42" fillId="8" borderId="0" xfId="6" applyFont="1" applyFill="1" applyAlignment="1">
      <alignment horizontal="center" vertical="center"/>
    </xf>
    <xf numFmtId="0" fontId="9" fillId="8" borderId="103" xfId="8" applyFill="1" applyBorder="1" applyAlignment="1">
      <alignment horizontal="center" vertical="center"/>
    </xf>
    <xf numFmtId="0" fontId="9" fillId="8" borderId="0" xfId="8" applyFill="1" applyAlignment="1">
      <alignment horizontal="left" vertical="center"/>
    </xf>
    <xf numFmtId="0" fontId="48" fillId="8" borderId="0" xfId="8" applyFont="1" applyFill="1" applyAlignment="1">
      <alignment horizontal="left" vertical="center" wrapText="1"/>
    </xf>
    <xf numFmtId="0" fontId="48" fillId="8" borderId="0" xfId="8" applyFont="1" applyFill="1" applyAlignment="1">
      <alignment horizontal="center" vertical="center" wrapText="1"/>
    </xf>
    <xf numFmtId="0" fontId="9" fillId="8" borderId="0" xfId="8" applyFill="1" applyAlignment="1">
      <alignment horizontal="center" vertical="center"/>
    </xf>
    <xf numFmtId="0" fontId="42" fillId="8" borderId="0" xfId="8" applyFont="1" applyFill="1" applyAlignment="1">
      <alignment vertical="center" wrapText="1"/>
    </xf>
    <xf numFmtId="0" fontId="42" fillId="8" borderId="0" xfId="8" applyFont="1" applyFill="1" applyAlignment="1">
      <alignment horizontal="left" vertical="center" wrapText="1"/>
    </xf>
    <xf numFmtId="0" fontId="9" fillId="8" borderId="0" xfId="8" applyFill="1" applyAlignment="1">
      <alignment horizontal="left" vertical="center" wrapText="1"/>
    </xf>
    <xf numFmtId="0" fontId="9" fillId="8" borderId="0" xfId="8" applyFill="1" applyAlignment="1">
      <alignment horizontal="center" vertical="center" wrapText="1"/>
    </xf>
    <xf numFmtId="0" fontId="9" fillId="8" borderId="0" xfId="8" applyFill="1" applyAlignment="1" applyProtection="1">
      <alignment horizontal="left" vertical="center" wrapText="1"/>
      <protection locked="0"/>
    </xf>
    <xf numFmtId="0" fontId="9" fillId="8" borderId="0" xfId="8" applyFill="1" applyAlignment="1" applyProtection="1">
      <alignment horizontal="center" vertical="center" wrapText="1"/>
      <protection locked="0"/>
    </xf>
    <xf numFmtId="0" fontId="9" fillId="0" borderId="0" xfId="8" applyAlignment="1">
      <alignment horizontal="center" vertical="center" wrapText="1"/>
    </xf>
    <xf numFmtId="0" fontId="9" fillId="0" borderId="0" xfId="8" applyAlignment="1">
      <alignment horizontal="center" vertical="center"/>
    </xf>
    <xf numFmtId="0" fontId="9" fillId="0" borderId="0" xfId="8" applyAlignment="1">
      <alignment horizontal="left" vertical="center"/>
    </xf>
    <xf numFmtId="0" fontId="9" fillId="0" borderId="0" xfId="8" applyAlignment="1">
      <alignment horizontal="left" vertical="center" wrapText="1"/>
    </xf>
    <xf numFmtId="0" fontId="9" fillId="0" borderId="0" xfId="8" applyAlignment="1">
      <alignment vertical="center"/>
    </xf>
    <xf numFmtId="0" fontId="2" fillId="0" borderId="16" xfId="0" applyFont="1" applyBorder="1" applyAlignment="1">
      <alignment vertical="center"/>
    </xf>
    <xf numFmtId="0" fontId="2" fillId="0" borderId="9" xfId="0" applyFont="1" applyBorder="1" applyAlignment="1">
      <alignment vertical="center"/>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10"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58" xfId="0" applyFont="1" applyBorder="1" applyAlignment="1">
      <alignment horizontal="left" vertical="center" wrapText="1"/>
    </xf>
    <xf numFmtId="0" fontId="1" fillId="5" borderId="53" xfId="0" applyFont="1" applyFill="1" applyBorder="1" applyAlignment="1">
      <alignment horizontal="center" vertical="center" wrapText="1"/>
    </xf>
    <xf numFmtId="9" fontId="1" fillId="5" borderId="53" xfId="0" applyNumberFormat="1" applyFont="1" applyFill="1" applyBorder="1" applyAlignment="1">
      <alignment horizontal="center" vertical="center" wrapText="1"/>
    </xf>
    <xf numFmtId="0" fontId="47" fillId="8" borderId="0" xfId="6" applyFont="1" applyFill="1" applyAlignment="1">
      <alignment horizontal="left" vertical="center" wrapText="1"/>
    </xf>
    <xf numFmtId="0" fontId="41" fillId="9" borderId="23" xfId="6" applyFont="1" applyFill="1" applyBorder="1" applyAlignment="1">
      <alignment horizontal="center" vertical="center" wrapText="1"/>
    </xf>
    <xf numFmtId="0" fontId="41" fillId="9" borderId="26" xfId="6" applyFont="1" applyFill="1" applyBorder="1" applyAlignment="1">
      <alignment horizontal="center" vertical="center" wrapText="1"/>
    </xf>
    <xf numFmtId="0" fontId="41" fillId="9" borderId="28" xfId="6" applyFont="1" applyFill="1" applyBorder="1" applyAlignment="1">
      <alignment horizontal="center" vertical="center" wrapText="1"/>
    </xf>
    <xf numFmtId="10" fontId="41" fillId="14" borderId="106" xfId="6" applyNumberFormat="1" applyFont="1" applyFill="1" applyBorder="1" applyAlignment="1">
      <alignment horizontal="center" vertical="center" wrapText="1"/>
    </xf>
    <xf numFmtId="0" fontId="9" fillId="0" borderId="16" xfId="8" applyBorder="1" applyAlignment="1">
      <alignment horizontal="center" vertical="center" wrapText="1"/>
    </xf>
    <xf numFmtId="0" fontId="42" fillId="0" borderId="17" xfId="8" applyFont="1" applyBorder="1" applyAlignment="1">
      <alignment horizontal="left" vertical="center" wrapText="1"/>
    </xf>
    <xf numFmtId="0" fontId="42" fillId="0" borderId="17" xfId="8" applyFont="1" applyBorder="1" applyAlignment="1" applyProtection="1">
      <alignment horizontal="center" vertical="center" wrapText="1"/>
      <protection locked="0"/>
    </xf>
    <xf numFmtId="9" fontId="2" fillId="0" borderId="18" xfId="9" applyFont="1" applyFill="1" applyBorder="1" applyAlignment="1" applyProtection="1">
      <alignment horizontal="center" vertical="center" wrapText="1"/>
    </xf>
    <xf numFmtId="14" fontId="2" fillId="0" borderId="16" xfId="9" applyNumberFormat="1" applyFont="1" applyFill="1" applyBorder="1" applyAlignment="1" applyProtection="1">
      <alignment horizontal="center" vertical="center" wrapText="1"/>
    </xf>
    <xf numFmtId="14" fontId="2" fillId="0" borderId="18" xfId="9" applyNumberFormat="1" applyFont="1" applyFill="1" applyBorder="1" applyAlignment="1" applyProtection="1">
      <alignment horizontal="center" vertical="center" wrapText="1"/>
    </xf>
    <xf numFmtId="0" fontId="42" fillId="0" borderId="6" xfId="8" applyFont="1" applyBorder="1" applyAlignment="1">
      <alignment horizontal="center" vertical="center" wrapText="1"/>
    </xf>
    <xf numFmtId="0" fontId="42" fillId="0" borderId="4" xfId="8" applyFont="1" applyBorder="1" applyAlignment="1">
      <alignment horizontal="left" vertical="center" wrapText="1"/>
    </xf>
    <xf numFmtId="0" fontId="42" fillId="0" borderId="4" xfId="8" applyFont="1" applyBorder="1" applyAlignment="1" applyProtection="1">
      <alignment horizontal="center" vertical="center" wrapText="1"/>
      <protection locked="0"/>
    </xf>
    <xf numFmtId="9" fontId="2" fillId="0" borderId="7" xfId="9" applyFont="1" applyFill="1" applyBorder="1" applyAlignment="1" applyProtection="1">
      <alignment horizontal="center" vertical="center" wrapText="1"/>
    </xf>
    <xf numFmtId="14" fontId="42" fillId="0" borderId="6" xfId="9" applyNumberFormat="1" applyFont="1" applyFill="1" applyBorder="1" applyAlignment="1" applyProtection="1">
      <alignment horizontal="center" vertical="center" wrapText="1"/>
    </xf>
    <xf numFmtId="14" fontId="42" fillId="0" borderId="7" xfId="9" applyNumberFormat="1" applyFont="1" applyFill="1" applyBorder="1" applyAlignment="1" applyProtection="1">
      <alignment horizontal="center" vertical="center" wrapText="1"/>
    </xf>
    <xf numFmtId="0" fontId="42" fillId="15" borderId="6" xfId="8" applyFont="1" applyFill="1" applyBorder="1" applyAlignment="1">
      <alignment horizontal="center" vertical="center" wrapText="1"/>
    </xf>
    <xf numFmtId="0" fontId="42" fillId="15" borderId="4" xfId="8" applyFont="1" applyFill="1" applyBorder="1" applyAlignment="1" applyProtection="1">
      <alignment horizontal="left" vertical="center" wrapText="1"/>
      <protection locked="0"/>
    </xf>
    <xf numFmtId="0" fontId="42" fillId="15" borderId="4" xfId="8" applyFont="1" applyFill="1" applyBorder="1" applyAlignment="1" applyProtection="1">
      <alignment horizontal="center" vertical="center" wrapText="1"/>
      <protection locked="0"/>
    </xf>
    <xf numFmtId="9" fontId="2" fillId="15" borderId="7" xfId="9" applyFont="1" applyFill="1" applyBorder="1" applyAlignment="1" applyProtection="1">
      <alignment horizontal="center" vertical="center" wrapText="1"/>
    </xf>
    <xf numFmtId="14" fontId="42" fillId="15" borderId="6" xfId="9" applyNumberFormat="1" applyFont="1" applyFill="1" applyBorder="1" applyAlignment="1" applyProtection="1">
      <alignment horizontal="center" vertical="center" wrapText="1"/>
    </xf>
    <xf numFmtId="14" fontId="42" fillId="15" borderId="7" xfId="9" applyNumberFormat="1" applyFont="1" applyFill="1" applyBorder="1" applyAlignment="1" applyProtection="1">
      <alignment horizontal="center" vertical="center" wrapText="1"/>
    </xf>
    <xf numFmtId="0" fontId="49" fillId="0" borderId="6" xfId="8" applyFont="1" applyBorder="1" applyAlignment="1">
      <alignment horizontal="center" vertical="center" wrapText="1"/>
    </xf>
    <xf numFmtId="0" fontId="49" fillId="0" borderId="4" xfId="8" applyFont="1" applyBorder="1" applyAlignment="1">
      <alignment horizontal="left" vertical="center" wrapText="1"/>
    </xf>
    <xf numFmtId="0" fontId="1" fillId="0" borderId="4" xfId="8" applyFont="1" applyBorder="1" applyAlignment="1">
      <alignment horizontal="left" vertical="center" wrapText="1"/>
    </xf>
    <xf numFmtId="0" fontId="49" fillId="0" borderId="4" xfId="8" applyFont="1" applyBorder="1" applyAlignment="1" applyProtection="1">
      <alignment horizontal="left" vertical="center" wrapText="1"/>
      <protection locked="0"/>
    </xf>
    <xf numFmtId="9" fontId="49" fillId="0" borderId="4" xfId="8" applyNumberFormat="1" applyFont="1" applyBorder="1" applyAlignment="1" applyProtection="1">
      <alignment horizontal="center" vertical="center" wrapText="1"/>
      <protection locked="0"/>
    </xf>
    <xf numFmtId="9" fontId="49" fillId="0" borderId="7" xfId="9" applyFont="1" applyFill="1" applyBorder="1" applyAlignment="1" applyProtection="1">
      <alignment horizontal="center" vertical="center" wrapText="1"/>
    </xf>
    <xf numFmtId="14" fontId="49" fillId="0" borderId="6" xfId="9" applyNumberFormat="1" applyFont="1" applyFill="1" applyBorder="1" applyAlignment="1" applyProtection="1">
      <alignment horizontal="center" vertical="center" wrapText="1"/>
    </xf>
    <xf numFmtId="14" fontId="49" fillId="0" borderId="7" xfId="9" applyNumberFormat="1" applyFont="1" applyFill="1" applyBorder="1" applyAlignment="1" applyProtection="1">
      <alignment horizontal="center" vertical="center" wrapText="1"/>
    </xf>
    <xf numFmtId="0" fontId="49" fillId="0" borderId="4" xfId="8" applyFont="1" applyBorder="1" applyAlignment="1" applyProtection="1">
      <alignment horizontal="center" vertical="center" wrapText="1"/>
      <protection locked="0"/>
    </xf>
    <xf numFmtId="0" fontId="1" fillId="0" borderId="4" xfId="0" applyFont="1" applyBorder="1" applyAlignment="1">
      <alignment vertical="center" wrapText="1"/>
    </xf>
    <xf numFmtId="0" fontId="42" fillId="0" borderId="0" xfId="8" applyFont="1" applyAlignment="1">
      <alignment vertical="center"/>
    </xf>
    <xf numFmtId="2" fontId="49" fillId="0" borderId="6" xfId="8" applyNumberFormat="1" applyFont="1" applyBorder="1" applyAlignment="1">
      <alignment horizontal="center" vertical="center" wrapText="1"/>
    </xf>
    <xf numFmtId="0" fontId="49" fillId="0" borderId="4" xfId="8" applyFont="1" applyBorder="1" applyAlignment="1" applyProtection="1">
      <alignment horizontal="center" vertical="top" wrapText="1"/>
      <protection locked="0"/>
    </xf>
    <xf numFmtId="9" fontId="42" fillId="15" borderId="7" xfId="9" applyFont="1" applyFill="1" applyBorder="1" applyAlignment="1" applyProtection="1">
      <alignment horizontal="center" vertical="center" wrapText="1"/>
    </xf>
    <xf numFmtId="0" fontId="49" fillId="8" borderId="4" xfId="8" applyFont="1" applyFill="1" applyBorder="1" applyAlignment="1">
      <alignment horizontal="left" vertical="center" wrapText="1"/>
    </xf>
    <xf numFmtId="0" fontId="9" fillId="0" borderId="4" xfId="8" applyBorder="1" applyAlignment="1">
      <alignment horizontal="left" vertical="center" wrapText="1"/>
    </xf>
    <xf numFmtId="0" fontId="49" fillId="8" borderId="4" xfId="8" applyFont="1" applyFill="1" applyBorder="1" applyAlignment="1" applyProtection="1">
      <alignment horizontal="left" vertical="center" wrapText="1"/>
      <protection locked="0"/>
    </xf>
    <xf numFmtId="0" fontId="49" fillId="8" borderId="4" xfId="8" applyFont="1" applyFill="1" applyBorder="1" applyAlignment="1" applyProtection="1">
      <alignment horizontal="center" vertical="center" wrapText="1"/>
      <protection locked="0"/>
    </xf>
    <xf numFmtId="9" fontId="49" fillId="8" borderId="7" xfId="9" applyFont="1" applyFill="1" applyBorder="1" applyAlignment="1" applyProtection="1">
      <alignment horizontal="center" vertical="center" wrapText="1"/>
    </xf>
    <xf numFmtId="0" fontId="49" fillId="0" borderId="9" xfId="8" applyFont="1" applyBorder="1" applyAlignment="1">
      <alignment horizontal="center" vertical="center" wrapText="1"/>
    </xf>
    <xf numFmtId="0" fontId="49" fillId="0" borderId="8" xfId="8" applyFont="1" applyBorder="1" applyAlignment="1">
      <alignment horizontal="left" vertical="center" wrapText="1"/>
    </xf>
    <xf numFmtId="0" fontId="1" fillId="0" borderId="8" xfId="0" applyFont="1" applyBorder="1" applyAlignment="1">
      <alignment vertical="center" wrapText="1"/>
    </xf>
    <xf numFmtId="0" fontId="49" fillId="0" borderId="8" xfId="8" applyFont="1" applyBorder="1" applyAlignment="1" applyProtection="1">
      <alignment horizontal="left" vertical="center" wrapText="1"/>
      <protection locked="0"/>
    </xf>
    <xf numFmtId="0" fontId="49" fillId="0" borderId="8" xfId="8" applyFont="1" applyBorder="1" applyAlignment="1" applyProtection="1">
      <alignment horizontal="center" vertical="center" wrapText="1"/>
      <protection locked="0"/>
    </xf>
    <xf numFmtId="9" fontId="49" fillId="0" borderId="10" xfId="9" applyFont="1" applyFill="1" applyBorder="1" applyAlignment="1" applyProtection="1">
      <alignment horizontal="center" vertical="center" wrapText="1"/>
    </xf>
    <xf numFmtId="14" fontId="49" fillId="0" borderId="9" xfId="9" applyNumberFormat="1" applyFont="1" applyFill="1" applyBorder="1" applyAlignment="1" applyProtection="1">
      <alignment horizontal="center" vertical="center" wrapText="1"/>
    </xf>
    <xf numFmtId="14" fontId="49" fillId="0" borderId="10" xfId="9" applyNumberFormat="1" applyFont="1" applyFill="1" applyBorder="1" applyAlignment="1" applyProtection="1">
      <alignment horizontal="center" vertical="center" wrapText="1"/>
    </xf>
    <xf numFmtId="0" fontId="42" fillId="0" borderId="0" xfId="8" applyFont="1" applyAlignment="1">
      <alignment vertical="center" wrapText="1"/>
    </xf>
    <xf numFmtId="0" fontId="42" fillId="0" borderId="0" xfId="8" applyFont="1" applyAlignment="1">
      <alignment horizontal="left" vertical="center" wrapText="1"/>
    </xf>
    <xf numFmtId="10" fontId="2" fillId="0" borderId="23" xfId="2" applyNumberFormat="1" applyFont="1" applyFill="1" applyBorder="1" applyAlignment="1" applyProtection="1">
      <alignment horizontal="center" vertical="center" wrapText="1"/>
    </xf>
    <xf numFmtId="10" fontId="42" fillId="0" borderId="24" xfId="2" applyNumberFormat="1" applyFont="1" applyFill="1" applyBorder="1" applyAlignment="1" applyProtection="1">
      <alignment horizontal="center" vertical="center" wrapText="1"/>
    </xf>
    <xf numFmtId="10" fontId="42" fillId="15" borderId="24" xfId="2" applyNumberFormat="1" applyFont="1" applyFill="1" applyBorder="1" applyAlignment="1" applyProtection="1">
      <alignment horizontal="center" vertical="center" wrapText="1"/>
    </xf>
    <xf numFmtId="10" fontId="49" fillId="0" borderId="24" xfId="2" applyNumberFormat="1" applyFont="1" applyFill="1" applyBorder="1" applyAlignment="1" applyProtection="1">
      <alignment horizontal="center" vertical="center" wrapText="1"/>
    </xf>
    <xf numFmtId="10" fontId="49" fillId="0" borderId="25" xfId="2" applyNumberFormat="1" applyFont="1" applyFill="1" applyBorder="1" applyAlignment="1" applyProtection="1">
      <alignment horizontal="center"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 fillId="0" borderId="6" xfId="3" applyFont="1" applyFill="1" applyBorder="1" applyAlignment="1">
      <alignment horizontal="left" vertical="center" wrapText="1"/>
    </xf>
    <xf numFmtId="0" fontId="1" fillId="0" borderId="4" xfId="3" applyFont="1" applyFill="1" applyBorder="1" applyAlignment="1">
      <alignment horizontal="left" vertical="center" wrapText="1"/>
    </xf>
    <xf numFmtId="0" fontId="9" fillId="8" borderId="4" xfId="0" applyFont="1" applyFill="1" applyBorder="1" applyAlignment="1">
      <alignment horizontal="left" vertical="center" wrapText="1"/>
    </xf>
    <xf numFmtId="0" fontId="1" fillId="0" borderId="0" xfId="0" applyFont="1" applyBorder="1" applyAlignment="1">
      <alignment horizontal="center"/>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82" xfId="0" applyFont="1" applyFill="1" applyBorder="1" applyAlignment="1">
      <alignment horizontal="center" vertical="center" wrapText="1"/>
    </xf>
    <xf numFmtId="0" fontId="1" fillId="0" borderId="0" xfId="0" applyFont="1" applyAlignment="1">
      <alignment vertical="center"/>
    </xf>
    <xf numFmtId="0" fontId="2" fillId="16" borderId="19" xfId="0" applyFont="1" applyFill="1" applyBorder="1" applyAlignment="1">
      <alignment horizontal="center" vertical="center"/>
    </xf>
    <xf numFmtId="0" fontId="1" fillId="0" borderId="21" xfId="0" applyFont="1" applyBorder="1" applyAlignment="1">
      <alignment horizontal="center" vertical="center"/>
    </xf>
    <xf numFmtId="0" fontId="2" fillId="16" borderId="19" xfId="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vertical="center" wrapText="1"/>
    </xf>
    <xf numFmtId="0" fontId="1" fillId="0" borderId="0" xfId="0" applyFont="1" applyAlignment="1">
      <alignment horizontal="left" vertical="center" wrapText="1"/>
    </xf>
    <xf numFmtId="0" fontId="2" fillId="0" borderId="11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vertical="center"/>
    </xf>
    <xf numFmtId="0" fontId="2" fillId="2" borderId="14" xfId="0" applyFont="1" applyFill="1" applyBorder="1" applyAlignment="1">
      <alignment horizontal="center" vertical="center" textRotation="90"/>
    </xf>
    <xf numFmtId="0" fontId="50" fillId="0" borderId="11" xfId="0" applyFont="1" applyBorder="1" applyAlignment="1">
      <alignment vertical="center" wrapText="1"/>
    </xf>
    <xf numFmtId="10" fontId="51" fillId="0" borderId="12" xfId="2" applyNumberFormat="1" applyFont="1" applyBorder="1" applyAlignment="1">
      <alignment horizontal="center" vertical="center" wrapText="1"/>
    </xf>
    <xf numFmtId="10" fontId="51" fillId="0" borderId="5" xfId="2" applyNumberFormat="1" applyFont="1" applyBorder="1" applyAlignment="1">
      <alignment horizontal="center" vertical="center" wrapText="1"/>
    </xf>
    <xf numFmtId="10" fontId="51" fillId="0" borderId="5" xfId="2" applyNumberFormat="1" applyFont="1" applyBorder="1" applyAlignment="1">
      <alignment horizontal="center" vertical="center"/>
    </xf>
    <xf numFmtId="10" fontId="51" fillId="0" borderId="5" xfId="2" applyNumberFormat="1" applyFont="1" applyFill="1" applyBorder="1" applyAlignment="1">
      <alignment horizontal="center" vertical="center"/>
    </xf>
    <xf numFmtId="10" fontId="51" fillId="0" borderId="11" xfId="2" applyNumberFormat="1" applyFont="1" applyBorder="1" applyAlignment="1">
      <alignment horizontal="center" vertical="center"/>
    </xf>
    <xf numFmtId="0" fontId="2" fillId="2" borderId="81" xfId="0" applyFont="1" applyFill="1" applyBorder="1" applyAlignment="1">
      <alignment horizontal="center" vertical="center" textRotation="90"/>
    </xf>
    <xf numFmtId="0" fontId="50" fillId="0" borderId="83" xfId="0" applyFont="1" applyBorder="1" applyAlignment="1">
      <alignment vertical="center" wrapText="1"/>
    </xf>
    <xf numFmtId="10" fontId="51" fillId="0" borderId="109" xfId="2" applyNumberFormat="1" applyFont="1" applyBorder="1" applyAlignment="1">
      <alignment horizontal="center" vertical="center" wrapText="1"/>
    </xf>
    <xf numFmtId="10" fontId="51" fillId="0" borderId="82" xfId="2" applyNumberFormat="1" applyFont="1" applyBorder="1" applyAlignment="1">
      <alignment horizontal="center" vertical="center" wrapText="1"/>
    </xf>
    <xf numFmtId="10" fontId="51" fillId="0" borderId="82" xfId="2" applyNumberFormat="1" applyFont="1" applyBorder="1" applyAlignment="1">
      <alignment horizontal="center" vertical="center"/>
    </xf>
    <xf numFmtId="10" fontId="51" fillId="0" borderId="82" xfId="2" applyNumberFormat="1" applyFont="1" applyFill="1" applyBorder="1" applyAlignment="1">
      <alignment horizontal="center" vertical="center"/>
    </xf>
    <xf numFmtId="10" fontId="51" fillId="0" borderId="83" xfId="2" applyNumberFormat="1" applyFont="1" applyBorder="1" applyAlignment="1">
      <alignment horizontal="center" vertical="center"/>
    </xf>
    <xf numFmtId="10" fontId="51" fillId="0" borderId="19" xfId="2" applyNumberFormat="1" applyFont="1" applyBorder="1" applyAlignment="1">
      <alignment horizontal="center" vertical="center" wrapText="1"/>
    </xf>
    <xf numFmtId="10" fontId="51" fillId="0" borderId="110" xfId="2" applyNumberFormat="1" applyFont="1" applyBorder="1" applyAlignment="1">
      <alignment horizontal="center" vertical="center" wrapText="1"/>
    </xf>
    <xf numFmtId="10" fontId="51" fillId="0" borderId="3" xfId="2" applyNumberFormat="1" applyFont="1" applyBorder="1" applyAlignment="1">
      <alignment horizontal="center" vertical="center" wrapText="1"/>
    </xf>
    <xf numFmtId="0" fontId="51" fillId="0" borderId="0" xfId="0" applyFont="1"/>
    <xf numFmtId="0" fontId="52" fillId="0" borderId="0" xfId="0" applyFont="1" applyAlignment="1">
      <alignment horizontal="center" vertical="center"/>
    </xf>
    <xf numFmtId="0" fontId="1" fillId="0" borderId="14" xfId="0" applyFont="1" applyBorder="1" applyAlignment="1">
      <alignment horizontal="left" vertical="center" wrapText="1"/>
    </xf>
    <xf numFmtId="0" fontId="1" fillId="0" borderId="115"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2" fillId="2" borderId="105"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6" fillId="0" borderId="4" xfId="0" applyFont="1" applyFill="1" applyBorder="1"/>
    <xf numFmtId="0" fontId="50" fillId="0" borderId="0" xfId="0" applyFont="1" applyFill="1" applyBorder="1" applyAlignment="1">
      <alignment horizontal="left" vertical="center" wrapText="1"/>
    </xf>
    <xf numFmtId="0" fontId="2" fillId="0" borderId="1"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10" fontId="11" fillId="20" borderId="4" xfId="2" applyNumberFormat="1" applyFont="1" applyFill="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xf>
    <xf numFmtId="0" fontId="2" fillId="17" borderId="4" xfId="0" applyFont="1" applyFill="1" applyBorder="1" applyAlignment="1">
      <alignment horizontal="center" vertical="center" wrapText="1"/>
    </xf>
    <xf numFmtId="9" fontId="0" fillId="0" borderId="4" xfId="2" applyFont="1" applyBorder="1" applyAlignment="1">
      <alignment horizontal="center" vertical="center"/>
    </xf>
    <xf numFmtId="0" fontId="2" fillId="20" borderId="33" xfId="0" applyFont="1" applyFill="1" applyBorder="1" applyAlignment="1">
      <alignment horizontal="center" vertical="center"/>
    </xf>
    <xf numFmtId="10" fontId="8" fillId="0" borderId="4" xfId="2" applyNumberFormat="1" applyFont="1" applyBorder="1" applyAlignment="1">
      <alignment horizontal="center" vertical="center"/>
    </xf>
    <xf numFmtId="0" fontId="2" fillId="18" borderId="4" xfId="0" applyFont="1" applyFill="1" applyBorder="1" applyAlignment="1">
      <alignment horizontal="center" vertical="center"/>
    </xf>
    <xf numFmtId="0" fontId="2" fillId="19" borderId="33" xfId="0" applyFont="1" applyFill="1" applyBorder="1" applyAlignment="1">
      <alignment horizontal="center" vertical="center"/>
    </xf>
    <xf numFmtId="0" fontId="2" fillId="19" borderId="4" xfId="0" applyFont="1" applyFill="1" applyBorder="1" applyAlignment="1">
      <alignment horizontal="center" vertical="center"/>
    </xf>
    <xf numFmtId="0" fontId="2" fillId="18" borderId="33" xfId="0" applyFont="1" applyFill="1" applyBorder="1" applyAlignment="1">
      <alignment horizontal="center" vertical="center"/>
    </xf>
    <xf numFmtId="0" fontId="2" fillId="20" borderId="4" xfId="0" applyFont="1" applyFill="1" applyBorder="1" applyAlignment="1">
      <alignment horizontal="center" vertical="center"/>
    </xf>
    <xf numFmtId="0" fontId="2" fillId="17" borderId="33" xfId="0" applyFont="1" applyFill="1" applyBorder="1" applyAlignment="1">
      <alignment horizontal="center" vertical="center" wrapText="1"/>
    </xf>
    <xf numFmtId="9" fontId="11" fillId="0" borderId="4" xfId="2" applyFont="1" applyBorder="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9" fontId="11" fillId="0" borderId="0" xfId="2" applyFont="1" applyAlignment="1">
      <alignment horizontal="center" vertical="center"/>
    </xf>
    <xf numFmtId="0" fontId="53" fillId="0" borderId="0" xfId="0" applyFont="1" applyAlignment="1">
      <alignment horizontal="center" vertical="center"/>
    </xf>
    <xf numFmtId="10" fontId="11" fillId="0" borderId="0" xfId="0" applyNumberFormat="1" applyFont="1" applyAlignment="1">
      <alignment horizontal="center" vertical="center"/>
    </xf>
    <xf numFmtId="10" fontId="54" fillId="0" borderId="0" xfId="0" applyNumberFormat="1" applyFont="1" applyAlignment="1">
      <alignment horizontal="center" vertical="center"/>
    </xf>
    <xf numFmtId="0" fontId="1" fillId="0" borderId="78" xfId="0" applyFont="1" applyBorder="1" applyAlignment="1">
      <alignment vertical="center" wrapText="1"/>
    </xf>
    <xf numFmtId="0" fontId="1" fillId="0" borderId="111" xfId="0" applyFont="1" applyBorder="1" applyAlignment="1">
      <alignment vertical="center" wrapText="1"/>
    </xf>
    <xf numFmtId="0" fontId="2" fillId="0" borderId="114" xfId="0" applyFont="1" applyBorder="1" applyAlignment="1">
      <alignment vertical="center" wrapText="1"/>
    </xf>
    <xf numFmtId="0" fontId="2" fillId="19" borderId="17" xfId="0" applyFont="1" applyFill="1" applyBorder="1" applyAlignment="1">
      <alignment horizontal="center" vertical="center"/>
    </xf>
    <xf numFmtId="0" fontId="2" fillId="18" borderId="17" xfId="0" applyFont="1" applyFill="1" applyBorder="1" applyAlignment="1">
      <alignment horizontal="center" vertical="center"/>
    </xf>
    <xf numFmtId="0" fontId="2" fillId="17" borderId="17" xfId="0" applyFont="1" applyFill="1" applyBorder="1" applyAlignment="1">
      <alignment horizontal="center" vertical="center"/>
    </xf>
    <xf numFmtId="0" fontId="2" fillId="21" borderId="18" xfId="0" applyFont="1" applyFill="1" applyBorder="1" applyAlignment="1">
      <alignment horizontal="center" vertical="center"/>
    </xf>
    <xf numFmtId="0" fontId="2" fillId="21" borderId="4" xfId="0" applyFont="1" applyFill="1" applyBorder="1" applyAlignment="1">
      <alignment horizontal="center" vertical="center" wrapText="1"/>
    </xf>
    <xf numFmtId="0" fontId="2" fillId="19" borderId="20" xfId="0" applyFont="1" applyFill="1" applyBorder="1" applyAlignment="1">
      <alignment horizontal="center" vertical="center"/>
    </xf>
    <xf numFmtId="0" fontId="2" fillId="18" borderId="20" xfId="0" applyFont="1" applyFill="1" applyBorder="1" applyAlignment="1">
      <alignment horizontal="center" vertical="center"/>
    </xf>
    <xf numFmtId="0" fontId="2" fillId="17" borderId="20" xfId="0" applyFont="1" applyFill="1" applyBorder="1" applyAlignment="1">
      <alignment horizontal="center" vertical="center"/>
    </xf>
    <xf numFmtId="0" fontId="1" fillId="0" borderId="114" xfId="0" applyFont="1" applyBorder="1" applyAlignment="1">
      <alignment vertical="center" wrapText="1"/>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2" fillId="20" borderId="16" xfId="0" applyFont="1" applyFill="1" applyBorder="1" applyAlignment="1">
      <alignment horizontal="center" vertical="center" wrapText="1"/>
    </xf>
    <xf numFmtId="0" fontId="55" fillId="0" borderId="0" xfId="0" applyFont="1" applyBorder="1" applyAlignment="1">
      <alignment horizontal="center" vertical="center"/>
    </xf>
    <xf numFmtId="9" fontId="55" fillId="0" borderId="0" xfId="2" applyFont="1" applyBorder="1" applyAlignment="1">
      <alignment horizontal="center" vertical="center"/>
    </xf>
    <xf numFmtId="0" fontId="2" fillId="20" borderId="4" xfId="0" applyFont="1" applyFill="1" applyBorder="1" applyAlignment="1">
      <alignment horizontal="center" vertical="center" wrapText="1"/>
    </xf>
    <xf numFmtId="10" fontId="0" fillId="20" borderId="7" xfId="2" applyNumberFormat="1" applyFont="1" applyFill="1" applyBorder="1" applyAlignment="1">
      <alignment horizontal="center" vertical="center"/>
    </xf>
    <xf numFmtId="10" fontId="0" fillId="19" borderId="10" xfId="2" applyNumberFormat="1" applyFont="1" applyFill="1" applyBorder="1" applyAlignment="1">
      <alignment horizontal="center" vertical="center"/>
    </xf>
    <xf numFmtId="10" fontId="0" fillId="20" borderId="11" xfId="2" applyNumberFormat="1" applyFont="1" applyFill="1" applyBorder="1" applyAlignment="1">
      <alignment horizontal="center" vertical="center"/>
    </xf>
    <xf numFmtId="0" fontId="2" fillId="21" borderId="20" xfId="0" applyFont="1" applyFill="1" applyBorder="1" applyAlignment="1">
      <alignment horizontal="center" vertical="center"/>
    </xf>
    <xf numFmtId="0" fontId="11" fillId="0" borderId="20" xfId="0" applyFont="1" applyBorder="1" applyAlignment="1">
      <alignment horizontal="center" vertical="center"/>
    </xf>
    <xf numFmtId="0" fontId="56" fillId="0" borderId="20" xfId="0" applyFont="1" applyFill="1" applyBorder="1" applyAlignment="1">
      <alignment horizontal="center" vertical="center"/>
    </xf>
    <xf numFmtId="0" fontId="56" fillId="0" borderId="21" xfId="0" applyFont="1" applyFill="1" applyBorder="1" applyAlignment="1">
      <alignment horizontal="center" vertical="center"/>
    </xf>
    <xf numFmtId="0" fontId="2" fillId="20" borderId="5" xfId="0" applyFont="1" applyFill="1" applyBorder="1" applyAlignment="1">
      <alignment horizontal="center" vertical="center" wrapText="1"/>
    </xf>
    <xf numFmtId="0" fontId="2" fillId="20" borderId="110"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2" fillId="19" borderId="8" xfId="0" applyFont="1" applyFill="1" applyBorder="1" applyAlignment="1">
      <alignment horizontal="center" vertical="center"/>
    </xf>
    <xf numFmtId="10" fontId="0" fillId="18" borderId="7" xfId="2" applyNumberFormat="1" applyFont="1" applyFill="1" applyBorder="1" applyAlignment="1">
      <alignment horizontal="center" vertical="center"/>
    </xf>
    <xf numFmtId="0" fontId="1" fillId="0" borderId="22" xfId="0" applyFont="1" applyBorder="1" applyAlignment="1">
      <alignment horizontal="center" vertical="center"/>
    </xf>
    <xf numFmtId="0" fontId="11" fillId="0" borderId="6" xfId="0" applyFont="1" applyBorder="1" applyAlignment="1">
      <alignment vertical="center"/>
    </xf>
    <xf numFmtId="0" fontId="1" fillId="0" borderId="7" xfId="0" applyFont="1" applyBorder="1" applyAlignment="1">
      <alignment vertical="center" wrapText="1"/>
    </xf>
    <xf numFmtId="0" fontId="11" fillId="0" borderId="9" xfId="0" applyFont="1" applyBorder="1" applyAlignment="1">
      <alignment vertical="center"/>
    </xf>
    <xf numFmtId="0" fontId="1" fillId="0" borderId="10" xfId="0" applyFont="1" applyBorder="1" applyAlignment="1">
      <alignment vertical="center" wrapText="1"/>
    </xf>
    <xf numFmtId="0" fontId="11" fillId="0" borderId="14" xfId="0" applyFont="1" applyBorder="1" applyAlignment="1">
      <alignment vertical="center"/>
    </xf>
    <xf numFmtId="0" fontId="1" fillId="0" borderId="11" xfId="0" applyFont="1" applyBorder="1" applyAlignment="1">
      <alignment vertical="center" wrapText="1"/>
    </xf>
    <xf numFmtId="0" fontId="2" fillId="19"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16" xfId="0" applyBorder="1" applyAlignment="1">
      <alignment horizontal="center" vertical="center"/>
    </xf>
    <xf numFmtId="0" fontId="2" fillId="20" borderId="17" xfId="0" applyFont="1" applyFill="1" applyBorder="1" applyAlignment="1">
      <alignment horizontal="center" vertical="center" wrapText="1"/>
    </xf>
    <xf numFmtId="10" fontId="0" fillId="20" borderId="18" xfId="2" applyNumberFormat="1" applyFont="1" applyFill="1" applyBorder="1" applyAlignment="1">
      <alignment horizontal="center" vertical="center"/>
    </xf>
    <xf numFmtId="0" fontId="0" fillId="0" borderId="26" xfId="0" applyBorder="1" applyAlignment="1">
      <alignment horizontal="center" vertical="center"/>
    </xf>
    <xf numFmtId="0" fontId="2" fillId="20" borderId="27" xfId="0" applyFont="1" applyFill="1" applyBorder="1" applyAlignment="1">
      <alignment horizontal="center" vertical="center" wrapText="1"/>
    </xf>
    <xf numFmtId="10" fontId="0" fillId="20" borderId="28" xfId="2" applyNumberFormat="1" applyFont="1" applyFill="1" applyBorder="1" applyAlignment="1">
      <alignment horizontal="center" vertical="center"/>
    </xf>
    <xf numFmtId="10" fontId="0" fillId="3" borderId="11" xfId="2"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0" xfId="0" applyFont="1" applyBorder="1" applyAlignment="1">
      <alignment horizontal="center"/>
    </xf>
    <xf numFmtId="0" fontId="1" fillId="0" borderId="4"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53" fillId="0" borderId="0" xfId="0" applyFont="1" applyBorder="1" applyAlignment="1">
      <alignment horizontal="center" vertical="center"/>
    </xf>
    <xf numFmtId="10" fontId="53" fillId="0" borderId="0" xfId="0" applyNumberFormat="1" applyFont="1" applyBorder="1" applyAlignment="1">
      <alignment horizontal="center" vertical="center"/>
    </xf>
    <xf numFmtId="10" fontId="54" fillId="0" borderId="0" xfId="0" applyNumberFormat="1" applyFont="1" applyBorder="1" applyAlignment="1">
      <alignment horizontal="center" vertical="center"/>
    </xf>
    <xf numFmtId="9" fontId="54" fillId="0" borderId="0" xfId="0" applyNumberFormat="1" applyFont="1" applyBorder="1" applyAlignment="1">
      <alignment horizontal="center" vertical="center"/>
    </xf>
    <xf numFmtId="10" fontId="0" fillId="19" borderId="7" xfId="2" applyNumberFormat="1" applyFont="1" applyFill="1" applyBorder="1" applyAlignment="1">
      <alignment horizontal="center" vertical="center"/>
    </xf>
    <xf numFmtId="0" fontId="2" fillId="19" borderId="101" xfId="0" applyFont="1" applyFill="1" applyBorder="1" applyAlignment="1">
      <alignment horizontal="center" vertical="center"/>
    </xf>
    <xf numFmtId="0" fontId="2" fillId="18" borderId="101" xfId="0" applyFont="1" applyFill="1" applyBorder="1" applyAlignment="1">
      <alignment horizontal="center" vertical="center"/>
    </xf>
    <xf numFmtId="0" fontId="2" fillId="17" borderId="101" xfId="0" applyFont="1" applyFill="1" applyBorder="1" applyAlignment="1">
      <alignment horizontal="center" vertical="center"/>
    </xf>
    <xf numFmtId="0" fontId="11" fillId="0" borderId="101" xfId="0" applyFont="1" applyBorder="1" applyAlignment="1">
      <alignment horizontal="center" vertical="center"/>
    </xf>
    <xf numFmtId="0" fontId="56" fillId="0" borderId="101" xfId="0" applyFont="1" applyFill="1" applyBorder="1" applyAlignment="1">
      <alignment horizontal="center" vertical="center"/>
    </xf>
    <xf numFmtId="0" fontId="56" fillId="0" borderId="102" xfId="0" applyFont="1" applyFill="1" applyBorder="1" applyAlignment="1">
      <alignment horizontal="center" vertical="center"/>
    </xf>
    <xf numFmtId="0" fontId="2" fillId="19" borderId="4" xfId="0" applyFont="1" applyFill="1" applyBorder="1" applyAlignment="1">
      <alignment horizontal="center" vertical="center" wrapText="1"/>
    </xf>
    <xf numFmtId="0" fontId="2" fillId="20" borderId="8" xfId="0" applyFont="1" applyFill="1" applyBorder="1" applyAlignment="1">
      <alignment horizontal="center" vertical="center" wrapText="1"/>
    </xf>
    <xf numFmtId="10" fontId="0" fillId="20" borderId="10" xfId="2" applyNumberFormat="1" applyFont="1" applyFill="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11" fillId="0" borderId="100" xfId="0" applyFont="1" applyBorder="1" applyAlignment="1">
      <alignment horizontal="center" vertical="center"/>
    </xf>
    <xf numFmtId="10" fontId="2" fillId="19" borderId="7" xfId="2" applyNumberFormat="1" applyFont="1" applyFill="1" applyBorder="1" applyAlignment="1">
      <alignment horizontal="center" vertical="center"/>
    </xf>
    <xf numFmtId="10" fontId="2" fillId="19" borderId="10" xfId="2" applyNumberFormat="1" applyFont="1" applyFill="1" applyBorder="1" applyAlignment="1">
      <alignment horizontal="center" vertical="center"/>
    </xf>
    <xf numFmtId="0" fontId="2" fillId="2" borderId="109" xfId="0" applyFont="1" applyFill="1" applyBorder="1" applyAlignment="1">
      <alignment horizontal="center" vertical="center" wrapText="1"/>
    </xf>
    <xf numFmtId="10" fontId="1" fillId="0" borderId="4" xfId="2" applyNumberFormat="1" applyFont="1" applyFill="1" applyBorder="1" applyAlignment="1">
      <alignment horizontal="center" vertical="center" wrapText="1"/>
    </xf>
    <xf numFmtId="164" fontId="1" fillId="0" borderId="4" xfId="10" applyNumberFormat="1" applyFont="1" applyFill="1" applyBorder="1" applyAlignment="1">
      <alignment horizontal="center" textRotation="90" wrapText="1"/>
    </xf>
    <xf numFmtId="164" fontId="1" fillId="0" borderId="4" xfId="10" applyNumberFormat="1" applyFont="1" applyFill="1" applyBorder="1" applyAlignment="1">
      <alignment horizontal="center" vertical="center" wrapText="1"/>
    </xf>
    <xf numFmtId="0" fontId="1" fillId="0" borderId="4" xfId="0" applyFont="1" applyFill="1" applyBorder="1" applyAlignment="1">
      <alignment vertical="center" wrapText="1"/>
    </xf>
    <xf numFmtId="164" fontId="1" fillId="0" borderId="4" xfId="10" applyNumberFormat="1" applyFont="1" applyFill="1" applyBorder="1" applyAlignment="1">
      <alignment horizontal="center" vertical="center" textRotation="90" wrapText="1"/>
    </xf>
    <xf numFmtId="0" fontId="1"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1" fillId="0" borderId="8" xfId="0" applyFont="1" applyFill="1" applyBorder="1" applyAlignment="1">
      <alignment horizontal="left" vertical="center" wrapText="1"/>
    </xf>
    <xf numFmtId="0" fontId="11" fillId="22" borderId="14" xfId="0" applyFont="1" applyFill="1" applyBorder="1" applyAlignment="1">
      <alignment vertical="center"/>
    </xf>
    <xf numFmtId="0" fontId="11" fillId="22" borderId="6" xfId="0" applyFont="1" applyFill="1" applyBorder="1" applyAlignment="1">
      <alignment vertical="center"/>
    </xf>
    <xf numFmtId="0" fontId="11" fillId="22" borderId="9" xfId="0" applyFont="1" applyFill="1" applyBorder="1" applyAlignment="1">
      <alignment vertical="center"/>
    </xf>
    <xf numFmtId="0" fontId="2" fillId="20" borderId="19" xfId="0" applyFont="1" applyFill="1" applyBorder="1" applyAlignment="1">
      <alignment horizontal="center" vertical="center" wrapText="1"/>
    </xf>
    <xf numFmtId="0" fontId="2" fillId="21" borderId="21" xfId="0" applyFont="1" applyFill="1" applyBorder="1" applyAlignment="1">
      <alignment horizontal="center" vertical="center" wrapText="1"/>
    </xf>
    <xf numFmtId="10" fontId="11" fillId="0" borderId="4" xfId="0" applyNumberFormat="1" applyFont="1" applyBorder="1" applyAlignment="1">
      <alignment horizontal="center" vertical="center"/>
    </xf>
    <xf numFmtId="0" fontId="1" fillId="0" borderId="13" xfId="0" applyFont="1" applyBorder="1" applyAlignment="1">
      <alignment horizontal="center"/>
    </xf>
    <xf numFmtId="10" fontId="1" fillId="0" borderId="4" xfId="2" applyNumberFormat="1" applyFont="1" applyFill="1" applyBorder="1" applyAlignment="1">
      <alignment horizontal="center" vertical="center" wrapText="1"/>
    </xf>
    <xf numFmtId="0" fontId="1" fillId="0" borderId="4" xfId="0" applyFont="1" applyBorder="1" applyAlignment="1">
      <alignment horizontal="left" vertical="center" wrapText="1"/>
    </xf>
    <xf numFmtId="10" fontId="1" fillId="0" borderId="4" xfId="2" applyNumberFormat="1" applyFont="1" applyFill="1" applyBorder="1" applyAlignment="1">
      <alignment horizontal="center" vertical="center" wrapText="1"/>
    </xf>
    <xf numFmtId="14" fontId="1" fillId="0" borderId="0" xfId="0" applyNumberFormat="1" applyFont="1" applyAlignment="1">
      <alignment horizontal="left" vertical="center"/>
    </xf>
    <xf numFmtId="14" fontId="1" fillId="0" borderId="0" xfId="0" applyNumberFormat="1" applyFont="1" applyAlignment="1">
      <alignment horizontal="left"/>
    </xf>
    <xf numFmtId="0" fontId="1" fillId="0" borderId="11" xfId="0" applyFont="1" applyBorder="1" applyAlignment="1">
      <alignment horizontal="center" vertical="center" wrapText="1"/>
    </xf>
    <xf numFmtId="10" fontId="1" fillId="0" borderId="4"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9" fontId="9"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9" fillId="0" borderId="6" xfId="0" applyFont="1" applyBorder="1" applyAlignment="1">
      <alignment horizontal="left" vertical="center" wrapText="1"/>
    </xf>
    <xf numFmtId="0" fontId="1" fillId="0" borderId="6" xfId="3" applyFont="1" applyBorder="1" applyAlignment="1">
      <alignment horizontal="left" vertical="center" wrapText="1"/>
    </xf>
    <xf numFmtId="0" fontId="1" fillId="0" borderId="4" xfId="3" applyFont="1" applyBorder="1" applyAlignment="1">
      <alignment horizontal="left" vertical="center" wrapText="1"/>
    </xf>
    <xf numFmtId="0" fontId="2" fillId="0" borderId="6" xfId="0" applyFont="1" applyBorder="1" applyAlignment="1">
      <alignment vertical="center"/>
    </xf>
    <xf numFmtId="0" fontId="1" fillId="0" borderId="4" xfId="0" applyFont="1" applyFill="1" applyBorder="1" applyAlignment="1">
      <alignment horizontal="left" vertical="center" wrapText="1"/>
    </xf>
    <xf numFmtId="0" fontId="2" fillId="20" borderId="100" xfId="0" applyFont="1" applyFill="1" applyBorder="1" applyAlignment="1">
      <alignment horizontal="center" vertical="center" wrapText="1"/>
    </xf>
    <xf numFmtId="0" fontId="2" fillId="21" borderId="102" xfId="0" applyFont="1" applyFill="1" applyBorder="1" applyAlignment="1">
      <alignment horizontal="center" vertical="center" wrapText="1"/>
    </xf>
    <xf numFmtId="0" fontId="1" fillId="22" borderId="115" xfId="0" applyFont="1" applyFill="1" applyBorder="1" applyAlignment="1">
      <alignment vertical="center" wrapText="1"/>
    </xf>
    <xf numFmtId="0" fontId="1" fillId="22" borderId="33" xfId="0" applyFont="1" applyFill="1" applyBorder="1" applyAlignment="1">
      <alignment vertical="center" wrapText="1"/>
    </xf>
    <xf numFmtId="0" fontId="1" fillId="22" borderId="107" xfId="0" applyFont="1" applyFill="1" applyBorder="1" applyAlignment="1">
      <alignment vertical="center" wrapText="1"/>
    </xf>
    <xf numFmtId="0" fontId="0" fillId="0" borderId="108"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1" fillId="0" borderId="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100" xfId="0" applyFont="1" applyFill="1" applyBorder="1" applyAlignment="1">
      <alignment horizontal="left" vertical="center" wrapText="1"/>
    </xf>
    <xf numFmtId="0" fontId="2" fillId="2" borderId="101" xfId="0" applyFont="1" applyFill="1" applyBorder="1" applyAlignment="1">
      <alignment horizontal="left" vertical="center" wrapText="1"/>
    </xf>
    <xf numFmtId="0" fontId="2" fillId="2" borderId="102"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Border="1" applyAlignment="1">
      <alignment horizontal="center"/>
    </xf>
    <xf numFmtId="0" fontId="1" fillId="0" borderId="13" xfId="0" applyFont="1" applyBorder="1" applyAlignment="1">
      <alignment horizont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33" xfId="2" applyNumberFormat="1" applyFont="1" applyFill="1" applyBorder="1" applyAlignment="1">
      <alignment horizontal="center" vertical="center" wrapText="1"/>
    </xf>
    <xf numFmtId="0" fontId="1" fillId="0" borderId="120" xfId="2" applyNumberFormat="1" applyFont="1" applyFill="1" applyBorder="1" applyAlignment="1">
      <alignment horizontal="center" vertical="center" wrapText="1"/>
    </xf>
    <xf numFmtId="10" fontId="1" fillId="0" borderId="4" xfId="2" applyNumberFormat="1" applyFont="1" applyFill="1" applyBorder="1" applyAlignment="1">
      <alignment horizontal="center" vertical="center" wrapText="1"/>
    </xf>
    <xf numFmtId="9" fontId="1" fillId="0" borderId="4" xfId="2" applyNumberFormat="1" applyFont="1" applyFill="1" applyBorder="1" applyAlignment="1">
      <alignment horizontal="center" vertical="center" wrapText="1"/>
    </xf>
    <xf numFmtId="10" fontId="1" fillId="0" borderId="17" xfId="2" applyNumberFormat="1" applyFont="1" applyFill="1" applyBorder="1" applyAlignment="1">
      <alignment horizontal="center" vertical="center" wrapText="1"/>
    </xf>
    <xf numFmtId="168" fontId="1" fillId="0" borderId="4" xfId="2" applyNumberFormat="1" applyFont="1" applyFill="1" applyBorder="1" applyAlignment="1">
      <alignment horizontal="center" vertical="center" wrapText="1"/>
    </xf>
    <xf numFmtId="168" fontId="1" fillId="18" borderId="4" xfId="2" applyNumberFormat="1" applyFont="1" applyFill="1" applyBorder="1" applyAlignment="1">
      <alignment horizontal="center" vertical="center" wrapText="1"/>
    </xf>
    <xf numFmtId="0" fontId="2" fillId="2" borderId="11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19"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2" fillId="2" borderId="104" xfId="0" applyFont="1" applyFill="1" applyBorder="1" applyAlignment="1">
      <alignment horizontal="center" vertical="center" wrapText="1"/>
    </xf>
    <xf numFmtId="0" fontId="2" fillId="2" borderId="117" xfId="0" applyFont="1" applyFill="1" applyBorder="1" applyAlignment="1">
      <alignment horizontal="center" vertical="center" wrapText="1"/>
    </xf>
    <xf numFmtId="0" fontId="2" fillId="2" borderId="107" xfId="0" applyFont="1" applyFill="1" applyBorder="1" applyAlignment="1">
      <alignment horizontal="center" vertical="center" wrapText="1"/>
    </xf>
    <xf numFmtId="0" fontId="1" fillId="0" borderId="15" xfId="0" applyFont="1" applyBorder="1" applyAlignment="1">
      <alignment vertical="center" wrapText="1"/>
    </xf>
    <xf numFmtId="0" fontId="1" fillId="0" borderId="4" xfId="0" applyFont="1" applyBorder="1" applyAlignment="1">
      <alignment vertical="center" wrapText="1"/>
    </xf>
    <xf numFmtId="0" fontId="1" fillId="0" borderId="33" xfId="0" applyFont="1" applyBorder="1" applyAlignment="1">
      <alignment vertical="center" wrapText="1"/>
    </xf>
    <xf numFmtId="0" fontId="1" fillId="0" borderId="22" xfId="0" applyFont="1" applyBorder="1" applyAlignment="1">
      <alignment vertical="center" wrapText="1"/>
    </xf>
    <xf numFmtId="0" fontId="1" fillId="0" borderId="8" xfId="0" applyFont="1" applyBorder="1" applyAlignment="1">
      <alignment vertical="center" wrapText="1"/>
    </xf>
    <xf numFmtId="0" fontId="1" fillId="0" borderId="107" xfId="0" applyFont="1" applyBorder="1" applyAlignment="1">
      <alignment vertical="center" wrapText="1"/>
    </xf>
    <xf numFmtId="0" fontId="2" fillId="2" borderId="95"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10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99" xfId="0" applyFont="1" applyFill="1" applyBorder="1" applyAlignment="1">
      <alignment horizontal="center" vertical="center" wrapText="1"/>
    </xf>
    <xf numFmtId="10" fontId="1" fillId="0" borderId="33" xfId="2" applyNumberFormat="1" applyFont="1" applyBorder="1" applyAlignment="1">
      <alignment horizontal="center" vertical="center" wrapText="1"/>
    </xf>
    <xf numFmtId="10" fontId="1" fillId="0" borderId="112" xfId="2" applyNumberFormat="1" applyFont="1" applyBorder="1" applyAlignment="1">
      <alignment horizontal="center" vertical="center" wrapText="1"/>
    </xf>
    <xf numFmtId="10" fontId="1" fillId="0" borderId="107" xfId="2" applyNumberFormat="1" applyFont="1" applyBorder="1" applyAlignment="1">
      <alignment horizontal="center" vertical="center" wrapText="1"/>
    </xf>
    <xf numFmtId="10" fontId="1" fillId="0" borderId="113" xfId="2" applyNumberFormat="1" applyFont="1" applyBorder="1" applyAlignment="1">
      <alignment horizontal="center" vertical="center" wrapText="1"/>
    </xf>
    <xf numFmtId="0" fontId="2" fillId="19" borderId="111"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2" fillId="20" borderId="114"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16" borderId="19"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2" borderId="16" xfId="0" applyFont="1" applyFill="1" applyBorder="1" applyAlignment="1">
      <alignment horizontal="center"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 fillId="0" borderId="110"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2" fillId="16" borderId="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2" borderId="7" xfId="0" applyFont="1" applyFill="1" applyBorder="1" applyAlignment="1">
      <alignment horizontal="center" vertical="center"/>
    </xf>
    <xf numFmtId="0" fontId="1" fillId="0" borderId="15" xfId="0" applyFont="1" applyBorder="1" applyAlignment="1">
      <alignment horizontal="left" vertical="center" wrapText="1"/>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33" xfId="0" applyFont="1" applyBorder="1" applyAlignment="1">
      <alignment horizontal="left" vertical="center" wrapText="1"/>
    </xf>
    <xf numFmtId="10" fontId="1" fillId="0" borderId="104" xfId="2" applyNumberFormat="1" applyFont="1" applyBorder="1" applyAlignment="1">
      <alignment horizontal="center" vertical="center" wrapText="1"/>
    </xf>
    <xf numFmtId="10" fontId="1" fillId="0" borderId="80" xfId="2" applyNumberFormat="1" applyFont="1" applyBorder="1" applyAlignment="1">
      <alignment horizontal="center" vertical="center" wrapText="1"/>
    </xf>
    <xf numFmtId="0" fontId="2" fillId="17" borderId="78" xfId="0" applyFont="1" applyFill="1" applyBorder="1" applyAlignment="1">
      <alignment horizontal="center" vertical="center" wrapText="1"/>
    </xf>
    <xf numFmtId="0" fontId="2" fillId="17" borderId="108" xfId="0" applyFont="1" applyFill="1" applyBorder="1" applyAlignment="1">
      <alignment horizontal="center" vertical="center" wrapText="1"/>
    </xf>
    <xf numFmtId="0" fontId="2" fillId="18" borderId="111" xfId="0" applyFont="1" applyFill="1" applyBorder="1" applyAlignment="1">
      <alignment horizontal="center" vertical="center" wrapText="1"/>
    </xf>
    <xf numFmtId="0" fontId="2" fillId="18" borderId="1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8" xfId="0" applyFont="1" applyFill="1" applyBorder="1" applyAlignment="1">
      <alignment horizontal="center" vertical="center"/>
    </xf>
    <xf numFmtId="0" fontId="1" fillId="0" borderId="108" xfId="0" applyFont="1" applyBorder="1" applyAlignment="1">
      <alignment horizontal="left" vertical="center" wrapText="1"/>
    </xf>
    <xf numFmtId="0" fontId="1" fillId="0" borderId="22" xfId="0" applyFont="1" applyBorder="1" applyAlignment="1">
      <alignment horizontal="left"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16" borderId="19" xfId="0" applyFont="1" applyFill="1" applyBorder="1" applyAlignment="1">
      <alignment horizontal="center" vertical="center"/>
    </xf>
    <xf numFmtId="0" fontId="2" fillId="16" borderId="20" xfId="0" applyFont="1" applyFill="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xf>
    <xf numFmtId="0" fontId="1" fillId="0" borderId="18" xfId="0" applyFont="1" applyBorder="1" applyAlignment="1">
      <alignment horizontal="center"/>
    </xf>
    <xf numFmtId="0" fontId="1" fillId="0" borderId="7" xfId="0" applyFont="1" applyBorder="1" applyAlignment="1">
      <alignment horizontal="center"/>
    </xf>
    <xf numFmtId="0" fontId="1" fillId="0" borderId="10" xfId="0" applyFont="1" applyBorder="1" applyAlignment="1">
      <alignment horizont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42" fillId="15" borderId="4" xfId="8" applyFont="1" applyFill="1" applyBorder="1" applyAlignment="1">
      <alignment horizontal="left" vertical="center" wrapText="1"/>
    </xf>
    <xf numFmtId="0" fontId="46" fillId="8" borderId="95" xfId="6" applyFont="1" applyFill="1" applyBorder="1" applyAlignment="1">
      <alignment horizontal="center" vertical="center" wrapText="1"/>
    </xf>
    <xf numFmtId="0" fontId="46" fillId="8" borderId="77" xfId="6" applyFont="1" applyFill="1" applyBorder="1" applyAlignment="1">
      <alignment horizontal="center" vertical="center" wrapText="1"/>
    </xf>
    <xf numFmtId="0" fontId="46" fillId="8" borderId="96" xfId="6" applyFont="1" applyFill="1" applyBorder="1" applyAlignment="1">
      <alignment horizontal="center" vertical="center" wrapText="1"/>
    </xf>
    <xf numFmtId="0" fontId="46" fillId="8" borderId="97" xfId="6" applyFont="1" applyFill="1" applyBorder="1" applyAlignment="1">
      <alignment horizontal="center" vertical="center" wrapText="1"/>
    </xf>
    <xf numFmtId="0" fontId="46" fillId="8" borderId="98" xfId="6" applyFont="1" applyFill="1" applyBorder="1" applyAlignment="1">
      <alignment horizontal="center" vertical="center" wrapText="1"/>
    </xf>
    <xf numFmtId="0" fontId="46" fillId="8" borderId="99" xfId="6" applyFont="1" applyFill="1" applyBorder="1" applyAlignment="1">
      <alignment horizontal="center" vertical="center" wrapText="1"/>
    </xf>
    <xf numFmtId="14" fontId="47" fillId="0" borderId="17" xfId="6" applyNumberFormat="1" applyFont="1" applyBorder="1" applyAlignment="1">
      <alignment horizontal="left" vertical="center" wrapText="1"/>
    </xf>
    <xf numFmtId="14" fontId="47" fillId="0" borderId="18" xfId="6" applyNumberFormat="1" applyFont="1" applyBorder="1" applyAlignment="1">
      <alignment horizontal="left" vertical="center" wrapText="1"/>
    </xf>
    <xf numFmtId="14" fontId="47" fillId="0" borderId="8" xfId="6" applyNumberFormat="1" applyFont="1" applyBorder="1" applyAlignment="1">
      <alignment horizontal="left" vertical="center" wrapText="1"/>
    </xf>
    <xf numFmtId="14" fontId="47" fillId="0" borderId="10" xfId="6" applyNumberFormat="1" applyFont="1" applyBorder="1" applyAlignment="1">
      <alignment horizontal="left" vertical="center" wrapText="1"/>
    </xf>
    <xf numFmtId="0" fontId="41" fillId="9" borderId="104" xfId="8" applyFont="1" applyFill="1" applyBorder="1" applyAlignment="1">
      <alignment horizontal="center" vertical="center" wrapText="1"/>
    </xf>
    <xf numFmtId="0" fontId="41" fillId="9" borderId="105" xfId="8" applyFont="1" applyFill="1" applyBorder="1" applyAlignment="1">
      <alignment horizontal="center" vertical="center" wrapText="1"/>
    </xf>
    <xf numFmtId="0" fontId="41" fillId="9" borderId="16" xfId="6" applyFont="1" applyFill="1" applyBorder="1" applyAlignment="1">
      <alignment horizontal="center" vertical="center" wrapText="1"/>
    </xf>
    <xf numFmtId="0" fontId="41" fillId="9" borderId="18" xfId="6" applyFont="1" applyFill="1" applyBorder="1" applyAlignment="1">
      <alignment horizontal="center" vertical="center" wrapText="1"/>
    </xf>
    <xf numFmtId="0" fontId="41" fillId="9" borderId="16" xfId="8" applyFont="1" applyFill="1" applyBorder="1" applyAlignment="1">
      <alignment horizontal="center" vertical="center" wrapText="1"/>
    </xf>
    <xf numFmtId="0" fontId="41" fillId="9" borderId="81" xfId="8" applyFont="1" applyFill="1" applyBorder="1" applyAlignment="1">
      <alignment horizontal="center" vertical="center" wrapText="1"/>
    </xf>
    <xf numFmtId="0" fontId="41" fillId="9" borderId="17" xfId="8" applyFont="1" applyFill="1" applyBorder="1" applyAlignment="1">
      <alignment horizontal="center" vertical="center" wrapText="1"/>
    </xf>
    <xf numFmtId="0" fontId="41" fillId="9" borderId="82" xfId="8" applyFont="1" applyFill="1" applyBorder="1" applyAlignment="1">
      <alignment horizontal="center" vertical="center" wrapText="1"/>
    </xf>
    <xf numFmtId="0" fontId="41" fillId="9" borderId="95" xfId="8" applyFont="1" applyFill="1" applyBorder="1" applyAlignment="1">
      <alignment horizontal="center" vertical="center" wrapText="1"/>
    </xf>
    <xf numFmtId="0" fontId="41" fillId="9" borderId="77" xfId="8" applyFont="1" applyFill="1" applyBorder="1" applyAlignment="1">
      <alignment horizontal="center" vertical="center" wrapText="1"/>
    </xf>
    <xf numFmtId="0" fontId="41" fillId="9" borderId="96" xfId="8" applyFont="1" applyFill="1" applyBorder="1" applyAlignment="1">
      <alignment horizontal="center" vertical="center" wrapText="1"/>
    </xf>
    <xf numFmtId="0" fontId="41" fillId="9" borderId="97" xfId="8" applyFont="1" applyFill="1" applyBorder="1" applyAlignment="1">
      <alignment horizontal="center" vertical="center" wrapText="1"/>
    </xf>
    <xf numFmtId="0" fontId="41" fillId="9" borderId="98" xfId="8" applyFont="1" applyFill="1" applyBorder="1" applyAlignment="1">
      <alignment horizontal="center" vertical="center" wrapText="1"/>
    </xf>
    <xf numFmtId="0" fontId="41" fillId="9" borderId="99" xfId="8" applyFont="1" applyFill="1" applyBorder="1" applyAlignment="1">
      <alignment horizontal="center" vertical="center" wrapText="1"/>
    </xf>
    <xf numFmtId="0" fontId="42" fillId="8" borderId="100" xfId="6" applyFont="1" applyFill="1" applyBorder="1" applyAlignment="1">
      <alignment horizontal="right" vertical="center"/>
    </xf>
    <xf numFmtId="0" fontId="42" fillId="8" borderId="30" xfId="6" applyFont="1" applyFill="1" applyBorder="1" applyAlignment="1">
      <alignment horizontal="right" vertical="center"/>
    </xf>
    <xf numFmtId="0" fontId="42" fillId="8" borderId="101" xfId="6" applyFont="1" applyFill="1" applyBorder="1" applyAlignment="1">
      <alignment horizontal="right" vertical="center"/>
    </xf>
    <xf numFmtId="0" fontId="47" fillId="8" borderId="101" xfId="6" applyFont="1" applyFill="1" applyBorder="1" applyAlignment="1">
      <alignment horizontal="left" vertical="center" wrapText="1"/>
    </xf>
    <xf numFmtId="0" fontId="42" fillId="8" borderId="16" xfId="6" applyFont="1" applyFill="1" applyBorder="1" applyAlignment="1">
      <alignment horizontal="right" vertical="center"/>
    </xf>
    <xf numFmtId="0" fontId="42" fillId="8" borderId="17" xfId="6" applyFont="1" applyFill="1" applyBorder="1" applyAlignment="1">
      <alignment horizontal="right" vertical="center"/>
    </xf>
    <xf numFmtId="0" fontId="42" fillId="8" borderId="9" xfId="6" applyFont="1" applyFill="1" applyBorder="1" applyAlignment="1">
      <alignment horizontal="right" vertical="center"/>
    </xf>
    <xf numFmtId="0" fontId="42" fillId="8" borderId="8" xfId="6" applyFont="1" applyFill="1" applyBorder="1" applyAlignment="1">
      <alignment horizontal="right" vertical="center"/>
    </xf>
    <xf numFmtId="0" fontId="15" fillId="5" borderId="0" xfId="5" applyFont="1" applyFill="1" applyAlignment="1">
      <alignment horizontal="center" vertical="center" wrapText="1"/>
    </xf>
    <xf numFmtId="0" fontId="16" fillId="0" borderId="0" xfId="5" applyFont="1"/>
    <xf numFmtId="0" fontId="16" fillId="0" borderId="0" xfId="5" applyFont="1" applyBorder="1"/>
    <xf numFmtId="0" fontId="22" fillId="5" borderId="0" xfId="5" applyFont="1" applyFill="1" applyAlignment="1">
      <alignment horizontal="left" vertical="center" wrapText="1"/>
    </xf>
    <xf numFmtId="166" fontId="22" fillId="5" borderId="0" xfId="5" applyNumberFormat="1" applyFont="1" applyFill="1" applyAlignment="1">
      <alignment horizontal="left" vertical="center" wrapText="1"/>
    </xf>
    <xf numFmtId="0" fontId="2" fillId="6" borderId="36" xfId="5" applyFont="1" applyFill="1" applyBorder="1" applyAlignment="1">
      <alignment horizontal="center" vertical="center" wrapText="1"/>
    </xf>
    <xf numFmtId="0" fontId="16" fillId="0" borderId="37" xfId="5" applyFont="1" applyBorder="1"/>
    <xf numFmtId="0" fontId="16" fillId="0" borderId="38" xfId="5" applyFont="1" applyBorder="1"/>
    <xf numFmtId="0" fontId="42" fillId="10" borderId="41" xfId="5" applyFont="1" applyFill="1" applyBorder="1" applyAlignment="1">
      <alignment horizontal="center" vertical="center" wrapText="1"/>
    </xf>
    <xf numFmtId="0" fontId="16" fillId="2" borderId="62" xfId="5" applyFont="1" applyFill="1" applyBorder="1"/>
    <xf numFmtId="0" fontId="25" fillId="5" borderId="54" xfId="5" applyFont="1" applyFill="1" applyBorder="1" applyAlignment="1">
      <alignment horizontal="center" vertical="center" wrapText="1"/>
    </xf>
    <xf numFmtId="0" fontId="16" fillId="0" borderId="64" xfId="5" applyFont="1" applyBorder="1"/>
    <xf numFmtId="0" fontId="2" fillId="6" borderId="42" xfId="5" applyFont="1" applyFill="1" applyBorder="1" applyAlignment="1">
      <alignment horizontal="center" vertical="center" wrapText="1"/>
    </xf>
    <xf numFmtId="0" fontId="16" fillId="0" borderId="43" xfId="5" applyFont="1" applyBorder="1"/>
    <xf numFmtId="0" fontId="2" fillId="6" borderId="44" xfId="5" applyFont="1" applyFill="1" applyBorder="1" applyAlignment="1">
      <alignment horizontal="center" vertical="center" wrapText="1"/>
    </xf>
    <xf numFmtId="0" fontId="16" fillId="0" borderId="50" xfId="5" applyFont="1" applyBorder="1"/>
    <xf numFmtId="0" fontId="1" fillId="5" borderId="34" xfId="5" applyFont="1" applyFill="1" applyBorder="1" applyAlignment="1">
      <alignment horizontal="left" vertical="center" wrapText="1"/>
    </xf>
    <xf numFmtId="0" fontId="16" fillId="0" borderId="34" xfId="5" applyFont="1" applyBorder="1"/>
    <xf numFmtId="0" fontId="42" fillId="10" borderId="36" xfId="5" applyFont="1" applyFill="1" applyBorder="1" applyAlignment="1">
      <alignment horizontal="center" vertical="center" wrapText="1"/>
    </xf>
    <xf numFmtId="0" fontId="16" fillId="2" borderId="37" xfId="5" applyFont="1" applyFill="1" applyBorder="1"/>
    <xf numFmtId="0" fontId="16" fillId="2" borderId="38" xfId="5" applyFont="1" applyFill="1" applyBorder="1"/>
    <xf numFmtId="0" fontId="2" fillId="6" borderId="39" xfId="5" applyFont="1" applyFill="1" applyBorder="1" applyAlignment="1">
      <alignment horizontal="center" vertical="center" wrapText="1"/>
    </xf>
    <xf numFmtId="0" fontId="16" fillId="0" borderId="45" xfId="5" applyFont="1" applyBorder="1"/>
    <xf numFmtId="0" fontId="2" fillId="6" borderId="40" xfId="5" applyFont="1" applyFill="1" applyBorder="1" applyAlignment="1">
      <alignment horizontal="center" vertical="center" wrapText="1"/>
    </xf>
    <xf numFmtId="0" fontId="16" fillId="0" borderId="46" xfId="5" applyFont="1" applyBorder="1"/>
    <xf numFmtId="0" fontId="2" fillId="6" borderId="41" xfId="5" applyFont="1" applyFill="1" applyBorder="1" applyAlignment="1">
      <alignment horizontal="center" vertical="center" wrapText="1"/>
    </xf>
    <xf numFmtId="0" fontId="16" fillId="0" borderId="47" xfId="5" applyFont="1" applyBorder="1"/>
    <xf numFmtId="0" fontId="25" fillId="5" borderId="54" xfId="5" applyFont="1" applyFill="1" applyBorder="1" applyAlignment="1">
      <alignment horizontal="left" vertical="center" wrapText="1"/>
    </xf>
    <xf numFmtId="0" fontId="25" fillId="5" borderId="92" xfId="5" applyFont="1" applyFill="1" applyBorder="1" applyAlignment="1">
      <alignment horizontal="left" vertical="center" wrapText="1"/>
    </xf>
    <xf numFmtId="0" fontId="16" fillId="0" borderId="93" xfId="5" applyFont="1" applyBorder="1"/>
    <xf numFmtId="0" fontId="42" fillId="10" borderId="84" xfId="5" applyFont="1" applyFill="1" applyBorder="1" applyAlignment="1">
      <alignment horizontal="center" vertical="center" wrapText="1"/>
    </xf>
    <xf numFmtId="0" fontId="16" fillId="2" borderId="85" xfId="5" applyFont="1" applyFill="1" applyBorder="1"/>
    <xf numFmtId="0" fontId="16" fillId="2" borderId="86" xfId="5" applyFont="1" applyFill="1" applyBorder="1"/>
    <xf numFmtId="0" fontId="25" fillId="5" borderId="60" xfId="5" applyFont="1" applyFill="1" applyBorder="1" applyAlignment="1">
      <alignment horizontal="left" vertical="center" wrapText="1"/>
    </xf>
    <xf numFmtId="0" fontId="16" fillId="0" borderId="65" xfId="5" applyFont="1" applyBorder="1"/>
    <xf numFmtId="0" fontId="27" fillId="7" borderId="0" xfId="5" applyFont="1" applyFill="1" applyAlignment="1">
      <alignment horizontal="center" vertical="center" wrapText="1"/>
    </xf>
    <xf numFmtId="0" fontId="22" fillId="7" borderId="0" xfId="5" applyFont="1" applyFill="1" applyAlignment="1">
      <alignment horizontal="left" vertical="center" wrapText="1"/>
    </xf>
    <xf numFmtId="166" fontId="22" fillId="7" borderId="0" xfId="5" applyNumberFormat="1" applyFont="1" applyFill="1" applyAlignment="1">
      <alignment horizontal="left" vertical="center" wrapText="1"/>
    </xf>
    <xf numFmtId="0" fontId="42" fillId="11" borderId="42" xfId="5" applyFont="1" applyFill="1" applyBorder="1" applyAlignment="1">
      <alignment horizontal="center" vertical="center" wrapText="1"/>
    </xf>
    <xf numFmtId="0" fontId="16" fillId="2" borderId="73" xfId="5" applyFont="1" applyFill="1" applyBorder="1"/>
    <xf numFmtId="0" fontId="16" fillId="2" borderId="43" xfId="5" applyFont="1" applyFill="1" applyBorder="1"/>
    <xf numFmtId="0" fontId="42" fillId="11" borderId="74" xfId="5" applyFont="1" applyFill="1" applyBorder="1" applyAlignment="1">
      <alignment horizontal="center" vertical="center" wrapText="1"/>
    </xf>
    <xf numFmtId="0" fontId="16" fillId="2" borderId="45" xfId="5" applyFont="1" applyFill="1" applyBorder="1"/>
    <xf numFmtId="0" fontId="42" fillId="11" borderId="75" xfId="5" applyFont="1" applyFill="1" applyBorder="1" applyAlignment="1">
      <alignment horizontal="center" vertical="center" wrapText="1"/>
    </xf>
    <xf numFmtId="0" fontId="16" fillId="2" borderId="46" xfId="5" applyFont="1" applyFill="1" applyBorder="1"/>
    <xf numFmtId="0" fontId="42" fillId="11" borderId="54" xfId="5" applyFont="1" applyFill="1" applyBorder="1" applyAlignment="1">
      <alignment horizontal="center" vertical="center" wrapText="1"/>
    </xf>
    <xf numFmtId="0" fontId="16" fillId="2" borderId="64" xfId="5" applyFont="1" applyFill="1" applyBorder="1"/>
    <xf numFmtId="0" fontId="42" fillId="11" borderId="76" xfId="5" applyFont="1" applyFill="1" applyBorder="1" applyAlignment="1">
      <alignment horizontal="center" vertical="center" wrapText="1"/>
    </xf>
    <xf numFmtId="0" fontId="16" fillId="2" borderId="66" xfId="5" applyFont="1" applyFill="1" applyBorder="1"/>
    <xf numFmtId="0" fontId="1" fillId="5" borderId="0" xfId="5" applyFont="1" applyFill="1" applyAlignment="1">
      <alignment horizontal="left" vertical="center" wrapText="1"/>
    </xf>
    <xf numFmtId="0" fontId="32" fillId="8" borderId="0" xfId="6" applyFont="1" applyFill="1" applyAlignment="1">
      <alignment horizontal="center" vertical="center" wrapText="1"/>
    </xf>
    <xf numFmtId="0" fontId="38" fillId="8" borderId="0" xfId="6" applyFont="1" applyFill="1" applyAlignment="1">
      <alignment horizontal="left" vertical="center" wrapText="1"/>
    </xf>
    <xf numFmtId="14" fontId="38" fillId="8" borderId="0" xfId="6" applyNumberFormat="1" applyFont="1" applyFill="1" applyAlignment="1">
      <alignment horizontal="left" vertical="center" wrapText="1"/>
    </xf>
    <xf numFmtId="0" fontId="42" fillId="2" borderId="78" xfId="6" applyFont="1" applyFill="1" applyBorder="1" applyAlignment="1">
      <alignment horizontal="center" vertical="center" wrapText="1"/>
    </xf>
    <xf numFmtId="0" fontId="42" fillId="2" borderId="79" xfId="6" applyFont="1" applyFill="1" applyBorder="1" applyAlignment="1">
      <alignment horizontal="center" vertical="center" wrapText="1"/>
    </xf>
    <xf numFmtId="0" fontId="42" fillId="2" borderId="80" xfId="6" applyFont="1" applyFill="1" applyBorder="1" applyAlignment="1">
      <alignment horizontal="center" vertical="center" wrapText="1"/>
    </xf>
    <xf numFmtId="0" fontId="42" fillId="2" borderId="6" xfId="6" applyFont="1" applyFill="1" applyBorder="1" applyAlignment="1">
      <alignment horizontal="center" vertical="center" wrapText="1"/>
    </xf>
    <xf numFmtId="0" fontId="42" fillId="2" borderId="9" xfId="6" applyFont="1" applyFill="1" applyBorder="1" applyAlignment="1">
      <alignment horizontal="center" vertical="center" wrapText="1"/>
    </xf>
    <xf numFmtId="0" fontId="42" fillId="2" borderId="4"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2" borderId="7" xfId="6" applyFont="1" applyFill="1" applyBorder="1" applyAlignment="1">
      <alignment horizontal="center" vertical="center" wrapText="1"/>
    </xf>
    <xf numFmtId="0" fontId="42" fillId="2" borderId="10" xfId="6" applyFont="1" applyFill="1" applyBorder="1" applyAlignment="1">
      <alignment horizontal="center" vertical="center" wrapText="1"/>
    </xf>
    <xf numFmtId="0" fontId="9" fillId="8" borderId="0" xfId="6" applyFont="1" applyFill="1" applyAlignment="1">
      <alignment horizontal="left" vertical="center" wrapText="1"/>
    </xf>
    <xf numFmtId="0" fontId="42" fillId="2" borderId="81" xfId="6" applyFont="1" applyFill="1" applyBorder="1" applyAlignment="1">
      <alignment horizontal="center" vertical="center" wrapText="1"/>
    </xf>
    <xf numFmtId="0" fontId="42" fillId="2" borderId="26" xfId="6" applyFont="1" applyFill="1" applyBorder="1" applyAlignment="1">
      <alignment horizontal="center" vertical="center" wrapText="1"/>
    </xf>
    <xf numFmtId="0" fontId="42" fillId="2" borderId="82" xfId="6" applyFont="1" applyFill="1" applyBorder="1" applyAlignment="1">
      <alignment horizontal="center" vertical="center" wrapText="1"/>
    </xf>
    <xf numFmtId="0" fontId="42" fillId="2" borderId="27" xfId="6" applyFont="1" applyFill="1" applyBorder="1" applyAlignment="1">
      <alignment horizontal="center" vertical="center" wrapText="1"/>
    </xf>
    <xf numFmtId="0" fontId="42" fillId="2" borderId="33" xfId="6" applyFont="1" applyFill="1" applyBorder="1" applyAlignment="1">
      <alignment horizontal="center" vertical="center" wrapText="1"/>
    </xf>
    <xf numFmtId="0" fontId="42" fillId="2" borderId="15" xfId="6" applyFont="1" applyFill="1" applyBorder="1" applyAlignment="1">
      <alignment horizontal="center" vertical="center" wrapText="1"/>
    </xf>
    <xf numFmtId="0" fontId="42" fillId="2" borderId="83" xfId="6" applyFont="1" applyFill="1" applyBorder="1" applyAlignment="1">
      <alignment horizontal="center" vertical="center" wrapText="1"/>
    </xf>
    <xf numFmtId="0" fontId="42" fillId="2" borderId="28" xfId="6" applyFont="1" applyFill="1" applyBorder="1" applyAlignment="1">
      <alignment horizontal="center" vertical="center" wrapText="1"/>
    </xf>
    <xf numFmtId="0" fontId="42" fillId="2" borderId="16" xfId="6" applyFont="1" applyFill="1" applyBorder="1" applyAlignment="1">
      <alignment horizontal="center" vertical="center" wrapText="1"/>
    </xf>
    <xf numFmtId="0" fontId="42" fillId="2" borderId="17" xfId="6" applyFont="1" applyFill="1" applyBorder="1" applyAlignment="1">
      <alignment horizontal="center" vertical="center" wrapText="1"/>
    </xf>
    <xf numFmtId="0" fontId="42" fillId="2" borderId="18" xfId="6" applyFont="1" applyFill="1" applyBorder="1" applyAlignment="1">
      <alignment horizontal="center" vertical="center" wrapText="1"/>
    </xf>
    <xf numFmtId="0" fontId="32" fillId="7" borderId="0" xfId="6" applyFont="1" applyFill="1" applyAlignment="1">
      <alignment horizontal="center" vertical="center" wrapText="1"/>
    </xf>
    <xf numFmtId="0" fontId="38" fillId="7" borderId="0" xfId="6" applyFont="1" applyFill="1" applyAlignment="1">
      <alignment horizontal="left" vertical="center" wrapText="1"/>
    </xf>
    <xf numFmtId="0" fontId="42" fillId="13" borderId="78" xfId="6" applyFont="1" applyFill="1" applyBorder="1" applyAlignment="1">
      <alignment horizontal="center" vertical="center" wrapText="1"/>
    </xf>
    <xf numFmtId="0" fontId="42" fillId="13" borderId="79" xfId="6" applyFont="1" applyFill="1" applyBorder="1" applyAlignment="1">
      <alignment horizontal="center" vertical="center" wrapText="1"/>
    </xf>
    <xf numFmtId="0" fontId="42" fillId="13" borderId="80" xfId="6" applyFont="1" applyFill="1" applyBorder="1" applyAlignment="1">
      <alignment horizontal="center" vertical="center" wrapText="1"/>
    </xf>
    <xf numFmtId="0" fontId="42" fillId="13" borderId="81" xfId="6" applyFont="1" applyFill="1" applyBorder="1" applyAlignment="1">
      <alignment horizontal="center" vertical="center" wrapText="1"/>
    </xf>
    <xf numFmtId="0" fontId="42" fillId="13" borderId="26" xfId="6" applyFont="1" applyFill="1" applyBorder="1" applyAlignment="1">
      <alignment horizontal="center" vertical="center" wrapText="1"/>
    </xf>
    <xf numFmtId="0" fontId="42" fillId="13" borderId="82" xfId="6" applyFont="1" applyFill="1" applyBorder="1" applyAlignment="1">
      <alignment horizontal="center" vertical="center" wrapText="1"/>
    </xf>
    <xf numFmtId="0" fontId="42" fillId="13" borderId="27" xfId="6" applyFont="1" applyFill="1" applyBorder="1" applyAlignment="1">
      <alignment horizontal="center" vertical="center" wrapText="1"/>
    </xf>
    <xf numFmtId="0" fontId="42" fillId="13" borderId="33" xfId="6" applyFont="1" applyFill="1" applyBorder="1" applyAlignment="1">
      <alignment horizontal="center" vertical="center" wrapText="1"/>
    </xf>
    <xf numFmtId="0" fontId="42" fillId="13" borderId="15" xfId="6" applyFont="1" applyFill="1" applyBorder="1" applyAlignment="1">
      <alignment horizontal="center" vertical="center" wrapText="1"/>
    </xf>
    <xf numFmtId="0" fontId="42" fillId="13" borderId="83" xfId="6" applyFont="1" applyFill="1" applyBorder="1" applyAlignment="1">
      <alignment horizontal="center" vertical="center" wrapText="1"/>
    </xf>
    <xf numFmtId="0" fontId="42" fillId="13" borderId="28" xfId="6" applyFont="1" applyFill="1" applyBorder="1" applyAlignment="1">
      <alignment horizontal="center" vertical="center" wrapText="1"/>
    </xf>
    <xf numFmtId="0" fontId="9" fillId="8" borderId="77" xfId="6" applyFont="1" applyFill="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2" fillId="22" borderId="19" xfId="0" applyFont="1" applyFill="1" applyBorder="1" applyAlignment="1">
      <alignment horizontal="center" vertical="center"/>
    </xf>
    <xf numFmtId="0" fontId="2" fillId="22" borderId="21" xfId="0" applyFont="1" applyFill="1" applyBorder="1" applyAlignment="1">
      <alignment horizontal="center" vertical="center"/>
    </xf>
    <xf numFmtId="0" fontId="2" fillId="22" borderId="100" xfId="0" applyFont="1" applyFill="1" applyBorder="1" applyAlignment="1">
      <alignment horizontal="center" vertical="center"/>
    </xf>
    <xf numFmtId="0" fontId="2" fillId="22" borderId="29" xfId="0" applyFont="1" applyFill="1" applyBorder="1" applyAlignment="1">
      <alignment horizontal="center" vertical="center"/>
    </xf>
    <xf numFmtId="0" fontId="2" fillId="22" borderId="95" xfId="0" applyFont="1" applyFill="1" applyBorder="1" applyAlignment="1">
      <alignment vertical="center" wrapText="1"/>
    </xf>
    <xf numFmtId="0" fontId="1" fillId="22" borderId="96" xfId="0" applyFont="1" applyFill="1" applyBorder="1" applyAlignment="1">
      <alignment vertical="center" wrapText="1"/>
    </xf>
    <xf numFmtId="0" fontId="2" fillId="22" borderId="123" xfId="0" applyFont="1" applyFill="1" applyBorder="1" applyAlignment="1">
      <alignment vertical="center" wrapText="1"/>
    </xf>
    <xf numFmtId="0" fontId="0" fillId="22" borderId="124" xfId="0" applyFill="1" applyBorder="1" applyAlignment="1">
      <alignment vertical="center" wrapText="1"/>
    </xf>
    <xf numFmtId="0" fontId="1" fillId="22" borderId="124" xfId="0" applyFont="1" applyFill="1" applyBorder="1" applyAlignment="1">
      <alignment vertical="center" wrapText="1"/>
    </xf>
    <xf numFmtId="0" fontId="2" fillId="22" borderId="114" xfId="0" applyFont="1" applyFill="1" applyBorder="1" applyAlignment="1">
      <alignment vertical="center" wrapText="1"/>
    </xf>
    <xf numFmtId="0" fontId="2" fillId="22" borderId="113" xfId="0" applyFont="1" applyFill="1" applyBorder="1" applyAlignment="1">
      <alignment vertical="center" wrapText="1"/>
    </xf>
    <xf numFmtId="10" fontId="11" fillId="20" borderId="4" xfId="2" applyNumberFormat="1" applyFont="1" applyFill="1" applyBorder="1" applyAlignment="1">
      <alignment horizontal="center" vertical="center"/>
    </xf>
    <xf numFmtId="0" fontId="2" fillId="20" borderId="4" xfId="0" applyFont="1" applyFill="1" applyBorder="1" applyAlignment="1">
      <alignment horizontal="center" vertical="center"/>
    </xf>
    <xf numFmtId="0" fontId="2" fillId="19" borderId="4" xfId="0" applyFont="1" applyFill="1" applyBorder="1" applyAlignment="1">
      <alignment horizontal="center" vertical="center"/>
    </xf>
    <xf numFmtId="0" fontId="2" fillId="18" borderId="4" xfId="0" applyFont="1" applyFill="1" applyBorder="1" applyAlignment="1">
      <alignment horizontal="center" vertical="center"/>
    </xf>
    <xf numFmtId="0" fontId="2" fillId="17" borderId="4" xfId="0" applyFont="1" applyFill="1" applyBorder="1" applyAlignment="1">
      <alignment horizontal="center" vertical="center" wrapText="1"/>
    </xf>
    <xf numFmtId="0" fontId="2" fillId="21" borderId="4" xfId="0" applyFont="1" applyFill="1" applyBorder="1" applyAlignment="1">
      <alignment horizontal="center" vertical="center" wrapText="1"/>
    </xf>
    <xf numFmtId="0" fontId="11" fillId="0" borderId="118" xfId="0" applyFont="1" applyBorder="1" applyAlignment="1">
      <alignment horizontal="center"/>
    </xf>
    <xf numFmtId="0" fontId="11" fillId="0" borderId="4" xfId="0" applyFont="1" applyBorder="1" applyAlignment="1">
      <alignment horizontal="center" vertical="center"/>
    </xf>
    <xf numFmtId="0" fontId="1" fillId="22" borderId="14" xfId="0" applyFont="1" applyFill="1" applyBorder="1" applyAlignment="1">
      <alignment horizontal="left" vertical="center" wrapText="1"/>
    </xf>
    <xf numFmtId="0" fontId="1" fillId="22" borderId="115" xfId="0" applyFont="1" applyFill="1" applyBorder="1" applyAlignment="1">
      <alignment horizontal="left" vertical="center" wrapText="1"/>
    </xf>
    <xf numFmtId="0" fontId="1" fillId="22" borderId="6" xfId="0" applyFont="1" applyFill="1" applyBorder="1" applyAlignment="1">
      <alignment horizontal="left" vertical="center" wrapText="1"/>
    </xf>
    <xf numFmtId="0" fontId="1" fillId="22" borderId="33" xfId="0" applyFont="1" applyFill="1" applyBorder="1" applyAlignment="1">
      <alignment horizontal="left" vertical="center" wrapText="1"/>
    </xf>
    <xf numFmtId="0" fontId="1" fillId="22" borderId="9" xfId="0" applyFont="1" applyFill="1" applyBorder="1" applyAlignment="1">
      <alignment horizontal="left" vertical="center" wrapText="1"/>
    </xf>
    <xf numFmtId="0" fontId="1" fillId="22" borderId="107" xfId="0" applyFont="1" applyFill="1" applyBorder="1" applyAlignment="1">
      <alignment horizontal="left" vertical="center" wrapText="1"/>
    </xf>
    <xf numFmtId="0" fontId="1" fillId="22" borderId="121" xfId="0" applyFont="1" applyFill="1" applyBorder="1" applyAlignment="1">
      <alignment vertical="center" wrapText="1"/>
    </xf>
    <xf numFmtId="0" fontId="1" fillId="22" borderId="122" xfId="0" applyFont="1" applyFill="1" applyBorder="1" applyAlignment="1">
      <alignment vertical="center" wrapText="1"/>
    </xf>
    <xf numFmtId="0" fontId="1" fillId="22" borderId="121" xfId="0" applyFont="1" applyFill="1" applyBorder="1" applyAlignment="1">
      <alignment horizontal="left" vertical="center" wrapText="1"/>
    </xf>
    <xf numFmtId="0" fontId="1" fillId="22" borderId="122" xfId="0" applyFont="1" applyFill="1" applyBorder="1" applyAlignment="1">
      <alignment horizontal="left"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cellXfs>
  <cellStyles count="11">
    <cellStyle name="Hipervínculo" xfId="4" builtinId="8"/>
    <cellStyle name="Millares [0]" xfId="1" builtinId="6"/>
    <cellStyle name="Moneda" xfId="10" builtinId="4"/>
    <cellStyle name="Normal" xfId="0" builtinId="0"/>
    <cellStyle name="Normal 2" xfId="3" xr:uid="{1D1FF82A-107D-4F43-987A-033ABE5CA100}"/>
    <cellStyle name="Normal 2 4" xfId="8" xr:uid="{326CBF9E-303D-4BDC-B05B-3D4DA5601630}"/>
    <cellStyle name="Normal 3" xfId="5" xr:uid="{4D99EAC9-481B-4518-A632-716C74E89004}"/>
    <cellStyle name="Normal 6" xfId="6" xr:uid="{3E21EA97-5DAA-47FF-BC8C-1A7D45EEB8ED}"/>
    <cellStyle name="Porcentaje" xfId="2" builtinId="5"/>
    <cellStyle name="Porcentaje 2" xfId="9" xr:uid="{A3E704BD-83D2-4063-B33A-35AEBF72DC4F}"/>
    <cellStyle name="Porcentaje 5" xfId="7" xr:uid="{6AC8A315-4B13-4519-889D-2D6B5FC341E4}"/>
  </cellStyles>
  <dxfs count="5">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1-0DB6-4E90-9582-3F00914BC553}"/>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0DB6-4E90-9582-3F00914BC553}"/>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0DB6-4E90-9582-3F00914BC553}"/>
              </c:ext>
            </c:extLst>
          </c:dPt>
          <c:dPt>
            <c:idx val="3"/>
            <c:bubble3D val="0"/>
            <c:spPr>
              <a:solidFill>
                <a:srgbClr val="FF00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7-0DB6-4E90-9582-3F00914BC553}"/>
              </c:ext>
            </c:extLst>
          </c:dPt>
          <c:dPt>
            <c:idx val="4"/>
            <c:bubble3D val="0"/>
            <c:spPr>
              <a:solidFill>
                <a:schemeClr val="bg1">
                  <a:lumMod val="75000"/>
                </a:schemeClr>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A-0DB6-4E90-9582-3F00914BC553}"/>
              </c:ext>
            </c:extLst>
          </c:dPt>
          <c:dLbls>
            <c:dLbl>
              <c:idx val="0"/>
              <c:layout>
                <c:manualLayout>
                  <c:x val="-4.6648193014334656E-2"/>
                  <c:y val="6.0182955071792499E-2"/>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sz="1000">
                        <a:solidFill>
                          <a:sysClr val="windowText" lastClr="000000"/>
                        </a:solidFill>
                      </a:rPr>
                      <a:t>67.39%</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318836122047244"/>
                      <c:h val="8.1680083182602559E-2"/>
                    </c:manualLayout>
                  </c15:layout>
                  <c15:showDataLabelsRange val="0"/>
                </c:ext>
                <c:ext xmlns:c16="http://schemas.microsoft.com/office/drawing/2014/chart" uri="{C3380CC4-5D6E-409C-BE32-E72D297353CC}">
                  <c16:uniqueId val="{00000001-0DB6-4E90-9582-3F00914BC553}"/>
                </c:ext>
              </c:extLst>
            </c:dLbl>
            <c:dLbl>
              <c:idx val="1"/>
              <c:layout>
                <c:manualLayout>
                  <c:x val="-2.3134403006375096E-2"/>
                  <c:y val="-5.5506209314393883E-3"/>
                </c:manualLayout>
              </c:layout>
              <c:tx>
                <c:rich>
                  <a:bodyPr/>
                  <a:lstStyle/>
                  <a:p>
                    <a:r>
                      <a:rPr lang="en-US"/>
                      <a:t>10.42%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0DB6-4E90-9582-3F00914BC553}"/>
                </c:ext>
              </c:extLst>
            </c:dLbl>
            <c:dLbl>
              <c:idx val="2"/>
              <c:layout>
                <c:manualLayout>
                  <c:x val="-3.6612558045628921E-2"/>
                  <c:y val="-1.205136122690546E-2"/>
                </c:manualLayout>
              </c:layout>
              <c:tx>
                <c:rich>
                  <a:bodyPr/>
                  <a:lstStyle/>
                  <a:p>
                    <a:r>
                      <a:rPr lang="en-US"/>
                      <a:t>2.17%</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0DB6-4E90-9582-3F00914BC553}"/>
                </c:ext>
              </c:extLst>
            </c:dLbl>
            <c:dLbl>
              <c:idx val="3"/>
              <c:layout>
                <c:manualLayout>
                  <c:x val="-2.1740763173834065E-2"/>
                  <c:y val="-2.2445319335083116E-2"/>
                </c:manualLayout>
              </c:layout>
              <c:tx>
                <c:rich>
                  <a:bodyPr/>
                  <a:lstStyle/>
                  <a:p>
                    <a:r>
                      <a:rPr lang="en-US"/>
                      <a:t>4.35%</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0DB6-4E90-9582-3F00914BC553}"/>
                </c:ext>
              </c:extLst>
            </c:dLbl>
            <c:dLbl>
              <c:idx val="4"/>
              <c:layout>
                <c:manualLayout>
                  <c:x val="2.8205128205128206E-2"/>
                  <c:y val="-1.9607843137254933E-2"/>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sz="1000"/>
                      <a:t>15.22%</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11025641025641"/>
                      <c:h val="5.6225618856466472E-2"/>
                    </c:manualLayout>
                  </c15:layout>
                  <c15:showDataLabelsRange val="0"/>
                </c:ext>
                <c:ext xmlns:c16="http://schemas.microsoft.com/office/drawing/2014/chart" uri="{C3380CC4-5D6E-409C-BE32-E72D297353CC}">
                  <c16:uniqueId val="{0000000A-0DB6-4E90-9582-3F00914BC553}"/>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Resultados!$C$11:$C$15</c:f>
              <c:strCache>
                <c:ptCount val="5"/>
                <c:pt idx="0">
                  <c:v>Muy satisfactorio</c:v>
                </c:pt>
                <c:pt idx="1">
                  <c:v>Satisfactorio</c:v>
                </c:pt>
                <c:pt idx="2">
                  <c:v>Aceptable</c:v>
                </c:pt>
                <c:pt idx="3">
                  <c:v>Alerta</c:v>
                </c:pt>
                <c:pt idx="4">
                  <c:v>Sin iniciar</c:v>
                </c:pt>
              </c:strCache>
            </c:strRef>
          </c:cat>
          <c:val>
            <c:numRef>
              <c:f>Resultados!$D$11:$D$15</c:f>
              <c:numCache>
                <c:formatCode>General</c:formatCode>
                <c:ptCount val="5"/>
                <c:pt idx="0">
                  <c:v>33</c:v>
                </c:pt>
                <c:pt idx="1">
                  <c:v>5</c:v>
                </c:pt>
                <c:pt idx="2">
                  <c:v>1</c:v>
                </c:pt>
                <c:pt idx="3">
                  <c:v>2</c:v>
                </c:pt>
                <c:pt idx="4">
                  <c:v>7</c:v>
                </c:pt>
              </c:numCache>
            </c:numRef>
          </c:val>
          <c:extLst>
            <c:ext xmlns:c16="http://schemas.microsoft.com/office/drawing/2014/chart" uri="{C3380CC4-5D6E-409C-BE32-E72D297353CC}">
              <c16:uniqueId val="{00000008-0DB6-4E90-9582-3F00914BC55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1A9-4A65-BCBB-22D8BB37E085}"/>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61A9-4A65-BCBB-22D8BB37E085}"/>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61A9-4A65-BCBB-22D8BB37E085}"/>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7-61A9-4A65-BCBB-22D8BB37E085}"/>
              </c:ext>
            </c:extLst>
          </c:dPt>
          <c:dPt>
            <c:idx val="4"/>
            <c:bubble3D val="0"/>
            <c:spPr>
              <a:noFill/>
              <a:ln w="19050">
                <a:solidFill>
                  <a:schemeClr val="lt1"/>
                </a:solidFill>
              </a:ln>
              <a:effectLst/>
            </c:spPr>
            <c:extLst>
              <c:ext xmlns:c16="http://schemas.microsoft.com/office/drawing/2014/chart" uri="{C3380CC4-5D6E-409C-BE32-E72D297353CC}">
                <c16:uniqueId val="{00000009-61A9-4A65-BCBB-22D8BB37E085}"/>
              </c:ext>
            </c:extLst>
          </c:dPt>
          <c:val>
            <c:numRef>
              <c:f>Resultados!$K$10:$K$14</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A-61A9-4A65-BCBB-22D8BB37E085}"/>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C-61A9-4A65-BCBB-22D8BB37E085}"/>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E-61A9-4A65-BCBB-22D8BB37E085}"/>
              </c:ext>
            </c:extLst>
          </c:dPt>
          <c:dPt>
            <c:idx val="2"/>
            <c:bubble3D val="0"/>
            <c:spPr>
              <a:noFill/>
              <a:ln w="19050">
                <a:solidFill>
                  <a:schemeClr val="lt1"/>
                </a:solidFill>
              </a:ln>
              <a:effectLst/>
            </c:spPr>
            <c:extLst>
              <c:ext xmlns:c16="http://schemas.microsoft.com/office/drawing/2014/chart" uri="{C3380CC4-5D6E-409C-BE32-E72D297353CC}">
                <c16:uniqueId val="{00000010-61A9-4A65-BCBB-22D8BB37E0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1-8663-4ACE-BCD3-71751262E94D}"/>
              </c:ext>
            </c:extLst>
          </c:dPt>
          <c:val>
            <c:numRef>
              <c:f>Resultados!$K$17:$K$20</c:f>
              <c:numCache>
                <c:formatCode>0%</c:formatCode>
                <c:ptCount val="4"/>
                <c:pt idx="0" formatCode="0.00%">
                  <c:v>0.77645833333333336</c:v>
                </c:pt>
                <c:pt idx="1">
                  <c:v>0.02</c:v>
                </c:pt>
                <c:pt idx="2" formatCode="0.00%">
                  <c:v>1.2035416666666663</c:v>
                </c:pt>
              </c:numCache>
            </c:numRef>
          </c:val>
          <c:extLst>
            <c:ext xmlns:c16="http://schemas.microsoft.com/office/drawing/2014/chart" uri="{C3380CC4-5D6E-409C-BE32-E72D297353CC}">
              <c16:uniqueId val="{00000011-61A9-4A65-BCBB-22D8BB37E08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8900000">
                <a:prstClr val="black">
                  <a:alpha val="50000"/>
                </a:prstClr>
              </a:innerShdw>
            </a:effectLst>
          </c:spPr>
          <c:dPt>
            <c:idx val="0"/>
            <c:bubble3D val="0"/>
            <c:spPr>
              <a:solidFill>
                <a:srgbClr val="00B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1-85A8-4B13-B14E-9F0F0A504B6C}"/>
              </c:ext>
            </c:extLst>
          </c:dPt>
          <c:dPt>
            <c:idx val="1"/>
            <c:bubble3D val="0"/>
            <c:spPr>
              <a:solidFill>
                <a:srgbClr val="92D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3-85A8-4B13-B14E-9F0F0A504B6C}"/>
              </c:ext>
            </c:extLst>
          </c:dPt>
          <c:dPt>
            <c:idx val="2"/>
            <c:bubble3D val="0"/>
            <c:spPr>
              <a:solidFill>
                <a:srgbClr val="FFFF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5-85A8-4B13-B14E-9F0F0A504B6C}"/>
              </c:ext>
            </c:extLst>
          </c:dPt>
          <c:dPt>
            <c:idx val="3"/>
            <c:bubble3D val="0"/>
            <c:spPr>
              <a:solidFill>
                <a:srgbClr val="FF00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7-85A8-4B13-B14E-9F0F0A504B6C}"/>
              </c:ext>
            </c:extLst>
          </c:dPt>
          <c:dPt>
            <c:idx val="4"/>
            <c:bubble3D val="0"/>
            <c:spPr>
              <a:solidFill>
                <a:schemeClr val="bg1">
                  <a:lumMod val="7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9-85A8-4B13-B14E-9F0F0A504B6C}"/>
              </c:ext>
            </c:extLst>
          </c:dPt>
          <c:dLbls>
            <c:dLbl>
              <c:idx val="0"/>
              <c:tx>
                <c:rich>
                  <a:bodyPr/>
                  <a:lstStyle/>
                  <a:p>
                    <a:r>
                      <a:rPr lang="en-US"/>
                      <a:t>77.08%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85A8-4B13-B14E-9F0F0A504B6C}"/>
                </c:ext>
              </c:extLst>
            </c:dLbl>
            <c:dLbl>
              <c:idx val="1"/>
              <c:layout>
                <c:manualLayout>
                  <c:x val="-0.10664205299370767"/>
                  <c:y val="-0.10092295833401625"/>
                </c:manualLayout>
              </c:layout>
              <c:tx>
                <c:rich>
                  <a:bodyPr/>
                  <a:lstStyle/>
                  <a:p>
                    <a:r>
                      <a:rPr lang="en-US"/>
                      <a:t>14.58%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85A8-4B13-B14E-9F0F0A504B6C}"/>
                </c:ext>
              </c:extLst>
            </c:dLbl>
            <c:dLbl>
              <c:idx val="2"/>
              <c:layout>
                <c:manualLayout>
                  <c:x val="-9.827797040596592E-2"/>
                  <c:y val="-0.10092295833401625"/>
                </c:manualLayout>
              </c:layout>
              <c:tx>
                <c:rich>
                  <a:bodyPr/>
                  <a:lstStyle/>
                  <a:p>
                    <a:r>
                      <a:rPr lang="en-US"/>
                      <a:t>2.08%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85A8-4B13-B14E-9F0F0A504B6C}"/>
                </c:ext>
              </c:extLst>
            </c:dLbl>
            <c:dLbl>
              <c:idx val="3"/>
              <c:layout>
                <c:manualLayout>
                  <c:x val="-7.1094701995805115E-2"/>
                  <c:y val="-0.13561522526133435"/>
                </c:manualLayout>
              </c:layout>
              <c:tx>
                <c:rich>
                  <a:bodyPr/>
                  <a:lstStyle/>
                  <a:p>
                    <a:r>
                      <a:rPr lang="en-US"/>
                      <a:t>6.25%</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85A8-4B13-B14E-9F0F0A504B6C}"/>
                </c:ext>
              </c:extLst>
            </c:dLbl>
            <c:dLbl>
              <c:idx val="4"/>
              <c:layout>
                <c:manualLayout>
                  <c:x val="8.1549805230482261E-2"/>
                  <c:y val="-0.13561522526133435"/>
                </c:manualLayout>
              </c:layout>
              <c:tx>
                <c:rich>
                  <a:bodyPr/>
                  <a:lstStyle/>
                  <a:p>
                    <a:r>
                      <a:rPr lang="en-US"/>
                      <a:t>2.08%</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9-85A8-4B13-B14E-9F0F0A504B6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'Gráficos y Tablas'!$B$16:$B$20</c:f>
              <c:strCache>
                <c:ptCount val="5"/>
                <c:pt idx="0">
                  <c:v>Muy satisfactorio (Superior a 90%)</c:v>
                </c:pt>
                <c:pt idx="1">
                  <c:v>Satisfactorio (entre 60% y 90%)</c:v>
                </c:pt>
                <c:pt idx="2">
                  <c:v>Aceptable (entre 30% y 60%)</c:v>
                </c:pt>
                <c:pt idx="3">
                  <c:v>Alerta (Inferior al 30%)</c:v>
                </c:pt>
                <c:pt idx="4">
                  <c:v>Sin iniciar / Sin reporte</c:v>
                </c:pt>
              </c:strCache>
            </c:strRef>
          </c:cat>
          <c:val>
            <c:numRef>
              <c:f>'Gráficos y Tablas'!$D$16:$D$20</c:f>
              <c:numCache>
                <c:formatCode>General</c:formatCode>
                <c:ptCount val="5"/>
                <c:pt idx="0">
                  <c:v>37</c:v>
                </c:pt>
                <c:pt idx="1">
                  <c:v>7</c:v>
                </c:pt>
                <c:pt idx="2">
                  <c:v>1</c:v>
                </c:pt>
                <c:pt idx="3">
                  <c:v>3</c:v>
                </c:pt>
                <c:pt idx="4">
                  <c:v>0</c:v>
                </c:pt>
              </c:numCache>
            </c:numRef>
          </c:val>
          <c:extLst>
            <c:ext xmlns:c16="http://schemas.microsoft.com/office/drawing/2014/chart" uri="{C3380CC4-5D6E-409C-BE32-E72D297353CC}">
              <c16:uniqueId val="{0000000A-85A8-4B13-B14E-9F0F0A504B6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7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CCDC-40A5-B56D-F629A9AACFA8}"/>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CCDC-40A5-B56D-F629A9AACFA8}"/>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CCDC-40A5-B56D-F629A9AACFA8}"/>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7-CCDC-40A5-B56D-F629A9AACFA8}"/>
              </c:ext>
            </c:extLst>
          </c:dPt>
          <c:dPt>
            <c:idx val="4"/>
            <c:bubble3D val="0"/>
            <c:spPr>
              <a:noFill/>
              <a:ln w="19050">
                <a:solidFill>
                  <a:schemeClr val="lt1"/>
                </a:solidFill>
              </a:ln>
              <a:effectLst/>
            </c:spPr>
            <c:extLst>
              <c:ext xmlns:c16="http://schemas.microsoft.com/office/drawing/2014/chart" uri="{C3380CC4-5D6E-409C-BE32-E72D297353CC}">
                <c16:uniqueId val="{00000009-CCDC-40A5-B56D-F629A9AACFA8}"/>
              </c:ext>
            </c:extLst>
          </c:dPt>
          <c:val>
            <c:numRef>
              <c:f>'Gráficos y Tablas'!$K$15:$K$19</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A-CCDC-40A5-B56D-F629A9AACFA8}"/>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C-CCDC-40A5-B56D-F629A9AACFA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E-CCDC-40A5-B56D-F629A9AACFA8}"/>
              </c:ext>
            </c:extLst>
          </c:dPt>
          <c:dPt>
            <c:idx val="2"/>
            <c:bubble3D val="0"/>
            <c:spPr>
              <a:noFill/>
              <a:ln w="19050">
                <a:solidFill>
                  <a:schemeClr val="lt1"/>
                </a:solidFill>
              </a:ln>
              <a:effectLst/>
            </c:spPr>
            <c:extLst>
              <c:ext xmlns:c16="http://schemas.microsoft.com/office/drawing/2014/chart" uri="{C3380CC4-5D6E-409C-BE32-E72D297353CC}">
                <c16:uniqueId val="{00000010-CCDC-40A5-B56D-F629A9AACF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CCDC-40A5-B56D-F629A9AACFA8}"/>
              </c:ext>
            </c:extLst>
          </c:dPt>
          <c:val>
            <c:numRef>
              <c:f>'Gráficos y Tablas'!$K$22:$K$25</c:f>
              <c:numCache>
                <c:formatCode>0%</c:formatCode>
                <c:ptCount val="4"/>
                <c:pt idx="0" formatCode="0.00%">
                  <c:v>0.89624999999999999</c:v>
                </c:pt>
                <c:pt idx="1">
                  <c:v>0.02</c:v>
                </c:pt>
                <c:pt idx="2" formatCode="0.00%">
                  <c:v>1.0837499999999998</c:v>
                </c:pt>
              </c:numCache>
            </c:numRef>
          </c:val>
          <c:extLst>
            <c:ext xmlns:c16="http://schemas.microsoft.com/office/drawing/2014/chart" uri="{C3380CC4-5D6E-409C-BE32-E72D297353CC}">
              <c16:uniqueId val="{00000013-CCDC-40A5-B56D-F629A9AACFA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27</xdr:col>
      <xdr:colOff>296333</xdr:colOff>
      <xdr:row>0</xdr:row>
      <xdr:rowOff>10583</xdr:rowOff>
    </xdr:from>
    <xdr:to>
      <xdr:col>27</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381001</xdr:colOff>
      <xdr:row>0</xdr:row>
      <xdr:rowOff>74084</xdr:rowOff>
    </xdr:from>
    <xdr:to>
      <xdr:col>0</xdr:col>
      <xdr:colOff>1344085</xdr:colOff>
      <xdr:row>0</xdr:row>
      <xdr:rowOff>679203</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1" y="74084"/>
          <a:ext cx="963084" cy="60511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2BE8FB44-47EA-45A2-8A45-2B3448E746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0" cy="933450"/>
        </a:xfrm>
        <a:prstGeom prst="rect">
          <a:avLst/>
        </a:prstGeom>
        <a:noFill/>
        <a:ln>
          <a:noFill/>
        </a:ln>
      </xdr:spPr>
    </xdr:pic>
    <xdr:clientData/>
  </xdr:twoCellAnchor>
  <xdr:oneCellAnchor>
    <xdr:from>
      <xdr:col>1</xdr:col>
      <xdr:colOff>171450</xdr:colOff>
      <xdr:row>0</xdr:row>
      <xdr:rowOff>133350</xdr:rowOff>
    </xdr:from>
    <xdr:ext cx="1123950" cy="752475"/>
    <xdr:pic>
      <xdr:nvPicPr>
        <xdr:cNvPr id="3" name="image1.png" descr="C:\Users\john.garcia\Desktop\LOGO CAPITAL LETRA NEGRA.png">
          <a:extLst>
            <a:ext uri="{FF2B5EF4-FFF2-40B4-BE49-F238E27FC236}">
              <a16:creationId xmlns:a16="http://schemas.microsoft.com/office/drawing/2014/main" id="{FA3C7917-2AD8-4DAD-A8CE-123DB3F0D309}"/>
            </a:ext>
          </a:extLst>
        </xdr:cNvPr>
        <xdr:cNvPicPr preferRelativeResize="0"/>
      </xdr:nvPicPr>
      <xdr:blipFill>
        <a:blip xmlns:r="http://schemas.openxmlformats.org/officeDocument/2006/relationships" r:embed="rId1" cstate="print"/>
        <a:stretch>
          <a:fillRect/>
        </a:stretch>
      </xdr:blipFill>
      <xdr:spPr>
        <a:xfrm>
          <a:off x="352425" y="133350"/>
          <a:ext cx="1123950" cy="7524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5A118593-E041-46B7-8BD0-18F0471E49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933450"/>
        </a:xfrm>
        <a:prstGeom prst="rect">
          <a:avLst/>
        </a:prstGeom>
        <a:noFill/>
        <a:ln>
          <a:noFill/>
        </a:ln>
      </xdr:spPr>
    </xdr:pic>
    <xdr:clientData/>
  </xdr:twoCellAnchor>
  <xdr:oneCellAnchor>
    <xdr:from>
      <xdr:col>1</xdr:col>
      <xdr:colOff>190500</xdr:colOff>
      <xdr:row>0</xdr:row>
      <xdr:rowOff>171450</xdr:rowOff>
    </xdr:from>
    <xdr:ext cx="1123950" cy="752475"/>
    <xdr:pic>
      <xdr:nvPicPr>
        <xdr:cNvPr id="3" name="image1.png" descr="C:\Users\john.garcia\Desktop\LOGO CAPITAL LETRA NEGRA.png">
          <a:extLst>
            <a:ext uri="{FF2B5EF4-FFF2-40B4-BE49-F238E27FC236}">
              <a16:creationId xmlns:a16="http://schemas.microsoft.com/office/drawing/2014/main" id="{E45CFC3C-904C-48E8-B45E-900C8EAD4D79}"/>
            </a:ext>
          </a:extLst>
        </xdr:cNvPr>
        <xdr:cNvPicPr preferRelativeResize="0"/>
      </xdr:nvPicPr>
      <xdr:blipFill>
        <a:blip xmlns:r="http://schemas.openxmlformats.org/officeDocument/2006/relationships" r:embed="rId1" cstate="print"/>
        <a:stretch>
          <a:fillRect/>
        </a:stretch>
      </xdr:blipFill>
      <xdr:spPr>
        <a:xfrm>
          <a:off x="352425" y="171450"/>
          <a:ext cx="1123950" cy="7524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D97497FB-A2BA-452E-A8F4-6A46C0A1E1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752475"/>
        </a:xfrm>
        <a:prstGeom prst="rect">
          <a:avLst/>
        </a:prstGeom>
        <a:noFill/>
        <a:ln>
          <a:noFill/>
        </a:ln>
      </xdr:spPr>
    </xdr:pic>
    <xdr:clientData/>
  </xdr:twoCellAnchor>
  <xdr:twoCellAnchor editAs="oneCell">
    <xdr:from>
      <xdr:col>1</xdr:col>
      <xdr:colOff>9525</xdr:colOff>
      <xdr:row>0</xdr:row>
      <xdr:rowOff>76200</xdr:rowOff>
    </xdr:from>
    <xdr:to>
      <xdr:col>2</xdr:col>
      <xdr:colOff>914400</xdr:colOff>
      <xdr:row>3</xdr:row>
      <xdr:rowOff>173831</xdr:rowOff>
    </xdr:to>
    <xdr:pic>
      <xdr:nvPicPr>
        <xdr:cNvPr id="3" name="5 Imagen" descr="C:\Users\john.garcia\Desktop\LOGO CAPITAL LETRA NEGRA.png">
          <a:extLst>
            <a:ext uri="{FF2B5EF4-FFF2-40B4-BE49-F238E27FC236}">
              <a16:creationId xmlns:a16="http://schemas.microsoft.com/office/drawing/2014/main" id="{744099BF-2B61-41D1-B97B-0A0E210BA9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200150" cy="81200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114300</xdr:colOff>
      <xdr:row>0</xdr:row>
      <xdr:rowOff>76201</xdr:rowOff>
    </xdr:from>
    <xdr:to>
      <xdr:col>14</xdr:col>
      <xdr:colOff>742950</xdr:colOff>
      <xdr:row>7</xdr:row>
      <xdr:rowOff>371476</xdr:rowOff>
    </xdr:to>
    <xdr:graphicFrame macro="">
      <xdr:nvGraphicFramePr>
        <xdr:cNvPr id="2" name="Gráfico 1">
          <a:extLst>
            <a:ext uri="{FF2B5EF4-FFF2-40B4-BE49-F238E27FC236}">
              <a16:creationId xmlns:a16="http://schemas.microsoft.com/office/drawing/2014/main" id="{210AC217-D92E-48F0-ADB4-5E572811D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264579</xdr:colOff>
      <xdr:row>8</xdr:row>
      <xdr:rowOff>15874</xdr:rowOff>
    </xdr:from>
    <xdr:to>
      <xdr:col>16</xdr:col>
      <xdr:colOff>730246</xdr:colOff>
      <xdr:row>21</xdr:row>
      <xdr:rowOff>624417</xdr:rowOff>
    </xdr:to>
    <xdr:grpSp>
      <xdr:nvGrpSpPr>
        <xdr:cNvPr id="3" name="Grupo 2">
          <a:extLst>
            <a:ext uri="{FF2B5EF4-FFF2-40B4-BE49-F238E27FC236}">
              <a16:creationId xmlns:a16="http://schemas.microsoft.com/office/drawing/2014/main" id="{0CC6CA83-7184-4101-9ED0-D55A5C03B729}"/>
            </a:ext>
          </a:extLst>
        </xdr:cNvPr>
        <xdr:cNvGrpSpPr/>
      </xdr:nvGrpSpPr>
      <xdr:grpSpPr>
        <a:xfrm>
          <a:off x="10805579" y="4132791"/>
          <a:ext cx="3926417" cy="3243793"/>
          <a:chOff x="10334625" y="4100512"/>
          <a:chExt cx="3205796" cy="2743200"/>
        </a:xfrm>
      </xdr:grpSpPr>
      <xdr:grpSp>
        <xdr:nvGrpSpPr>
          <xdr:cNvPr id="4" name="Grupo 3">
            <a:extLst>
              <a:ext uri="{FF2B5EF4-FFF2-40B4-BE49-F238E27FC236}">
                <a16:creationId xmlns:a16="http://schemas.microsoft.com/office/drawing/2014/main" id="{C33ACA72-C70E-4FBE-BA2B-AA4932F2ABA4}"/>
              </a:ext>
            </a:extLst>
          </xdr:cNvPr>
          <xdr:cNvGrpSpPr/>
        </xdr:nvGrpSpPr>
        <xdr:grpSpPr>
          <a:xfrm>
            <a:off x="10334625" y="4100512"/>
            <a:ext cx="3152775" cy="2743200"/>
            <a:chOff x="10267950" y="4310062"/>
            <a:chExt cx="4572000" cy="2743200"/>
          </a:xfrm>
        </xdr:grpSpPr>
        <xdr:graphicFrame macro="">
          <xdr:nvGraphicFramePr>
            <xdr:cNvPr id="10" name="Gráfico 9">
              <a:extLst>
                <a:ext uri="{FF2B5EF4-FFF2-40B4-BE49-F238E27FC236}">
                  <a16:creationId xmlns:a16="http://schemas.microsoft.com/office/drawing/2014/main" id="{601EEBD6-858F-4FB1-9031-4D708B45C863}"/>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C$10">
          <xdr:nvSpPr>
            <xdr:cNvPr id="11" name="Rectángulo 10">
              <a:extLst>
                <a:ext uri="{FF2B5EF4-FFF2-40B4-BE49-F238E27FC236}">
                  <a16:creationId xmlns:a16="http://schemas.microsoft.com/office/drawing/2014/main" id="{2A37434C-BD14-4518-BF54-CE93675CB34A}"/>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8AD572A0-15AB-445B-9F3A-5E3F1A5E7D89}" type="TxLink">
                <a:rPr lang="en-US" sz="1100" b="1" i="0" u="none" strike="noStrike">
                  <a:solidFill>
                    <a:srgbClr val="000000"/>
                  </a:solidFill>
                  <a:latin typeface="Calibri"/>
                  <a:cs typeface="Calibri"/>
                </a:rPr>
                <a:pPr algn="l"/>
                <a:t>78,65%</a:t>
              </a:fld>
              <a:endParaRPr lang="es-CO" sz="1000">
                <a:latin typeface="Arial" panose="020B0604020202020204" pitchFamily="34" charset="0"/>
                <a:cs typeface="Arial" panose="020B0604020202020204" pitchFamily="34" charset="0"/>
              </a:endParaRPr>
            </a:p>
          </xdr:txBody>
        </xdr:sp>
      </xdr:grpSp>
      <xdr:sp macro="" textlink="">
        <xdr:nvSpPr>
          <xdr:cNvPr id="5" name="CuadroTexto 4">
            <a:extLst>
              <a:ext uri="{FF2B5EF4-FFF2-40B4-BE49-F238E27FC236}">
                <a16:creationId xmlns:a16="http://schemas.microsoft.com/office/drawing/2014/main" id="{18C805BE-F469-45A0-A9F7-5B610A1A6B89}"/>
              </a:ext>
            </a:extLst>
          </xdr:cNvPr>
          <xdr:cNvSpPr txBox="1"/>
        </xdr:nvSpPr>
        <xdr:spPr>
          <a:xfrm>
            <a:off x="10370445" y="5296078"/>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6" name="CuadroTexto 5">
            <a:extLst>
              <a:ext uri="{FF2B5EF4-FFF2-40B4-BE49-F238E27FC236}">
                <a16:creationId xmlns:a16="http://schemas.microsoft.com/office/drawing/2014/main" id="{01D9EB8A-A3BF-494D-B45B-EABB58889601}"/>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7" name="CuadroTexto 6">
            <a:extLst>
              <a:ext uri="{FF2B5EF4-FFF2-40B4-BE49-F238E27FC236}">
                <a16:creationId xmlns:a16="http://schemas.microsoft.com/office/drawing/2014/main" id="{3D5B9805-63E7-48E1-8FE9-839F3F9785E0}"/>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8" name="CuadroTexto 7">
            <a:extLst>
              <a:ext uri="{FF2B5EF4-FFF2-40B4-BE49-F238E27FC236}">
                <a16:creationId xmlns:a16="http://schemas.microsoft.com/office/drawing/2014/main" id="{B52356A6-282C-4F58-9F94-389EC4AFF7CD}"/>
              </a:ext>
            </a:extLst>
          </xdr:cNvPr>
          <xdr:cNvSpPr txBox="1"/>
        </xdr:nvSpPr>
        <xdr:spPr>
          <a:xfrm>
            <a:off x="12848112" y="5048250"/>
            <a:ext cx="692304" cy="14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9" name="CuadroTexto 8">
            <a:extLst>
              <a:ext uri="{FF2B5EF4-FFF2-40B4-BE49-F238E27FC236}">
                <a16:creationId xmlns:a16="http://schemas.microsoft.com/office/drawing/2014/main" id="{C67F9227-365D-479A-A7E9-505FB81EC5AD}"/>
              </a:ext>
            </a:extLst>
          </xdr:cNvPr>
          <xdr:cNvSpPr txBox="1"/>
        </xdr:nvSpPr>
        <xdr:spPr>
          <a:xfrm>
            <a:off x="12918704" y="5324476"/>
            <a:ext cx="621717" cy="14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134469</xdr:colOff>
      <xdr:row>0</xdr:row>
      <xdr:rowOff>98612</xdr:rowOff>
    </xdr:from>
    <xdr:to>
      <xdr:col>16</xdr:col>
      <xdr:colOff>280146</xdr:colOff>
      <xdr:row>13</xdr:row>
      <xdr:rowOff>1681</xdr:rowOff>
    </xdr:to>
    <xdr:graphicFrame macro="">
      <xdr:nvGraphicFramePr>
        <xdr:cNvPr id="2" name="Gráfico 1">
          <a:extLst>
            <a:ext uri="{FF2B5EF4-FFF2-40B4-BE49-F238E27FC236}">
              <a16:creationId xmlns:a16="http://schemas.microsoft.com/office/drawing/2014/main" id="{60AD0DE5-D146-4E58-83FA-B1C7EF3EB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264579</xdr:colOff>
      <xdr:row>13</xdr:row>
      <xdr:rowOff>15874</xdr:rowOff>
    </xdr:from>
    <xdr:to>
      <xdr:col>16</xdr:col>
      <xdr:colOff>730246</xdr:colOff>
      <xdr:row>26</xdr:row>
      <xdr:rowOff>624417</xdr:rowOff>
    </xdr:to>
    <xdr:grpSp>
      <xdr:nvGrpSpPr>
        <xdr:cNvPr id="3" name="Grupo 2">
          <a:extLst>
            <a:ext uri="{FF2B5EF4-FFF2-40B4-BE49-F238E27FC236}">
              <a16:creationId xmlns:a16="http://schemas.microsoft.com/office/drawing/2014/main" id="{9B72DBC3-555C-40F2-8B7A-4389B32E5CA3}"/>
            </a:ext>
          </a:extLst>
        </xdr:cNvPr>
        <xdr:cNvGrpSpPr/>
      </xdr:nvGrpSpPr>
      <xdr:grpSpPr>
        <a:xfrm>
          <a:off x="10831726" y="4139639"/>
          <a:ext cx="3928285" cy="3241925"/>
          <a:chOff x="10334625" y="4100512"/>
          <a:chExt cx="3205796" cy="2743200"/>
        </a:xfrm>
      </xdr:grpSpPr>
      <xdr:grpSp>
        <xdr:nvGrpSpPr>
          <xdr:cNvPr id="4" name="Grupo 3">
            <a:extLst>
              <a:ext uri="{FF2B5EF4-FFF2-40B4-BE49-F238E27FC236}">
                <a16:creationId xmlns:a16="http://schemas.microsoft.com/office/drawing/2014/main" id="{7104347F-CE05-4156-93DB-EB232467509E}"/>
              </a:ext>
            </a:extLst>
          </xdr:cNvPr>
          <xdr:cNvGrpSpPr/>
        </xdr:nvGrpSpPr>
        <xdr:grpSpPr>
          <a:xfrm>
            <a:off x="10334625" y="4100512"/>
            <a:ext cx="3152775" cy="2743200"/>
            <a:chOff x="10267950" y="4310062"/>
            <a:chExt cx="4572000" cy="2743200"/>
          </a:xfrm>
        </xdr:grpSpPr>
        <xdr:graphicFrame macro="">
          <xdr:nvGraphicFramePr>
            <xdr:cNvPr id="10" name="Gráfico 9">
              <a:extLst>
                <a:ext uri="{FF2B5EF4-FFF2-40B4-BE49-F238E27FC236}">
                  <a16:creationId xmlns:a16="http://schemas.microsoft.com/office/drawing/2014/main" id="{45169A68-7DD1-48E7-92E7-BB8BB927B820}"/>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B$15">
          <xdr:nvSpPr>
            <xdr:cNvPr id="11" name="Rectángulo 10">
              <a:extLst>
                <a:ext uri="{FF2B5EF4-FFF2-40B4-BE49-F238E27FC236}">
                  <a16:creationId xmlns:a16="http://schemas.microsoft.com/office/drawing/2014/main" id="{520C6B96-9E59-4B19-A3F6-DD558F3F924F}"/>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2BD5072-A89D-4B4D-ABE4-05842802A8C2}" type="TxLink">
                <a:rPr lang="en-US" sz="1100" b="1" i="0" u="none" strike="noStrike">
                  <a:solidFill>
                    <a:srgbClr val="000000"/>
                  </a:solidFill>
                  <a:latin typeface="Calibri"/>
                  <a:cs typeface="Calibri"/>
                </a:rPr>
                <a:pPr algn="l"/>
                <a:t>90,63%</a:t>
              </a:fld>
              <a:endParaRPr lang="es-CO" sz="1000">
                <a:latin typeface="Arial" panose="020B0604020202020204" pitchFamily="34" charset="0"/>
                <a:cs typeface="Arial" panose="020B0604020202020204" pitchFamily="34" charset="0"/>
              </a:endParaRPr>
            </a:p>
          </xdr:txBody>
        </xdr:sp>
      </xdr:grpSp>
      <xdr:sp macro="" textlink="">
        <xdr:nvSpPr>
          <xdr:cNvPr id="5" name="CuadroTexto 4">
            <a:extLst>
              <a:ext uri="{FF2B5EF4-FFF2-40B4-BE49-F238E27FC236}">
                <a16:creationId xmlns:a16="http://schemas.microsoft.com/office/drawing/2014/main" id="{52B93962-9B0F-44B6-9462-4883F771B2FE}"/>
              </a:ext>
            </a:extLst>
          </xdr:cNvPr>
          <xdr:cNvSpPr txBox="1"/>
        </xdr:nvSpPr>
        <xdr:spPr>
          <a:xfrm>
            <a:off x="10370445" y="5296078"/>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6" name="CuadroTexto 5">
            <a:extLst>
              <a:ext uri="{FF2B5EF4-FFF2-40B4-BE49-F238E27FC236}">
                <a16:creationId xmlns:a16="http://schemas.microsoft.com/office/drawing/2014/main" id="{DB5B6396-F8F8-4284-B9FA-FC632130E6E1}"/>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7" name="CuadroTexto 6">
            <a:extLst>
              <a:ext uri="{FF2B5EF4-FFF2-40B4-BE49-F238E27FC236}">
                <a16:creationId xmlns:a16="http://schemas.microsoft.com/office/drawing/2014/main" id="{F59F42B8-F389-4A47-8610-13E118868EEC}"/>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8" name="CuadroTexto 7">
            <a:extLst>
              <a:ext uri="{FF2B5EF4-FFF2-40B4-BE49-F238E27FC236}">
                <a16:creationId xmlns:a16="http://schemas.microsoft.com/office/drawing/2014/main" id="{1125C647-3353-4448-B958-90B3F31A74CD}"/>
              </a:ext>
            </a:extLst>
          </xdr:cNvPr>
          <xdr:cNvSpPr txBox="1"/>
        </xdr:nvSpPr>
        <xdr:spPr>
          <a:xfrm>
            <a:off x="12848112" y="5048250"/>
            <a:ext cx="692304" cy="14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9" name="CuadroTexto 8">
            <a:extLst>
              <a:ext uri="{FF2B5EF4-FFF2-40B4-BE49-F238E27FC236}">
                <a16:creationId xmlns:a16="http://schemas.microsoft.com/office/drawing/2014/main" id="{DDEFB5A5-D73D-4964-B359-D13EC566E2CC}"/>
              </a:ext>
            </a:extLst>
          </xdr:cNvPr>
          <xdr:cNvSpPr txBox="1"/>
        </xdr:nvSpPr>
        <xdr:spPr>
          <a:xfrm>
            <a:off x="12918704" y="5324476"/>
            <a:ext cx="621717" cy="14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300301</xdr:colOff>
      <xdr:row>0</xdr:row>
      <xdr:rowOff>104510</xdr:rowOff>
    </xdr:from>
    <xdr:to>
      <xdr:col>28</xdr:col>
      <xdr:colOff>991922</xdr:colOff>
      <xdr:row>0</xdr:row>
      <xdr:rowOff>771260</xdr:rowOff>
    </xdr:to>
    <xdr:pic>
      <xdr:nvPicPr>
        <xdr:cNvPr id="2" name="3 Imagen" descr="C:\Users\john.garcia\Desktop\2020-01-08.png">
          <a:extLst>
            <a:ext uri="{FF2B5EF4-FFF2-40B4-BE49-F238E27FC236}">
              <a16:creationId xmlns:a16="http://schemas.microsoft.com/office/drawing/2014/main" id="{4BDD8601-C4C8-4D70-BD43-A2D3771B38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59676" y="104510"/>
          <a:ext cx="691621" cy="666750"/>
        </a:xfrm>
        <a:prstGeom prst="rect">
          <a:avLst/>
        </a:prstGeom>
        <a:noFill/>
        <a:ln>
          <a:noFill/>
        </a:ln>
      </xdr:spPr>
    </xdr:pic>
    <xdr:clientData/>
  </xdr:twoCellAnchor>
  <xdr:twoCellAnchor editAs="oneCell">
    <xdr:from>
      <xdr:col>0</xdr:col>
      <xdr:colOff>105833</xdr:colOff>
      <xdr:row>0</xdr:row>
      <xdr:rowOff>112449</xdr:rowOff>
    </xdr:from>
    <xdr:to>
      <xdr:col>5</xdr:col>
      <xdr:colOff>31750</xdr:colOff>
      <xdr:row>0</xdr:row>
      <xdr:rowOff>717568</xdr:rowOff>
    </xdr:to>
    <xdr:pic>
      <xdr:nvPicPr>
        <xdr:cNvPr id="3" name="5 Imagen" descr="C:\Users\john.garcia\Desktop\LOGO CAPITAL LETRA NEGRA.png">
          <a:extLst>
            <a:ext uri="{FF2B5EF4-FFF2-40B4-BE49-F238E27FC236}">
              <a16:creationId xmlns:a16="http://schemas.microsoft.com/office/drawing/2014/main" id="{D73D0687-480F-4F71-9BB0-1032198F49F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5833" y="112449"/>
          <a:ext cx="973667" cy="605119"/>
        </a:xfrm>
        <a:prstGeom prst="rect">
          <a:avLst/>
        </a:prstGeom>
        <a:noFill/>
        <a:ln>
          <a:noFill/>
        </a:ln>
      </xdr:spPr>
    </xdr:pic>
    <xdr:clientData/>
  </xdr:twoCellAnchor>
  <xdr:twoCellAnchor editAs="oneCell">
    <xdr:from>
      <xdr:col>29</xdr:col>
      <xdr:colOff>201083</xdr:colOff>
      <xdr:row>0</xdr:row>
      <xdr:rowOff>120385</xdr:rowOff>
    </xdr:from>
    <xdr:to>
      <xdr:col>30</xdr:col>
      <xdr:colOff>624417</xdr:colOff>
      <xdr:row>0</xdr:row>
      <xdr:rowOff>725504</xdr:rowOff>
    </xdr:to>
    <xdr:pic>
      <xdr:nvPicPr>
        <xdr:cNvPr id="4" name="5 Imagen" descr="C:\Users\john.garcia\Desktop\LOGO CAPITAL LETRA NEGRA.png">
          <a:extLst>
            <a:ext uri="{FF2B5EF4-FFF2-40B4-BE49-F238E27FC236}">
              <a16:creationId xmlns:a16="http://schemas.microsoft.com/office/drawing/2014/main" id="{542A04B3-0C96-4A25-8D7B-C5BB0AEA3E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358239" y="120385"/>
          <a:ext cx="971022" cy="605119"/>
        </a:xfrm>
        <a:prstGeom prst="rect">
          <a:avLst/>
        </a:prstGeom>
        <a:noFill/>
        <a:ln>
          <a:noFill/>
        </a:ln>
      </xdr:spPr>
    </xdr:pic>
    <xdr:clientData/>
  </xdr:twoCellAnchor>
  <xdr:twoCellAnchor editAs="oneCell">
    <xdr:from>
      <xdr:col>43</xdr:col>
      <xdr:colOff>93925</xdr:colOff>
      <xdr:row>0</xdr:row>
      <xdr:rowOff>104511</xdr:rowOff>
    </xdr:from>
    <xdr:to>
      <xdr:col>43</xdr:col>
      <xdr:colOff>785546</xdr:colOff>
      <xdr:row>0</xdr:row>
      <xdr:rowOff>771261</xdr:rowOff>
    </xdr:to>
    <xdr:pic>
      <xdr:nvPicPr>
        <xdr:cNvPr id="5" name="3 Imagen" descr="C:\Users\john.garcia\Desktop\2020-01-08.png">
          <a:extLst>
            <a:ext uri="{FF2B5EF4-FFF2-40B4-BE49-F238E27FC236}">
              <a16:creationId xmlns:a16="http://schemas.microsoft.com/office/drawing/2014/main" id="{4F348E2F-5085-4BA9-AD62-96CEA33BAD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00854" y="104511"/>
          <a:ext cx="691621" cy="666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3</xdr:row>
      <xdr:rowOff>147992</xdr:rowOff>
    </xdr:to>
    <xdr:pic>
      <xdr:nvPicPr>
        <xdr:cNvPr id="2" name="6 Imagen" descr="C:\Users\john.garcia\Desktop\LOGO CAPITAL LETRA NEGRA.png">
          <a:extLst>
            <a:ext uri="{FF2B5EF4-FFF2-40B4-BE49-F238E27FC236}">
              <a16:creationId xmlns:a16="http://schemas.microsoft.com/office/drawing/2014/main" id="{EA5BFB9A-B25A-47E2-AC42-1D5B45282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7756" cy="724255"/>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3</xdr:row>
      <xdr:rowOff>159473</xdr:rowOff>
    </xdr:to>
    <xdr:pic>
      <xdr:nvPicPr>
        <xdr:cNvPr id="3" name="7 Imagen" descr="C:\Users\john.garcia\Desktop\2020-01-08.png">
          <a:extLst>
            <a:ext uri="{FF2B5EF4-FFF2-40B4-BE49-F238E27FC236}">
              <a16:creationId xmlns:a16="http://schemas.microsoft.com/office/drawing/2014/main" id="{79718D71-4B1C-4F31-B6EE-3E7056D73B5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8782" y="23813"/>
          <a:ext cx="834773" cy="735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E60A7652-C318-4C73-83BF-BAE0256DF2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8</xdr:col>
      <xdr:colOff>71438</xdr:colOff>
      <xdr:row>0</xdr:row>
      <xdr:rowOff>84046</xdr:rowOff>
    </xdr:from>
    <xdr:to>
      <xdr:col>8</xdr:col>
      <xdr:colOff>952500</xdr:colOff>
      <xdr:row>1</xdr:row>
      <xdr:rowOff>345982</xdr:rowOff>
    </xdr:to>
    <xdr:pic>
      <xdr:nvPicPr>
        <xdr:cNvPr id="3" name="3 Imagen" descr="C:\Users\john.garcia\Desktop\2020-01-08.png">
          <a:extLst>
            <a:ext uri="{FF2B5EF4-FFF2-40B4-BE49-F238E27FC236}">
              <a16:creationId xmlns:a16="http://schemas.microsoft.com/office/drawing/2014/main" id="{03A538CA-8715-4F15-B45A-8EB189092EB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21909" y="84046"/>
          <a:ext cx="881062" cy="7325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219075</xdr:colOff>
      <xdr:row>0</xdr:row>
      <xdr:rowOff>66675</xdr:rowOff>
    </xdr:from>
    <xdr:ext cx="1123950" cy="762000"/>
    <xdr:pic>
      <xdr:nvPicPr>
        <xdr:cNvPr id="2" name="image1.png" descr="C:\Users\john.garcia\Desktop\LOGO CAPITAL LETRA NEGRA.png">
          <a:extLst>
            <a:ext uri="{FF2B5EF4-FFF2-40B4-BE49-F238E27FC236}">
              <a16:creationId xmlns:a16="http://schemas.microsoft.com/office/drawing/2014/main" id="{7D8D3EDD-8A00-4474-9E68-EADB7178DF9A}"/>
            </a:ext>
          </a:extLst>
        </xdr:cNvPr>
        <xdr:cNvPicPr preferRelativeResize="0"/>
      </xdr:nvPicPr>
      <xdr:blipFill>
        <a:blip xmlns:r="http://schemas.openxmlformats.org/officeDocument/2006/relationships" r:embed="rId1" cstate="print"/>
        <a:stretch>
          <a:fillRect/>
        </a:stretch>
      </xdr:blipFill>
      <xdr:spPr>
        <a:xfrm>
          <a:off x="219075" y="66675"/>
          <a:ext cx="1123950" cy="7620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104775</xdr:colOff>
      <xdr:row>1</xdr:row>
      <xdr:rowOff>9525</xdr:rowOff>
    </xdr:from>
    <xdr:ext cx="1295400" cy="838200"/>
    <xdr:pic>
      <xdr:nvPicPr>
        <xdr:cNvPr id="2" name="image1.png" descr="C:\Users\john.garcia\Desktop\LOGO CAPITAL LETRA NEGRA.png">
          <a:extLst>
            <a:ext uri="{FF2B5EF4-FFF2-40B4-BE49-F238E27FC236}">
              <a16:creationId xmlns:a16="http://schemas.microsoft.com/office/drawing/2014/main" id="{F05EE2D8-FBD8-43D9-B850-36322272CF40}"/>
            </a:ext>
          </a:extLst>
        </xdr:cNvPr>
        <xdr:cNvPicPr preferRelativeResize="0"/>
      </xdr:nvPicPr>
      <xdr:blipFill>
        <a:blip xmlns:r="http://schemas.openxmlformats.org/officeDocument/2006/relationships" r:embed="rId1" cstate="print"/>
        <a:stretch>
          <a:fillRect/>
        </a:stretch>
      </xdr:blipFill>
      <xdr:spPr>
        <a:xfrm>
          <a:off x="219075" y="200025"/>
          <a:ext cx="1295400" cy="8382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180975</xdr:colOff>
      <xdr:row>0</xdr:row>
      <xdr:rowOff>123826</xdr:rowOff>
    </xdr:from>
    <xdr:ext cx="1009650" cy="685800"/>
    <xdr:pic>
      <xdr:nvPicPr>
        <xdr:cNvPr id="2" name="image1.png" descr="C:\Users\john.garcia\Desktop\LOGO CAPITAL LETRA NEGRA.png">
          <a:extLst>
            <a:ext uri="{FF2B5EF4-FFF2-40B4-BE49-F238E27FC236}">
              <a16:creationId xmlns:a16="http://schemas.microsoft.com/office/drawing/2014/main" id="{0E5C1FCE-D097-4050-9665-79E6B24C722D}"/>
            </a:ext>
          </a:extLst>
        </xdr:cNvPr>
        <xdr:cNvPicPr preferRelativeResize="0"/>
      </xdr:nvPicPr>
      <xdr:blipFill>
        <a:blip xmlns:r="http://schemas.openxmlformats.org/officeDocument/2006/relationships" r:embed="rId1" cstate="print"/>
        <a:stretch>
          <a:fillRect/>
        </a:stretch>
      </xdr:blipFill>
      <xdr:spPr>
        <a:xfrm>
          <a:off x="495300" y="123826"/>
          <a:ext cx="1009650" cy="6858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1123950" cy="752475"/>
    <xdr:pic>
      <xdr:nvPicPr>
        <xdr:cNvPr id="2" name="image1.png" descr="C:\Users\john.garcia\Desktop\LOGO CAPITAL LETRA NEGRA.png">
          <a:extLst>
            <a:ext uri="{FF2B5EF4-FFF2-40B4-BE49-F238E27FC236}">
              <a16:creationId xmlns:a16="http://schemas.microsoft.com/office/drawing/2014/main" id="{B33EAF4B-C3A4-4E68-92A6-FB43AD00174C}"/>
            </a:ext>
          </a:extLst>
        </xdr:cNvPr>
        <xdr:cNvPicPr preferRelativeResize="0"/>
      </xdr:nvPicPr>
      <xdr:blipFill>
        <a:blip xmlns:r="http://schemas.openxmlformats.org/officeDocument/2006/relationships" r:embed="rId1" cstate="print"/>
        <a:stretch>
          <a:fillRect/>
        </a:stretch>
      </xdr:blipFill>
      <xdr:spPr>
        <a:xfrm>
          <a:off x="161925" y="238125"/>
          <a:ext cx="1123950" cy="752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1</xdr:col>
      <xdr:colOff>45508</xdr:colOff>
      <xdr:row>4</xdr:row>
      <xdr:rowOff>83607</xdr:rowOff>
    </xdr:to>
    <xdr:pic>
      <xdr:nvPicPr>
        <xdr:cNvPr id="2" name="5 Imagen" descr="C:\Users\john.garcia\Desktop\LOGO CAPITAL LETRA NEGRA.png">
          <a:extLst>
            <a:ext uri="{FF2B5EF4-FFF2-40B4-BE49-F238E27FC236}">
              <a16:creationId xmlns:a16="http://schemas.microsoft.com/office/drawing/2014/main" id="{1A7B281B-B6A5-4146-89B2-C9ABBB6382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0" cy="1047750"/>
        </a:xfrm>
        <a:prstGeom prst="rect">
          <a:avLst/>
        </a:prstGeom>
        <a:noFill/>
        <a:ln>
          <a:noFill/>
        </a:ln>
      </xdr:spPr>
    </xdr:pic>
    <xdr:clientData/>
  </xdr:twoCellAnchor>
  <xdr:oneCellAnchor>
    <xdr:from>
      <xdr:col>1</xdr:col>
      <xdr:colOff>209550</xdr:colOff>
      <xdr:row>0</xdr:row>
      <xdr:rowOff>104775</xdr:rowOff>
    </xdr:from>
    <xdr:ext cx="1123950" cy="752475"/>
    <xdr:pic>
      <xdr:nvPicPr>
        <xdr:cNvPr id="3" name="image1.png" descr="C:\Users\john.garcia\Desktop\LOGO CAPITAL LETRA NEGRA.png">
          <a:extLst>
            <a:ext uri="{FF2B5EF4-FFF2-40B4-BE49-F238E27FC236}">
              <a16:creationId xmlns:a16="http://schemas.microsoft.com/office/drawing/2014/main" id="{5F4D7012-D73C-44E6-B708-94DBD27ABFDA}"/>
            </a:ext>
          </a:extLst>
        </xdr:cNvPr>
        <xdr:cNvPicPr preferRelativeResize="0"/>
      </xdr:nvPicPr>
      <xdr:blipFill>
        <a:blip xmlns:r="http://schemas.openxmlformats.org/officeDocument/2006/relationships" r:embed="rId1" cstate="print"/>
        <a:stretch>
          <a:fillRect/>
        </a:stretch>
      </xdr:blipFill>
      <xdr:spPr>
        <a:xfrm>
          <a:off x="371475" y="104775"/>
          <a:ext cx="1123950" cy="752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2021-T4/Reporte%20de%20indicadores%20Capital%202021%20-%20Semestr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fga/Documents/John%20F/2021/Plan%20de%20acci&#243;n/2021-T3/Reportes/1.%20PAI%202021%20V3%20-%20Planeaci&#243;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Matriz de seguimiento"/>
      <sheetName val="LISTAS"/>
      <sheetName val="HV"/>
      <sheetName val="Resultados"/>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sheetData>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3"/>
      <sheetName val="Matriz de seguimiento"/>
      <sheetName val="LISTAS"/>
      <sheetName val="5.1.1"/>
      <sheetName val="5.2.1"/>
      <sheetName val="5.2.2"/>
      <sheetName val="5.2.3"/>
      <sheetName val="2.1.1"/>
      <sheetName val="Resultados"/>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row r="61">
          <cell r="E61"/>
        </row>
        <row r="62">
          <cell r="E62"/>
        </row>
        <row r="63">
          <cell r="E63"/>
        </row>
        <row r="64">
          <cell r="E64"/>
        </row>
        <row r="65">
          <cell r="E65"/>
        </row>
        <row r="66">
          <cell r="E66"/>
        </row>
      </sheetData>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gota.gov.co/sites/default/files/acuerdo-761-de-2020-pdd.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FC67-042D-49AE-A026-6F184EB2F603}">
  <dimension ref="A1:XFC68"/>
  <sheetViews>
    <sheetView showGridLines="0" tabSelected="1" zoomScale="80" zoomScaleNormal="80" workbookViewId="0">
      <selection activeCell="W8" sqref="W8"/>
    </sheetView>
  </sheetViews>
  <sheetFormatPr baseColWidth="10" defaultColWidth="0" defaultRowHeight="12.75" zeroHeight="1" x14ac:dyDescent="0.2"/>
  <cols>
    <col min="1" max="3" width="26.42578125" style="22" customWidth="1"/>
    <col min="4" max="4" width="7.42578125" style="22" customWidth="1"/>
    <col min="5" max="6" width="25.5703125" style="22" customWidth="1"/>
    <col min="7" max="7" width="18.7109375" style="22" customWidth="1"/>
    <col min="8" max="8" width="23.7109375" style="22" customWidth="1"/>
    <col min="9" max="9" width="31.85546875" style="22" customWidth="1"/>
    <col min="10" max="10" width="24.42578125" style="22" customWidth="1"/>
    <col min="11" max="11" width="19.42578125" style="22" customWidth="1"/>
    <col min="12" max="12" width="58.85546875" style="22" customWidth="1"/>
    <col min="13" max="16" width="24.42578125" style="22" customWidth="1"/>
    <col min="17" max="17" width="20.140625" style="22" customWidth="1"/>
    <col min="18" max="18" width="13.7109375" style="22" customWidth="1"/>
    <col min="19" max="19" width="70.7109375" style="22" customWidth="1"/>
    <col min="20" max="23" width="20.42578125" style="22" customWidth="1"/>
    <col min="24" max="24" width="75.140625" style="22" customWidth="1"/>
    <col min="25" max="25" width="19" style="22" customWidth="1"/>
    <col min="26" max="26" width="68.28515625" style="22" customWidth="1"/>
    <col min="27" max="28" width="19.42578125" style="22" customWidth="1"/>
    <col min="29" max="29" width="3.7109375" style="22" customWidth="1"/>
    <col min="30" max="31" width="0" style="1" hidden="1"/>
    <col min="32" max="16383" width="11.42578125" style="1" hidden="1"/>
    <col min="16384" max="16384" width="2.7109375" style="1" hidden="1" customWidth="1"/>
  </cols>
  <sheetData>
    <row r="1" spans="1:30" ht="57.75" customHeight="1" thickBot="1" x14ac:dyDescent="0.25">
      <c r="A1" s="634" t="s">
        <v>552</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6"/>
      <c r="AC1" s="1"/>
    </row>
    <row r="2" spans="1:30" ht="6.75" customHeight="1" x14ac:dyDescent="0.2">
      <c r="A2" s="637"/>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8"/>
      <c r="AC2" s="1"/>
    </row>
    <row r="3" spans="1:30" ht="30.75" customHeight="1" x14ac:dyDescent="0.2">
      <c r="A3" s="21" t="s">
        <v>33</v>
      </c>
      <c r="B3" s="629" t="s">
        <v>1094</v>
      </c>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30"/>
      <c r="AC3" s="1"/>
    </row>
    <row r="4" spans="1:30" ht="18.75" customHeight="1" x14ac:dyDescent="0.2">
      <c r="A4" s="21" t="s">
        <v>34</v>
      </c>
      <c r="B4" s="577">
        <v>44749</v>
      </c>
      <c r="C4" s="1"/>
      <c r="D4" s="1"/>
      <c r="E4" s="1"/>
      <c r="F4" s="1"/>
      <c r="G4" s="578"/>
      <c r="H4" s="421"/>
      <c r="I4" s="421"/>
      <c r="J4" s="421"/>
      <c r="K4" s="421"/>
      <c r="L4" s="421"/>
      <c r="M4" s="421"/>
      <c r="N4" s="421"/>
      <c r="O4" s="421"/>
      <c r="P4" s="421"/>
      <c r="Q4" s="421"/>
      <c r="R4" s="421"/>
      <c r="S4" s="421"/>
      <c r="T4" s="421"/>
      <c r="U4" s="421"/>
      <c r="V4" s="421"/>
      <c r="W4" s="421"/>
      <c r="X4" s="421"/>
      <c r="Y4" s="421"/>
      <c r="Z4" s="421"/>
      <c r="AA4" s="421"/>
      <c r="AB4" s="573"/>
      <c r="AC4" s="1"/>
    </row>
    <row r="5" spans="1:30" ht="6.75" customHeight="1" thickBot="1" x14ac:dyDescent="0.25">
      <c r="A5" s="4"/>
      <c r="B5" s="4"/>
      <c r="C5" s="4"/>
      <c r="D5" s="4"/>
      <c r="E5" s="4"/>
      <c r="F5" s="4"/>
      <c r="G5" s="4"/>
      <c r="H5" s="4"/>
      <c r="I5" s="4"/>
      <c r="J5" s="4"/>
      <c r="K5" s="4"/>
      <c r="L5" s="4"/>
      <c r="M5" s="4"/>
      <c r="N5" s="4"/>
      <c r="O5" s="4"/>
      <c r="P5" s="4"/>
      <c r="Q5" s="4"/>
      <c r="R5" s="4"/>
      <c r="S5" s="4"/>
      <c r="T5" s="4"/>
      <c r="U5" s="4"/>
      <c r="V5" s="4"/>
      <c r="W5" s="4"/>
      <c r="X5" s="4"/>
      <c r="Y5" s="4"/>
      <c r="Z5" s="4"/>
      <c r="AA5" s="4"/>
      <c r="AB5" s="5"/>
      <c r="AC5" s="1"/>
    </row>
    <row r="6" spans="1:30" ht="15" customHeight="1" x14ac:dyDescent="0.2">
      <c r="A6" s="639" t="s">
        <v>15</v>
      </c>
      <c r="B6" s="626" t="s">
        <v>16</v>
      </c>
      <c r="C6" s="626" t="s">
        <v>17</v>
      </c>
      <c r="D6" s="622" t="s">
        <v>1</v>
      </c>
      <c r="E6" s="623"/>
      <c r="F6" s="626" t="s">
        <v>796</v>
      </c>
      <c r="G6" s="626" t="s">
        <v>44</v>
      </c>
      <c r="H6" s="626" t="s">
        <v>2</v>
      </c>
      <c r="I6" s="626" t="s">
        <v>21</v>
      </c>
      <c r="J6" s="626" t="s">
        <v>20</v>
      </c>
      <c r="K6" s="626" t="s">
        <v>22</v>
      </c>
      <c r="L6" s="620" t="s">
        <v>3</v>
      </c>
      <c r="M6" s="626" t="s">
        <v>4</v>
      </c>
      <c r="N6" s="626"/>
      <c r="O6" s="620" t="s">
        <v>6</v>
      </c>
      <c r="P6" s="620" t="s">
        <v>30</v>
      </c>
      <c r="Q6" s="620" t="s">
        <v>8</v>
      </c>
      <c r="R6" s="620" t="s">
        <v>31</v>
      </c>
      <c r="S6" s="620"/>
      <c r="T6" s="620" t="s">
        <v>27</v>
      </c>
      <c r="U6" s="620"/>
      <c r="V6" s="620"/>
      <c r="W6" s="620"/>
      <c r="X6" s="620" t="s">
        <v>5</v>
      </c>
      <c r="Y6" s="620" t="s">
        <v>7</v>
      </c>
      <c r="Z6" s="620" t="s">
        <v>9</v>
      </c>
      <c r="AA6" s="626" t="s">
        <v>1181</v>
      </c>
      <c r="AB6" s="641" t="s">
        <v>11</v>
      </c>
      <c r="AC6" s="1"/>
      <c r="AD6" s="3" t="s">
        <v>18</v>
      </c>
    </row>
    <row r="7" spans="1:30" ht="15.75" customHeight="1" thickBot="1" x14ac:dyDescent="0.25">
      <c r="A7" s="640"/>
      <c r="B7" s="627"/>
      <c r="C7" s="627"/>
      <c r="D7" s="624"/>
      <c r="E7" s="625"/>
      <c r="F7" s="627"/>
      <c r="G7" s="627"/>
      <c r="H7" s="627"/>
      <c r="I7" s="627"/>
      <c r="J7" s="621"/>
      <c r="K7" s="627"/>
      <c r="L7" s="621"/>
      <c r="M7" s="37" t="s">
        <v>28</v>
      </c>
      <c r="N7" s="37" t="s">
        <v>29</v>
      </c>
      <c r="O7" s="621"/>
      <c r="P7" s="621"/>
      <c r="Q7" s="621"/>
      <c r="R7" s="38" t="s">
        <v>32</v>
      </c>
      <c r="S7" s="38" t="s">
        <v>0</v>
      </c>
      <c r="T7" s="38" t="s">
        <v>23</v>
      </c>
      <c r="U7" s="38" t="s">
        <v>24</v>
      </c>
      <c r="V7" s="38" t="s">
        <v>25</v>
      </c>
      <c r="W7" s="38" t="s">
        <v>26</v>
      </c>
      <c r="X7" s="621"/>
      <c r="Y7" s="621"/>
      <c r="Z7" s="621"/>
      <c r="AA7" s="627"/>
      <c r="AB7" s="642"/>
      <c r="AC7" s="1"/>
      <c r="AD7" s="3" t="s">
        <v>19</v>
      </c>
    </row>
    <row r="8" spans="1:30" ht="184.5" customHeight="1" x14ac:dyDescent="0.2">
      <c r="A8" s="333" t="s">
        <v>831</v>
      </c>
      <c r="B8" s="575" t="s">
        <v>108</v>
      </c>
      <c r="C8" s="575" t="s">
        <v>109</v>
      </c>
      <c r="D8" s="335" t="str">
        <f>IF(E8="","",CONCATENATE("OE_",MID(E8,1,1)))</f>
        <v>OE_1</v>
      </c>
      <c r="E8" s="335" t="s">
        <v>38</v>
      </c>
      <c r="F8" s="335" t="s">
        <v>829</v>
      </c>
      <c r="G8" s="273" t="s">
        <v>832</v>
      </c>
      <c r="H8" s="273" t="s">
        <v>833</v>
      </c>
      <c r="I8" s="335" t="s">
        <v>834</v>
      </c>
      <c r="J8" s="335" t="s">
        <v>835</v>
      </c>
      <c r="K8" s="335" t="s">
        <v>74</v>
      </c>
      <c r="L8" s="335" t="s">
        <v>836</v>
      </c>
      <c r="M8" s="273" t="s">
        <v>837</v>
      </c>
      <c r="N8" s="273" t="s">
        <v>838</v>
      </c>
      <c r="O8" s="273" t="s">
        <v>115</v>
      </c>
      <c r="P8" s="273" t="s">
        <v>79</v>
      </c>
      <c r="Q8" s="274">
        <v>0.95</v>
      </c>
      <c r="R8" s="274">
        <v>1</v>
      </c>
      <c r="S8" s="335" t="s">
        <v>839</v>
      </c>
      <c r="T8" s="273" t="s">
        <v>840</v>
      </c>
      <c r="U8" s="273" t="s">
        <v>841</v>
      </c>
      <c r="V8" s="273" t="s">
        <v>842</v>
      </c>
      <c r="W8" s="274">
        <v>1</v>
      </c>
      <c r="X8" s="335" t="s">
        <v>843</v>
      </c>
      <c r="Y8" s="273" t="s">
        <v>54</v>
      </c>
      <c r="Z8" s="335" t="s">
        <v>844</v>
      </c>
      <c r="AA8" s="273" t="s">
        <v>1178</v>
      </c>
      <c r="AB8" s="579" t="s">
        <v>845</v>
      </c>
    </row>
    <row r="9" spans="1:30" ht="184.5" customHeight="1" x14ac:dyDescent="0.2">
      <c r="A9" s="333" t="s">
        <v>522</v>
      </c>
      <c r="B9" s="575" t="s">
        <v>108</v>
      </c>
      <c r="C9" s="575" t="s">
        <v>109</v>
      </c>
      <c r="D9" s="335" t="str">
        <f>IF(E9="","",CONCATENATE("OE_",MID(E9,1,1)))</f>
        <v>OE_1</v>
      </c>
      <c r="E9" s="335" t="s">
        <v>38</v>
      </c>
      <c r="F9" s="335" t="s">
        <v>60</v>
      </c>
      <c r="G9" s="273" t="s">
        <v>846</v>
      </c>
      <c r="H9" s="273" t="s">
        <v>865</v>
      </c>
      <c r="I9" s="335" t="s">
        <v>847</v>
      </c>
      <c r="J9" s="335" t="s">
        <v>848</v>
      </c>
      <c r="K9" s="335" t="s">
        <v>124</v>
      </c>
      <c r="L9" s="335" t="s">
        <v>850</v>
      </c>
      <c r="M9" s="273" t="s">
        <v>851</v>
      </c>
      <c r="N9" s="273" t="s">
        <v>852</v>
      </c>
      <c r="O9" s="273" t="s">
        <v>78</v>
      </c>
      <c r="P9" s="273" t="s">
        <v>79</v>
      </c>
      <c r="Q9" s="274" t="s">
        <v>119</v>
      </c>
      <c r="R9" s="336">
        <f>31/300000</f>
        <v>1.0333333333333333E-4</v>
      </c>
      <c r="S9" s="335" t="s">
        <v>856</v>
      </c>
      <c r="T9" s="273" t="s">
        <v>857</v>
      </c>
      <c r="U9" s="337">
        <f>R9*50%</f>
        <v>5.1666666666666664E-5</v>
      </c>
      <c r="V9" s="337">
        <f>R9*70%</f>
        <v>7.2333333333333321E-5</v>
      </c>
      <c r="W9" s="337">
        <f>W10*R9</f>
        <v>9.8166666666666663E-5</v>
      </c>
      <c r="X9" s="335" t="s">
        <v>858</v>
      </c>
      <c r="Y9" s="273" t="s">
        <v>54</v>
      </c>
      <c r="Z9" s="335" t="s">
        <v>119</v>
      </c>
      <c r="AA9" s="273" t="s">
        <v>1178</v>
      </c>
      <c r="AB9" s="579" t="s">
        <v>864</v>
      </c>
    </row>
    <row r="10" spans="1:30" ht="184.5" customHeight="1" x14ac:dyDescent="0.2">
      <c r="A10" s="333" t="s">
        <v>522</v>
      </c>
      <c r="B10" s="575" t="s">
        <v>108</v>
      </c>
      <c r="C10" s="575" t="s">
        <v>109</v>
      </c>
      <c r="D10" s="335" t="str">
        <f>IF(E10="","",CONCATENATE("OE_",MID(E10,1,1)))</f>
        <v>OE_1</v>
      </c>
      <c r="E10" s="335" t="s">
        <v>38</v>
      </c>
      <c r="F10" s="335" t="s">
        <v>60</v>
      </c>
      <c r="G10" s="273" t="s">
        <v>986</v>
      </c>
      <c r="H10" s="273" t="s">
        <v>866</v>
      </c>
      <c r="I10" s="335" t="s">
        <v>847</v>
      </c>
      <c r="J10" s="575" t="s">
        <v>849</v>
      </c>
      <c r="K10" s="335" t="s">
        <v>90</v>
      </c>
      <c r="L10" s="575" t="s">
        <v>853</v>
      </c>
      <c r="M10" s="275" t="s">
        <v>854</v>
      </c>
      <c r="N10" s="275" t="s">
        <v>855</v>
      </c>
      <c r="O10" s="273" t="s">
        <v>78</v>
      </c>
      <c r="P10" s="273" t="s">
        <v>79</v>
      </c>
      <c r="Q10" s="274" t="s">
        <v>119</v>
      </c>
      <c r="R10" s="338">
        <v>0.95</v>
      </c>
      <c r="S10" s="575" t="s">
        <v>859</v>
      </c>
      <c r="T10" s="275" t="s">
        <v>860</v>
      </c>
      <c r="U10" s="275" t="s">
        <v>861</v>
      </c>
      <c r="V10" s="338" t="s">
        <v>862</v>
      </c>
      <c r="W10" s="338">
        <v>0.95</v>
      </c>
      <c r="X10" s="575" t="s">
        <v>863</v>
      </c>
      <c r="Y10" s="273" t="s">
        <v>54</v>
      </c>
      <c r="Z10" s="335" t="s">
        <v>119</v>
      </c>
      <c r="AA10" s="273" t="s">
        <v>1178</v>
      </c>
      <c r="AB10" s="579" t="s">
        <v>864</v>
      </c>
    </row>
    <row r="11" spans="1:30" ht="154.5" customHeight="1" x14ac:dyDescent="0.2">
      <c r="A11" s="447" t="s">
        <v>81</v>
      </c>
      <c r="B11" s="335" t="s">
        <v>82</v>
      </c>
      <c r="C11" s="335" t="s">
        <v>83</v>
      </c>
      <c r="D11" s="335" t="str">
        <f>IF(E11="","",CONCATENATE("OE_",MID(E11,1,1)))</f>
        <v>OE_5</v>
      </c>
      <c r="E11" s="335" t="s">
        <v>42</v>
      </c>
      <c r="F11" s="335" t="s">
        <v>65</v>
      </c>
      <c r="G11" s="273" t="s">
        <v>388</v>
      </c>
      <c r="H11" s="273" t="s">
        <v>71</v>
      </c>
      <c r="I11" s="335" t="s">
        <v>72</v>
      </c>
      <c r="J11" s="335" t="s">
        <v>73</v>
      </c>
      <c r="K11" s="335" t="s">
        <v>74</v>
      </c>
      <c r="L11" s="335" t="s">
        <v>75</v>
      </c>
      <c r="M11" s="273" t="s">
        <v>76</v>
      </c>
      <c r="N11" s="273" t="s">
        <v>77</v>
      </c>
      <c r="O11" s="273" t="s">
        <v>78</v>
      </c>
      <c r="P11" s="273" t="s">
        <v>79</v>
      </c>
      <c r="Q11" s="273">
        <v>2</v>
      </c>
      <c r="R11" s="273">
        <v>2</v>
      </c>
      <c r="S11" s="335" t="s">
        <v>451</v>
      </c>
      <c r="T11" s="274">
        <v>0.3</v>
      </c>
      <c r="U11" s="273" t="s">
        <v>106</v>
      </c>
      <c r="V11" s="273" t="s">
        <v>107</v>
      </c>
      <c r="W11" s="274">
        <v>1</v>
      </c>
      <c r="X11" s="335" t="s">
        <v>80</v>
      </c>
      <c r="Y11" s="273" t="s">
        <v>54</v>
      </c>
      <c r="Z11" s="335" t="s">
        <v>797</v>
      </c>
      <c r="AA11" s="273" t="s">
        <v>1178</v>
      </c>
      <c r="AB11" s="579" t="s">
        <v>1095</v>
      </c>
    </row>
    <row r="12" spans="1:30" ht="161.25" customHeight="1" x14ac:dyDescent="0.2">
      <c r="A12" s="333" t="s">
        <v>84</v>
      </c>
      <c r="B12" s="575" t="s">
        <v>85</v>
      </c>
      <c r="C12" s="575" t="s">
        <v>86</v>
      </c>
      <c r="D12" s="575" t="str">
        <f t="shared" ref="D12:D14" si="0">IF(E12="","",CONCATENATE("OE_",MID(E12,1,1)))</f>
        <v>OE_5</v>
      </c>
      <c r="E12" s="575" t="s">
        <v>42</v>
      </c>
      <c r="F12" s="575" t="s">
        <v>61</v>
      </c>
      <c r="G12" s="275" t="s">
        <v>389</v>
      </c>
      <c r="H12" s="275" t="s">
        <v>785</v>
      </c>
      <c r="I12" s="575" t="s">
        <v>421</v>
      </c>
      <c r="J12" s="575" t="s">
        <v>89</v>
      </c>
      <c r="K12" s="575" t="s">
        <v>90</v>
      </c>
      <c r="L12" s="575" t="s">
        <v>91</v>
      </c>
      <c r="M12" s="275" t="s">
        <v>92</v>
      </c>
      <c r="N12" s="275" t="s">
        <v>93</v>
      </c>
      <c r="O12" s="275" t="s">
        <v>78</v>
      </c>
      <c r="P12" s="275" t="s">
        <v>79</v>
      </c>
      <c r="Q12" s="580">
        <v>0.98629999999999995</v>
      </c>
      <c r="R12" s="338">
        <v>0.9</v>
      </c>
      <c r="S12" s="575" t="s">
        <v>94</v>
      </c>
      <c r="T12" s="338">
        <v>0.3</v>
      </c>
      <c r="U12" s="275" t="s">
        <v>106</v>
      </c>
      <c r="V12" s="275" t="s">
        <v>107</v>
      </c>
      <c r="W12" s="338">
        <v>0.9</v>
      </c>
      <c r="X12" s="575" t="s">
        <v>95</v>
      </c>
      <c r="Y12" s="275" t="s">
        <v>52</v>
      </c>
      <c r="Z12" s="575" t="s">
        <v>119</v>
      </c>
      <c r="AA12" s="273" t="s">
        <v>1178</v>
      </c>
      <c r="AB12" s="579" t="s">
        <v>1095</v>
      </c>
    </row>
    <row r="13" spans="1:30" ht="168.75" customHeight="1" x14ac:dyDescent="0.2">
      <c r="A13" s="333" t="s">
        <v>555</v>
      </c>
      <c r="B13" s="575" t="s">
        <v>108</v>
      </c>
      <c r="C13" s="575" t="s">
        <v>556</v>
      </c>
      <c r="D13" s="575" t="str">
        <f t="shared" si="0"/>
        <v>OE_5</v>
      </c>
      <c r="E13" s="575" t="s">
        <v>42</v>
      </c>
      <c r="F13" s="575" t="s">
        <v>88</v>
      </c>
      <c r="G13" s="275" t="s">
        <v>390</v>
      </c>
      <c r="H13" s="275" t="s">
        <v>453</v>
      </c>
      <c r="I13" s="575" t="s">
        <v>454</v>
      </c>
      <c r="J13" s="575" t="s">
        <v>96</v>
      </c>
      <c r="K13" s="575" t="s">
        <v>74</v>
      </c>
      <c r="L13" s="575" t="s">
        <v>452</v>
      </c>
      <c r="M13" s="275" t="s">
        <v>97</v>
      </c>
      <c r="N13" s="275" t="s">
        <v>98</v>
      </c>
      <c r="O13" s="275" t="s">
        <v>78</v>
      </c>
      <c r="P13" s="275" t="s">
        <v>99</v>
      </c>
      <c r="Q13" s="580">
        <v>0.96699999999999997</v>
      </c>
      <c r="R13" s="338">
        <v>1</v>
      </c>
      <c r="S13" s="575" t="s">
        <v>798</v>
      </c>
      <c r="T13" s="338">
        <v>0.3</v>
      </c>
      <c r="U13" s="275" t="s">
        <v>100</v>
      </c>
      <c r="V13" s="275" t="s">
        <v>457</v>
      </c>
      <c r="W13" s="338">
        <v>1</v>
      </c>
      <c r="X13" s="575" t="s">
        <v>799</v>
      </c>
      <c r="Y13" s="275" t="s">
        <v>54</v>
      </c>
      <c r="Z13" s="575" t="s">
        <v>119</v>
      </c>
      <c r="AA13" s="273" t="s">
        <v>1178</v>
      </c>
      <c r="AB13" s="579" t="s">
        <v>1095</v>
      </c>
    </row>
    <row r="14" spans="1:30" ht="186" customHeight="1" x14ac:dyDescent="0.2">
      <c r="A14" s="333" t="s">
        <v>84</v>
      </c>
      <c r="B14" s="575" t="s">
        <v>85</v>
      </c>
      <c r="C14" s="575" t="s">
        <v>86</v>
      </c>
      <c r="D14" s="575" t="str">
        <f t="shared" si="0"/>
        <v>OE_5</v>
      </c>
      <c r="E14" s="575" t="s">
        <v>42</v>
      </c>
      <c r="F14" s="575" t="s">
        <v>88</v>
      </c>
      <c r="G14" s="275" t="s">
        <v>391</v>
      </c>
      <c r="H14" s="275" t="s">
        <v>87</v>
      </c>
      <c r="I14" s="575" t="s">
        <v>102</v>
      </c>
      <c r="J14" s="575" t="s">
        <v>103</v>
      </c>
      <c r="K14" s="575" t="s">
        <v>90</v>
      </c>
      <c r="L14" s="575" t="s">
        <v>455</v>
      </c>
      <c r="M14" s="275" t="s">
        <v>104</v>
      </c>
      <c r="N14" s="275" t="s">
        <v>105</v>
      </c>
      <c r="O14" s="275" t="s">
        <v>78</v>
      </c>
      <c r="P14" s="275" t="s">
        <v>79</v>
      </c>
      <c r="Q14" s="580">
        <v>0.95240000000000002</v>
      </c>
      <c r="R14" s="338">
        <v>0.9</v>
      </c>
      <c r="S14" s="575" t="s">
        <v>110</v>
      </c>
      <c r="T14" s="338">
        <v>0.3</v>
      </c>
      <c r="U14" s="275" t="s">
        <v>106</v>
      </c>
      <c r="V14" s="275" t="s">
        <v>107</v>
      </c>
      <c r="W14" s="338">
        <v>0.9</v>
      </c>
      <c r="X14" s="575" t="s">
        <v>456</v>
      </c>
      <c r="Y14" s="275" t="s">
        <v>54</v>
      </c>
      <c r="Z14" s="575" t="s">
        <v>101</v>
      </c>
      <c r="AA14" s="273" t="s">
        <v>1178</v>
      </c>
      <c r="AB14" s="581" t="s">
        <v>1096</v>
      </c>
    </row>
    <row r="15" spans="1:30" ht="140.25" customHeight="1" x14ac:dyDescent="0.2">
      <c r="A15" s="333" t="s">
        <v>423</v>
      </c>
      <c r="B15" s="575" t="s">
        <v>424</v>
      </c>
      <c r="C15" s="575" t="s">
        <v>425</v>
      </c>
      <c r="D15" s="575" t="str">
        <f>IF(E15="","",CONCATENATE("OE_",MID(E15,1,1)))</f>
        <v>OE_2</v>
      </c>
      <c r="E15" s="575" t="s">
        <v>39</v>
      </c>
      <c r="F15" s="575" t="s">
        <v>829</v>
      </c>
      <c r="G15" s="275" t="s">
        <v>378</v>
      </c>
      <c r="H15" s="275" t="s">
        <v>428</v>
      </c>
      <c r="I15" s="575" t="s">
        <v>476</v>
      </c>
      <c r="J15" s="582" t="s">
        <v>111</v>
      </c>
      <c r="K15" s="575" t="s">
        <v>90</v>
      </c>
      <c r="L15" s="575" t="s">
        <v>112</v>
      </c>
      <c r="M15" s="275" t="s">
        <v>113</v>
      </c>
      <c r="N15" s="275" t="s">
        <v>114</v>
      </c>
      <c r="O15" s="275" t="s">
        <v>115</v>
      </c>
      <c r="P15" s="275" t="s">
        <v>99</v>
      </c>
      <c r="Q15" s="275" t="s">
        <v>119</v>
      </c>
      <c r="R15" s="275">
        <v>12</v>
      </c>
      <c r="S15" s="575" t="s">
        <v>426</v>
      </c>
      <c r="T15" s="338">
        <v>0.3</v>
      </c>
      <c r="U15" s="275" t="s">
        <v>116</v>
      </c>
      <c r="V15" s="275" t="s">
        <v>117</v>
      </c>
      <c r="W15" s="338">
        <v>0.91</v>
      </c>
      <c r="X15" s="575" t="s">
        <v>118</v>
      </c>
      <c r="Y15" s="275" t="s">
        <v>54</v>
      </c>
      <c r="Z15" s="575" t="s">
        <v>119</v>
      </c>
      <c r="AA15" s="273" t="s">
        <v>1178</v>
      </c>
      <c r="AB15" s="581" t="s">
        <v>1097</v>
      </c>
    </row>
    <row r="16" spans="1:30" ht="162.75" customHeight="1" x14ac:dyDescent="0.2">
      <c r="A16" s="333" t="s">
        <v>423</v>
      </c>
      <c r="B16" s="575" t="s">
        <v>424</v>
      </c>
      <c r="C16" s="575" t="s">
        <v>425</v>
      </c>
      <c r="D16" s="575" t="str">
        <f t="shared" ref="D16:D22" si="1">IF(E16="","",CONCATENATE("OE_",MID(E16,1,1)))</f>
        <v>OE_2</v>
      </c>
      <c r="E16" s="575" t="s">
        <v>39</v>
      </c>
      <c r="F16" s="575" t="s">
        <v>62</v>
      </c>
      <c r="G16" s="275" t="s">
        <v>379</v>
      </c>
      <c r="H16" s="275" t="s">
        <v>429</v>
      </c>
      <c r="I16" s="575" t="s">
        <v>422</v>
      </c>
      <c r="J16" s="582" t="s">
        <v>432</v>
      </c>
      <c r="K16" s="575" t="s">
        <v>74</v>
      </c>
      <c r="L16" s="575" t="s">
        <v>120</v>
      </c>
      <c r="M16" s="275" t="s">
        <v>121</v>
      </c>
      <c r="N16" s="275" t="s">
        <v>122</v>
      </c>
      <c r="O16" s="275" t="s">
        <v>115</v>
      </c>
      <c r="P16" s="275" t="s">
        <v>79</v>
      </c>
      <c r="Q16" s="275">
        <v>331</v>
      </c>
      <c r="R16" s="275">
        <v>320</v>
      </c>
      <c r="S16" s="575" t="s">
        <v>427</v>
      </c>
      <c r="T16" s="338">
        <v>0.3</v>
      </c>
      <c r="U16" s="275" t="s">
        <v>116</v>
      </c>
      <c r="V16" s="275" t="s">
        <v>117</v>
      </c>
      <c r="W16" s="338">
        <v>0.91</v>
      </c>
      <c r="X16" s="575" t="s">
        <v>123</v>
      </c>
      <c r="Y16" s="275" t="s">
        <v>54</v>
      </c>
      <c r="Z16" s="575" t="s">
        <v>119</v>
      </c>
      <c r="AA16" s="273" t="s">
        <v>1178</v>
      </c>
      <c r="AB16" s="581" t="s">
        <v>1098</v>
      </c>
    </row>
    <row r="17" spans="1:28" ht="190.5" customHeight="1" x14ac:dyDescent="0.2">
      <c r="A17" s="333" t="s">
        <v>423</v>
      </c>
      <c r="B17" s="575" t="s">
        <v>424</v>
      </c>
      <c r="C17" s="575" t="s">
        <v>430</v>
      </c>
      <c r="D17" s="575" t="str">
        <f t="shared" si="1"/>
        <v>OE_5</v>
      </c>
      <c r="E17" s="575" t="s">
        <v>42</v>
      </c>
      <c r="F17" s="575" t="s">
        <v>61</v>
      </c>
      <c r="G17" s="275" t="s">
        <v>392</v>
      </c>
      <c r="H17" s="583" t="s">
        <v>513</v>
      </c>
      <c r="I17" s="582" t="s">
        <v>431</v>
      </c>
      <c r="J17" s="582" t="s">
        <v>514</v>
      </c>
      <c r="K17" s="575" t="s">
        <v>124</v>
      </c>
      <c r="L17" s="582" t="s">
        <v>519</v>
      </c>
      <c r="M17" s="583" t="s">
        <v>516</v>
      </c>
      <c r="N17" s="583" t="s">
        <v>515</v>
      </c>
      <c r="O17" s="275" t="s">
        <v>115</v>
      </c>
      <c r="P17" s="275" t="s">
        <v>99</v>
      </c>
      <c r="Q17" s="275" t="s">
        <v>119</v>
      </c>
      <c r="R17" s="584">
        <v>0.9</v>
      </c>
      <c r="S17" s="582" t="s">
        <v>517</v>
      </c>
      <c r="T17" s="338">
        <v>0.3</v>
      </c>
      <c r="U17" s="275" t="s">
        <v>116</v>
      </c>
      <c r="V17" s="275" t="s">
        <v>117</v>
      </c>
      <c r="W17" s="338">
        <v>0.91</v>
      </c>
      <c r="X17" s="575" t="s">
        <v>518</v>
      </c>
      <c r="Y17" s="275" t="s">
        <v>54</v>
      </c>
      <c r="Z17" s="575" t="s">
        <v>119</v>
      </c>
      <c r="AA17" s="273" t="s">
        <v>1178</v>
      </c>
      <c r="AB17" s="581" t="s">
        <v>1099</v>
      </c>
    </row>
    <row r="18" spans="1:28" ht="144" customHeight="1" x14ac:dyDescent="0.2">
      <c r="A18" s="333" t="s">
        <v>423</v>
      </c>
      <c r="B18" s="575" t="s">
        <v>424</v>
      </c>
      <c r="C18" s="575" t="s">
        <v>430</v>
      </c>
      <c r="D18" s="575" t="str">
        <f t="shared" si="1"/>
        <v>OE_5</v>
      </c>
      <c r="E18" s="575" t="s">
        <v>42</v>
      </c>
      <c r="F18" s="575" t="s">
        <v>61</v>
      </c>
      <c r="G18" s="275" t="s">
        <v>393</v>
      </c>
      <c r="H18" s="583" t="s">
        <v>458</v>
      </c>
      <c r="I18" s="575" t="s">
        <v>459</v>
      </c>
      <c r="J18" s="582" t="s">
        <v>520</v>
      </c>
      <c r="K18" s="575" t="s">
        <v>74</v>
      </c>
      <c r="L18" s="575" t="s">
        <v>125</v>
      </c>
      <c r="M18" s="583" t="s">
        <v>460</v>
      </c>
      <c r="N18" s="583" t="s">
        <v>126</v>
      </c>
      <c r="O18" s="275" t="s">
        <v>115</v>
      </c>
      <c r="P18" s="275" t="s">
        <v>99</v>
      </c>
      <c r="Q18" s="338">
        <v>1</v>
      </c>
      <c r="R18" s="338">
        <v>0.9</v>
      </c>
      <c r="S18" s="582" t="s">
        <v>521</v>
      </c>
      <c r="T18" s="338">
        <v>0.3</v>
      </c>
      <c r="U18" s="275" t="s">
        <v>116</v>
      </c>
      <c r="V18" s="275" t="s">
        <v>117</v>
      </c>
      <c r="W18" s="338">
        <v>0.91</v>
      </c>
      <c r="X18" s="575" t="s">
        <v>127</v>
      </c>
      <c r="Y18" s="275" t="s">
        <v>54</v>
      </c>
      <c r="Z18" s="575" t="s">
        <v>119</v>
      </c>
      <c r="AA18" s="273" t="s">
        <v>1178</v>
      </c>
      <c r="AB18" s="581" t="s">
        <v>1099</v>
      </c>
    </row>
    <row r="19" spans="1:28" ht="304.5" customHeight="1" x14ac:dyDescent="0.2">
      <c r="A19" s="333" t="s">
        <v>522</v>
      </c>
      <c r="B19" s="575" t="s">
        <v>108</v>
      </c>
      <c r="C19" s="575" t="s">
        <v>109</v>
      </c>
      <c r="D19" s="575" t="str">
        <f t="shared" si="1"/>
        <v>OE_4</v>
      </c>
      <c r="E19" s="575" t="s">
        <v>41</v>
      </c>
      <c r="F19" s="575" t="s">
        <v>62</v>
      </c>
      <c r="G19" s="275" t="s">
        <v>386</v>
      </c>
      <c r="H19" s="275" t="s">
        <v>867</v>
      </c>
      <c r="I19" s="575" t="s">
        <v>800</v>
      </c>
      <c r="J19" s="335" t="s">
        <v>754</v>
      </c>
      <c r="K19" s="335" t="s">
        <v>74</v>
      </c>
      <c r="L19" s="335" t="s">
        <v>801</v>
      </c>
      <c r="M19" s="273" t="s">
        <v>755</v>
      </c>
      <c r="N19" s="273" t="s">
        <v>756</v>
      </c>
      <c r="O19" s="273" t="s">
        <v>115</v>
      </c>
      <c r="P19" s="273" t="s">
        <v>79</v>
      </c>
      <c r="Q19" s="274">
        <v>1</v>
      </c>
      <c r="R19" s="274">
        <v>1</v>
      </c>
      <c r="S19" s="339" t="s">
        <v>757</v>
      </c>
      <c r="T19" s="340" t="s">
        <v>129</v>
      </c>
      <c r="U19" s="340" t="s">
        <v>130</v>
      </c>
      <c r="V19" s="341" t="s">
        <v>131</v>
      </c>
      <c r="W19" s="340" t="s">
        <v>132</v>
      </c>
      <c r="X19" s="335" t="s">
        <v>1121</v>
      </c>
      <c r="Y19" s="273" t="s">
        <v>54</v>
      </c>
      <c r="Z19" s="575" t="s">
        <v>128</v>
      </c>
      <c r="AA19" s="273" t="s">
        <v>1178</v>
      </c>
      <c r="AB19" s="581" t="s">
        <v>133</v>
      </c>
    </row>
    <row r="20" spans="1:28" ht="258" customHeight="1" x14ac:dyDescent="0.2">
      <c r="A20" s="333" t="s">
        <v>522</v>
      </c>
      <c r="B20" s="575" t="s">
        <v>108</v>
      </c>
      <c r="C20" s="575" t="s">
        <v>109</v>
      </c>
      <c r="D20" s="575" t="str">
        <f t="shared" si="1"/>
        <v>OE_4</v>
      </c>
      <c r="E20" s="575" t="s">
        <v>41</v>
      </c>
      <c r="F20" s="575" t="s">
        <v>64</v>
      </c>
      <c r="G20" s="275" t="s">
        <v>387</v>
      </c>
      <c r="H20" s="275" t="s">
        <v>868</v>
      </c>
      <c r="I20" s="575" t="s">
        <v>800</v>
      </c>
      <c r="J20" s="575" t="s">
        <v>763</v>
      </c>
      <c r="K20" s="575" t="s">
        <v>90</v>
      </c>
      <c r="L20" s="335" t="s">
        <v>758</v>
      </c>
      <c r="M20" s="275" t="s">
        <v>1100</v>
      </c>
      <c r="N20" s="275" t="s">
        <v>1101</v>
      </c>
      <c r="O20" s="273" t="s">
        <v>115</v>
      </c>
      <c r="P20" s="273" t="s">
        <v>79</v>
      </c>
      <c r="Q20" s="274" t="s">
        <v>1102</v>
      </c>
      <c r="R20" s="274" t="s">
        <v>1103</v>
      </c>
      <c r="S20" s="339" t="s">
        <v>1104</v>
      </c>
      <c r="T20" s="340" t="s">
        <v>759</v>
      </c>
      <c r="U20" s="340" t="s">
        <v>760</v>
      </c>
      <c r="V20" s="341" t="s">
        <v>761</v>
      </c>
      <c r="W20" s="340" t="s">
        <v>132</v>
      </c>
      <c r="X20" s="335" t="s">
        <v>762</v>
      </c>
      <c r="Y20" s="273" t="s">
        <v>55</v>
      </c>
      <c r="Z20" s="582" t="s">
        <v>802</v>
      </c>
      <c r="AA20" s="273" t="s">
        <v>1178</v>
      </c>
      <c r="AB20" s="581" t="s">
        <v>133</v>
      </c>
    </row>
    <row r="21" spans="1:28" ht="279.75" customHeight="1" x14ac:dyDescent="0.2">
      <c r="A21" s="333" t="s">
        <v>522</v>
      </c>
      <c r="B21" s="575" t="s">
        <v>108</v>
      </c>
      <c r="C21" s="575" t="s">
        <v>109</v>
      </c>
      <c r="D21" s="575" t="str">
        <f t="shared" si="1"/>
        <v>OE_2</v>
      </c>
      <c r="E21" s="575" t="s">
        <v>39</v>
      </c>
      <c r="F21" s="575" t="s">
        <v>59</v>
      </c>
      <c r="G21" s="275" t="s">
        <v>380</v>
      </c>
      <c r="H21" s="628" t="s">
        <v>134</v>
      </c>
      <c r="I21" s="616" t="s">
        <v>803</v>
      </c>
      <c r="J21" s="575" t="s">
        <v>135</v>
      </c>
      <c r="K21" s="575" t="s">
        <v>74</v>
      </c>
      <c r="L21" s="575" t="s">
        <v>461</v>
      </c>
      <c r="M21" s="275" t="s">
        <v>136</v>
      </c>
      <c r="N21" s="275" t="s">
        <v>137</v>
      </c>
      <c r="O21" s="275" t="s">
        <v>115</v>
      </c>
      <c r="P21" s="275" t="s">
        <v>99</v>
      </c>
      <c r="Q21" s="275" t="s">
        <v>138</v>
      </c>
      <c r="R21" s="275" t="s">
        <v>139</v>
      </c>
      <c r="S21" s="575" t="s">
        <v>140</v>
      </c>
      <c r="T21" s="275" t="s">
        <v>141</v>
      </c>
      <c r="U21" s="275" t="s">
        <v>142</v>
      </c>
      <c r="V21" s="275" t="s">
        <v>139</v>
      </c>
      <c r="W21" s="275" t="s">
        <v>143</v>
      </c>
      <c r="X21" s="408" t="s">
        <v>824</v>
      </c>
      <c r="Y21" s="275" t="s">
        <v>54</v>
      </c>
      <c r="Z21" s="575" t="s">
        <v>462</v>
      </c>
      <c r="AA21" s="275" t="s">
        <v>1170</v>
      </c>
      <c r="AB21" s="581" t="s">
        <v>823</v>
      </c>
    </row>
    <row r="22" spans="1:28" ht="180" customHeight="1" x14ac:dyDescent="0.2">
      <c r="A22" s="333" t="s">
        <v>522</v>
      </c>
      <c r="B22" s="575" t="s">
        <v>108</v>
      </c>
      <c r="C22" s="575" t="s">
        <v>109</v>
      </c>
      <c r="D22" s="575" t="str">
        <f t="shared" si="1"/>
        <v>OE_1</v>
      </c>
      <c r="E22" s="575" t="s">
        <v>38</v>
      </c>
      <c r="F22" s="575" t="s">
        <v>63</v>
      </c>
      <c r="G22" s="275" t="s">
        <v>987</v>
      </c>
      <c r="H22" s="628"/>
      <c r="I22" s="616"/>
      <c r="J22" s="575" t="s">
        <v>477</v>
      </c>
      <c r="K22" s="575" t="s">
        <v>74</v>
      </c>
      <c r="L22" s="582" t="s">
        <v>827</v>
      </c>
      <c r="M22" s="275" t="s">
        <v>374</v>
      </c>
      <c r="N22" s="275" t="s">
        <v>375</v>
      </c>
      <c r="O22" s="275" t="s">
        <v>78</v>
      </c>
      <c r="P22" s="275" t="s">
        <v>99</v>
      </c>
      <c r="Q22" s="275" t="s">
        <v>376</v>
      </c>
      <c r="R22" s="275" t="s">
        <v>376</v>
      </c>
      <c r="S22" s="575" t="s">
        <v>828</v>
      </c>
      <c r="T22" s="275" t="s">
        <v>1124</v>
      </c>
      <c r="U22" s="275" t="s">
        <v>1125</v>
      </c>
      <c r="V22" s="275" t="s">
        <v>1126</v>
      </c>
      <c r="W22" s="275" t="s">
        <v>1127</v>
      </c>
      <c r="X22" s="575" t="s">
        <v>478</v>
      </c>
      <c r="Y22" s="275" t="s">
        <v>54</v>
      </c>
      <c r="Z22" s="575" t="s">
        <v>479</v>
      </c>
      <c r="AA22" s="585" t="s">
        <v>1170</v>
      </c>
      <c r="AB22" s="581" t="s">
        <v>1105</v>
      </c>
    </row>
    <row r="23" spans="1:28" ht="285" customHeight="1" x14ac:dyDescent="0.2">
      <c r="A23" s="333" t="s">
        <v>522</v>
      </c>
      <c r="B23" s="575" t="s">
        <v>108</v>
      </c>
      <c r="C23" s="575" t="s">
        <v>523</v>
      </c>
      <c r="D23" s="575" t="s">
        <v>66</v>
      </c>
      <c r="E23" s="575" t="s">
        <v>38</v>
      </c>
      <c r="F23" s="575" t="s">
        <v>59</v>
      </c>
      <c r="G23" s="275" t="s">
        <v>988</v>
      </c>
      <c r="H23" s="275" t="s">
        <v>1128</v>
      </c>
      <c r="I23" s="575" t="s">
        <v>1129</v>
      </c>
      <c r="J23" s="575" t="s">
        <v>1130</v>
      </c>
      <c r="K23" s="575" t="s">
        <v>74</v>
      </c>
      <c r="L23" s="575" t="s">
        <v>1131</v>
      </c>
      <c r="M23" s="275" t="s">
        <v>1132</v>
      </c>
      <c r="N23" s="275" t="s">
        <v>1133</v>
      </c>
      <c r="O23" s="275" t="s">
        <v>115</v>
      </c>
      <c r="P23" s="275" t="s">
        <v>79</v>
      </c>
      <c r="Q23" s="20">
        <v>1</v>
      </c>
      <c r="R23" s="20">
        <v>1</v>
      </c>
      <c r="S23" s="575" t="s">
        <v>1134</v>
      </c>
      <c r="T23" s="275" t="s">
        <v>129</v>
      </c>
      <c r="U23" s="275" t="s">
        <v>144</v>
      </c>
      <c r="V23" s="338">
        <v>1</v>
      </c>
      <c r="W23" s="275" t="s">
        <v>132</v>
      </c>
      <c r="X23" s="575" t="s">
        <v>825</v>
      </c>
      <c r="Y23" s="275" t="s">
        <v>54</v>
      </c>
      <c r="Z23" s="582" t="s">
        <v>463</v>
      </c>
      <c r="AA23" s="585" t="s">
        <v>1170</v>
      </c>
      <c r="AB23" s="581" t="s">
        <v>823</v>
      </c>
    </row>
    <row r="24" spans="1:28" ht="203.25" customHeight="1" x14ac:dyDescent="0.2">
      <c r="A24" s="333" t="s">
        <v>524</v>
      </c>
      <c r="B24" s="575" t="s">
        <v>525</v>
      </c>
      <c r="C24" s="575" t="s">
        <v>526</v>
      </c>
      <c r="D24" s="575" t="s">
        <v>68</v>
      </c>
      <c r="E24" s="575" t="s">
        <v>40</v>
      </c>
      <c r="F24" s="575" t="s">
        <v>63</v>
      </c>
      <c r="G24" s="275" t="s">
        <v>381</v>
      </c>
      <c r="H24" s="275" t="s">
        <v>145</v>
      </c>
      <c r="I24" s="575" t="s">
        <v>146</v>
      </c>
      <c r="J24" s="575" t="s">
        <v>147</v>
      </c>
      <c r="K24" s="575" t="s">
        <v>74</v>
      </c>
      <c r="L24" s="575" t="s">
        <v>148</v>
      </c>
      <c r="M24" s="275" t="s">
        <v>149</v>
      </c>
      <c r="N24" s="275" t="s">
        <v>804</v>
      </c>
      <c r="O24" s="275" t="s">
        <v>115</v>
      </c>
      <c r="P24" s="275" t="s">
        <v>79</v>
      </c>
      <c r="Q24" s="20">
        <v>1</v>
      </c>
      <c r="R24" s="20">
        <v>1</v>
      </c>
      <c r="S24" s="575" t="s">
        <v>480</v>
      </c>
      <c r="T24" s="275" t="s">
        <v>129</v>
      </c>
      <c r="U24" s="275" t="s">
        <v>144</v>
      </c>
      <c r="V24" s="338">
        <v>1</v>
      </c>
      <c r="W24" s="275" t="s">
        <v>132</v>
      </c>
      <c r="X24" s="575" t="s">
        <v>826</v>
      </c>
      <c r="Y24" s="275" t="s">
        <v>54</v>
      </c>
      <c r="Z24" s="582" t="s">
        <v>464</v>
      </c>
      <c r="AA24" s="585" t="s">
        <v>1170</v>
      </c>
      <c r="AB24" s="581" t="s">
        <v>823</v>
      </c>
    </row>
    <row r="25" spans="1:28" ht="195" customHeight="1" x14ac:dyDescent="0.2">
      <c r="A25" s="333" t="s">
        <v>524</v>
      </c>
      <c r="B25" s="575" t="s">
        <v>525</v>
      </c>
      <c r="C25" s="575" t="s">
        <v>527</v>
      </c>
      <c r="D25" s="575" t="s">
        <v>68</v>
      </c>
      <c r="E25" s="575" t="s">
        <v>40</v>
      </c>
      <c r="F25" s="575" t="s">
        <v>61</v>
      </c>
      <c r="G25" s="275" t="s">
        <v>382</v>
      </c>
      <c r="H25" s="275" t="s">
        <v>150</v>
      </c>
      <c r="I25" s="575" t="s">
        <v>151</v>
      </c>
      <c r="J25" s="575" t="s">
        <v>152</v>
      </c>
      <c r="K25" s="575" t="s">
        <v>124</v>
      </c>
      <c r="L25" s="575" t="s">
        <v>482</v>
      </c>
      <c r="M25" s="275" t="s">
        <v>153</v>
      </c>
      <c r="N25" s="275" t="s">
        <v>154</v>
      </c>
      <c r="O25" s="275" t="s">
        <v>78</v>
      </c>
      <c r="P25" s="275" t="s">
        <v>99</v>
      </c>
      <c r="Q25" s="275" t="s">
        <v>155</v>
      </c>
      <c r="R25" s="20">
        <v>1</v>
      </c>
      <c r="S25" s="575" t="s">
        <v>481</v>
      </c>
      <c r="T25" s="20">
        <v>0.85</v>
      </c>
      <c r="U25" s="275" t="s">
        <v>156</v>
      </c>
      <c r="V25" s="275" t="s">
        <v>157</v>
      </c>
      <c r="W25" s="275" t="s">
        <v>158</v>
      </c>
      <c r="X25" s="575" t="s">
        <v>483</v>
      </c>
      <c r="Y25" s="275" t="s">
        <v>52</v>
      </c>
      <c r="Z25" s="575" t="s">
        <v>484</v>
      </c>
      <c r="AA25" s="585" t="s">
        <v>1170</v>
      </c>
      <c r="AB25" s="581" t="s">
        <v>1106</v>
      </c>
    </row>
    <row r="26" spans="1:28" ht="213" customHeight="1" x14ac:dyDescent="0.2">
      <c r="A26" s="333" t="s">
        <v>524</v>
      </c>
      <c r="B26" s="575" t="s">
        <v>525</v>
      </c>
      <c r="C26" s="575" t="s">
        <v>527</v>
      </c>
      <c r="D26" s="575" t="s">
        <v>68</v>
      </c>
      <c r="E26" s="575" t="s">
        <v>40</v>
      </c>
      <c r="F26" s="575" t="s">
        <v>65</v>
      </c>
      <c r="G26" s="275" t="s">
        <v>383</v>
      </c>
      <c r="H26" s="275" t="s">
        <v>786</v>
      </c>
      <c r="I26" s="575" t="s">
        <v>433</v>
      </c>
      <c r="J26" s="575" t="s">
        <v>434</v>
      </c>
      <c r="K26" s="575" t="s">
        <v>90</v>
      </c>
      <c r="L26" s="575" t="s">
        <v>170</v>
      </c>
      <c r="M26" s="275" t="s">
        <v>467</v>
      </c>
      <c r="N26" s="275" t="s">
        <v>487</v>
      </c>
      <c r="O26" s="275" t="s">
        <v>115</v>
      </c>
      <c r="P26" s="275" t="s">
        <v>79</v>
      </c>
      <c r="Q26" s="20">
        <v>0.9</v>
      </c>
      <c r="R26" s="20">
        <v>0.95</v>
      </c>
      <c r="S26" s="575" t="s">
        <v>171</v>
      </c>
      <c r="T26" s="275" t="s">
        <v>166</v>
      </c>
      <c r="U26" s="275" t="s">
        <v>100</v>
      </c>
      <c r="V26" s="275" t="s">
        <v>470</v>
      </c>
      <c r="W26" s="275" t="s">
        <v>471</v>
      </c>
      <c r="X26" s="575" t="s">
        <v>172</v>
      </c>
      <c r="Y26" s="275" t="s">
        <v>54</v>
      </c>
      <c r="Z26" s="575" t="s">
        <v>101</v>
      </c>
      <c r="AA26" s="275" t="s">
        <v>1174</v>
      </c>
      <c r="AB26" s="581" t="s">
        <v>1179</v>
      </c>
    </row>
    <row r="27" spans="1:28" ht="90.75" customHeight="1" x14ac:dyDescent="0.2">
      <c r="A27" s="333" t="s">
        <v>524</v>
      </c>
      <c r="B27" s="575" t="s">
        <v>525</v>
      </c>
      <c r="C27" s="575" t="s">
        <v>527</v>
      </c>
      <c r="D27" s="575" t="s">
        <v>68</v>
      </c>
      <c r="E27" s="575" t="s">
        <v>40</v>
      </c>
      <c r="F27" s="575" t="s">
        <v>65</v>
      </c>
      <c r="G27" s="275" t="s">
        <v>384</v>
      </c>
      <c r="H27" s="275" t="s">
        <v>794</v>
      </c>
      <c r="I27" s="575" t="s">
        <v>173</v>
      </c>
      <c r="J27" s="575" t="s">
        <v>174</v>
      </c>
      <c r="K27" s="575" t="s">
        <v>90</v>
      </c>
      <c r="L27" s="575" t="s">
        <v>175</v>
      </c>
      <c r="M27" s="275" t="s">
        <v>468</v>
      </c>
      <c r="N27" s="275" t="s">
        <v>488</v>
      </c>
      <c r="O27" s="275" t="s">
        <v>115</v>
      </c>
      <c r="P27" s="275" t="s">
        <v>79</v>
      </c>
      <c r="Q27" s="20">
        <v>0.9</v>
      </c>
      <c r="R27" s="20">
        <v>0.95</v>
      </c>
      <c r="S27" s="575" t="s">
        <v>176</v>
      </c>
      <c r="T27" s="275" t="s">
        <v>166</v>
      </c>
      <c r="U27" s="275" t="s">
        <v>100</v>
      </c>
      <c r="V27" s="275" t="s">
        <v>470</v>
      </c>
      <c r="W27" s="275" t="s">
        <v>471</v>
      </c>
      <c r="X27" s="575" t="s">
        <v>172</v>
      </c>
      <c r="Y27" s="275" t="s">
        <v>54</v>
      </c>
      <c r="Z27" s="575" t="s">
        <v>101</v>
      </c>
      <c r="AA27" s="275" t="s">
        <v>1174</v>
      </c>
      <c r="AB27" s="581" t="s">
        <v>1180</v>
      </c>
    </row>
    <row r="28" spans="1:28" ht="108.75" customHeight="1" x14ac:dyDescent="0.2">
      <c r="A28" s="333" t="s">
        <v>524</v>
      </c>
      <c r="B28" s="575" t="s">
        <v>525</v>
      </c>
      <c r="C28" s="575" t="s">
        <v>527</v>
      </c>
      <c r="D28" s="575" t="s">
        <v>68</v>
      </c>
      <c r="E28" s="575" t="s">
        <v>40</v>
      </c>
      <c r="F28" s="575" t="s">
        <v>65</v>
      </c>
      <c r="G28" s="275" t="s">
        <v>385</v>
      </c>
      <c r="H28" s="275" t="s">
        <v>795</v>
      </c>
      <c r="I28" s="582" t="s">
        <v>485</v>
      </c>
      <c r="J28" s="575" t="s">
        <v>177</v>
      </c>
      <c r="K28" s="575" t="s">
        <v>90</v>
      </c>
      <c r="L28" s="575" t="s">
        <v>178</v>
      </c>
      <c r="M28" s="275" t="s">
        <v>469</v>
      </c>
      <c r="N28" s="275" t="s">
        <v>489</v>
      </c>
      <c r="O28" s="275" t="s">
        <v>115</v>
      </c>
      <c r="P28" s="275" t="s">
        <v>79</v>
      </c>
      <c r="Q28" s="20">
        <v>0.9</v>
      </c>
      <c r="R28" s="20">
        <v>0.95</v>
      </c>
      <c r="S28" s="575" t="s">
        <v>179</v>
      </c>
      <c r="T28" s="275" t="s">
        <v>166</v>
      </c>
      <c r="U28" s="275" t="s">
        <v>100</v>
      </c>
      <c r="V28" s="275" t="s">
        <v>470</v>
      </c>
      <c r="W28" s="275" t="s">
        <v>471</v>
      </c>
      <c r="X28" s="575" t="s">
        <v>172</v>
      </c>
      <c r="Y28" s="275" t="s">
        <v>54</v>
      </c>
      <c r="Z28" s="575" t="s">
        <v>101</v>
      </c>
      <c r="AA28" s="275" t="s">
        <v>1174</v>
      </c>
      <c r="AB28" s="581" t="s">
        <v>1180</v>
      </c>
    </row>
    <row r="29" spans="1:28" ht="174.75" customHeight="1" x14ac:dyDescent="0.2">
      <c r="A29" s="586" t="s">
        <v>528</v>
      </c>
      <c r="B29" s="575" t="s">
        <v>529</v>
      </c>
      <c r="C29" s="582" t="s">
        <v>530</v>
      </c>
      <c r="D29" s="575" t="s">
        <v>70</v>
      </c>
      <c r="E29" s="575" t="s">
        <v>42</v>
      </c>
      <c r="F29" s="575" t="s">
        <v>159</v>
      </c>
      <c r="G29" s="275" t="s">
        <v>394</v>
      </c>
      <c r="H29" s="275" t="s">
        <v>160</v>
      </c>
      <c r="I29" s="575" t="s">
        <v>161</v>
      </c>
      <c r="J29" s="575" t="s">
        <v>162</v>
      </c>
      <c r="K29" s="575" t="s">
        <v>90</v>
      </c>
      <c r="L29" s="575" t="s">
        <v>163</v>
      </c>
      <c r="M29" s="275" t="s">
        <v>164</v>
      </c>
      <c r="N29" s="275" t="s">
        <v>165</v>
      </c>
      <c r="O29" s="275" t="s">
        <v>78</v>
      </c>
      <c r="P29" s="275" t="s">
        <v>79</v>
      </c>
      <c r="Q29" s="20">
        <v>0.91</v>
      </c>
      <c r="R29" s="20">
        <v>0.9</v>
      </c>
      <c r="S29" s="575" t="s">
        <v>465</v>
      </c>
      <c r="T29" s="275" t="s">
        <v>166</v>
      </c>
      <c r="U29" s="275" t="s">
        <v>100</v>
      </c>
      <c r="V29" s="275" t="s">
        <v>167</v>
      </c>
      <c r="W29" s="275" t="s">
        <v>466</v>
      </c>
      <c r="X29" s="575" t="s">
        <v>169</v>
      </c>
      <c r="Y29" s="275" t="s">
        <v>54</v>
      </c>
      <c r="Z29" s="575" t="s">
        <v>101</v>
      </c>
      <c r="AA29" s="275" t="s">
        <v>1174</v>
      </c>
      <c r="AB29" s="581" t="s">
        <v>805</v>
      </c>
    </row>
    <row r="30" spans="1:28" ht="81.75" customHeight="1" x14ac:dyDescent="0.2">
      <c r="A30" s="333" t="s">
        <v>423</v>
      </c>
      <c r="B30" s="575" t="s">
        <v>424</v>
      </c>
      <c r="C30" s="575" t="s">
        <v>532</v>
      </c>
      <c r="D30" s="575" t="s">
        <v>70</v>
      </c>
      <c r="E30" s="575" t="s">
        <v>42</v>
      </c>
      <c r="F30" s="575" t="s">
        <v>61</v>
      </c>
      <c r="G30" s="275" t="s">
        <v>395</v>
      </c>
      <c r="H30" s="275" t="s">
        <v>789</v>
      </c>
      <c r="I30" s="575" t="s">
        <v>180</v>
      </c>
      <c r="J30" s="575" t="s">
        <v>435</v>
      </c>
      <c r="K30" s="575" t="s">
        <v>74</v>
      </c>
      <c r="L30" s="575" t="s">
        <v>181</v>
      </c>
      <c r="M30" s="275" t="s">
        <v>182</v>
      </c>
      <c r="N30" s="275" t="s">
        <v>183</v>
      </c>
      <c r="O30" s="275" t="s">
        <v>115</v>
      </c>
      <c r="P30" s="275" t="s">
        <v>79</v>
      </c>
      <c r="Q30" s="20">
        <v>0.2</v>
      </c>
      <c r="R30" s="20">
        <v>0.9</v>
      </c>
      <c r="S30" s="575" t="s">
        <v>184</v>
      </c>
      <c r="T30" s="275" t="s">
        <v>166</v>
      </c>
      <c r="U30" s="275" t="s">
        <v>100</v>
      </c>
      <c r="V30" s="275" t="s">
        <v>167</v>
      </c>
      <c r="W30" s="275" t="s">
        <v>466</v>
      </c>
      <c r="X30" s="575" t="s">
        <v>185</v>
      </c>
      <c r="Y30" s="275" t="s">
        <v>54</v>
      </c>
      <c r="Z30" s="575" t="s">
        <v>101</v>
      </c>
      <c r="AA30" s="275" t="s">
        <v>1174</v>
      </c>
      <c r="AB30" s="581" t="s">
        <v>186</v>
      </c>
    </row>
    <row r="31" spans="1:28" ht="105" customHeight="1" x14ac:dyDescent="0.2">
      <c r="A31" s="333" t="s">
        <v>423</v>
      </c>
      <c r="B31" s="575" t="s">
        <v>531</v>
      </c>
      <c r="C31" s="575" t="s">
        <v>536</v>
      </c>
      <c r="D31" s="575" t="s">
        <v>70</v>
      </c>
      <c r="E31" s="575" t="s">
        <v>42</v>
      </c>
      <c r="F31" s="575" t="s">
        <v>159</v>
      </c>
      <c r="G31" s="275" t="s">
        <v>396</v>
      </c>
      <c r="H31" s="628" t="s">
        <v>187</v>
      </c>
      <c r="I31" s="575" t="s">
        <v>188</v>
      </c>
      <c r="J31" s="575" t="s">
        <v>189</v>
      </c>
      <c r="K31" s="575" t="s">
        <v>74</v>
      </c>
      <c r="L31" s="575" t="s">
        <v>190</v>
      </c>
      <c r="M31" s="275" t="s">
        <v>191</v>
      </c>
      <c r="N31" s="275" t="s">
        <v>192</v>
      </c>
      <c r="O31" s="275" t="s">
        <v>78</v>
      </c>
      <c r="P31" s="275" t="s">
        <v>79</v>
      </c>
      <c r="Q31" s="20">
        <v>1.1000000000000001</v>
      </c>
      <c r="R31" s="20">
        <v>1</v>
      </c>
      <c r="S31" s="575" t="s">
        <v>486</v>
      </c>
      <c r="T31" s="275" t="s">
        <v>166</v>
      </c>
      <c r="U31" s="275" t="s">
        <v>100</v>
      </c>
      <c r="V31" s="275" t="s">
        <v>457</v>
      </c>
      <c r="W31" s="338">
        <v>1</v>
      </c>
      <c r="X31" s="575" t="s">
        <v>193</v>
      </c>
      <c r="Y31" s="275" t="s">
        <v>54</v>
      </c>
      <c r="Z31" s="575" t="s">
        <v>806</v>
      </c>
      <c r="AA31" s="275" t="s">
        <v>1174</v>
      </c>
      <c r="AB31" s="581" t="s">
        <v>194</v>
      </c>
    </row>
    <row r="32" spans="1:28" ht="117" customHeight="1" x14ac:dyDescent="0.2">
      <c r="A32" s="333" t="s">
        <v>423</v>
      </c>
      <c r="B32" s="575" t="s">
        <v>531</v>
      </c>
      <c r="C32" s="575" t="s">
        <v>536</v>
      </c>
      <c r="D32" s="575" t="s">
        <v>70</v>
      </c>
      <c r="E32" s="575" t="s">
        <v>42</v>
      </c>
      <c r="F32" s="575" t="s">
        <v>159</v>
      </c>
      <c r="G32" s="275" t="s">
        <v>397</v>
      </c>
      <c r="H32" s="628"/>
      <c r="I32" s="575" t="s">
        <v>195</v>
      </c>
      <c r="J32" s="575" t="s">
        <v>196</v>
      </c>
      <c r="K32" s="575" t="s">
        <v>74</v>
      </c>
      <c r="L32" s="575" t="s">
        <v>197</v>
      </c>
      <c r="M32" s="275" t="s">
        <v>198</v>
      </c>
      <c r="N32" s="275" t="s">
        <v>199</v>
      </c>
      <c r="O32" s="275" t="s">
        <v>78</v>
      </c>
      <c r="P32" s="275" t="s">
        <v>79</v>
      </c>
      <c r="Q32" s="338">
        <v>1</v>
      </c>
      <c r="R32" s="20">
        <v>1</v>
      </c>
      <c r="S32" s="575" t="s">
        <v>807</v>
      </c>
      <c r="T32" s="275" t="s">
        <v>166</v>
      </c>
      <c r="U32" s="275" t="s">
        <v>100</v>
      </c>
      <c r="V32" s="275" t="s">
        <v>457</v>
      </c>
      <c r="W32" s="338">
        <v>1</v>
      </c>
      <c r="X32" s="575" t="s">
        <v>200</v>
      </c>
      <c r="Y32" s="275" t="s">
        <v>54</v>
      </c>
      <c r="Z32" s="575" t="s">
        <v>101</v>
      </c>
      <c r="AA32" s="275" t="s">
        <v>1174</v>
      </c>
      <c r="AB32" s="581" t="s">
        <v>194</v>
      </c>
    </row>
    <row r="33" spans="1:28" ht="105" customHeight="1" x14ac:dyDescent="0.2">
      <c r="A33" s="333" t="s">
        <v>81</v>
      </c>
      <c r="B33" s="575" t="s">
        <v>82</v>
      </c>
      <c r="C33" s="575" t="s">
        <v>551</v>
      </c>
      <c r="D33" s="575" t="s">
        <v>70</v>
      </c>
      <c r="E33" s="575" t="s">
        <v>42</v>
      </c>
      <c r="F33" s="575" t="s">
        <v>61</v>
      </c>
      <c r="G33" s="275" t="s">
        <v>398</v>
      </c>
      <c r="H33" s="275" t="s">
        <v>790</v>
      </c>
      <c r="I33" s="575" t="s">
        <v>436</v>
      </c>
      <c r="J33" s="575" t="s">
        <v>201</v>
      </c>
      <c r="K33" s="575" t="s">
        <v>74</v>
      </c>
      <c r="L33" s="575" t="s">
        <v>202</v>
      </c>
      <c r="M33" s="275" t="s">
        <v>499</v>
      </c>
      <c r="N33" s="275" t="s">
        <v>490</v>
      </c>
      <c r="O33" s="275" t="s">
        <v>78</v>
      </c>
      <c r="P33" s="275" t="s">
        <v>79</v>
      </c>
      <c r="Q33" s="20">
        <v>1</v>
      </c>
      <c r="R33" s="20">
        <v>1</v>
      </c>
      <c r="S33" s="575" t="s">
        <v>500</v>
      </c>
      <c r="T33" s="275" t="s">
        <v>166</v>
      </c>
      <c r="U33" s="275" t="s">
        <v>100</v>
      </c>
      <c r="V33" s="275" t="s">
        <v>457</v>
      </c>
      <c r="W33" s="338">
        <v>1</v>
      </c>
      <c r="X33" s="575" t="s">
        <v>203</v>
      </c>
      <c r="Y33" s="275" t="s">
        <v>54</v>
      </c>
      <c r="Z33" s="575" t="s">
        <v>119</v>
      </c>
      <c r="AA33" s="275" t="s">
        <v>1174</v>
      </c>
      <c r="AB33" s="581" t="s">
        <v>204</v>
      </c>
    </row>
    <row r="34" spans="1:28" ht="131.25" customHeight="1" x14ac:dyDescent="0.2">
      <c r="A34" s="333" t="s">
        <v>533</v>
      </c>
      <c r="B34" s="575" t="s">
        <v>534</v>
      </c>
      <c r="C34" s="575" t="s">
        <v>535</v>
      </c>
      <c r="D34" s="575" t="s">
        <v>70</v>
      </c>
      <c r="E34" s="575" t="s">
        <v>42</v>
      </c>
      <c r="F34" s="575" t="s">
        <v>61</v>
      </c>
      <c r="G34" s="275" t="s">
        <v>399</v>
      </c>
      <c r="H34" s="275" t="s">
        <v>793</v>
      </c>
      <c r="I34" s="575" t="s">
        <v>437</v>
      </c>
      <c r="J34" s="575" t="s">
        <v>205</v>
      </c>
      <c r="K34" s="575" t="s">
        <v>90</v>
      </c>
      <c r="L34" s="575" t="s">
        <v>206</v>
      </c>
      <c r="M34" s="275" t="s">
        <v>498</v>
      </c>
      <c r="N34" s="275" t="s">
        <v>491</v>
      </c>
      <c r="O34" s="275" t="s">
        <v>78</v>
      </c>
      <c r="P34" s="275" t="s">
        <v>79</v>
      </c>
      <c r="Q34" s="20">
        <v>1</v>
      </c>
      <c r="R34" s="20">
        <v>0.9</v>
      </c>
      <c r="S34" s="575" t="s">
        <v>808</v>
      </c>
      <c r="T34" s="275" t="s">
        <v>166</v>
      </c>
      <c r="U34" s="275" t="s">
        <v>100</v>
      </c>
      <c r="V34" s="275" t="s">
        <v>167</v>
      </c>
      <c r="W34" s="275" t="s">
        <v>168</v>
      </c>
      <c r="X34" s="575" t="s">
        <v>207</v>
      </c>
      <c r="Y34" s="275" t="s">
        <v>54</v>
      </c>
      <c r="Z34" s="575" t="s">
        <v>119</v>
      </c>
      <c r="AA34" s="275" t="s">
        <v>1174</v>
      </c>
      <c r="AB34" s="581" t="s">
        <v>204</v>
      </c>
    </row>
    <row r="35" spans="1:28" ht="190.5" customHeight="1" x14ac:dyDescent="0.2">
      <c r="A35" s="333" t="s">
        <v>533</v>
      </c>
      <c r="B35" s="575" t="s">
        <v>534</v>
      </c>
      <c r="C35" s="575" t="s">
        <v>535</v>
      </c>
      <c r="D35" s="575" t="s">
        <v>70</v>
      </c>
      <c r="E35" s="575" t="s">
        <v>42</v>
      </c>
      <c r="F35" s="575" t="s">
        <v>61</v>
      </c>
      <c r="G35" s="275" t="s">
        <v>400</v>
      </c>
      <c r="H35" s="275" t="s">
        <v>792</v>
      </c>
      <c r="I35" s="575" t="s">
        <v>438</v>
      </c>
      <c r="J35" s="575" t="s">
        <v>208</v>
      </c>
      <c r="K35" s="575" t="s">
        <v>74</v>
      </c>
      <c r="L35" s="575" t="s">
        <v>209</v>
      </c>
      <c r="M35" s="275" t="s">
        <v>497</v>
      </c>
      <c r="N35" s="275" t="s">
        <v>492</v>
      </c>
      <c r="O35" s="275" t="s">
        <v>78</v>
      </c>
      <c r="P35" s="275" t="s">
        <v>79</v>
      </c>
      <c r="Q35" s="20">
        <v>1</v>
      </c>
      <c r="R35" s="20">
        <v>0.9</v>
      </c>
      <c r="S35" s="575" t="s">
        <v>210</v>
      </c>
      <c r="T35" s="275" t="s">
        <v>166</v>
      </c>
      <c r="U35" s="275" t="s">
        <v>100</v>
      </c>
      <c r="V35" s="275" t="s">
        <v>167</v>
      </c>
      <c r="W35" s="275" t="s">
        <v>466</v>
      </c>
      <c r="X35" s="575" t="s">
        <v>211</v>
      </c>
      <c r="Y35" s="275" t="s">
        <v>54</v>
      </c>
      <c r="Z35" s="575" t="s">
        <v>119</v>
      </c>
      <c r="AA35" s="275" t="s">
        <v>1174</v>
      </c>
      <c r="AB35" s="581" t="s">
        <v>204</v>
      </c>
    </row>
    <row r="36" spans="1:28" ht="142.5" customHeight="1" x14ac:dyDescent="0.2">
      <c r="A36" s="333" t="s">
        <v>533</v>
      </c>
      <c r="B36" s="575" t="s">
        <v>534</v>
      </c>
      <c r="C36" s="575" t="s">
        <v>535</v>
      </c>
      <c r="D36" s="575" t="s">
        <v>70</v>
      </c>
      <c r="E36" s="575" t="s">
        <v>42</v>
      </c>
      <c r="F36" s="575" t="s">
        <v>61</v>
      </c>
      <c r="G36" s="275" t="s">
        <v>401</v>
      </c>
      <c r="H36" s="275" t="s">
        <v>791</v>
      </c>
      <c r="I36" s="575" t="s">
        <v>439</v>
      </c>
      <c r="J36" s="575" t="s">
        <v>212</v>
      </c>
      <c r="K36" s="575" t="s">
        <v>74</v>
      </c>
      <c r="L36" s="575" t="s">
        <v>213</v>
      </c>
      <c r="M36" s="275" t="s">
        <v>496</v>
      </c>
      <c r="N36" s="275" t="s">
        <v>493</v>
      </c>
      <c r="O36" s="275" t="s">
        <v>78</v>
      </c>
      <c r="P36" s="275" t="s">
        <v>79</v>
      </c>
      <c r="Q36" s="20">
        <v>1</v>
      </c>
      <c r="R36" s="20">
        <v>0.9</v>
      </c>
      <c r="S36" s="575" t="s">
        <v>442</v>
      </c>
      <c r="T36" s="275" t="s">
        <v>166</v>
      </c>
      <c r="U36" s="275" t="s">
        <v>100</v>
      </c>
      <c r="V36" s="275" t="s">
        <v>167</v>
      </c>
      <c r="W36" s="275" t="s">
        <v>466</v>
      </c>
      <c r="X36" s="575" t="s">
        <v>214</v>
      </c>
      <c r="Y36" s="275" t="s">
        <v>54</v>
      </c>
      <c r="Z36" s="575" t="s">
        <v>119</v>
      </c>
      <c r="AA36" s="275" t="s">
        <v>1174</v>
      </c>
      <c r="AB36" s="581" t="s">
        <v>204</v>
      </c>
    </row>
    <row r="37" spans="1:28" ht="136.5" customHeight="1" x14ac:dyDescent="0.2">
      <c r="A37" s="333" t="s">
        <v>533</v>
      </c>
      <c r="B37" s="575" t="s">
        <v>534</v>
      </c>
      <c r="C37" s="575" t="s">
        <v>535</v>
      </c>
      <c r="D37" s="575" t="s">
        <v>70</v>
      </c>
      <c r="E37" s="575" t="s">
        <v>42</v>
      </c>
      <c r="F37" s="575" t="s">
        <v>61</v>
      </c>
      <c r="G37" s="275" t="s">
        <v>402</v>
      </c>
      <c r="H37" s="275" t="s">
        <v>215</v>
      </c>
      <c r="I37" s="575" t="s">
        <v>216</v>
      </c>
      <c r="J37" s="575" t="s">
        <v>217</v>
      </c>
      <c r="K37" s="575" t="s">
        <v>74</v>
      </c>
      <c r="L37" s="575" t="s">
        <v>218</v>
      </c>
      <c r="M37" s="275" t="s">
        <v>495</v>
      </c>
      <c r="N37" s="275" t="s">
        <v>494</v>
      </c>
      <c r="O37" s="275" t="s">
        <v>78</v>
      </c>
      <c r="P37" s="275" t="s">
        <v>79</v>
      </c>
      <c r="Q37" s="20">
        <v>1</v>
      </c>
      <c r="R37" s="20">
        <v>1</v>
      </c>
      <c r="S37" s="575" t="s">
        <v>219</v>
      </c>
      <c r="T37" s="275" t="s">
        <v>166</v>
      </c>
      <c r="U37" s="275" t="s">
        <v>100</v>
      </c>
      <c r="V37" s="275" t="s">
        <v>457</v>
      </c>
      <c r="W37" s="338">
        <v>1</v>
      </c>
      <c r="X37" s="575" t="s">
        <v>220</v>
      </c>
      <c r="Y37" s="275" t="s">
        <v>54</v>
      </c>
      <c r="Z37" s="575" t="s">
        <v>119</v>
      </c>
      <c r="AA37" s="275" t="s">
        <v>1174</v>
      </c>
      <c r="AB37" s="581" t="s">
        <v>204</v>
      </c>
    </row>
    <row r="38" spans="1:28" ht="140.25" customHeight="1" x14ac:dyDescent="0.2">
      <c r="A38" s="333" t="s">
        <v>533</v>
      </c>
      <c r="B38" s="575" t="s">
        <v>534</v>
      </c>
      <c r="C38" s="575" t="s">
        <v>537</v>
      </c>
      <c r="D38" s="575" t="s">
        <v>70</v>
      </c>
      <c r="E38" s="575" t="s">
        <v>42</v>
      </c>
      <c r="F38" s="575" t="s">
        <v>61</v>
      </c>
      <c r="G38" s="275" t="s">
        <v>403</v>
      </c>
      <c r="H38" s="275" t="s">
        <v>221</v>
      </c>
      <c r="I38" s="575" t="s">
        <v>222</v>
      </c>
      <c r="J38" s="575" t="s">
        <v>223</v>
      </c>
      <c r="K38" s="575" t="s">
        <v>74</v>
      </c>
      <c r="L38" s="575" t="s">
        <v>547</v>
      </c>
      <c r="M38" s="275" t="s">
        <v>548</v>
      </c>
      <c r="N38" s="275" t="s">
        <v>549</v>
      </c>
      <c r="O38" s="275" t="s">
        <v>78</v>
      </c>
      <c r="P38" s="275" t="s">
        <v>79</v>
      </c>
      <c r="Q38" s="20" t="s">
        <v>224</v>
      </c>
      <c r="R38" s="20">
        <v>1</v>
      </c>
      <c r="S38" s="575" t="s">
        <v>809</v>
      </c>
      <c r="T38" s="275" t="s">
        <v>166</v>
      </c>
      <c r="U38" s="275" t="s">
        <v>100</v>
      </c>
      <c r="V38" s="275" t="s">
        <v>167</v>
      </c>
      <c r="W38" s="275" t="s">
        <v>168</v>
      </c>
      <c r="X38" s="575" t="s">
        <v>810</v>
      </c>
      <c r="Y38" s="275" t="s">
        <v>54</v>
      </c>
      <c r="Z38" s="575" t="s">
        <v>550</v>
      </c>
      <c r="AA38" s="275" t="s">
        <v>1174</v>
      </c>
      <c r="AB38" s="581" t="s">
        <v>225</v>
      </c>
    </row>
    <row r="39" spans="1:28" ht="81" customHeight="1" x14ac:dyDescent="0.2">
      <c r="A39" s="333" t="s">
        <v>538</v>
      </c>
      <c r="B39" s="575" t="s">
        <v>539</v>
      </c>
      <c r="C39" s="575" t="s">
        <v>540</v>
      </c>
      <c r="D39" s="575" t="s">
        <v>70</v>
      </c>
      <c r="E39" s="575" t="s">
        <v>42</v>
      </c>
      <c r="F39" s="575" t="s">
        <v>159</v>
      </c>
      <c r="G39" s="275" t="s">
        <v>404</v>
      </c>
      <c r="H39" s="275" t="s">
        <v>226</v>
      </c>
      <c r="I39" s="575" t="s">
        <v>440</v>
      </c>
      <c r="J39" s="575" t="s">
        <v>227</v>
      </c>
      <c r="K39" s="575" t="s">
        <v>74</v>
      </c>
      <c r="L39" s="575" t="s">
        <v>228</v>
      </c>
      <c r="M39" s="275" t="s">
        <v>229</v>
      </c>
      <c r="N39" s="275" t="s">
        <v>230</v>
      </c>
      <c r="O39" s="275" t="s">
        <v>115</v>
      </c>
      <c r="P39" s="275" t="s">
        <v>79</v>
      </c>
      <c r="Q39" s="275">
        <v>1</v>
      </c>
      <c r="R39" s="275" t="s">
        <v>231</v>
      </c>
      <c r="S39" s="575" t="s">
        <v>441</v>
      </c>
      <c r="T39" s="275" t="s">
        <v>232</v>
      </c>
      <c r="U39" s="275">
        <v>1</v>
      </c>
      <c r="V39" s="275" t="s">
        <v>231</v>
      </c>
      <c r="W39" s="275" t="s">
        <v>233</v>
      </c>
      <c r="X39" s="575" t="s">
        <v>441</v>
      </c>
      <c r="Y39" s="275" t="s">
        <v>234</v>
      </c>
      <c r="Z39" s="575" t="s">
        <v>235</v>
      </c>
      <c r="AA39" s="275" t="s">
        <v>1176</v>
      </c>
      <c r="AB39" s="581" t="s">
        <v>237</v>
      </c>
    </row>
    <row r="40" spans="1:28" ht="81.75" customHeight="1" x14ac:dyDescent="0.2">
      <c r="A40" s="333" t="s">
        <v>538</v>
      </c>
      <c r="B40" s="575" t="s">
        <v>539</v>
      </c>
      <c r="C40" s="575" t="s">
        <v>540</v>
      </c>
      <c r="D40" s="575" t="s">
        <v>70</v>
      </c>
      <c r="E40" s="575" t="s">
        <v>42</v>
      </c>
      <c r="F40" s="575" t="s">
        <v>159</v>
      </c>
      <c r="G40" s="275" t="s">
        <v>405</v>
      </c>
      <c r="H40" s="275" t="s">
        <v>238</v>
      </c>
      <c r="I40" s="575" t="s">
        <v>239</v>
      </c>
      <c r="J40" s="575" t="s">
        <v>240</v>
      </c>
      <c r="K40" s="575" t="s">
        <v>74</v>
      </c>
      <c r="L40" s="575" t="s">
        <v>241</v>
      </c>
      <c r="M40" s="275" t="s">
        <v>242</v>
      </c>
      <c r="N40" s="275" t="s">
        <v>243</v>
      </c>
      <c r="O40" s="275" t="s">
        <v>115</v>
      </c>
      <c r="P40" s="275" t="s">
        <v>99</v>
      </c>
      <c r="Q40" s="23">
        <v>0.75</v>
      </c>
      <c r="R40" s="23">
        <v>0.85</v>
      </c>
      <c r="S40" s="575" t="s">
        <v>811</v>
      </c>
      <c r="T40" s="20">
        <v>0.3</v>
      </c>
      <c r="U40" s="20">
        <v>0.5</v>
      </c>
      <c r="V40" s="20">
        <v>0.8</v>
      </c>
      <c r="W40" s="20">
        <v>0.9</v>
      </c>
      <c r="X40" s="575" t="s">
        <v>443</v>
      </c>
      <c r="Y40" s="275" t="s">
        <v>244</v>
      </c>
      <c r="Z40" s="575" t="s">
        <v>245</v>
      </c>
      <c r="AA40" s="275" t="s">
        <v>1176</v>
      </c>
      <c r="AB40" s="581" t="s">
        <v>236</v>
      </c>
    </row>
    <row r="41" spans="1:28" ht="75" customHeight="1" x14ac:dyDescent="0.2">
      <c r="A41" s="333" t="s">
        <v>538</v>
      </c>
      <c r="B41" s="575" t="s">
        <v>539</v>
      </c>
      <c r="C41" s="575" t="s">
        <v>540</v>
      </c>
      <c r="D41" s="575" t="s">
        <v>70</v>
      </c>
      <c r="E41" s="575" t="s">
        <v>42</v>
      </c>
      <c r="F41" s="575" t="s">
        <v>159</v>
      </c>
      <c r="G41" s="275" t="s">
        <v>406</v>
      </c>
      <c r="H41" s="275" t="s">
        <v>246</v>
      </c>
      <c r="I41" s="575" t="s">
        <v>247</v>
      </c>
      <c r="J41" s="575" t="s">
        <v>248</v>
      </c>
      <c r="K41" s="575" t="s">
        <v>74</v>
      </c>
      <c r="L41" s="575" t="s">
        <v>249</v>
      </c>
      <c r="M41" s="275" t="s">
        <v>250</v>
      </c>
      <c r="N41" s="275" t="s">
        <v>251</v>
      </c>
      <c r="O41" s="275" t="s">
        <v>252</v>
      </c>
      <c r="P41" s="275" t="s">
        <v>99</v>
      </c>
      <c r="Q41" s="275">
        <v>2.94</v>
      </c>
      <c r="R41" s="275" t="s">
        <v>253</v>
      </c>
      <c r="S41" s="575" t="s">
        <v>254</v>
      </c>
      <c r="T41" s="275" t="s">
        <v>255</v>
      </c>
      <c r="U41" s="275" t="s">
        <v>256</v>
      </c>
      <c r="V41" s="275" t="s">
        <v>257</v>
      </c>
      <c r="W41" s="275" t="s">
        <v>258</v>
      </c>
      <c r="X41" s="575" t="s">
        <v>259</v>
      </c>
      <c r="Y41" s="275" t="s">
        <v>244</v>
      </c>
      <c r="Z41" s="575" t="s">
        <v>260</v>
      </c>
      <c r="AA41" s="275" t="s">
        <v>1176</v>
      </c>
      <c r="AB41" s="581" t="s">
        <v>237</v>
      </c>
    </row>
    <row r="42" spans="1:28" ht="77.25" customHeight="1" x14ac:dyDescent="0.2">
      <c r="A42" s="333" t="s">
        <v>538</v>
      </c>
      <c r="B42" s="575" t="s">
        <v>539</v>
      </c>
      <c r="C42" s="575" t="s">
        <v>540</v>
      </c>
      <c r="D42" s="575" t="s">
        <v>70</v>
      </c>
      <c r="E42" s="575" t="s">
        <v>42</v>
      </c>
      <c r="F42" s="575" t="s">
        <v>159</v>
      </c>
      <c r="G42" s="275" t="s">
        <v>407</v>
      </c>
      <c r="H42" s="275" t="s">
        <v>289</v>
      </c>
      <c r="I42" s="575" t="s">
        <v>261</v>
      </c>
      <c r="J42" s="575" t="s">
        <v>262</v>
      </c>
      <c r="K42" s="575" t="s">
        <v>90</v>
      </c>
      <c r="L42" s="575" t="s">
        <v>263</v>
      </c>
      <c r="M42" s="275" t="s">
        <v>264</v>
      </c>
      <c r="N42" s="275" t="s">
        <v>265</v>
      </c>
      <c r="O42" s="275" t="s">
        <v>252</v>
      </c>
      <c r="P42" s="275" t="s">
        <v>99</v>
      </c>
      <c r="Q42" s="275" t="s">
        <v>119</v>
      </c>
      <c r="R42" s="275" t="s">
        <v>266</v>
      </c>
      <c r="S42" s="575" t="s">
        <v>501</v>
      </c>
      <c r="T42" s="275" t="s">
        <v>267</v>
      </c>
      <c r="U42" s="275" t="s">
        <v>268</v>
      </c>
      <c r="V42" s="275" t="s">
        <v>269</v>
      </c>
      <c r="W42" s="275" t="s">
        <v>270</v>
      </c>
      <c r="X42" s="575" t="s">
        <v>502</v>
      </c>
      <c r="Y42" s="275" t="s">
        <v>52</v>
      </c>
      <c r="Z42" s="575" t="s">
        <v>271</v>
      </c>
      <c r="AA42" s="275" t="s">
        <v>1176</v>
      </c>
      <c r="AB42" s="581" t="s">
        <v>272</v>
      </c>
    </row>
    <row r="43" spans="1:28" ht="77.25" customHeight="1" x14ac:dyDescent="0.2">
      <c r="A43" s="333" t="s">
        <v>538</v>
      </c>
      <c r="B43" s="575" t="s">
        <v>539</v>
      </c>
      <c r="C43" s="575" t="s">
        <v>540</v>
      </c>
      <c r="D43" s="575" t="s">
        <v>70</v>
      </c>
      <c r="E43" s="575" t="s">
        <v>42</v>
      </c>
      <c r="F43" s="575" t="s">
        <v>159</v>
      </c>
      <c r="G43" s="275" t="s">
        <v>408</v>
      </c>
      <c r="H43" s="275" t="s">
        <v>273</v>
      </c>
      <c r="I43" s="575" t="s">
        <v>812</v>
      </c>
      <c r="J43" s="575" t="s">
        <v>274</v>
      </c>
      <c r="K43" s="575" t="s">
        <v>74</v>
      </c>
      <c r="L43" s="575" t="s">
        <v>275</v>
      </c>
      <c r="M43" s="275" t="s">
        <v>276</v>
      </c>
      <c r="N43" s="275" t="s">
        <v>277</v>
      </c>
      <c r="O43" s="275" t="s">
        <v>115</v>
      </c>
      <c r="P43" s="275" t="s">
        <v>99</v>
      </c>
      <c r="Q43" s="23">
        <v>0.81159999999999999</v>
      </c>
      <c r="R43" s="23">
        <v>0.7</v>
      </c>
      <c r="S43" s="575" t="s">
        <v>278</v>
      </c>
      <c r="T43" s="275">
        <v>0.5</v>
      </c>
      <c r="U43" s="275">
        <v>0.6</v>
      </c>
      <c r="V43" s="275">
        <v>0.7</v>
      </c>
      <c r="W43" s="275" t="s">
        <v>279</v>
      </c>
      <c r="X43" s="575" t="s">
        <v>280</v>
      </c>
      <c r="Y43" s="275" t="s">
        <v>234</v>
      </c>
      <c r="Z43" s="575" t="s">
        <v>813</v>
      </c>
      <c r="AA43" s="275" t="s">
        <v>1176</v>
      </c>
      <c r="AB43" s="581" t="s">
        <v>281</v>
      </c>
    </row>
    <row r="44" spans="1:28" ht="86.25" customHeight="1" x14ac:dyDescent="0.2">
      <c r="A44" s="333" t="s">
        <v>538</v>
      </c>
      <c r="B44" s="575" t="s">
        <v>539</v>
      </c>
      <c r="C44" s="575" t="s">
        <v>540</v>
      </c>
      <c r="D44" s="575" t="s">
        <v>70</v>
      </c>
      <c r="E44" s="575" t="s">
        <v>42</v>
      </c>
      <c r="F44" s="575" t="s">
        <v>159</v>
      </c>
      <c r="G44" s="275" t="s">
        <v>409</v>
      </c>
      <c r="H44" s="275" t="s">
        <v>282</v>
      </c>
      <c r="I44" s="575" t="s">
        <v>814</v>
      </c>
      <c r="J44" s="575" t="s">
        <v>283</v>
      </c>
      <c r="K44" s="575" t="s">
        <v>74</v>
      </c>
      <c r="L44" s="575" t="s">
        <v>284</v>
      </c>
      <c r="M44" s="275" t="s">
        <v>285</v>
      </c>
      <c r="N44" s="275" t="s">
        <v>286</v>
      </c>
      <c r="O44" s="275" t="s">
        <v>252</v>
      </c>
      <c r="P44" s="275" t="s">
        <v>99</v>
      </c>
      <c r="Q44" s="275">
        <v>5</v>
      </c>
      <c r="R44" s="275">
        <v>11</v>
      </c>
      <c r="S44" s="575" t="s">
        <v>287</v>
      </c>
      <c r="T44" s="275">
        <v>5</v>
      </c>
      <c r="U44" s="275">
        <v>7</v>
      </c>
      <c r="V44" s="275">
        <v>9</v>
      </c>
      <c r="W44" s="275">
        <v>11</v>
      </c>
      <c r="X44" s="575" t="s">
        <v>288</v>
      </c>
      <c r="Y44" s="275" t="s">
        <v>234</v>
      </c>
      <c r="Z44" s="575" t="s">
        <v>119</v>
      </c>
      <c r="AA44" s="275" t="s">
        <v>1176</v>
      </c>
      <c r="AB44" s="581" t="s">
        <v>236</v>
      </c>
    </row>
    <row r="45" spans="1:28" ht="114" customHeight="1" x14ac:dyDescent="0.2">
      <c r="A45" s="587" t="s">
        <v>423</v>
      </c>
      <c r="B45" s="588" t="s">
        <v>539</v>
      </c>
      <c r="C45" s="588" t="s">
        <v>541</v>
      </c>
      <c r="D45" s="575" t="s">
        <v>70</v>
      </c>
      <c r="E45" s="575" t="s">
        <v>42</v>
      </c>
      <c r="F45" s="575" t="s">
        <v>61</v>
      </c>
      <c r="G45" s="275" t="s">
        <v>410</v>
      </c>
      <c r="H45" s="275" t="s">
        <v>290</v>
      </c>
      <c r="I45" s="575" t="s">
        <v>291</v>
      </c>
      <c r="J45" s="575" t="s">
        <v>292</v>
      </c>
      <c r="K45" s="575" t="s">
        <v>74</v>
      </c>
      <c r="L45" s="575" t="s">
        <v>293</v>
      </c>
      <c r="M45" s="275" t="s">
        <v>294</v>
      </c>
      <c r="N45" s="275" t="s">
        <v>504</v>
      </c>
      <c r="O45" s="275" t="s">
        <v>115</v>
      </c>
      <c r="P45" s="275" t="s">
        <v>79</v>
      </c>
      <c r="Q45" s="275" t="s">
        <v>224</v>
      </c>
      <c r="R45" s="20">
        <v>1</v>
      </c>
      <c r="S45" s="575" t="s">
        <v>503</v>
      </c>
      <c r="T45" s="20">
        <v>0.5</v>
      </c>
      <c r="U45" s="20">
        <v>0.6</v>
      </c>
      <c r="V45" s="20">
        <v>0.9</v>
      </c>
      <c r="W45" s="20">
        <v>1</v>
      </c>
      <c r="X45" s="575" t="s">
        <v>295</v>
      </c>
      <c r="Y45" s="275" t="s">
        <v>54</v>
      </c>
      <c r="Z45" s="575" t="s">
        <v>119</v>
      </c>
      <c r="AA45" s="275" t="s">
        <v>1173</v>
      </c>
      <c r="AB45" s="581" t="s">
        <v>296</v>
      </c>
    </row>
    <row r="46" spans="1:28" ht="114" customHeight="1" x14ac:dyDescent="0.2">
      <c r="A46" s="587" t="s">
        <v>423</v>
      </c>
      <c r="B46" s="588" t="s">
        <v>539</v>
      </c>
      <c r="C46" s="588" t="s">
        <v>541</v>
      </c>
      <c r="D46" s="575" t="s">
        <v>70</v>
      </c>
      <c r="E46" s="575" t="s">
        <v>42</v>
      </c>
      <c r="F46" s="575" t="s">
        <v>61</v>
      </c>
      <c r="G46" s="275" t="s">
        <v>411</v>
      </c>
      <c r="H46" s="275" t="s">
        <v>297</v>
      </c>
      <c r="I46" s="575" t="s">
        <v>298</v>
      </c>
      <c r="J46" s="575" t="s">
        <v>299</v>
      </c>
      <c r="K46" s="575" t="s">
        <v>74</v>
      </c>
      <c r="L46" s="575" t="s">
        <v>300</v>
      </c>
      <c r="M46" s="275" t="s">
        <v>472</v>
      </c>
      <c r="N46" s="275" t="s">
        <v>473</v>
      </c>
      <c r="O46" s="275" t="s">
        <v>115</v>
      </c>
      <c r="P46" s="275" t="s">
        <v>99</v>
      </c>
      <c r="Q46" s="275" t="s">
        <v>224</v>
      </c>
      <c r="R46" s="20">
        <v>1</v>
      </c>
      <c r="S46" s="575" t="s">
        <v>444</v>
      </c>
      <c r="T46" s="20">
        <v>0.5</v>
      </c>
      <c r="U46" s="20">
        <v>0.6</v>
      </c>
      <c r="V46" s="20">
        <v>0.9</v>
      </c>
      <c r="W46" s="20">
        <v>1</v>
      </c>
      <c r="X46" s="575" t="s">
        <v>301</v>
      </c>
      <c r="Y46" s="275" t="s">
        <v>54</v>
      </c>
      <c r="Z46" s="575" t="s">
        <v>119</v>
      </c>
      <c r="AA46" s="275" t="s">
        <v>1173</v>
      </c>
      <c r="AB46" s="581" t="s">
        <v>1107</v>
      </c>
    </row>
    <row r="47" spans="1:28" ht="78.75" customHeight="1" x14ac:dyDescent="0.2">
      <c r="A47" s="587" t="s">
        <v>423</v>
      </c>
      <c r="B47" s="588" t="s">
        <v>539</v>
      </c>
      <c r="C47" s="588" t="s">
        <v>542</v>
      </c>
      <c r="D47" s="575" t="s">
        <v>70</v>
      </c>
      <c r="E47" s="575" t="s">
        <v>42</v>
      </c>
      <c r="F47" s="575" t="s">
        <v>61</v>
      </c>
      <c r="G47" s="275" t="s">
        <v>412</v>
      </c>
      <c r="H47" s="275" t="s">
        <v>302</v>
      </c>
      <c r="I47" s="575" t="s">
        <v>303</v>
      </c>
      <c r="J47" s="575" t="s">
        <v>304</v>
      </c>
      <c r="K47" s="575" t="s">
        <v>74</v>
      </c>
      <c r="L47" s="575" t="s">
        <v>305</v>
      </c>
      <c r="M47" s="275" t="s">
        <v>306</v>
      </c>
      <c r="N47" s="275" t="s">
        <v>307</v>
      </c>
      <c r="O47" s="275" t="s">
        <v>252</v>
      </c>
      <c r="P47" s="275" t="s">
        <v>79</v>
      </c>
      <c r="Q47" s="275" t="s">
        <v>224</v>
      </c>
      <c r="R47" s="275">
        <v>4</v>
      </c>
      <c r="S47" s="575" t="s">
        <v>815</v>
      </c>
      <c r="T47" s="20">
        <v>0.5</v>
      </c>
      <c r="U47" s="20">
        <v>0.6</v>
      </c>
      <c r="V47" s="20">
        <v>0.9</v>
      </c>
      <c r="W47" s="20">
        <v>1</v>
      </c>
      <c r="X47" s="575" t="s">
        <v>308</v>
      </c>
      <c r="Y47" s="275" t="s">
        <v>54</v>
      </c>
      <c r="Z47" s="575" t="s">
        <v>119</v>
      </c>
      <c r="AA47" s="275" t="s">
        <v>1173</v>
      </c>
      <c r="AB47" s="581" t="s">
        <v>1107</v>
      </c>
    </row>
    <row r="48" spans="1:28" ht="108" customHeight="1" x14ac:dyDescent="0.2">
      <c r="A48" s="587" t="s">
        <v>84</v>
      </c>
      <c r="B48" s="588" t="s">
        <v>543</v>
      </c>
      <c r="C48" s="588" t="s">
        <v>544</v>
      </c>
      <c r="D48" s="575" t="s">
        <v>70</v>
      </c>
      <c r="E48" s="575" t="s">
        <v>42</v>
      </c>
      <c r="F48" s="575" t="s">
        <v>159</v>
      </c>
      <c r="G48" s="275" t="s">
        <v>413</v>
      </c>
      <c r="H48" s="275" t="s">
        <v>309</v>
      </c>
      <c r="I48" s="575" t="s">
        <v>310</v>
      </c>
      <c r="J48" s="575" t="s">
        <v>311</v>
      </c>
      <c r="K48" s="575" t="s">
        <v>90</v>
      </c>
      <c r="L48" s="575" t="s">
        <v>312</v>
      </c>
      <c r="M48" s="275" t="s">
        <v>474</v>
      </c>
      <c r="N48" s="275" t="s">
        <v>505</v>
      </c>
      <c r="O48" s="275" t="s">
        <v>78</v>
      </c>
      <c r="P48" s="275" t="s">
        <v>79</v>
      </c>
      <c r="Q48" s="20">
        <v>1</v>
      </c>
      <c r="R48" s="20">
        <v>1</v>
      </c>
      <c r="S48" s="575" t="s">
        <v>506</v>
      </c>
      <c r="T48" s="275" t="s">
        <v>313</v>
      </c>
      <c r="U48" s="275" t="s">
        <v>314</v>
      </c>
      <c r="V48" s="275" t="s">
        <v>475</v>
      </c>
      <c r="W48" s="20">
        <v>1</v>
      </c>
      <c r="X48" s="575" t="s">
        <v>315</v>
      </c>
      <c r="Y48" s="275" t="s">
        <v>54</v>
      </c>
      <c r="Z48" s="575" t="s">
        <v>119</v>
      </c>
      <c r="AA48" s="275" t="s">
        <v>1173</v>
      </c>
      <c r="AB48" s="581" t="s">
        <v>316</v>
      </c>
    </row>
    <row r="49" spans="1:29" ht="110.25" customHeight="1" x14ac:dyDescent="0.2">
      <c r="A49" s="587" t="s">
        <v>84</v>
      </c>
      <c r="B49" s="588" t="s">
        <v>543</v>
      </c>
      <c r="C49" s="588" t="s">
        <v>544</v>
      </c>
      <c r="D49" s="575" t="s">
        <v>70</v>
      </c>
      <c r="E49" s="575" t="s">
        <v>42</v>
      </c>
      <c r="F49" s="575" t="s">
        <v>159</v>
      </c>
      <c r="G49" s="275" t="s">
        <v>414</v>
      </c>
      <c r="H49" s="275" t="s">
        <v>317</v>
      </c>
      <c r="I49" s="575" t="s">
        <v>318</v>
      </c>
      <c r="J49" s="575" t="s">
        <v>319</v>
      </c>
      <c r="K49" s="575" t="s">
        <v>124</v>
      </c>
      <c r="L49" s="575" t="s">
        <v>320</v>
      </c>
      <c r="M49" s="275" t="s">
        <v>321</v>
      </c>
      <c r="N49" s="275" t="s">
        <v>322</v>
      </c>
      <c r="O49" s="275" t="s">
        <v>78</v>
      </c>
      <c r="P49" s="275" t="s">
        <v>99</v>
      </c>
      <c r="Q49" s="20">
        <v>1</v>
      </c>
      <c r="R49" s="20">
        <v>1</v>
      </c>
      <c r="S49" s="575" t="s">
        <v>507</v>
      </c>
      <c r="T49" s="275" t="s">
        <v>313</v>
      </c>
      <c r="U49" s="275" t="s">
        <v>314</v>
      </c>
      <c r="V49" s="275" t="s">
        <v>475</v>
      </c>
      <c r="W49" s="20">
        <v>1</v>
      </c>
      <c r="X49" s="575" t="s">
        <v>377</v>
      </c>
      <c r="Y49" s="275" t="s">
        <v>52</v>
      </c>
      <c r="Z49" s="575" t="s">
        <v>119</v>
      </c>
      <c r="AA49" s="275" t="s">
        <v>1173</v>
      </c>
      <c r="AB49" s="581" t="s">
        <v>316</v>
      </c>
    </row>
    <row r="50" spans="1:29" ht="92.25" customHeight="1" x14ac:dyDescent="0.2">
      <c r="A50" s="333" t="s">
        <v>545</v>
      </c>
      <c r="B50" s="575" t="s">
        <v>539</v>
      </c>
      <c r="C50" s="575" t="s">
        <v>546</v>
      </c>
      <c r="D50" s="575" t="str">
        <f>IF(E50="","",CONCATENATE("OE_",MID(E50,1,1)))</f>
        <v>OE_5</v>
      </c>
      <c r="E50" s="575" t="s">
        <v>42</v>
      </c>
      <c r="F50" s="575" t="s">
        <v>61</v>
      </c>
      <c r="G50" s="275" t="s">
        <v>415</v>
      </c>
      <c r="H50" s="275" t="s">
        <v>445</v>
      </c>
      <c r="I50" s="575" t="s">
        <v>323</v>
      </c>
      <c r="J50" s="575" t="s">
        <v>324</v>
      </c>
      <c r="K50" s="575" t="s">
        <v>74</v>
      </c>
      <c r="L50" s="575" t="s">
        <v>325</v>
      </c>
      <c r="M50" s="275" t="s">
        <v>326</v>
      </c>
      <c r="N50" s="275" t="s">
        <v>327</v>
      </c>
      <c r="O50" s="275" t="s">
        <v>78</v>
      </c>
      <c r="P50" s="275" t="s">
        <v>99</v>
      </c>
      <c r="Q50" s="338">
        <v>0.97</v>
      </c>
      <c r="R50" s="338">
        <v>0.96</v>
      </c>
      <c r="S50" s="575" t="s">
        <v>508</v>
      </c>
      <c r="T50" s="275" t="s">
        <v>232</v>
      </c>
      <c r="U50" s="275" t="s">
        <v>328</v>
      </c>
      <c r="V50" s="275" t="s">
        <v>329</v>
      </c>
      <c r="W50" s="275" t="s">
        <v>330</v>
      </c>
      <c r="X50" s="575" t="s">
        <v>331</v>
      </c>
      <c r="Y50" s="275" t="s">
        <v>54</v>
      </c>
      <c r="Z50" s="575" t="s">
        <v>119</v>
      </c>
      <c r="AA50" s="275" t="s">
        <v>669</v>
      </c>
      <c r="AB50" s="581" t="s">
        <v>332</v>
      </c>
    </row>
    <row r="51" spans="1:29" ht="90.75" customHeight="1" x14ac:dyDescent="0.2">
      <c r="A51" s="333" t="s">
        <v>545</v>
      </c>
      <c r="B51" s="575" t="s">
        <v>539</v>
      </c>
      <c r="C51" s="575" t="s">
        <v>546</v>
      </c>
      <c r="D51" s="575" t="str">
        <f t="shared" ref="D51:D53" si="2">IF(E51="","",CONCATENATE("OE_",MID(E51,1,1)))</f>
        <v>OE_5</v>
      </c>
      <c r="E51" s="575" t="s">
        <v>42</v>
      </c>
      <c r="F51" s="575" t="s">
        <v>61</v>
      </c>
      <c r="G51" s="275" t="s">
        <v>416</v>
      </c>
      <c r="H51" s="275" t="s">
        <v>446</v>
      </c>
      <c r="I51" s="575" t="s">
        <v>323</v>
      </c>
      <c r="J51" s="575" t="s">
        <v>333</v>
      </c>
      <c r="K51" s="575" t="s">
        <v>74</v>
      </c>
      <c r="L51" s="575" t="s">
        <v>334</v>
      </c>
      <c r="M51" s="275" t="s">
        <v>335</v>
      </c>
      <c r="N51" s="275" t="s">
        <v>336</v>
      </c>
      <c r="O51" s="275" t="s">
        <v>78</v>
      </c>
      <c r="P51" s="275" t="s">
        <v>99</v>
      </c>
      <c r="Q51" s="338">
        <v>0.65</v>
      </c>
      <c r="R51" s="338">
        <v>0.65</v>
      </c>
      <c r="S51" s="575" t="s">
        <v>509</v>
      </c>
      <c r="T51" s="275" t="s">
        <v>337</v>
      </c>
      <c r="U51" s="275" t="s">
        <v>338</v>
      </c>
      <c r="V51" s="275" t="s">
        <v>339</v>
      </c>
      <c r="W51" s="275" t="s">
        <v>340</v>
      </c>
      <c r="X51" s="575" t="s">
        <v>341</v>
      </c>
      <c r="Y51" s="275" t="s">
        <v>55</v>
      </c>
      <c r="Z51" s="575" t="s">
        <v>342</v>
      </c>
      <c r="AA51" s="275" t="s">
        <v>669</v>
      </c>
      <c r="AB51" s="581" t="s">
        <v>332</v>
      </c>
    </row>
    <row r="52" spans="1:29" ht="96" customHeight="1" x14ac:dyDescent="0.2">
      <c r="A52" s="333" t="s">
        <v>545</v>
      </c>
      <c r="B52" s="575" t="s">
        <v>539</v>
      </c>
      <c r="C52" s="575" t="s">
        <v>546</v>
      </c>
      <c r="D52" s="575" t="str">
        <f t="shared" si="2"/>
        <v>OE_5</v>
      </c>
      <c r="E52" s="575" t="s">
        <v>42</v>
      </c>
      <c r="F52" s="575" t="s">
        <v>61</v>
      </c>
      <c r="G52" s="275" t="s">
        <v>417</v>
      </c>
      <c r="H52" s="275" t="s">
        <v>447</v>
      </c>
      <c r="I52" s="575" t="s">
        <v>323</v>
      </c>
      <c r="J52" s="575" t="s">
        <v>343</v>
      </c>
      <c r="K52" s="575" t="s">
        <v>74</v>
      </c>
      <c r="L52" s="575" t="s">
        <v>344</v>
      </c>
      <c r="M52" s="275" t="s">
        <v>345</v>
      </c>
      <c r="N52" s="275" t="s">
        <v>346</v>
      </c>
      <c r="O52" s="275" t="s">
        <v>78</v>
      </c>
      <c r="P52" s="275" t="s">
        <v>79</v>
      </c>
      <c r="Q52" s="338">
        <v>0.75</v>
      </c>
      <c r="R52" s="338">
        <v>0.75</v>
      </c>
      <c r="S52" s="575" t="s">
        <v>510</v>
      </c>
      <c r="T52" s="275" t="s">
        <v>337</v>
      </c>
      <c r="U52" s="275" t="s">
        <v>338</v>
      </c>
      <c r="V52" s="275" t="s">
        <v>347</v>
      </c>
      <c r="W52" s="275" t="s">
        <v>348</v>
      </c>
      <c r="X52" s="575" t="s">
        <v>349</v>
      </c>
      <c r="Y52" s="275" t="s">
        <v>55</v>
      </c>
      <c r="Z52" s="575" t="s">
        <v>342</v>
      </c>
      <c r="AA52" s="275" t="s">
        <v>669</v>
      </c>
      <c r="AB52" s="581" t="s">
        <v>332</v>
      </c>
    </row>
    <row r="53" spans="1:29" ht="90.75" customHeight="1" x14ac:dyDescent="0.2">
      <c r="A53" s="333" t="s">
        <v>545</v>
      </c>
      <c r="B53" s="575" t="s">
        <v>539</v>
      </c>
      <c r="C53" s="575" t="s">
        <v>546</v>
      </c>
      <c r="D53" s="575" t="str">
        <f t="shared" si="2"/>
        <v>OE_5</v>
      </c>
      <c r="E53" s="575" t="s">
        <v>42</v>
      </c>
      <c r="F53" s="575" t="s">
        <v>61</v>
      </c>
      <c r="G53" s="275" t="s">
        <v>418</v>
      </c>
      <c r="H53" s="275" t="s">
        <v>448</v>
      </c>
      <c r="I53" s="575" t="s">
        <v>323</v>
      </c>
      <c r="J53" s="575" t="s">
        <v>816</v>
      </c>
      <c r="K53" s="575" t="s">
        <v>74</v>
      </c>
      <c r="L53" s="575" t="s">
        <v>350</v>
      </c>
      <c r="M53" s="275" t="s">
        <v>351</v>
      </c>
      <c r="N53" s="275" t="s">
        <v>352</v>
      </c>
      <c r="O53" s="275" t="s">
        <v>78</v>
      </c>
      <c r="P53" s="275" t="s">
        <v>99</v>
      </c>
      <c r="Q53" s="338" t="s">
        <v>119</v>
      </c>
      <c r="R53" s="338">
        <v>0.65</v>
      </c>
      <c r="S53" s="575" t="s">
        <v>511</v>
      </c>
      <c r="T53" s="275" t="s">
        <v>337</v>
      </c>
      <c r="U53" s="275" t="s">
        <v>338</v>
      </c>
      <c r="V53" s="275" t="s">
        <v>339</v>
      </c>
      <c r="W53" s="275" t="s">
        <v>340</v>
      </c>
      <c r="X53" s="575" t="s">
        <v>353</v>
      </c>
      <c r="Y53" s="275" t="s">
        <v>55</v>
      </c>
      <c r="Z53" s="575" t="s">
        <v>354</v>
      </c>
      <c r="AA53" s="275" t="s">
        <v>669</v>
      </c>
      <c r="AB53" s="581" t="s">
        <v>332</v>
      </c>
    </row>
    <row r="54" spans="1:29" ht="87" customHeight="1" x14ac:dyDescent="0.2">
      <c r="A54" s="333" t="s">
        <v>545</v>
      </c>
      <c r="B54" s="575" t="s">
        <v>539</v>
      </c>
      <c r="C54" s="575" t="s">
        <v>546</v>
      </c>
      <c r="D54" s="575" t="str">
        <f>IF(E54="","",CONCATENATE("OE_",MID(E54,1,1)))</f>
        <v>OE_5</v>
      </c>
      <c r="E54" s="575" t="s">
        <v>42</v>
      </c>
      <c r="F54" s="575" t="s">
        <v>61</v>
      </c>
      <c r="G54" s="275" t="s">
        <v>419</v>
      </c>
      <c r="H54" s="275" t="s">
        <v>449</v>
      </c>
      <c r="I54" s="575" t="s">
        <v>323</v>
      </c>
      <c r="J54" s="575" t="s">
        <v>355</v>
      </c>
      <c r="K54" s="575" t="s">
        <v>74</v>
      </c>
      <c r="L54" s="575" t="s">
        <v>356</v>
      </c>
      <c r="M54" s="275" t="s">
        <v>357</v>
      </c>
      <c r="N54" s="275" t="s">
        <v>358</v>
      </c>
      <c r="O54" s="275" t="s">
        <v>78</v>
      </c>
      <c r="P54" s="275" t="s">
        <v>79</v>
      </c>
      <c r="Q54" s="338" t="s">
        <v>119</v>
      </c>
      <c r="R54" s="338">
        <v>0.25</v>
      </c>
      <c r="S54" s="575" t="s">
        <v>359</v>
      </c>
      <c r="T54" s="338" t="s">
        <v>360</v>
      </c>
      <c r="U54" s="338" t="s">
        <v>361</v>
      </c>
      <c r="V54" s="338" t="s">
        <v>362</v>
      </c>
      <c r="W54" s="338" t="s">
        <v>363</v>
      </c>
      <c r="X54" s="575" t="s">
        <v>364</v>
      </c>
      <c r="Y54" s="275" t="s">
        <v>54</v>
      </c>
      <c r="Z54" s="575" t="s">
        <v>365</v>
      </c>
      <c r="AA54" s="275" t="s">
        <v>669</v>
      </c>
      <c r="AB54" s="581" t="s">
        <v>332</v>
      </c>
    </row>
    <row r="55" spans="1:29" ht="88.5" customHeight="1" x14ac:dyDescent="0.2">
      <c r="A55" s="333" t="s">
        <v>545</v>
      </c>
      <c r="B55" s="575" t="s">
        <v>539</v>
      </c>
      <c r="C55" s="575" t="s">
        <v>546</v>
      </c>
      <c r="D55" s="575" t="str">
        <f>IF(E55="","",CONCATENATE("OE_",MID(E55,1,1)))</f>
        <v>OE_5</v>
      </c>
      <c r="E55" s="575" t="s">
        <v>42</v>
      </c>
      <c r="F55" s="575" t="s">
        <v>61</v>
      </c>
      <c r="G55" s="275" t="s">
        <v>420</v>
      </c>
      <c r="H55" s="275" t="s">
        <v>450</v>
      </c>
      <c r="I55" s="575" t="s">
        <v>323</v>
      </c>
      <c r="J55" s="575" t="s">
        <v>366</v>
      </c>
      <c r="K55" s="575" t="s">
        <v>124</v>
      </c>
      <c r="L55" s="575" t="s">
        <v>367</v>
      </c>
      <c r="M55" s="275" t="s">
        <v>368</v>
      </c>
      <c r="N55" s="275" t="s">
        <v>369</v>
      </c>
      <c r="O55" s="275" t="s">
        <v>370</v>
      </c>
      <c r="P55" s="275" t="s">
        <v>99</v>
      </c>
      <c r="Q55" s="338" t="s">
        <v>119</v>
      </c>
      <c r="R55" s="32">
        <v>4</v>
      </c>
      <c r="S55" s="575" t="s">
        <v>512</v>
      </c>
      <c r="T55" s="33" t="s">
        <v>371</v>
      </c>
      <c r="U55" s="33" t="s">
        <v>372</v>
      </c>
      <c r="V55" s="33" t="s">
        <v>373</v>
      </c>
      <c r="W55" s="32">
        <v>4</v>
      </c>
      <c r="X55" s="575" t="s">
        <v>364</v>
      </c>
      <c r="Y55" s="275" t="s">
        <v>1145</v>
      </c>
      <c r="Z55" s="575" t="s">
        <v>817</v>
      </c>
      <c r="AA55" s="275" t="s">
        <v>669</v>
      </c>
      <c r="AB55" s="581" t="s">
        <v>332</v>
      </c>
    </row>
    <row r="56" spans="1:29" ht="20.25" customHeight="1" thickBot="1" x14ac:dyDescent="0.25">
      <c r="A56" s="34"/>
      <c r="B56" s="35"/>
      <c r="C56" s="35"/>
      <c r="D56" s="35" t="str">
        <f t="shared" ref="D56" si="3">IF(E56="","",CONCATENATE("OE_",MID(E56,1,1)))</f>
        <v/>
      </c>
      <c r="E56" s="35"/>
      <c r="F56" s="35"/>
      <c r="G56" s="35"/>
      <c r="H56" s="35"/>
      <c r="I56" s="35"/>
      <c r="J56" s="35"/>
      <c r="K56" s="35"/>
      <c r="L56" s="35"/>
      <c r="M56" s="35"/>
      <c r="N56" s="35"/>
      <c r="O56" s="35"/>
      <c r="P56" s="35"/>
      <c r="Q56" s="35"/>
      <c r="R56" s="35"/>
      <c r="S56" s="35"/>
      <c r="T56" s="35"/>
      <c r="U56" s="35"/>
      <c r="V56" s="35"/>
      <c r="W56" s="35"/>
      <c r="X56" s="35"/>
      <c r="Y56" s="35"/>
      <c r="Z56" s="35"/>
      <c r="AA56" s="35"/>
      <c r="AB56" s="36"/>
    </row>
    <row r="57" spans="1:29" ht="13.5" thickBot="1" x14ac:dyDescent="0.25">
      <c r="F57" s="25"/>
      <c r="G57" s="25"/>
      <c r="H57" s="25"/>
      <c r="K57" s="25"/>
    </row>
    <row r="58" spans="1:29" ht="21" customHeight="1" thickBot="1" x14ac:dyDescent="0.25">
      <c r="A58" s="631" t="s">
        <v>35</v>
      </c>
      <c r="B58" s="632"/>
      <c r="C58" s="632"/>
      <c r="D58" s="632"/>
      <c r="E58" s="632"/>
      <c r="F58" s="633"/>
      <c r="H58" s="608" t="s">
        <v>553</v>
      </c>
      <c r="I58" s="609"/>
      <c r="J58" s="609"/>
      <c r="K58" s="609"/>
      <c r="L58" s="609"/>
      <c r="M58" s="609"/>
      <c r="N58" s="609"/>
      <c r="O58" s="609"/>
      <c r="P58" s="609"/>
      <c r="Q58" s="609"/>
      <c r="R58" s="609"/>
      <c r="S58" s="609"/>
      <c r="T58" s="609"/>
      <c r="U58" s="609"/>
      <c r="V58" s="609"/>
      <c r="W58" s="609"/>
      <c r="X58" s="609"/>
      <c r="Y58" s="609"/>
      <c r="Z58" s="609"/>
      <c r="AA58" s="609"/>
      <c r="AB58" s="610"/>
    </row>
    <row r="59" spans="1:29" s="2" customFormat="1" ht="48" customHeight="1" x14ac:dyDescent="0.2">
      <c r="A59" s="30" t="s">
        <v>12</v>
      </c>
      <c r="B59" s="613" t="s">
        <v>36</v>
      </c>
      <c r="C59" s="614"/>
      <c r="D59" s="614"/>
      <c r="E59" s="614"/>
      <c r="F59" s="615"/>
      <c r="H59" s="331" t="s">
        <v>554</v>
      </c>
      <c r="I59" s="611" t="s">
        <v>818</v>
      </c>
      <c r="J59" s="611"/>
      <c r="K59" s="611"/>
      <c r="L59" s="611"/>
      <c r="M59" s="611"/>
      <c r="N59" s="611"/>
      <c r="O59" s="611"/>
      <c r="P59" s="611"/>
      <c r="Q59" s="611"/>
      <c r="R59" s="611"/>
      <c r="S59" s="611"/>
      <c r="T59" s="611"/>
      <c r="U59" s="611"/>
      <c r="V59" s="611"/>
      <c r="W59" s="611"/>
      <c r="X59" s="611"/>
      <c r="Y59" s="611"/>
      <c r="Z59" s="611"/>
      <c r="AA59" s="611"/>
      <c r="AB59" s="612"/>
      <c r="AC59" s="26"/>
    </row>
    <row r="60" spans="1:29" s="2" customFormat="1" ht="48" customHeight="1" x14ac:dyDescent="0.2">
      <c r="A60" s="31" t="s">
        <v>13</v>
      </c>
      <c r="B60" s="600" t="s">
        <v>37</v>
      </c>
      <c r="C60" s="601"/>
      <c r="D60" s="601"/>
      <c r="E60" s="601"/>
      <c r="F60" s="602"/>
      <c r="H60" s="589" t="s">
        <v>830</v>
      </c>
      <c r="I60" s="616" t="s">
        <v>869</v>
      </c>
      <c r="J60" s="616"/>
      <c r="K60" s="616"/>
      <c r="L60" s="616"/>
      <c r="M60" s="616"/>
      <c r="N60" s="616"/>
      <c r="O60" s="616"/>
      <c r="P60" s="616"/>
      <c r="Q60" s="616"/>
      <c r="R60" s="616"/>
      <c r="S60" s="616"/>
      <c r="T60" s="616"/>
      <c r="U60" s="616"/>
      <c r="V60" s="616"/>
      <c r="W60" s="616"/>
      <c r="X60" s="616"/>
      <c r="Y60" s="616"/>
      <c r="Z60" s="616"/>
      <c r="AA60" s="616"/>
      <c r="AB60" s="617"/>
      <c r="AC60" s="26"/>
    </row>
    <row r="61" spans="1:29" s="2" customFormat="1" ht="33.75" customHeight="1" thickBot="1" x14ac:dyDescent="0.25">
      <c r="A61" s="606" t="s">
        <v>14</v>
      </c>
      <c r="B61" s="600" t="s">
        <v>38</v>
      </c>
      <c r="C61" s="601"/>
      <c r="D61" s="601"/>
      <c r="E61" s="601"/>
      <c r="F61" s="602"/>
      <c r="H61" s="332" t="s">
        <v>1108</v>
      </c>
      <c r="I61" s="618" t="s">
        <v>1109</v>
      </c>
      <c r="J61" s="618"/>
      <c r="K61" s="618"/>
      <c r="L61" s="618"/>
      <c r="M61" s="618"/>
      <c r="N61" s="618"/>
      <c r="O61" s="618"/>
      <c r="P61" s="618"/>
      <c r="Q61" s="618"/>
      <c r="R61" s="618"/>
      <c r="S61" s="618"/>
      <c r="T61" s="618"/>
      <c r="U61" s="618"/>
      <c r="V61" s="618"/>
      <c r="W61" s="618"/>
      <c r="X61" s="618"/>
      <c r="Y61" s="618"/>
      <c r="Z61" s="618"/>
      <c r="AA61" s="618"/>
      <c r="AB61" s="619"/>
      <c r="AC61" s="26"/>
    </row>
    <row r="62" spans="1:29" s="2" customFormat="1" ht="33.75" customHeight="1" x14ac:dyDescent="0.2">
      <c r="A62" s="606"/>
      <c r="B62" s="600" t="s">
        <v>39</v>
      </c>
      <c r="C62" s="601"/>
      <c r="D62" s="601"/>
      <c r="E62" s="601"/>
      <c r="F62" s="602"/>
      <c r="I62" s="29"/>
      <c r="J62" s="29"/>
      <c r="K62" s="29"/>
      <c r="L62" s="27"/>
      <c r="M62" s="27"/>
      <c r="N62" s="27"/>
      <c r="O62" s="27"/>
      <c r="P62" s="27"/>
      <c r="Q62" s="27"/>
      <c r="R62" s="27"/>
      <c r="S62" s="27"/>
      <c r="T62" s="27"/>
      <c r="U62" s="27"/>
      <c r="V62" s="27"/>
      <c r="W62" s="27"/>
      <c r="X62" s="27"/>
      <c r="Y62" s="27"/>
      <c r="Z62" s="27"/>
      <c r="AA62" s="27"/>
      <c r="AB62" s="27"/>
      <c r="AC62" s="26"/>
    </row>
    <row r="63" spans="1:29" s="2" customFormat="1" ht="33.75" customHeight="1" x14ac:dyDescent="0.2">
      <c r="A63" s="606"/>
      <c r="B63" s="600" t="s">
        <v>40</v>
      </c>
      <c r="C63" s="601"/>
      <c r="D63" s="601"/>
      <c r="E63" s="601"/>
      <c r="F63" s="602"/>
      <c r="I63" s="29"/>
      <c r="J63" s="29"/>
      <c r="K63" s="29"/>
      <c r="L63" s="27"/>
      <c r="M63" s="27"/>
      <c r="N63" s="27"/>
      <c r="O63" s="27"/>
      <c r="P63" s="27"/>
      <c r="Q63" s="27"/>
      <c r="R63" s="27"/>
      <c r="S63" s="27"/>
      <c r="T63" s="27"/>
      <c r="U63" s="27"/>
      <c r="V63" s="27"/>
      <c r="W63" s="27"/>
      <c r="X63" s="27"/>
      <c r="Y63" s="27"/>
      <c r="Z63" s="27"/>
      <c r="AA63" s="27"/>
      <c r="AB63" s="27"/>
      <c r="AC63" s="26"/>
    </row>
    <row r="64" spans="1:29" s="2" customFormat="1" ht="33.75" customHeight="1" x14ac:dyDescent="0.2">
      <c r="A64" s="606"/>
      <c r="B64" s="600" t="s">
        <v>41</v>
      </c>
      <c r="C64" s="601"/>
      <c r="D64" s="601"/>
      <c r="E64" s="601"/>
      <c r="F64" s="602"/>
      <c r="I64" s="29"/>
      <c r="J64" s="29"/>
      <c r="K64" s="29"/>
      <c r="L64" s="27"/>
      <c r="M64" s="27"/>
      <c r="N64" s="27"/>
      <c r="O64" s="27"/>
      <c r="P64" s="27"/>
      <c r="Q64" s="27"/>
      <c r="R64" s="27"/>
      <c r="S64" s="27"/>
      <c r="T64" s="27"/>
      <c r="U64" s="27"/>
      <c r="V64" s="27"/>
      <c r="W64" s="27"/>
      <c r="X64" s="27"/>
      <c r="Y64" s="27"/>
      <c r="Z64" s="27"/>
      <c r="AA64" s="27"/>
      <c r="AB64" s="27"/>
      <c r="AC64" s="26"/>
    </row>
    <row r="65" spans="1:29" s="2" customFormat="1" ht="33.75" customHeight="1" thickBot="1" x14ac:dyDescent="0.25">
      <c r="A65" s="607"/>
      <c r="B65" s="603" t="s">
        <v>42</v>
      </c>
      <c r="C65" s="604"/>
      <c r="D65" s="604"/>
      <c r="E65" s="604"/>
      <c r="F65" s="605"/>
      <c r="I65" s="29"/>
      <c r="J65" s="29"/>
      <c r="K65" s="29"/>
      <c r="L65" s="27"/>
      <c r="M65" s="27"/>
      <c r="N65" s="27"/>
      <c r="O65" s="27"/>
      <c r="P65" s="27"/>
      <c r="Q65" s="27"/>
      <c r="R65" s="27"/>
      <c r="S65" s="27"/>
      <c r="T65" s="27"/>
      <c r="U65" s="27"/>
      <c r="V65" s="27"/>
      <c r="W65" s="27"/>
      <c r="X65" s="27"/>
      <c r="Y65" s="27"/>
      <c r="Z65" s="27"/>
      <c r="AA65" s="27"/>
      <c r="AB65" s="27"/>
      <c r="AC65" s="26"/>
    </row>
    <row r="66" spans="1:29" s="2" customFormat="1" ht="19.5" customHeight="1" x14ac:dyDescent="0.2">
      <c r="A66" s="26"/>
      <c r="B66" s="26"/>
      <c r="C66" s="26"/>
      <c r="D66" s="26"/>
      <c r="E66" s="26"/>
      <c r="F66" s="28"/>
      <c r="G66" s="28"/>
      <c r="H66" s="27"/>
      <c r="I66" s="27"/>
      <c r="J66" s="27"/>
      <c r="K66" s="27"/>
      <c r="L66" s="27"/>
      <c r="M66" s="27"/>
      <c r="N66" s="27"/>
      <c r="O66" s="27"/>
      <c r="P66" s="27"/>
      <c r="Q66" s="27"/>
      <c r="R66" s="27"/>
      <c r="S66" s="27"/>
      <c r="T66" s="27"/>
      <c r="U66" s="27"/>
      <c r="V66" s="27"/>
      <c r="W66" s="27"/>
      <c r="X66" s="27"/>
      <c r="Y66" s="27"/>
      <c r="Z66" s="27"/>
      <c r="AA66" s="27"/>
      <c r="AB66" s="27"/>
      <c r="AC66" s="26"/>
    </row>
    <row r="67" spans="1:29" x14ac:dyDescent="0.2"/>
    <row r="68" spans="1:29" x14ac:dyDescent="0.2"/>
  </sheetData>
  <autoFilter ref="A7:AD56" xr:uid="{987EFC67-042D-49AE-A026-6F184EB2F603}">
    <filterColumn colId="3" showButton="0"/>
  </autoFilter>
  <mergeCells count="41">
    <mergeCell ref="B3:AB3"/>
    <mergeCell ref="H31:H32"/>
    <mergeCell ref="A58:F58"/>
    <mergeCell ref="A1:AB1"/>
    <mergeCell ref="A2:AB2"/>
    <mergeCell ref="A6:A7"/>
    <mergeCell ref="B6:B7"/>
    <mergeCell ref="C6:C7"/>
    <mergeCell ref="Q6:Q7"/>
    <mergeCell ref="L6:L7"/>
    <mergeCell ref="O6:O7"/>
    <mergeCell ref="F6:F7"/>
    <mergeCell ref="AA6:AA7"/>
    <mergeCell ref="AB6:AB7"/>
    <mergeCell ref="G6:G7"/>
    <mergeCell ref="H6:H7"/>
    <mergeCell ref="Z6:Z7"/>
    <mergeCell ref="I21:I22"/>
    <mergeCell ref="D6:E7"/>
    <mergeCell ref="Y6:Y7"/>
    <mergeCell ref="J6:J7"/>
    <mergeCell ref="X6:X7"/>
    <mergeCell ref="I6:I7"/>
    <mergeCell ref="K6:K7"/>
    <mergeCell ref="P6:P7"/>
    <mergeCell ref="R6:S6"/>
    <mergeCell ref="T6:W6"/>
    <mergeCell ref="M6:N6"/>
    <mergeCell ref="H21:H22"/>
    <mergeCell ref="B64:F64"/>
    <mergeCell ref="B65:F65"/>
    <mergeCell ref="A61:A65"/>
    <mergeCell ref="H58:AB58"/>
    <mergeCell ref="I59:AB59"/>
    <mergeCell ref="B59:F59"/>
    <mergeCell ref="B60:F60"/>
    <mergeCell ref="B61:F61"/>
    <mergeCell ref="B62:F62"/>
    <mergeCell ref="B63:F63"/>
    <mergeCell ref="I60:AB60"/>
    <mergeCell ref="I61:AB61"/>
  </mergeCells>
  <phoneticPr fontId="3" type="noConversion"/>
  <dataValidations count="5">
    <dataValidation type="list" allowBlank="1" showInputMessage="1" showErrorMessage="1" sqref="K8:K56" xr:uid="{9577BD02-6873-4958-90C1-86A2728B8228}">
      <formula1>TIPO</formula1>
    </dataValidation>
    <dataValidation type="list" allowBlank="1" showInputMessage="1" showErrorMessage="1" sqref="P8:P56" xr:uid="{B5869A76-511C-4972-BD54-F72FB210FC94}">
      <formula1>TENDENCIA</formula1>
    </dataValidation>
    <dataValidation type="list" allowBlank="1" showInputMessage="1" showErrorMessage="1" sqref="Y8:Y54 Y56" xr:uid="{7C99D210-BAD8-4FE2-A67F-81EF95867E98}">
      <formula1>PERIODICIDAD</formula1>
    </dataValidation>
    <dataValidation type="list" allowBlank="1" showInputMessage="1" showErrorMessage="1" sqref="E8:E56" xr:uid="{5D0A88D9-CF2B-4459-BD1E-037260177A57}">
      <formula1>OBJETIVOS</formula1>
    </dataValidation>
    <dataValidation type="list" allowBlank="1" showInputMessage="1" showErrorMessage="1" sqref="F8:F56" xr:uid="{3BD0F63A-AA72-4CC2-AADF-A4ECA6F95145}">
      <formula1>INDIRECT(D8)</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0701-848F-452D-914E-E46F93507DB3}">
  <dimension ref="A1:Z52"/>
  <sheetViews>
    <sheetView showGridLines="0" workbookViewId="0">
      <selection activeCell="B6" sqref="B6:B7"/>
    </sheetView>
  </sheetViews>
  <sheetFormatPr baseColWidth="10" defaultColWidth="0" defaultRowHeight="15" customHeight="1" zeroHeight="1" x14ac:dyDescent="0.25"/>
  <cols>
    <col min="1" max="1" width="2.42578125" style="173" customWidth="1"/>
    <col min="2" max="2" width="4.42578125" style="224" customWidth="1"/>
    <col min="3" max="3" width="30" style="225" customWidth="1"/>
    <col min="4" max="4" width="21.85546875" style="225" customWidth="1"/>
    <col min="5" max="5" width="30" style="225" customWidth="1"/>
    <col min="6" max="6" width="21.42578125" style="177" customWidth="1"/>
    <col min="7" max="8" width="13.42578125" style="177" customWidth="1"/>
    <col min="9" max="9" width="13.7109375" style="177" customWidth="1"/>
    <col min="10" max="10" width="58.42578125" style="223" customWidth="1"/>
    <col min="11" max="11" width="4.28515625" style="173" customWidth="1"/>
    <col min="12" max="12" width="0" style="177" hidden="1" customWidth="1"/>
    <col min="13" max="16384" width="11.42578125" style="177" hidden="1"/>
  </cols>
  <sheetData>
    <row r="1" spans="1:11" ht="18.75" customHeight="1" x14ac:dyDescent="0.25">
      <c r="B1" s="174"/>
      <c r="C1" s="174"/>
      <c r="D1" s="175"/>
      <c r="E1" s="175"/>
      <c r="F1" s="175"/>
      <c r="G1" s="175"/>
      <c r="H1" s="175"/>
      <c r="I1" s="175"/>
      <c r="J1" s="176"/>
    </row>
    <row r="2" spans="1:11" ht="18.75" customHeight="1" x14ac:dyDescent="0.25">
      <c r="B2" s="178"/>
      <c r="C2" s="832" t="s">
        <v>718</v>
      </c>
      <c r="D2" s="832"/>
      <c r="E2" s="832"/>
      <c r="F2" s="832"/>
      <c r="G2" s="832"/>
      <c r="H2" s="832"/>
      <c r="I2" s="832"/>
      <c r="J2" s="832"/>
    </row>
    <row r="3" spans="1:11" ht="18.75" customHeight="1" x14ac:dyDescent="0.25">
      <c r="B3" s="178"/>
      <c r="C3" s="179"/>
      <c r="D3" s="180"/>
      <c r="E3" s="179"/>
      <c r="F3" s="181"/>
      <c r="G3" s="182"/>
      <c r="H3" s="183"/>
      <c r="I3" s="183"/>
      <c r="J3" s="184"/>
    </row>
    <row r="4" spans="1:11" ht="29.25" customHeight="1" x14ac:dyDescent="0.25">
      <c r="B4" s="178"/>
      <c r="C4" s="185" t="s">
        <v>671</v>
      </c>
      <c r="D4" s="833" t="s">
        <v>719</v>
      </c>
      <c r="E4" s="833"/>
      <c r="F4" s="833"/>
      <c r="G4" s="833"/>
      <c r="H4" s="833"/>
      <c r="I4" s="833"/>
      <c r="J4" s="833"/>
    </row>
    <row r="5" spans="1:11" ht="6.75" customHeight="1" x14ac:dyDescent="0.25">
      <c r="B5" s="178"/>
      <c r="C5" s="186"/>
      <c r="D5" s="187"/>
      <c r="E5" s="179"/>
      <c r="F5" s="188"/>
      <c r="G5" s="188"/>
      <c r="H5" s="188"/>
      <c r="I5" s="188"/>
      <c r="J5" s="184"/>
    </row>
    <row r="6" spans="1:11" ht="17.25" customHeight="1" x14ac:dyDescent="0.25">
      <c r="B6" s="178"/>
      <c r="C6" s="185" t="s">
        <v>673</v>
      </c>
      <c r="D6" s="833">
        <v>1</v>
      </c>
      <c r="E6" s="833"/>
      <c r="F6" s="833"/>
      <c r="G6" s="833"/>
      <c r="H6" s="833"/>
      <c r="I6" s="189"/>
      <c r="J6" s="189"/>
    </row>
    <row r="7" spans="1:11" ht="8.25" customHeight="1" x14ac:dyDescent="0.25">
      <c r="B7" s="178"/>
      <c r="C7" s="190"/>
      <c r="D7" s="190"/>
      <c r="E7" s="190"/>
      <c r="F7" s="191"/>
      <c r="G7" s="191"/>
      <c r="H7" s="191"/>
      <c r="I7" s="191"/>
      <c r="J7" s="184"/>
    </row>
    <row r="8" spans="1:11" ht="18" customHeight="1" x14ac:dyDescent="0.25">
      <c r="B8" s="178"/>
      <c r="C8" s="185" t="s">
        <v>710</v>
      </c>
      <c r="D8" s="834">
        <v>44592</v>
      </c>
      <c r="E8" s="833"/>
      <c r="F8" s="833"/>
      <c r="G8" s="833"/>
      <c r="H8" s="833"/>
      <c r="I8" s="189"/>
      <c r="J8" s="189"/>
    </row>
    <row r="9" spans="1:11" ht="8.25" customHeight="1" thickBot="1" x14ac:dyDescent="0.3">
      <c r="B9" s="178"/>
      <c r="C9" s="192"/>
      <c r="D9" s="192"/>
      <c r="E9" s="192"/>
      <c r="F9" s="193"/>
      <c r="G9" s="193"/>
      <c r="H9" s="193"/>
      <c r="I9" s="193"/>
      <c r="J9" s="194"/>
    </row>
    <row r="10" spans="1:11" ht="18" customHeight="1" x14ac:dyDescent="0.25">
      <c r="B10" s="835" t="s">
        <v>675</v>
      </c>
      <c r="C10" s="836"/>
      <c r="D10" s="836"/>
      <c r="E10" s="836"/>
      <c r="F10" s="836"/>
      <c r="G10" s="836"/>
      <c r="H10" s="836"/>
      <c r="I10" s="836"/>
      <c r="J10" s="837"/>
    </row>
    <row r="11" spans="1:11" ht="18" customHeight="1" x14ac:dyDescent="0.25">
      <c r="B11" s="838" t="s">
        <v>676</v>
      </c>
      <c r="C11" s="840" t="s">
        <v>677</v>
      </c>
      <c r="D11" s="840" t="s">
        <v>678</v>
      </c>
      <c r="E11" s="840" t="s">
        <v>679</v>
      </c>
      <c r="F11" s="840" t="s">
        <v>680</v>
      </c>
      <c r="G11" s="840" t="s">
        <v>681</v>
      </c>
      <c r="H11" s="840"/>
      <c r="I11" s="298" t="s">
        <v>682</v>
      </c>
      <c r="J11" s="842" t="s">
        <v>9</v>
      </c>
    </row>
    <row r="12" spans="1:11" s="196" customFormat="1" ht="18" customHeight="1" thickBot="1" x14ac:dyDescent="0.3">
      <c r="A12" s="195"/>
      <c r="B12" s="839"/>
      <c r="C12" s="841"/>
      <c r="D12" s="841"/>
      <c r="E12" s="841"/>
      <c r="F12" s="841"/>
      <c r="G12" s="299" t="s">
        <v>683</v>
      </c>
      <c r="H12" s="299" t="s">
        <v>684</v>
      </c>
      <c r="I12" s="300">
        <f>SUM(I13:I15)</f>
        <v>1</v>
      </c>
      <c r="J12" s="843"/>
      <c r="K12" s="195"/>
    </row>
    <row r="13" spans="1:11" s="196" customFormat="1" ht="60.75" customHeight="1" x14ac:dyDescent="0.25">
      <c r="A13" s="195"/>
      <c r="B13" s="197">
        <v>1</v>
      </c>
      <c r="C13" s="198" t="s">
        <v>720</v>
      </c>
      <c r="D13" s="198" t="s">
        <v>721</v>
      </c>
      <c r="E13" s="198" t="s">
        <v>722</v>
      </c>
      <c r="F13" s="199">
        <v>0.9</v>
      </c>
      <c r="G13" s="200">
        <v>44593</v>
      </c>
      <c r="H13" s="200">
        <v>44926</v>
      </c>
      <c r="I13" s="199">
        <v>0.5</v>
      </c>
      <c r="J13" s="201" t="s">
        <v>723</v>
      </c>
      <c r="K13" s="195"/>
    </row>
    <row r="14" spans="1:11" s="196" customFormat="1" ht="60.75" customHeight="1" x14ac:dyDescent="0.25">
      <c r="A14" s="195"/>
      <c r="B14" s="202">
        <v>2</v>
      </c>
      <c r="C14" s="203" t="s">
        <v>724</v>
      </c>
      <c r="D14" s="204" t="s">
        <v>721</v>
      </c>
      <c r="E14" s="204" t="s">
        <v>722</v>
      </c>
      <c r="F14" s="205">
        <v>0.9</v>
      </c>
      <c r="G14" s="200">
        <v>44593</v>
      </c>
      <c r="H14" s="200">
        <v>44926</v>
      </c>
      <c r="I14" s="205">
        <v>0.5</v>
      </c>
      <c r="J14" s="206" t="s">
        <v>723</v>
      </c>
      <c r="K14" s="195"/>
    </row>
    <row r="15" spans="1:11" s="196" customFormat="1" ht="22.5" customHeight="1" thickBot="1" x14ac:dyDescent="0.3">
      <c r="A15" s="195"/>
      <c r="B15" s="207"/>
      <c r="C15" s="208"/>
      <c r="D15" s="209"/>
      <c r="E15" s="210"/>
      <c r="F15" s="210"/>
      <c r="G15" s="211"/>
      <c r="H15" s="211"/>
      <c r="I15" s="212"/>
      <c r="J15" s="213"/>
      <c r="K15" s="195"/>
    </row>
    <row r="16" spans="1:11" s="196" customFormat="1" ht="33" customHeight="1" thickBot="1" x14ac:dyDescent="0.3">
      <c r="A16" s="195"/>
      <c r="B16" s="844" t="s">
        <v>725</v>
      </c>
      <c r="C16" s="844"/>
      <c r="D16" s="844"/>
      <c r="E16" s="844"/>
      <c r="F16" s="844"/>
      <c r="G16" s="844"/>
      <c r="H16" s="844"/>
      <c r="I16" s="844"/>
      <c r="J16" s="844"/>
      <c r="K16" s="195"/>
    </row>
    <row r="17" spans="1:26" s="278" customFormat="1" ht="24" customHeight="1" thickBot="1" x14ac:dyDescent="0.3">
      <c r="B17" s="99"/>
      <c r="C17" s="800" t="s">
        <v>695</v>
      </c>
      <c r="D17" s="801"/>
      <c r="E17" s="801"/>
      <c r="F17" s="802"/>
      <c r="G17" s="100"/>
      <c r="H17" s="100"/>
      <c r="I17" s="100"/>
      <c r="J17" s="68"/>
    </row>
    <row r="18" spans="1:26" s="278" customFormat="1" ht="33.75" customHeight="1" x14ac:dyDescent="0.25">
      <c r="B18" s="99"/>
      <c r="C18" s="276" t="s">
        <v>696</v>
      </c>
      <c r="D18" s="790" t="s">
        <v>697</v>
      </c>
      <c r="E18" s="791"/>
      <c r="F18" s="277" t="s">
        <v>698</v>
      </c>
      <c r="G18" s="100"/>
      <c r="H18" s="100"/>
      <c r="I18" s="100"/>
      <c r="J18" s="68"/>
    </row>
    <row r="19" spans="1:26" s="278" customFormat="1" ht="35.25" customHeight="1" x14ac:dyDescent="0.25">
      <c r="B19" s="99"/>
      <c r="C19" s="101">
        <v>1</v>
      </c>
      <c r="D19" s="792" t="s">
        <v>699</v>
      </c>
      <c r="E19" s="793"/>
      <c r="F19" s="102">
        <v>44592</v>
      </c>
      <c r="G19" s="100"/>
      <c r="H19" s="100"/>
      <c r="I19" s="100"/>
      <c r="J19" s="68"/>
    </row>
    <row r="20" spans="1:26" s="278" customFormat="1" ht="15.75" customHeight="1" x14ac:dyDescent="0.25">
      <c r="B20" s="99"/>
      <c r="C20" s="101"/>
      <c r="D20" s="103"/>
      <c r="E20" s="104"/>
      <c r="F20" s="105"/>
      <c r="G20" s="100"/>
      <c r="H20" s="100"/>
      <c r="I20" s="100"/>
      <c r="J20" s="68"/>
    </row>
    <row r="21" spans="1:26" s="278" customFormat="1" ht="15.75" customHeight="1" thickBot="1" x14ac:dyDescent="0.3">
      <c r="B21" s="99"/>
      <c r="C21" s="106"/>
      <c r="D21" s="107"/>
      <c r="E21" s="108"/>
      <c r="F21" s="109"/>
      <c r="G21" s="100"/>
      <c r="H21" s="100"/>
      <c r="I21" s="100"/>
      <c r="J21" s="68"/>
    </row>
    <row r="22" spans="1:26" s="68" customFormat="1" ht="16.5" customHeight="1" x14ac:dyDescent="0.25">
      <c r="A22" s="132"/>
      <c r="B22" s="129"/>
      <c r="C22" s="130"/>
      <c r="D22" s="130"/>
      <c r="E22" s="130"/>
      <c r="F22" s="130"/>
      <c r="G22" s="130"/>
      <c r="H22" s="130"/>
      <c r="I22" s="130"/>
      <c r="J22" s="172"/>
      <c r="K22" s="132"/>
      <c r="L22" s="130"/>
      <c r="M22" s="130"/>
      <c r="N22" s="130"/>
      <c r="O22" s="130"/>
      <c r="P22" s="130"/>
      <c r="Q22" s="130"/>
      <c r="R22" s="130"/>
      <c r="S22" s="130"/>
      <c r="T22" s="130"/>
      <c r="U22" s="130"/>
      <c r="V22" s="130"/>
      <c r="W22" s="130"/>
      <c r="X22" s="130"/>
      <c r="Y22" s="130"/>
      <c r="Z22" s="136"/>
    </row>
    <row r="23" spans="1:26" s="196" customFormat="1" ht="33" customHeight="1" x14ac:dyDescent="0.25">
      <c r="A23" s="195"/>
      <c r="B23" s="214"/>
      <c r="C23" s="215"/>
      <c r="D23" s="215"/>
      <c r="E23" s="214"/>
      <c r="F23" s="214"/>
      <c r="G23" s="216"/>
      <c r="H23" s="216"/>
      <c r="I23" s="216"/>
      <c r="J23" s="217"/>
      <c r="K23" s="195"/>
    </row>
    <row r="24" spans="1:26" s="196" customFormat="1" ht="33" hidden="1" customHeight="1" x14ac:dyDescent="0.25">
      <c r="A24" s="195"/>
      <c r="B24" s="214"/>
      <c r="C24" s="215"/>
      <c r="D24" s="215"/>
      <c r="E24" s="214"/>
      <c r="F24" s="214"/>
      <c r="G24" s="216"/>
      <c r="H24" s="216"/>
      <c r="I24" s="216"/>
      <c r="J24" s="217"/>
      <c r="K24" s="195"/>
    </row>
    <row r="25" spans="1:26" s="196" customFormat="1" ht="33" hidden="1" customHeight="1" x14ac:dyDescent="0.25">
      <c r="A25" s="195"/>
      <c r="B25" s="214"/>
      <c r="C25" s="215"/>
      <c r="D25" s="215"/>
      <c r="E25" s="214"/>
      <c r="F25" s="214"/>
      <c r="G25" s="216"/>
      <c r="H25" s="216"/>
      <c r="I25" s="216"/>
      <c r="J25" s="217"/>
      <c r="K25" s="195"/>
    </row>
    <row r="26" spans="1:26" s="196" customFormat="1" ht="33" hidden="1" customHeight="1" x14ac:dyDescent="0.25">
      <c r="A26" s="195"/>
      <c r="B26" s="214"/>
      <c r="C26" s="215"/>
      <c r="D26" s="215"/>
      <c r="E26" s="214"/>
      <c r="F26" s="214"/>
      <c r="G26" s="216"/>
      <c r="H26" s="216"/>
      <c r="I26" s="216"/>
      <c r="J26" s="217"/>
      <c r="K26" s="195"/>
    </row>
    <row r="27" spans="1:26" s="196" customFormat="1" ht="6.75" hidden="1" customHeight="1" x14ac:dyDescent="0.25">
      <c r="A27" s="195"/>
      <c r="B27" s="218"/>
      <c r="C27" s="217"/>
      <c r="D27" s="217"/>
      <c r="E27" s="214"/>
      <c r="F27" s="214"/>
      <c r="G27" s="218"/>
      <c r="H27" s="218"/>
      <c r="I27" s="218"/>
      <c r="J27" s="217"/>
      <c r="K27" s="195"/>
    </row>
    <row r="28" spans="1:26" ht="42.75" hidden="1" customHeight="1" x14ac:dyDescent="0.25">
      <c r="B28" s="219"/>
      <c r="C28" s="220"/>
      <c r="D28" s="220"/>
      <c r="E28" s="221"/>
      <c r="F28" s="222"/>
      <c r="G28" s="196"/>
      <c r="H28" s="196"/>
      <c r="I28" s="196"/>
    </row>
    <row r="29" spans="1:26" ht="16.5" hidden="1" customHeight="1" x14ac:dyDescent="0.25">
      <c r="C29" s="177"/>
      <c r="D29" s="177"/>
      <c r="E29" s="177"/>
    </row>
    <row r="30" spans="1:26" ht="16.5" hidden="1" customHeight="1" x14ac:dyDescent="0.25"/>
    <row r="31" spans="1:26" ht="16.5" hidden="1" customHeight="1" x14ac:dyDescent="0.25"/>
    <row r="32" spans="1:26"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ht="16.5" hidden="1" customHeight="1" x14ac:dyDescent="0.25"/>
    <row r="39" spans="2:12" s="173" customFormat="1" ht="16.5" hidden="1" customHeight="1" x14ac:dyDescent="0.25">
      <c r="B39" s="224"/>
      <c r="C39" s="225"/>
      <c r="D39" s="225"/>
      <c r="E39" s="225"/>
      <c r="F39" s="177"/>
      <c r="G39" s="177"/>
      <c r="H39" s="177"/>
      <c r="I39" s="177"/>
      <c r="J39" s="223"/>
      <c r="L39" s="177"/>
    </row>
    <row r="40" spans="2:12" s="173" customFormat="1" ht="16.5" hidden="1" customHeight="1" x14ac:dyDescent="0.25">
      <c r="B40" s="224"/>
      <c r="C40" s="225"/>
      <c r="D40" s="225"/>
      <c r="E40" s="225"/>
      <c r="F40" s="177"/>
      <c r="G40" s="177"/>
      <c r="H40" s="177"/>
      <c r="I40" s="177"/>
      <c r="J40" s="223"/>
      <c r="L40" s="177"/>
    </row>
    <row r="41" spans="2:12" s="173" customFormat="1" ht="16.5" hidden="1" customHeight="1" x14ac:dyDescent="0.25">
      <c r="B41" s="224"/>
      <c r="C41" s="225"/>
      <c r="D41" s="225"/>
      <c r="E41" s="225"/>
      <c r="F41" s="177"/>
      <c r="G41" s="177"/>
      <c r="H41" s="177"/>
      <c r="I41" s="177"/>
      <c r="J41" s="223"/>
      <c r="L41" s="177"/>
    </row>
    <row r="42" spans="2:12" s="173" customFormat="1" ht="16.5" hidden="1" customHeight="1" x14ac:dyDescent="0.25">
      <c r="B42" s="224"/>
      <c r="C42" s="225"/>
      <c r="D42" s="225"/>
      <c r="E42" s="225"/>
      <c r="F42" s="177"/>
      <c r="G42" s="177"/>
      <c r="H42" s="177"/>
      <c r="I42" s="177"/>
      <c r="J42" s="223"/>
      <c r="L42" s="177"/>
    </row>
    <row r="43" spans="2:12" s="173" customFormat="1" ht="16.5" hidden="1" customHeight="1" x14ac:dyDescent="0.25">
      <c r="B43" s="224"/>
      <c r="C43" s="225"/>
      <c r="D43" s="225"/>
      <c r="E43" s="225"/>
      <c r="F43" s="177"/>
      <c r="G43" s="177"/>
      <c r="H43" s="177"/>
      <c r="I43" s="177"/>
      <c r="J43" s="223"/>
      <c r="L43" s="177"/>
    </row>
    <row r="44" spans="2:12" s="173" customFormat="1" ht="16.5" hidden="1" customHeight="1" x14ac:dyDescent="0.25">
      <c r="B44" s="224"/>
      <c r="C44" s="225"/>
      <c r="D44" s="225"/>
      <c r="E44" s="225"/>
      <c r="F44" s="177"/>
      <c r="G44" s="177"/>
      <c r="H44" s="177"/>
      <c r="I44" s="177"/>
      <c r="J44" s="223"/>
      <c r="L44" s="177"/>
    </row>
    <row r="45" spans="2:12" s="173" customFormat="1" ht="16.5" hidden="1" customHeight="1" x14ac:dyDescent="0.25">
      <c r="B45" s="224"/>
      <c r="C45" s="225"/>
      <c r="D45" s="225"/>
      <c r="E45" s="225"/>
      <c r="F45" s="177"/>
      <c r="G45" s="177"/>
      <c r="H45" s="177"/>
      <c r="I45" s="177"/>
      <c r="J45" s="223"/>
      <c r="L45" s="177"/>
    </row>
    <row r="46" spans="2:12" s="173" customFormat="1" ht="16.5" hidden="1" customHeight="1" x14ac:dyDescent="0.25">
      <c r="B46" s="224"/>
      <c r="C46" s="225"/>
      <c r="D46" s="225"/>
      <c r="E46" s="225"/>
      <c r="F46" s="177"/>
      <c r="G46" s="177"/>
      <c r="H46" s="177"/>
      <c r="I46" s="177"/>
      <c r="J46" s="223"/>
      <c r="L46" s="177"/>
    </row>
    <row r="47" spans="2:12" s="173" customFormat="1" ht="16.5" hidden="1" customHeight="1" x14ac:dyDescent="0.25">
      <c r="B47" s="224"/>
      <c r="C47" s="225"/>
      <c r="D47" s="225"/>
      <c r="E47" s="225"/>
      <c r="F47" s="177"/>
      <c r="G47" s="177"/>
      <c r="H47" s="177"/>
      <c r="I47" s="177"/>
      <c r="J47" s="223"/>
      <c r="L47" s="177"/>
    </row>
    <row r="48" spans="2:12" s="173" customFormat="1" ht="16.5" hidden="1" customHeight="1" x14ac:dyDescent="0.25">
      <c r="B48" s="224"/>
      <c r="C48" s="225"/>
      <c r="D48" s="225"/>
      <c r="E48" s="225"/>
      <c r="F48" s="177"/>
      <c r="G48" s="177"/>
      <c r="H48" s="177"/>
      <c r="I48" s="177"/>
      <c r="J48" s="223"/>
      <c r="L48" s="177"/>
    </row>
    <row r="49" spans="2:12" s="173" customFormat="1" ht="16.5" hidden="1" customHeight="1" x14ac:dyDescent="0.25">
      <c r="B49" s="224"/>
      <c r="C49" s="225"/>
      <c r="D49" s="225"/>
      <c r="E49" s="225"/>
      <c r="F49" s="177"/>
      <c r="G49" s="177"/>
      <c r="H49" s="177"/>
      <c r="I49" s="177"/>
      <c r="J49" s="223"/>
      <c r="L49" s="177"/>
    </row>
    <row r="50" spans="2:12" s="173" customFormat="1" ht="16.5" hidden="1" customHeight="1" x14ac:dyDescent="0.25">
      <c r="B50" s="224"/>
      <c r="C50" s="225"/>
      <c r="D50" s="225"/>
      <c r="E50" s="225"/>
      <c r="F50" s="177"/>
      <c r="G50" s="177"/>
      <c r="H50" s="177"/>
      <c r="I50" s="177"/>
      <c r="J50" s="223"/>
      <c r="L50" s="177"/>
    </row>
    <row r="51" spans="2:12" s="173" customFormat="1" ht="16.5" hidden="1" customHeight="1" x14ac:dyDescent="0.25">
      <c r="B51" s="224"/>
      <c r="C51" s="225"/>
      <c r="D51" s="225"/>
      <c r="E51" s="225"/>
      <c r="F51" s="177"/>
      <c r="G51" s="177"/>
      <c r="H51" s="177"/>
      <c r="I51" s="177"/>
      <c r="J51" s="223"/>
      <c r="L51" s="177"/>
    </row>
    <row r="52" spans="2:12" s="173" customFormat="1" ht="16.5" hidden="1" customHeight="1" x14ac:dyDescent="0.25">
      <c r="B52" s="224"/>
      <c r="C52" s="225"/>
      <c r="D52" s="225"/>
      <c r="E52" s="225"/>
      <c r="F52" s="177"/>
      <c r="G52" s="177"/>
      <c r="H52" s="177"/>
      <c r="I52" s="177"/>
      <c r="J52" s="223"/>
      <c r="L52" s="177"/>
    </row>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8E56-E85B-4688-9AAA-9B9D1D241A19}">
  <dimension ref="A1:K68"/>
  <sheetViews>
    <sheetView showGridLines="0" workbookViewId="0">
      <selection activeCell="B6" sqref="B6:B7"/>
    </sheetView>
  </sheetViews>
  <sheetFormatPr baseColWidth="10" defaultColWidth="0" defaultRowHeight="15" customHeight="1" zeroHeight="1" x14ac:dyDescent="0.25"/>
  <cols>
    <col min="1" max="1" width="2.7109375" style="173" customWidth="1"/>
    <col min="2" max="2" width="4.42578125" style="224" customWidth="1"/>
    <col min="3" max="3" width="30" style="225" customWidth="1"/>
    <col min="4" max="4" width="21.85546875" style="225" customWidth="1"/>
    <col min="5" max="5" width="30" style="225" customWidth="1"/>
    <col min="6" max="6" width="20" style="177" customWidth="1"/>
    <col min="7" max="8" width="13.42578125" style="177" customWidth="1"/>
    <col min="9" max="9" width="15.28515625" style="177" customWidth="1"/>
    <col min="10" max="10" width="58.42578125" style="223" customWidth="1"/>
    <col min="11" max="11" width="4.28515625" style="173" customWidth="1"/>
    <col min="12" max="16384" width="11.42578125" style="177" hidden="1"/>
  </cols>
  <sheetData>
    <row r="1" spans="1:11" ht="18.75" customHeight="1" x14ac:dyDescent="0.25">
      <c r="B1" s="174"/>
      <c r="C1" s="174"/>
      <c r="D1" s="175"/>
      <c r="E1" s="175"/>
      <c r="F1" s="175"/>
      <c r="G1" s="175"/>
      <c r="H1" s="175"/>
      <c r="I1" s="175"/>
      <c r="J1" s="176"/>
    </row>
    <row r="2" spans="1:11" ht="18.75" customHeight="1" x14ac:dyDescent="0.25">
      <c r="B2" s="178"/>
      <c r="C2" s="832" t="s">
        <v>735</v>
      </c>
      <c r="D2" s="832"/>
      <c r="E2" s="832"/>
      <c r="F2" s="832"/>
      <c r="G2" s="832"/>
      <c r="H2" s="832"/>
      <c r="I2" s="832"/>
      <c r="J2" s="832"/>
    </row>
    <row r="3" spans="1:11" ht="18.75" customHeight="1" x14ac:dyDescent="0.25">
      <c r="B3" s="178"/>
      <c r="C3" s="179"/>
      <c r="D3" s="180"/>
      <c r="E3" s="179"/>
      <c r="F3" s="181"/>
      <c r="G3" s="182"/>
      <c r="H3" s="183"/>
      <c r="I3" s="183"/>
      <c r="J3" s="184"/>
    </row>
    <row r="4" spans="1:11" ht="29.25" customHeight="1" x14ac:dyDescent="0.25">
      <c r="B4" s="178"/>
      <c r="C4" s="185" t="s">
        <v>671</v>
      </c>
      <c r="D4" s="833" t="s">
        <v>727</v>
      </c>
      <c r="E4" s="833"/>
      <c r="F4" s="833"/>
      <c r="G4" s="833"/>
      <c r="H4" s="833"/>
      <c r="I4" s="833"/>
      <c r="J4" s="833"/>
    </row>
    <row r="5" spans="1:11" ht="6.75" customHeight="1" x14ac:dyDescent="0.25">
      <c r="B5" s="178"/>
      <c r="C5" s="186"/>
      <c r="D5" s="187"/>
      <c r="E5" s="179"/>
      <c r="F5" s="188"/>
      <c r="G5" s="188"/>
      <c r="H5" s="188"/>
      <c r="I5" s="188"/>
      <c r="J5" s="184"/>
    </row>
    <row r="6" spans="1:11" ht="17.25" customHeight="1" x14ac:dyDescent="0.25">
      <c r="B6" s="178"/>
      <c r="C6" s="185" t="s">
        <v>673</v>
      </c>
      <c r="D6" s="833">
        <v>1</v>
      </c>
      <c r="E6" s="833"/>
      <c r="F6" s="833"/>
      <c r="G6" s="833"/>
      <c r="H6" s="833"/>
      <c r="I6" s="189"/>
      <c r="J6" s="189"/>
    </row>
    <row r="7" spans="1:11" ht="8.25" customHeight="1" x14ac:dyDescent="0.25">
      <c r="B7" s="178"/>
      <c r="C7" s="190"/>
      <c r="D7" s="190"/>
      <c r="E7" s="190"/>
      <c r="F7" s="191"/>
      <c r="G7" s="191"/>
      <c r="H7" s="191"/>
      <c r="I7" s="191"/>
      <c r="J7" s="184"/>
    </row>
    <row r="8" spans="1:11" ht="18" customHeight="1" x14ac:dyDescent="0.25">
      <c r="B8" s="178"/>
      <c r="C8" s="185" t="s">
        <v>710</v>
      </c>
      <c r="D8" s="834">
        <v>44590</v>
      </c>
      <c r="E8" s="834"/>
      <c r="F8" s="834"/>
      <c r="G8" s="834"/>
      <c r="H8" s="834"/>
      <c r="I8" s="189"/>
      <c r="J8" s="189"/>
    </row>
    <row r="9" spans="1:11" ht="8.25" customHeight="1" thickBot="1" x14ac:dyDescent="0.3">
      <c r="B9" s="178"/>
      <c r="C9" s="192"/>
      <c r="D9" s="192"/>
      <c r="E9" s="192"/>
      <c r="F9" s="193"/>
      <c r="G9" s="193"/>
      <c r="H9" s="193"/>
      <c r="I9" s="193"/>
      <c r="J9" s="194"/>
    </row>
    <row r="10" spans="1:11" ht="18" customHeight="1" x14ac:dyDescent="0.25">
      <c r="B10" s="835" t="s">
        <v>675</v>
      </c>
      <c r="C10" s="836"/>
      <c r="D10" s="836"/>
      <c r="E10" s="836"/>
      <c r="F10" s="836"/>
      <c r="G10" s="836"/>
      <c r="H10" s="836"/>
      <c r="I10" s="836"/>
      <c r="J10" s="837"/>
    </row>
    <row r="11" spans="1:11" ht="18" customHeight="1" x14ac:dyDescent="0.25">
      <c r="B11" s="845" t="s">
        <v>676</v>
      </c>
      <c r="C11" s="847" t="s">
        <v>677</v>
      </c>
      <c r="D11" s="847" t="s">
        <v>678</v>
      </c>
      <c r="E11" s="847" t="s">
        <v>679</v>
      </c>
      <c r="F11" s="847" t="s">
        <v>680</v>
      </c>
      <c r="G11" s="849" t="s">
        <v>681</v>
      </c>
      <c r="H11" s="850"/>
      <c r="I11" s="301" t="s">
        <v>682</v>
      </c>
      <c r="J11" s="851" t="s">
        <v>9</v>
      </c>
    </row>
    <row r="12" spans="1:11" s="196" customFormat="1" ht="18" customHeight="1" thickBot="1" x14ac:dyDescent="0.3">
      <c r="A12" s="195"/>
      <c r="B12" s="846"/>
      <c r="C12" s="848"/>
      <c r="D12" s="848"/>
      <c r="E12" s="848"/>
      <c r="F12" s="848"/>
      <c r="G12" s="299" t="s">
        <v>683</v>
      </c>
      <c r="H12" s="299" t="s">
        <v>684</v>
      </c>
      <c r="I12" s="300">
        <f>SUM(I13:I15)</f>
        <v>1</v>
      </c>
      <c r="J12" s="852"/>
      <c r="K12" s="195"/>
    </row>
    <row r="13" spans="1:11" s="196" customFormat="1" ht="61.5" customHeight="1" x14ac:dyDescent="0.25">
      <c r="A13" s="195"/>
      <c r="B13" s="302">
        <v>1</v>
      </c>
      <c r="C13" s="303" t="s">
        <v>736</v>
      </c>
      <c r="D13" s="303" t="s">
        <v>721</v>
      </c>
      <c r="E13" s="304" t="s">
        <v>737</v>
      </c>
      <c r="F13" s="305">
        <v>1</v>
      </c>
      <c r="G13" s="306">
        <v>44593</v>
      </c>
      <c r="H13" s="306">
        <v>44895</v>
      </c>
      <c r="I13" s="305">
        <v>0.4</v>
      </c>
      <c r="J13" s="307" t="s">
        <v>738</v>
      </c>
      <c r="K13" s="195"/>
    </row>
    <row r="14" spans="1:11" s="196" customFormat="1" ht="74.25" customHeight="1" x14ac:dyDescent="0.25">
      <c r="A14" s="195"/>
      <c r="B14" s="202">
        <v>2</v>
      </c>
      <c r="C14" s="228" t="s">
        <v>739</v>
      </c>
      <c r="D14" s="228" t="s">
        <v>721</v>
      </c>
      <c r="E14" s="204" t="s">
        <v>740</v>
      </c>
      <c r="F14" s="205">
        <v>0.5</v>
      </c>
      <c r="G14" s="200">
        <v>44593</v>
      </c>
      <c r="H14" s="200">
        <v>44895</v>
      </c>
      <c r="I14" s="205">
        <v>0.3</v>
      </c>
      <c r="J14" s="230" t="s">
        <v>738</v>
      </c>
      <c r="K14" s="195"/>
    </row>
    <row r="15" spans="1:11" s="196" customFormat="1" ht="49.5" customHeight="1" thickBot="1" x14ac:dyDescent="0.3">
      <c r="A15" s="195"/>
      <c r="B15" s="207">
        <v>3</v>
      </c>
      <c r="C15" s="208" t="s">
        <v>741</v>
      </c>
      <c r="D15" s="208" t="s">
        <v>721</v>
      </c>
      <c r="E15" s="210" t="s">
        <v>742</v>
      </c>
      <c r="F15" s="212">
        <v>0.5</v>
      </c>
      <c r="G15" s="308">
        <v>44593</v>
      </c>
      <c r="H15" s="308">
        <v>44895</v>
      </c>
      <c r="I15" s="212">
        <v>0.3</v>
      </c>
      <c r="J15" s="213" t="s">
        <v>738</v>
      </c>
      <c r="K15" s="195"/>
    </row>
    <row r="16" spans="1:11" s="196" customFormat="1" ht="49.5" customHeight="1" thickBot="1" x14ac:dyDescent="0.3">
      <c r="A16" s="195"/>
      <c r="B16" s="844" t="s">
        <v>725</v>
      </c>
      <c r="C16" s="844"/>
      <c r="D16" s="844"/>
      <c r="E16" s="844"/>
      <c r="F16" s="844"/>
      <c r="G16" s="844"/>
      <c r="H16" s="844"/>
      <c r="I16" s="844"/>
      <c r="J16" s="844"/>
      <c r="K16" s="195"/>
    </row>
    <row r="17" spans="1:11" s="278" customFormat="1" ht="24" customHeight="1" thickBot="1" x14ac:dyDescent="0.3">
      <c r="B17" s="99"/>
      <c r="C17" s="800" t="s">
        <v>695</v>
      </c>
      <c r="D17" s="801"/>
      <c r="E17" s="801"/>
      <c r="F17" s="802"/>
      <c r="G17" s="100"/>
      <c r="H17" s="100"/>
      <c r="I17" s="100"/>
      <c r="J17" s="68"/>
    </row>
    <row r="18" spans="1:11" s="278" customFormat="1" ht="33.75" customHeight="1" x14ac:dyDescent="0.25">
      <c r="B18" s="99"/>
      <c r="C18" s="276" t="s">
        <v>696</v>
      </c>
      <c r="D18" s="790" t="s">
        <v>697</v>
      </c>
      <c r="E18" s="791"/>
      <c r="F18" s="277" t="s">
        <v>698</v>
      </c>
      <c r="G18" s="100"/>
      <c r="H18" s="100"/>
      <c r="I18" s="100"/>
      <c r="J18" s="68"/>
    </row>
    <row r="19" spans="1:11" s="278" customFormat="1" ht="35.25" customHeight="1" x14ac:dyDescent="0.25">
      <c r="B19" s="99"/>
      <c r="C19" s="101">
        <v>1</v>
      </c>
      <c r="D19" s="792" t="s">
        <v>699</v>
      </c>
      <c r="E19" s="793"/>
      <c r="F19" s="102">
        <v>44590</v>
      </c>
      <c r="G19" s="100"/>
      <c r="H19" s="100"/>
      <c r="I19" s="100"/>
      <c r="J19" s="68"/>
    </row>
    <row r="20" spans="1:11" s="278" customFormat="1" ht="15.75" customHeight="1" x14ac:dyDescent="0.25">
      <c r="B20" s="99"/>
      <c r="C20" s="101"/>
      <c r="D20" s="103"/>
      <c r="E20" s="104"/>
      <c r="F20" s="105"/>
      <c r="G20" s="100"/>
      <c r="H20" s="100"/>
      <c r="I20" s="100"/>
      <c r="J20" s="68"/>
    </row>
    <row r="21" spans="1:11" s="278" customFormat="1" ht="15.75" customHeight="1" thickBot="1" x14ac:dyDescent="0.3">
      <c r="B21" s="99"/>
      <c r="C21" s="106"/>
      <c r="D21" s="107"/>
      <c r="E21" s="108"/>
      <c r="F21" s="109"/>
      <c r="G21" s="100"/>
      <c r="H21" s="100"/>
      <c r="I21" s="100"/>
      <c r="J21" s="68"/>
    </row>
    <row r="22" spans="1:11" s="196" customFormat="1" ht="33" customHeight="1" x14ac:dyDescent="0.25">
      <c r="A22" s="195"/>
      <c r="B22" s="214"/>
      <c r="C22" s="215"/>
      <c r="D22" s="215"/>
      <c r="E22" s="214"/>
      <c r="F22" s="214"/>
      <c r="G22" s="216"/>
      <c r="H22" s="216"/>
      <c r="I22" s="216"/>
      <c r="J22" s="217"/>
      <c r="K22" s="195"/>
    </row>
    <row r="23" spans="1:11" s="196" customFormat="1" ht="33" customHeight="1" x14ac:dyDescent="0.25">
      <c r="A23" s="195"/>
      <c r="K23" s="195"/>
    </row>
    <row r="24" spans="1:11" s="196" customFormat="1" ht="33" hidden="1" customHeight="1" x14ac:dyDescent="0.25">
      <c r="A24" s="195"/>
      <c r="B24" s="214"/>
      <c r="C24" s="215"/>
      <c r="D24" s="215"/>
      <c r="E24" s="214"/>
      <c r="F24" s="214"/>
      <c r="G24" s="216"/>
      <c r="H24" s="216"/>
      <c r="I24" s="216"/>
      <c r="J24" s="217"/>
      <c r="K24" s="195"/>
    </row>
    <row r="25" spans="1:11" s="196" customFormat="1" ht="33" hidden="1" customHeight="1" x14ac:dyDescent="0.25">
      <c r="A25" s="195"/>
      <c r="B25" s="214"/>
      <c r="C25" s="215"/>
      <c r="D25" s="215"/>
      <c r="E25" s="214"/>
      <c r="F25" s="214"/>
      <c r="G25" s="216"/>
      <c r="H25" s="216"/>
      <c r="I25" s="216"/>
      <c r="J25" s="217"/>
      <c r="K25" s="195"/>
    </row>
    <row r="26" spans="1:11" s="196" customFormat="1" ht="33" hidden="1" customHeight="1" x14ac:dyDescent="0.25">
      <c r="A26" s="195"/>
      <c r="B26" s="214"/>
      <c r="C26" s="215"/>
      <c r="D26" s="215"/>
      <c r="E26" s="214"/>
      <c r="F26" s="214"/>
      <c r="G26" s="216"/>
      <c r="H26" s="216"/>
      <c r="I26" s="216"/>
      <c r="J26" s="217"/>
      <c r="K26" s="195"/>
    </row>
    <row r="27" spans="1:11" s="196" customFormat="1" ht="6.75" hidden="1" customHeight="1" x14ac:dyDescent="0.25">
      <c r="A27" s="195"/>
      <c r="B27" s="218"/>
      <c r="C27" s="217"/>
      <c r="D27" s="217"/>
      <c r="E27" s="214"/>
      <c r="F27" s="214"/>
      <c r="G27" s="218"/>
      <c r="H27" s="218"/>
      <c r="I27" s="218"/>
      <c r="J27" s="217"/>
      <c r="K27" s="195"/>
    </row>
    <row r="28" spans="1:11" ht="42.75" hidden="1" customHeight="1" x14ac:dyDescent="0.25">
      <c r="B28" s="219"/>
      <c r="C28" s="220"/>
      <c r="D28" s="220"/>
      <c r="E28" s="221"/>
      <c r="F28" s="222"/>
      <c r="G28" s="196"/>
      <c r="H28" s="196"/>
      <c r="I28" s="196"/>
    </row>
    <row r="29" spans="1:11" ht="16.5" hidden="1" customHeight="1" x14ac:dyDescent="0.25">
      <c r="C29" s="177"/>
      <c r="D29" s="177"/>
      <c r="E29" s="177"/>
    </row>
    <row r="30" spans="1:11" ht="16.5" hidden="1" customHeight="1" x14ac:dyDescent="0.25"/>
    <row r="31" spans="1:11" ht="16.5" hidden="1" customHeight="1" x14ac:dyDescent="0.25"/>
    <row r="32" spans="1:11" ht="16.5" hidden="1" customHeight="1" x14ac:dyDescent="0.25"/>
    <row r="33" spans="2:10" ht="16.5" hidden="1" customHeight="1" x14ac:dyDescent="0.25"/>
    <row r="34" spans="2:10" ht="16.5" hidden="1" customHeight="1" x14ac:dyDescent="0.25"/>
    <row r="35" spans="2:10" ht="16.5" hidden="1" customHeight="1" x14ac:dyDescent="0.25"/>
    <row r="36" spans="2:10" ht="16.5" hidden="1" customHeight="1" x14ac:dyDescent="0.25"/>
    <row r="37" spans="2:10" ht="16.5" hidden="1" customHeight="1" x14ac:dyDescent="0.25"/>
    <row r="38" spans="2:10" ht="16.5" hidden="1" customHeight="1" x14ac:dyDescent="0.25"/>
    <row r="39" spans="2:10" ht="16.5" hidden="1" customHeight="1" x14ac:dyDescent="0.25"/>
    <row r="40" spans="2:10" s="173" customFormat="1" ht="16.5" hidden="1" customHeight="1" x14ac:dyDescent="0.25">
      <c r="B40" s="224"/>
      <c r="C40" s="225"/>
      <c r="D40" s="225"/>
      <c r="E40" s="225"/>
      <c r="F40" s="177"/>
      <c r="G40" s="177"/>
      <c r="H40" s="177"/>
      <c r="I40" s="177"/>
      <c r="J40" s="223"/>
    </row>
    <row r="41" spans="2:10" s="173" customFormat="1" ht="16.5" hidden="1" customHeight="1" x14ac:dyDescent="0.25">
      <c r="B41" s="224"/>
      <c r="C41" s="225"/>
      <c r="D41" s="225"/>
      <c r="E41" s="225"/>
      <c r="F41" s="177"/>
      <c r="G41" s="177"/>
      <c r="H41" s="177"/>
      <c r="I41" s="177"/>
      <c r="J41" s="223"/>
    </row>
    <row r="42" spans="2:10" s="173" customFormat="1" ht="16.5" hidden="1" customHeight="1" x14ac:dyDescent="0.25">
      <c r="B42" s="224"/>
      <c r="C42" s="225"/>
      <c r="D42" s="225"/>
      <c r="E42" s="225"/>
      <c r="F42" s="177"/>
      <c r="G42" s="177"/>
      <c r="H42" s="177"/>
      <c r="I42" s="177"/>
      <c r="J42" s="223"/>
    </row>
    <row r="43" spans="2:10" s="173" customFormat="1" ht="16.5" hidden="1" customHeight="1" x14ac:dyDescent="0.25">
      <c r="B43" s="224"/>
      <c r="C43" s="225"/>
      <c r="D43" s="225"/>
      <c r="E43" s="225"/>
      <c r="F43" s="177"/>
      <c r="G43" s="177"/>
      <c r="H43" s="177"/>
      <c r="I43" s="177"/>
      <c r="J43" s="223"/>
    </row>
    <row r="44" spans="2:10" s="173" customFormat="1" ht="16.5" hidden="1" customHeight="1" x14ac:dyDescent="0.25">
      <c r="B44" s="224"/>
      <c r="C44" s="225"/>
      <c r="D44" s="225"/>
      <c r="E44" s="225"/>
      <c r="F44" s="177"/>
      <c r="G44" s="177"/>
      <c r="H44" s="177"/>
      <c r="I44" s="177"/>
      <c r="J44" s="223"/>
    </row>
    <row r="45" spans="2:10" s="173" customFormat="1" ht="16.5" hidden="1" customHeight="1" x14ac:dyDescent="0.25">
      <c r="B45" s="224"/>
      <c r="C45" s="225"/>
      <c r="D45" s="225"/>
      <c r="E45" s="225"/>
      <c r="F45" s="177"/>
      <c r="G45" s="177"/>
      <c r="H45" s="177"/>
      <c r="I45" s="177"/>
      <c r="J45" s="223"/>
    </row>
    <row r="46" spans="2:10" s="173" customFormat="1" ht="16.5" hidden="1" customHeight="1" x14ac:dyDescent="0.25">
      <c r="B46" s="224"/>
      <c r="C46" s="225"/>
      <c r="D46" s="225"/>
      <c r="E46" s="225"/>
      <c r="F46" s="177"/>
      <c r="G46" s="177"/>
      <c r="H46" s="177"/>
      <c r="I46" s="177"/>
      <c r="J46" s="223"/>
    </row>
    <row r="47" spans="2:10" s="173" customFormat="1" ht="16.5" hidden="1" customHeight="1" x14ac:dyDescent="0.25">
      <c r="B47" s="224"/>
      <c r="C47" s="225"/>
      <c r="D47" s="225"/>
      <c r="E47" s="225"/>
      <c r="F47" s="177"/>
      <c r="G47" s="177"/>
      <c r="H47" s="177"/>
      <c r="I47" s="177"/>
      <c r="J47" s="223"/>
    </row>
    <row r="48" spans="2:10" s="173" customFormat="1" ht="16.5" hidden="1" customHeight="1" x14ac:dyDescent="0.25">
      <c r="B48" s="224"/>
      <c r="C48" s="225"/>
      <c r="D48" s="225"/>
      <c r="E48" s="225"/>
      <c r="F48" s="177"/>
      <c r="G48" s="177"/>
      <c r="H48" s="177"/>
      <c r="I48" s="177"/>
      <c r="J48" s="223"/>
    </row>
    <row r="49" spans="1:11" s="173" customFormat="1" ht="16.5" hidden="1" customHeight="1" x14ac:dyDescent="0.25">
      <c r="B49" s="224"/>
      <c r="C49" s="225"/>
      <c r="D49" s="225"/>
      <c r="E49" s="225"/>
      <c r="F49" s="177"/>
      <c r="G49" s="177"/>
      <c r="H49" s="177"/>
      <c r="I49" s="177"/>
      <c r="J49" s="223"/>
    </row>
    <row r="50" spans="1:11" s="173" customFormat="1" ht="16.5" hidden="1" customHeight="1" x14ac:dyDescent="0.25">
      <c r="B50" s="224"/>
      <c r="C50" s="225"/>
      <c r="D50" s="225"/>
      <c r="E50" s="225"/>
      <c r="F50" s="177"/>
      <c r="G50" s="177"/>
      <c r="H50" s="177"/>
      <c r="I50" s="177"/>
      <c r="J50" s="223"/>
    </row>
    <row r="51" spans="1:11" s="173" customFormat="1" ht="16.5" hidden="1" customHeight="1" x14ac:dyDescent="0.25">
      <c r="B51" s="224"/>
      <c r="C51" s="225"/>
      <c r="D51" s="225"/>
      <c r="E51" s="225"/>
      <c r="F51" s="177"/>
      <c r="G51" s="177"/>
      <c r="H51" s="177"/>
      <c r="I51" s="177"/>
      <c r="J51" s="223"/>
    </row>
    <row r="52" spans="1:11" s="173" customFormat="1" ht="16.5" hidden="1" customHeight="1" x14ac:dyDescent="0.25">
      <c r="B52" s="224"/>
      <c r="C52" s="225"/>
      <c r="D52" s="225"/>
      <c r="E52" s="225"/>
      <c r="F52" s="177"/>
      <c r="G52" s="177"/>
      <c r="H52" s="177"/>
      <c r="I52" s="177"/>
      <c r="J52" s="223"/>
    </row>
    <row r="53" spans="1:11" s="173" customFormat="1" ht="16.5" hidden="1" customHeight="1" x14ac:dyDescent="0.25">
      <c r="B53" s="224"/>
      <c r="C53" s="225"/>
      <c r="D53" s="225"/>
      <c r="E53" s="225"/>
      <c r="F53" s="177"/>
      <c r="G53" s="177"/>
      <c r="H53" s="177"/>
      <c r="I53" s="177"/>
      <c r="J53" s="223"/>
    </row>
    <row r="54" spans="1:11" s="173" customFormat="1" ht="16.5" hidden="1" customHeight="1" x14ac:dyDescent="0.25">
      <c r="B54" s="224"/>
      <c r="C54" s="225"/>
      <c r="D54" s="225"/>
      <c r="E54" s="225"/>
      <c r="F54" s="177"/>
      <c r="G54" s="177"/>
      <c r="H54" s="177"/>
      <c r="I54" s="177"/>
      <c r="J54" s="223"/>
    </row>
    <row r="55" spans="1:11" s="173" customFormat="1" ht="16.5" hidden="1" customHeight="1" x14ac:dyDescent="0.25">
      <c r="B55" s="224"/>
      <c r="C55" s="225"/>
      <c r="D55" s="225"/>
      <c r="E55" s="225"/>
      <c r="F55" s="177"/>
      <c r="G55" s="177"/>
      <c r="H55" s="177"/>
      <c r="I55" s="177"/>
      <c r="J55" s="223"/>
    </row>
    <row r="56" spans="1:11" ht="16.5" hidden="1" customHeight="1" x14ac:dyDescent="0.25"/>
    <row r="57" spans="1:11" ht="16.5" hidden="1" customHeight="1" x14ac:dyDescent="0.25"/>
    <row r="58" spans="1:11" ht="16.5" hidden="1" customHeight="1" x14ac:dyDescent="0.25"/>
    <row r="59" spans="1:11" ht="0" hidden="1" customHeight="1" x14ac:dyDescent="0.25">
      <c r="A59" s="177"/>
      <c r="B59" s="177"/>
      <c r="C59" s="177"/>
      <c r="D59" s="177"/>
      <c r="E59" s="177"/>
      <c r="J59" s="177"/>
      <c r="K59" s="177"/>
    </row>
    <row r="60" spans="1:11" ht="0" hidden="1" customHeight="1" x14ac:dyDescent="0.25">
      <c r="A60" s="177"/>
      <c r="B60" s="177"/>
      <c r="C60" s="177"/>
      <c r="D60" s="177"/>
      <c r="E60" s="177"/>
      <c r="J60" s="177"/>
      <c r="K60" s="177"/>
    </row>
    <row r="61" spans="1:11" ht="0" hidden="1" customHeight="1" x14ac:dyDescent="0.25">
      <c r="A61" s="177"/>
      <c r="B61" s="177"/>
      <c r="C61" s="177"/>
      <c r="D61" s="177"/>
      <c r="E61" s="177"/>
      <c r="J61" s="177"/>
      <c r="K61" s="177"/>
    </row>
    <row r="62" spans="1:11" ht="0" hidden="1" customHeight="1" x14ac:dyDescent="0.25">
      <c r="A62" s="177"/>
      <c r="B62" s="177"/>
      <c r="C62" s="177"/>
      <c r="D62" s="177"/>
      <c r="E62" s="177"/>
      <c r="J62" s="177"/>
      <c r="K62" s="177"/>
    </row>
    <row r="63" spans="1:11" ht="0" hidden="1" customHeight="1" x14ac:dyDescent="0.25">
      <c r="A63" s="177"/>
      <c r="B63" s="177"/>
      <c r="C63" s="177"/>
      <c r="D63" s="177"/>
      <c r="E63" s="177"/>
      <c r="J63" s="177"/>
      <c r="K63" s="177"/>
    </row>
    <row r="64" spans="1:11" ht="0" hidden="1" customHeight="1" x14ac:dyDescent="0.25">
      <c r="A64" s="177"/>
      <c r="B64" s="177"/>
      <c r="C64" s="177"/>
      <c r="D64" s="177"/>
      <c r="E64" s="177"/>
      <c r="J64" s="177"/>
      <c r="K64" s="177"/>
    </row>
    <row r="65" s="177" customFormat="1" ht="0" hidden="1" customHeight="1" x14ac:dyDescent="0.25"/>
    <row r="66" s="177" customFormat="1" ht="0" hidden="1" customHeight="1" x14ac:dyDescent="0.25"/>
    <row r="67" s="177" customFormat="1" ht="0" hidden="1" customHeight="1" x14ac:dyDescent="0.25"/>
    <row r="68" s="177" customFormat="1" ht="0" hidden="1" customHeight="1" x14ac:dyDescent="0.25"/>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0004-8949-4236-831C-95C0EE76425A}">
  <dimension ref="A1:L51"/>
  <sheetViews>
    <sheetView showGridLines="0" workbookViewId="0">
      <selection activeCell="B6" sqref="B6:B7"/>
    </sheetView>
  </sheetViews>
  <sheetFormatPr baseColWidth="10" defaultColWidth="0" defaultRowHeight="15" customHeight="1" zeroHeight="1" x14ac:dyDescent="0.25"/>
  <cols>
    <col min="1" max="1" width="2.42578125" style="173" customWidth="1"/>
    <col min="2" max="2" width="4.42578125" style="224" customWidth="1"/>
    <col min="3" max="3" width="30" style="225" customWidth="1"/>
    <col min="4" max="4" width="21.85546875" style="225" customWidth="1"/>
    <col min="5" max="5" width="30" style="225" customWidth="1"/>
    <col min="6" max="6" width="23.42578125" style="177" customWidth="1"/>
    <col min="7" max="8" width="13.42578125" style="177" customWidth="1"/>
    <col min="9" max="9" width="14.5703125" style="177" customWidth="1"/>
    <col min="10" max="10" width="56.42578125" style="223" customWidth="1"/>
    <col min="11" max="11" width="4.28515625" style="173" customWidth="1"/>
    <col min="12" max="12" width="0" style="177" hidden="1" customWidth="1"/>
    <col min="13" max="16384" width="11.42578125" style="177" hidden="1"/>
  </cols>
  <sheetData>
    <row r="1" spans="1:11" ht="18.75" customHeight="1" x14ac:dyDescent="0.25">
      <c r="B1" s="174"/>
      <c r="C1" s="174"/>
      <c r="D1" s="175"/>
      <c r="E1" s="175"/>
      <c r="F1" s="175"/>
      <c r="G1" s="175"/>
      <c r="H1" s="175"/>
      <c r="I1" s="175"/>
      <c r="J1" s="176"/>
    </row>
    <row r="2" spans="1:11" ht="18.75" customHeight="1" x14ac:dyDescent="0.25">
      <c r="B2" s="178"/>
      <c r="C2" s="832" t="s">
        <v>726</v>
      </c>
      <c r="D2" s="832"/>
      <c r="E2" s="832"/>
      <c r="F2" s="832"/>
      <c r="G2" s="832"/>
      <c r="H2" s="832"/>
      <c r="I2" s="832"/>
      <c r="J2" s="832"/>
    </row>
    <row r="3" spans="1:11" ht="18.75" customHeight="1" x14ac:dyDescent="0.25">
      <c r="B3" s="178"/>
      <c r="C3" s="179"/>
      <c r="D3" s="180"/>
      <c r="E3" s="179"/>
      <c r="F3" s="181"/>
      <c r="G3" s="182"/>
      <c r="H3" s="183"/>
      <c r="I3" s="183"/>
      <c r="J3" s="184"/>
    </row>
    <row r="4" spans="1:11" ht="29.25" customHeight="1" x14ac:dyDescent="0.25">
      <c r="B4" s="178"/>
      <c r="C4" s="185" t="s">
        <v>671</v>
      </c>
      <c r="D4" s="833" t="s">
        <v>727</v>
      </c>
      <c r="E4" s="833"/>
      <c r="F4" s="833"/>
      <c r="G4" s="833"/>
      <c r="H4" s="833"/>
      <c r="I4" s="833"/>
      <c r="J4" s="833"/>
    </row>
    <row r="5" spans="1:11" ht="6.75" customHeight="1" x14ac:dyDescent="0.25">
      <c r="B5" s="178"/>
      <c r="C5" s="186"/>
      <c r="D5" s="187"/>
      <c r="E5" s="179"/>
      <c r="F5" s="188"/>
      <c r="G5" s="188"/>
      <c r="H5" s="188"/>
      <c r="I5" s="188"/>
      <c r="J5" s="184"/>
    </row>
    <row r="6" spans="1:11" ht="17.25" customHeight="1" x14ac:dyDescent="0.25">
      <c r="B6" s="178"/>
      <c r="C6" s="185" t="s">
        <v>673</v>
      </c>
      <c r="D6" s="833">
        <v>1</v>
      </c>
      <c r="E6" s="833"/>
      <c r="F6" s="833"/>
      <c r="G6" s="833"/>
      <c r="H6" s="833"/>
      <c r="I6" s="189"/>
      <c r="J6" s="189"/>
    </row>
    <row r="7" spans="1:11" ht="8.25" customHeight="1" x14ac:dyDescent="0.25">
      <c r="B7" s="178"/>
      <c r="C7" s="190"/>
      <c r="D7" s="190"/>
      <c r="E7" s="190"/>
      <c r="F7" s="191"/>
      <c r="G7" s="191"/>
      <c r="H7" s="191"/>
      <c r="I7" s="191"/>
      <c r="J7" s="184"/>
    </row>
    <row r="8" spans="1:11" ht="18" customHeight="1" x14ac:dyDescent="0.25">
      <c r="B8" s="178"/>
      <c r="C8" s="185" t="s">
        <v>710</v>
      </c>
      <c r="D8" s="834">
        <v>44592</v>
      </c>
      <c r="E8" s="833"/>
      <c r="F8" s="833"/>
      <c r="G8" s="833"/>
      <c r="H8" s="833"/>
      <c r="I8" s="189"/>
      <c r="J8" s="189"/>
    </row>
    <row r="9" spans="1:11" ht="8.25" customHeight="1" thickBot="1" x14ac:dyDescent="0.3">
      <c r="B9" s="178"/>
      <c r="C9" s="192"/>
      <c r="D9" s="192"/>
      <c r="E9" s="192"/>
      <c r="F9" s="193"/>
      <c r="G9" s="193"/>
      <c r="H9" s="193"/>
      <c r="I9" s="193"/>
      <c r="J9" s="194"/>
    </row>
    <row r="10" spans="1:11" ht="18" customHeight="1" x14ac:dyDescent="0.25">
      <c r="B10" s="853" t="s">
        <v>675</v>
      </c>
      <c r="C10" s="854"/>
      <c r="D10" s="854"/>
      <c r="E10" s="854"/>
      <c r="F10" s="854"/>
      <c r="G10" s="854"/>
      <c r="H10" s="854"/>
      <c r="I10" s="854"/>
      <c r="J10" s="855"/>
    </row>
    <row r="11" spans="1:11" ht="18" customHeight="1" x14ac:dyDescent="0.25">
      <c r="B11" s="838" t="s">
        <v>676</v>
      </c>
      <c r="C11" s="840" t="s">
        <v>677</v>
      </c>
      <c r="D11" s="840" t="s">
        <v>678</v>
      </c>
      <c r="E11" s="840" t="s">
        <v>679</v>
      </c>
      <c r="F11" s="840" t="s">
        <v>680</v>
      </c>
      <c r="G11" s="840" t="s">
        <v>681</v>
      </c>
      <c r="H11" s="840"/>
      <c r="I11" s="301" t="s">
        <v>682</v>
      </c>
      <c r="J11" s="842" t="s">
        <v>9</v>
      </c>
    </row>
    <row r="12" spans="1:11" s="196" customFormat="1" ht="18" customHeight="1" thickBot="1" x14ac:dyDescent="0.3">
      <c r="A12" s="195"/>
      <c r="B12" s="839"/>
      <c r="C12" s="841"/>
      <c r="D12" s="841"/>
      <c r="E12" s="841"/>
      <c r="F12" s="841"/>
      <c r="G12" s="299" t="s">
        <v>683</v>
      </c>
      <c r="H12" s="299" t="s">
        <v>684</v>
      </c>
      <c r="I12" s="300">
        <f>SUM(I13:I18)</f>
        <v>1</v>
      </c>
      <c r="J12" s="843"/>
      <c r="K12" s="195"/>
    </row>
    <row r="13" spans="1:11" s="196" customFormat="1" ht="42" customHeight="1" x14ac:dyDescent="0.25">
      <c r="A13" s="195"/>
      <c r="B13" s="197">
        <v>1</v>
      </c>
      <c r="C13" s="226" t="s">
        <v>728</v>
      </c>
      <c r="D13" s="226" t="s">
        <v>721</v>
      </c>
      <c r="E13" s="198" t="s">
        <v>729</v>
      </c>
      <c r="F13" s="199">
        <v>1</v>
      </c>
      <c r="G13" s="200">
        <v>44593</v>
      </c>
      <c r="H13" s="200">
        <v>44925</v>
      </c>
      <c r="I13" s="199">
        <v>0.2</v>
      </c>
      <c r="J13" s="227" t="s">
        <v>730</v>
      </c>
      <c r="K13" s="195"/>
    </row>
    <row r="14" spans="1:11" s="196" customFormat="1" ht="42" customHeight="1" x14ac:dyDescent="0.25">
      <c r="A14" s="195"/>
      <c r="B14" s="202">
        <v>2</v>
      </c>
      <c r="C14" s="228" t="s">
        <v>731</v>
      </c>
      <c r="D14" s="229" t="s">
        <v>721</v>
      </c>
      <c r="E14" s="204" t="s">
        <v>729</v>
      </c>
      <c r="F14" s="205">
        <v>1</v>
      </c>
      <c r="G14" s="200">
        <v>44593</v>
      </c>
      <c r="H14" s="200">
        <v>44925</v>
      </c>
      <c r="I14" s="205">
        <v>0.2</v>
      </c>
      <c r="J14" s="230" t="s">
        <v>730</v>
      </c>
      <c r="K14" s="195"/>
    </row>
    <row r="15" spans="1:11" s="196" customFormat="1" ht="42" customHeight="1" x14ac:dyDescent="0.25">
      <c r="A15" s="195"/>
      <c r="B15" s="202">
        <v>3</v>
      </c>
      <c r="C15" s="228" t="s">
        <v>732</v>
      </c>
      <c r="D15" s="229" t="s">
        <v>721</v>
      </c>
      <c r="E15" s="204" t="s">
        <v>729</v>
      </c>
      <c r="F15" s="205">
        <v>1</v>
      </c>
      <c r="G15" s="200">
        <v>44593</v>
      </c>
      <c r="H15" s="200">
        <v>44925</v>
      </c>
      <c r="I15" s="205">
        <v>0.2</v>
      </c>
      <c r="J15" s="230" t="s">
        <v>730</v>
      </c>
      <c r="K15" s="195"/>
    </row>
    <row r="16" spans="1:11" s="196" customFormat="1" ht="42" customHeight="1" x14ac:dyDescent="0.25">
      <c r="A16" s="195"/>
      <c r="B16" s="202">
        <v>4</v>
      </c>
      <c r="C16" s="228" t="s">
        <v>733</v>
      </c>
      <c r="D16" s="229" t="s">
        <v>721</v>
      </c>
      <c r="E16" s="204" t="s">
        <v>729</v>
      </c>
      <c r="F16" s="205">
        <v>1</v>
      </c>
      <c r="G16" s="200">
        <v>44593</v>
      </c>
      <c r="H16" s="200">
        <v>44925</v>
      </c>
      <c r="I16" s="205">
        <v>0.2</v>
      </c>
      <c r="J16" s="230" t="s">
        <v>730</v>
      </c>
      <c r="K16" s="195"/>
    </row>
    <row r="17" spans="1:11" s="196" customFormat="1" ht="42" customHeight="1" x14ac:dyDescent="0.25">
      <c r="A17" s="195"/>
      <c r="B17" s="202">
        <v>5</v>
      </c>
      <c r="C17" s="228" t="s">
        <v>734</v>
      </c>
      <c r="D17" s="229" t="s">
        <v>721</v>
      </c>
      <c r="E17" s="204" t="s">
        <v>729</v>
      </c>
      <c r="F17" s="205">
        <v>1</v>
      </c>
      <c r="G17" s="200">
        <v>44593</v>
      </c>
      <c r="H17" s="200">
        <v>44925</v>
      </c>
      <c r="I17" s="205">
        <v>0.2</v>
      </c>
      <c r="J17" s="230" t="s">
        <v>730</v>
      </c>
      <c r="K17" s="195"/>
    </row>
    <row r="18" spans="1:11" s="196" customFormat="1" ht="15" customHeight="1" thickBot="1" x14ac:dyDescent="0.3">
      <c r="A18" s="195"/>
      <c r="B18" s="207"/>
      <c r="C18" s="208"/>
      <c r="D18" s="209"/>
      <c r="E18" s="210"/>
      <c r="F18" s="212"/>
      <c r="G18" s="211"/>
      <c r="H18" s="211"/>
      <c r="I18" s="212"/>
      <c r="J18" s="213"/>
      <c r="K18" s="195"/>
    </row>
    <row r="19" spans="1:11" s="196" customFormat="1" ht="33" customHeight="1" thickBot="1" x14ac:dyDescent="0.3">
      <c r="A19" s="195"/>
      <c r="B19" s="844" t="s">
        <v>725</v>
      </c>
      <c r="C19" s="844"/>
      <c r="D19" s="844"/>
      <c r="E19" s="844"/>
      <c r="F19" s="844"/>
      <c r="G19" s="844"/>
      <c r="H19" s="844"/>
      <c r="I19" s="844"/>
      <c r="J19" s="844"/>
      <c r="K19" s="195"/>
    </row>
    <row r="20" spans="1:11" s="278" customFormat="1" ht="24" customHeight="1" thickBot="1" x14ac:dyDescent="0.3">
      <c r="B20" s="99"/>
      <c r="C20" s="800" t="s">
        <v>695</v>
      </c>
      <c r="D20" s="801"/>
      <c r="E20" s="801"/>
      <c r="F20" s="802"/>
      <c r="G20" s="100"/>
      <c r="H20" s="100"/>
      <c r="I20" s="100"/>
      <c r="J20" s="68"/>
    </row>
    <row r="21" spans="1:11" s="278" customFormat="1" ht="33.75" customHeight="1" x14ac:dyDescent="0.25">
      <c r="B21" s="99"/>
      <c r="C21" s="276" t="s">
        <v>696</v>
      </c>
      <c r="D21" s="790" t="s">
        <v>697</v>
      </c>
      <c r="E21" s="791"/>
      <c r="F21" s="277" t="s">
        <v>698</v>
      </c>
      <c r="G21" s="100"/>
      <c r="H21" s="100"/>
      <c r="I21" s="100"/>
      <c r="J21" s="68"/>
    </row>
    <row r="22" spans="1:11" s="278" customFormat="1" ht="35.25" customHeight="1" x14ac:dyDescent="0.25">
      <c r="B22" s="99"/>
      <c r="C22" s="101">
        <v>1</v>
      </c>
      <c r="D22" s="792" t="s">
        <v>699</v>
      </c>
      <c r="E22" s="793"/>
      <c r="F22" s="102">
        <v>44592</v>
      </c>
      <c r="G22" s="100"/>
      <c r="H22" s="100"/>
      <c r="I22" s="100"/>
      <c r="J22" s="68"/>
    </row>
    <row r="23" spans="1:11" s="278" customFormat="1" ht="15.75" customHeight="1" x14ac:dyDescent="0.25">
      <c r="B23" s="99"/>
      <c r="C23" s="101"/>
      <c r="D23" s="103"/>
      <c r="E23" s="104"/>
      <c r="F23" s="105"/>
      <c r="G23" s="100"/>
      <c r="H23" s="100"/>
      <c r="I23" s="100"/>
      <c r="J23" s="68"/>
    </row>
    <row r="24" spans="1:11" s="278" customFormat="1" ht="15.75" customHeight="1" thickBot="1" x14ac:dyDescent="0.3">
      <c r="B24" s="99"/>
      <c r="C24" s="106"/>
      <c r="D24" s="107"/>
      <c r="E24" s="108"/>
      <c r="F24" s="109"/>
      <c r="G24" s="100"/>
      <c r="H24" s="100"/>
      <c r="I24" s="100"/>
      <c r="J24" s="68"/>
    </row>
    <row r="25" spans="1:11" s="196" customFormat="1" ht="33" customHeight="1" x14ac:dyDescent="0.25">
      <c r="A25" s="195"/>
      <c r="B25" s="214"/>
      <c r="C25" s="215"/>
      <c r="D25" s="215"/>
      <c r="E25" s="214"/>
      <c r="F25" s="214"/>
      <c r="G25" s="216"/>
      <c r="H25" s="216"/>
      <c r="I25" s="216"/>
      <c r="J25" s="217"/>
      <c r="K25" s="195"/>
    </row>
    <row r="26" spans="1:11" s="196" customFormat="1" ht="33" hidden="1" customHeight="1" x14ac:dyDescent="0.25">
      <c r="A26" s="195"/>
      <c r="B26" s="214"/>
      <c r="C26" s="215"/>
      <c r="D26" s="215"/>
      <c r="E26" s="214"/>
      <c r="F26" s="214"/>
      <c r="G26" s="216"/>
      <c r="H26" s="216"/>
      <c r="I26" s="216"/>
      <c r="J26" s="217"/>
      <c r="K26" s="195"/>
    </row>
    <row r="27" spans="1:11" s="196" customFormat="1" ht="33" hidden="1" customHeight="1" x14ac:dyDescent="0.25">
      <c r="A27" s="195"/>
      <c r="B27" s="214"/>
      <c r="C27" s="215"/>
      <c r="D27" s="215"/>
      <c r="E27" s="214"/>
      <c r="F27" s="214"/>
      <c r="G27" s="216"/>
      <c r="H27" s="216"/>
      <c r="I27" s="216"/>
      <c r="J27" s="217"/>
      <c r="K27" s="195"/>
    </row>
    <row r="28" spans="1:11" s="196" customFormat="1" ht="33" hidden="1" customHeight="1" x14ac:dyDescent="0.25">
      <c r="A28" s="195"/>
      <c r="B28" s="214"/>
      <c r="C28" s="215"/>
      <c r="D28" s="215"/>
      <c r="E28" s="214"/>
      <c r="F28" s="214"/>
      <c r="G28" s="216"/>
      <c r="H28" s="216"/>
      <c r="I28" s="216"/>
      <c r="J28" s="217"/>
      <c r="K28" s="195"/>
    </row>
    <row r="29" spans="1:11" s="196" customFormat="1" ht="6.75" hidden="1" customHeight="1" x14ac:dyDescent="0.25">
      <c r="A29" s="195"/>
      <c r="B29" s="218"/>
      <c r="C29" s="217"/>
      <c r="D29" s="217"/>
      <c r="E29" s="214"/>
      <c r="F29" s="214"/>
      <c r="G29" s="218"/>
      <c r="H29" s="218"/>
      <c r="I29" s="218"/>
      <c r="J29" s="217"/>
      <c r="K29" s="195"/>
    </row>
    <row r="30" spans="1:11" ht="42.75" hidden="1" customHeight="1" x14ac:dyDescent="0.25">
      <c r="B30" s="219"/>
      <c r="C30" s="220"/>
      <c r="D30" s="220"/>
      <c r="E30" s="221"/>
      <c r="F30" s="222"/>
      <c r="G30" s="196"/>
      <c r="H30" s="196"/>
      <c r="I30" s="196"/>
    </row>
    <row r="31" spans="1:11" ht="16.5" hidden="1" customHeight="1" x14ac:dyDescent="0.25">
      <c r="C31" s="177"/>
      <c r="D31" s="177"/>
      <c r="E31" s="177"/>
    </row>
    <row r="32" spans="1:11"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s="173" customFormat="1" ht="16.5" hidden="1" customHeight="1" x14ac:dyDescent="0.25">
      <c r="B38" s="224"/>
      <c r="C38" s="225"/>
      <c r="D38" s="225"/>
      <c r="E38" s="225"/>
      <c r="F38" s="177"/>
      <c r="G38" s="177"/>
      <c r="H38" s="177"/>
      <c r="I38" s="177"/>
      <c r="J38" s="223"/>
      <c r="L38" s="177"/>
    </row>
    <row r="39" spans="2:12" s="173" customFormat="1" ht="16.5" hidden="1" customHeight="1" x14ac:dyDescent="0.25">
      <c r="B39" s="224"/>
      <c r="C39" s="225"/>
      <c r="D39" s="225"/>
      <c r="E39" s="225"/>
      <c r="F39" s="177"/>
      <c r="G39" s="177"/>
      <c r="H39" s="177"/>
      <c r="I39" s="177"/>
      <c r="J39" s="223"/>
      <c r="L39" s="177"/>
    </row>
    <row r="40" spans="2:12" s="173" customFormat="1" ht="16.5" hidden="1" customHeight="1" x14ac:dyDescent="0.25">
      <c r="B40" s="224"/>
      <c r="C40" s="225"/>
      <c r="D40" s="225"/>
      <c r="E40" s="225"/>
      <c r="F40" s="177"/>
      <c r="G40" s="177"/>
      <c r="H40" s="177"/>
      <c r="I40" s="177"/>
      <c r="J40" s="223"/>
      <c r="L40" s="177"/>
    </row>
    <row r="41" spans="2:12" s="173" customFormat="1" ht="16.5" hidden="1" customHeight="1" x14ac:dyDescent="0.25">
      <c r="B41" s="224"/>
      <c r="C41" s="225"/>
      <c r="D41" s="225"/>
      <c r="E41" s="225"/>
      <c r="F41" s="177"/>
      <c r="G41" s="177"/>
      <c r="H41" s="177"/>
      <c r="I41" s="177"/>
      <c r="J41" s="223"/>
      <c r="L41" s="177"/>
    </row>
    <row r="42" spans="2:12" s="173" customFormat="1" ht="16.5" hidden="1" customHeight="1" x14ac:dyDescent="0.25">
      <c r="B42" s="224"/>
      <c r="C42" s="225"/>
      <c r="D42" s="225"/>
      <c r="E42" s="225"/>
      <c r="F42" s="177"/>
      <c r="G42" s="177"/>
      <c r="H42" s="177"/>
      <c r="I42" s="177"/>
      <c r="J42" s="223"/>
      <c r="L42" s="177"/>
    </row>
    <row r="43" spans="2:12" s="173" customFormat="1" ht="16.5" hidden="1" customHeight="1" x14ac:dyDescent="0.25">
      <c r="B43" s="224"/>
      <c r="C43" s="225"/>
      <c r="D43" s="225"/>
      <c r="E43" s="225"/>
      <c r="F43" s="177"/>
      <c r="G43" s="177"/>
      <c r="H43" s="177"/>
      <c r="I43" s="177"/>
      <c r="J43" s="223"/>
      <c r="L43" s="177"/>
    </row>
    <row r="44" spans="2:12" s="173" customFormat="1" ht="16.5" hidden="1" customHeight="1" x14ac:dyDescent="0.25">
      <c r="B44" s="224"/>
      <c r="C44" s="225"/>
      <c r="D44" s="225"/>
      <c r="E44" s="225"/>
      <c r="F44" s="177"/>
      <c r="G44" s="177"/>
      <c r="H44" s="177"/>
      <c r="I44" s="177"/>
      <c r="J44" s="223"/>
      <c r="L44" s="177"/>
    </row>
    <row r="45" spans="2:12" s="173" customFormat="1" ht="16.5" hidden="1" customHeight="1" x14ac:dyDescent="0.25">
      <c r="B45" s="224"/>
      <c r="C45" s="225"/>
      <c r="D45" s="225"/>
      <c r="E45" s="225"/>
      <c r="F45" s="177"/>
      <c r="G45" s="177"/>
      <c r="H45" s="177"/>
      <c r="I45" s="177"/>
      <c r="J45" s="223"/>
      <c r="L45" s="177"/>
    </row>
    <row r="46" spans="2:12" s="173" customFormat="1" ht="16.5" hidden="1" customHeight="1" x14ac:dyDescent="0.25">
      <c r="B46" s="224"/>
      <c r="C46" s="225"/>
      <c r="D46" s="225"/>
      <c r="E46" s="225"/>
      <c r="F46" s="177"/>
      <c r="G46" s="177"/>
      <c r="H46" s="177"/>
      <c r="I46" s="177"/>
      <c r="J46" s="223"/>
      <c r="L46" s="177"/>
    </row>
    <row r="47" spans="2:12" s="173" customFormat="1" ht="16.5" hidden="1" customHeight="1" x14ac:dyDescent="0.25">
      <c r="B47" s="224"/>
      <c r="C47" s="225"/>
      <c r="D47" s="225"/>
      <c r="E47" s="225"/>
      <c r="F47" s="177"/>
      <c r="G47" s="177"/>
      <c r="H47" s="177"/>
      <c r="I47" s="177"/>
      <c r="J47" s="223"/>
      <c r="L47" s="177"/>
    </row>
    <row r="48" spans="2:12" s="173" customFormat="1" ht="16.5" hidden="1" customHeight="1" x14ac:dyDescent="0.25">
      <c r="B48" s="224"/>
      <c r="C48" s="225"/>
      <c r="D48" s="225"/>
      <c r="E48" s="225"/>
      <c r="F48" s="177"/>
      <c r="G48" s="177"/>
      <c r="H48" s="177"/>
      <c r="I48" s="177"/>
      <c r="J48" s="223"/>
      <c r="L48" s="177"/>
    </row>
    <row r="49" spans="2:12" s="173" customFormat="1" ht="16.5" hidden="1" customHeight="1" x14ac:dyDescent="0.25">
      <c r="B49" s="224"/>
      <c r="C49" s="225"/>
      <c r="D49" s="225"/>
      <c r="E49" s="225"/>
      <c r="F49" s="177"/>
      <c r="G49" s="177"/>
      <c r="H49" s="177"/>
      <c r="I49" s="177"/>
      <c r="J49" s="223"/>
      <c r="L49" s="177"/>
    </row>
    <row r="50" spans="2:12" s="173" customFormat="1" ht="16.5" hidden="1" customHeight="1" x14ac:dyDescent="0.25">
      <c r="B50" s="224"/>
      <c r="C50" s="225"/>
      <c r="D50" s="225"/>
      <c r="E50" s="225"/>
      <c r="F50" s="177"/>
      <c r="G50" s="177"/>
      <c r="H50" s="177"/>
      <c r="I50" s="177"/>
      <c r="J50" s="223"/>
      <c r="L50" s="177"/>
    </row>
    <row r="51" spans="2:12" s="173" customFormat="1" ht="16.5" hidden="1" customHeight="1" x14ac:dyDescent="0.25">
      <c r="B51" s="224"/>
      <c r="C51" s="225"/>
      <c r="D51" s="225"/>
      <c r="E51" s="225"/>
      <c r="F51" s="177"/>
      <c r="G51" s="177"/>
      <c r="H51" s="177"/>
      <c r="I51" s="177"/>
      <c r="J51" s="223"/>
      <c r="L51" s="177"/>
    </row>
  </sheetData>
  <mergeCells count="16">
    <mergeCell ref="D22:E22"/>
    <mergeCell ref="C2:J2"/>
    <mergeCell ref="D4:J4"/>
    <mergeCell ref="D6:H6"/>
    <mergeCell ref="D8:H8"/>
    <mergeCell ref="B10:J10"/>
    <mergeCell ref="B11:B12"/>
    <mergeCell ref="C11:C12"/>
    <mergeCell ref="D11:D12"/>
    <mergeCell ref="E11:E12"/>
    <mergeCell ref="F11:F12"/>
    <mergeCell ref="G11:H11"/>
    <mergeCell ref="J11:J12"/>
    <mergeCell ref="B19:J19"/>
    <mergeCell ref="C20:F20"/>
    <mergeCell ref="D21:E2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DC71-0AA9-4AC5-B594-3B31F73729F9}">
  <dimension ref="A1:Z981"/>
  <sheetViews>
    <sheetView showGridLines="0" workbookViewId="0">
      <selection activeCell="B6" sqref="B6:B7"/>
    </sheetView>
  </sheetViews>
  <sheetFormatPr baseColWidth="10" defaultColWidth="0" defaultRowHeight="12.75" customHeight="1" zeroHeight="1" x14ac:dyDescent="0.2"/>
  <cols>
    <col min="1" max="1" width="2.42578125" style="235" customWidth="1"/>
    <col min="2" max="2" width="4.42578125" style="235" customWidth="1"/>
    <col min="3" max="3" width="30" style="235" customWidth="1"/>
    <col min="4" max="4" width="21.85546875" style="235" customWidth="1"/>
    <col min="5" max="5" width="30" style="235" customWidth="1"/>
    <col min="6" max="6" width="23.42578125" style="235" customWidth="1"/>
    <col min="7" max="8" width="13.42578125" style="235" customWidth="1"/>
    <col min="9" max="9" width="14.28515625" style="235" customWidth="1"/>
    <col min="10" max="10" width="58.42578125" style="235" customWidth="1"/>
    <col min="11" max="13" width="6.85546875" style="235" customWidth="1"/>
    <col min="14" max="26" width="10.7109375" style="235" hidden="1" customWidth="1"/>
    <col min="27" max="16384" width="14.42578125" style="235" hidden="1"/>
  </cols>
  <sheetData>
    <row r="1" spans="1:25" ht="18.75" customHeight="1" x14ac:dyDescent="0.2">
      <c r="A1" s="231"/>
      <c r="B1" s="232"/>
      <c r="C1" s="232"/>
      <c r="D1" s="233"/>
      <c r="E1" s="233"/>
      <c r="F1" s="233"/>
      <c r="G1" s="233"/>
      <c r="H1" s="233"/>
      <c r="I1" s="233"/>
      <c r="J1" s="234"/>
      <c r="K1" s="231"/>
      <c r="L1" s="231"/>
      <c r="M1" s="231"/>
      <c r="N1" s="231"/>
      <c r="O1" s="231"/>
      <c r="P1" s="231"/>
      <c r="Q1" s="231"/>
      <c r="R1" s="231"/>
      <c r="S1" s="231"/>
      <c r="T1" s="231"/>
      <c r="U1" s="231"/>
      <c r="V1" s="231"/>
      <c r="W1" s="231"/>
      <c r="X1" s="231"/>
      <c r="Y1" s="231"/>
    </row>
    <row r="2" spans="1:25" ht="18.75" customHeight="1" x14ac:dyDescent="0.2">
      <c r="A2" s="231"/>
      <c r="B2" s="236"/>
      <c r="C2" s="856" t="s">
        <v>743</v>
      </c>
      <c r="D2" s="856"/>
      <c r="E2" s="856"/>
      <c r="F2" s="856"/>
      <c r="G2" s="856"/>
      <c r="H2" s="856"/>
      <c r="I2" s="856"/>
      <c r="J2" s="856"/>
      <c r="K2" s="231"/>
      <c r="L2" s="231"/>
      <c r="M2" s="231"/>
      <c r="N2" s="231"/>
      <c r="O2" s="231"/>
      <c r="P2" s="231"/>
      <c r="Q2" s="231"/>
      <c r="R2" s="231"/>
      <c r="S2" s="231"/>
      <c r="T2" s="231"/>
      <c r="U2" s="231"/>
      <c r="V2" s="231"/>
      <c r="W2" s="231"/>
      <c r="X2" s="231"/>
      <c r="Y2" s="231"/>
    </row>
    <row r="3" spans="1:25" ht="18.75" customHeight="1" x14ac:dyDescent="0.2">
      <c r="A3" s="231"/>
      <c r="B3" s="236"/>
      <c r="C3" s="237"/>
      <c r="D3" s="238"/>
      <c r="E3" s="237"/>
      <c r="F3" s="239"/>
      <c r="G3" s="240"/>
      <c r="H3" s="241"/>
      <c r="I3" s="241"/>
      <c r="J3" s="242"/>
      <c r="K3" s="231"/>
      <c r="L3" s="231"/>
      <c r="M3" s="231"/>
      <c r="N3" s="231"/>
      <c r="O3" s="231"/>
      <c r="P3" s="231"/>
      <c r="Q3" s="231"/>
      <c r="R3" s="231"/>
      <c r="S3" s="231"/>
      <c r="T3" s="231"/>
      <c r="U3" s="231"/>
      <c r="V3" s="231"/>
      <c r="W3" s="231"/>
      <c r="X3" s="231"/>
      <c r="Y3" s="231"/>
    </row>
    <row r="4" spans="1:25" ht="16.5" customHeight="1" x14ac:dyDescent="0.2">
      <c r="A4" s="231"/>
      <c r="B4" s="236"/>
      <c r="C4" s="238" t="s">
        <v>671</v>
      </c>
      <c r="D4" s="857" t="s">
        <v>744</v>
      </c>
      <c r="E4" s="857"/>
      <c r="F4" s="857"/>
      <c r="G4" s="857"/>
      <c r="H4" s="857"/>
      <c r="I4" s="857"/>
      <c r="J4" s="857"/>
      <c r="K4" s="231"/>
      <c r="L4" s="231"/>
      <c r="M4" s="231"/>
      <c r="N4" s="231"/>
      <c r="O4" s="231"/>
      <c r="P4" s="231"/>
      <c r="Q4" s="231"/>
      <c r="R4" s="231"/>
      <c r="S4" s="231"/>
      <c r="T4" s="231"/>
      <c r="U4" s="231"/>
      <c r="V4" s="231"/>
      <c r="W4" s="231"/>
      <c r="X4" s="231"/>
      <c r="Y4" s="231"/>
    </row>
    <row r="5" spans="1:25" ht="5.25" customHeight="1" x14ac:dyDescent="0.2">
      <c r="A5" s="231"/>
      <c r="B5" s="236"/>
      <c r="C5" s="243"/>
      <c r="D5" s="244"/>
      <c r="E5" s="237"/>
      <c r="F5" s="245"/>
      <c r="G5" s="245"/>
      <c r="H5" s="245"/>
      <c r="I5" s="245"/>
      <c r="J5" s="242"/>
      <c r="K5" s="231"/>
      <c r="L5" s="231"/>
      <c r="M5" s="231"/>
      <c r="N5" s="231"/>
      <c r="O5" s="231"/>
      <c r="P5" s="231"/>
      <c r="Q5" s="231"/>
      <c r="R5" s="231"/>
      <c r="S5" s="231"/>
      <c r="T5" s="231"/>
      <c r="U5" s="231"/>
      <c r="V5" s="231"/>
      <c r="W5" s="231"/>
      <c r="X5" s="231"/>
      <c r="Y5" s="231"/>
    </row>
    <row r="6" spans="1:25" ht="16.5" customHeight="1" x14ac:dyDescent="0.2">
      <c r="A6" s="231"/>
      <c r="B6" s="236"/>
      <c r="C6" s="238" t="s">
        <v>673</v>
      </c>
      <c r="D6" s="857">
        <v>1</v>
      </c>
      <c r="E6" s="857"/>
      <c r="F6" s="857"/>
      <c r="G6" s="857"/>
      <c r="H6" s="857"/>
      <c r="I6" s="246"/>
      <c r="J6" s="246"/>
      <c r="K6" s="231"/>
      <c r="L6" s="231"/>
      <c r="M6" s="231"/>
      <c r="N6" s="231"/>
      <c r="O6" s="231"/>
      <c r="P6" s="231"/>
      <c r="Q6" s="231"/>
      <c r="R6" s="231"/>
      <c r="S6" s="231"/>
      <c r="T6" s="231"/>
      <c r="U6" s="231"/>
      <c r="V6" s="231"/>
      <c r="W6" s="231"/>
      <c r="X6" s="231"/>
      <c r="Y6" s="231"/>
    </row>
    <row r="7" spans="1:25" ht="5.25" customHeight="1" x14ac:dyDescent="0.2">
      <c r="A7" s="231"/>
      <c r="B7" s="236"/>
      <c r="C7" s="247"/>
      <c r="D7" s="247"/>
      <c r="E7" s="247"/>
      <c r="F7" s="248"/>
      <c r="G7" s="248"/>
      <c r="H7" s="248"/>
      <c r="I7" s="248"/>
      <c r="J7" s="242"/>
      <c r="K7" s="231"/>
      <c r="L7" s="231"/>
      <c r="M7" s="231"/>
      <c r="N7" s="231"/>
      <c r="O7" s="231"/>
      <c r="P7" s="231"/>
      <c r="Q7" s="231"/>
      <c r="R7" s="231"/>
      <c r="S7" s="231"/>
      <c r="T7" s="231"/>
      <c r="U7" s="231"/>
      <c r="V7" s="231"/>
      <c r="W7" s="231"/>
      <c r="X7" s="231"/>
      <c r="Y7" s="231"/>
    </row>
    <row r="8" spans="1:25" ht="16.5" customHeight="1" x14ac:dyDescent="0.2">
      <c r="A8" s="231"/>
      <c r="B8" s="236"/>
      <c r="C8" s="238" t="s">
        <v>710</v>
      </c>
      <c r="D8" s="834">
        <v>44592</v>
      </c>
      <c r="E8" s="834"/>
      <c r="F8" s="834"/>
      <c r="G8" s="834"/>
      <c r="H8" s="834"/>
      <c r="I8" s="246"/>
      <c r="J8" s="246"/>
      <c r="K8" s="231"/>
      <c r="L8" s="231"/>
      <c r="M8" s="231"/>
      <c r="N8" s="231"/>
      <c r="O8" s="231"/>
      <c r="P8" s="231"/>
      <c r="Q8" s="231"/>
      <c r="R8" s="231"/>
      <c r="S8" s="231"/>
      <c r="T8" s="231"/>
      <c r="U8" s="231"/>
      <c r="V8" s="231"/>
      <c r="W8" s="231"/>
      <c r="X8" s="231"/>
      <c r="Y8" s="231"/>
    </row>
    <row r="9" spans="1:25" ht="8.25" customHeight="1" thickBot="1" x14ac:dyDescent="0.25">
      <c r="A9" s="231"/>
      <c r="B9" s="236"/>
      <c r="C9" s="249"/>
      <c r="D9" s="249"/>
      <c r="E9" s="249"/>
      <c r="F9" s="250"/>
      <c r="G9" s="250"/>
      <c r="H9" s="250"/>
      <c r="I9" s="250"/>
      <c r="J9" s="251"/>
      <c r="K9" s="231"/>
      <c r="L9" s="231"/>
      <c r="M9" s="231"/>
      <c r="N9" s="231"/>
      <c r="O9" s="231"/>
      <c r="P9" s="231"/>
      <c r="Q9" s="231"/>
      <c r="R9" s="231"/>
      <c r="S9" s="231"/>
      <c r="T9" s="231"/>
      <c r="U9" s="231"/>
      <c r="V9" s="231"/>
      <c r="W9" s="231"/>
      <c r="X9" s="231"/>
      <c r="Y9" s="231"/>
    </row>
    <row r="10" spans="1:25" ht="18" customHeight="1" x14ac:dyDescent="0.2">
      <c r="A10" s="231"/>
      <c r="B10" s="858" t="s">
        <v>675</v>
      </c>
      <c r="C10" s="859"/>
      <c r="D10" s="859"/>
      <c r="E10" s="859"/>
      <c r="F10" s="859"/>
      <c r="G10" s="859"/>
      <c r="H10" s="859"/>
      <c r="I10" s="859"/>
      <c r="J10" s="860"/>
      <c r="K10" s="231"/>
      <c r="L10" s="231"/>
      <c r="M10" s="231"/>
      <c r="N10" s="231"/>
      <c r="O10" s="231"/>
      <c r="P10" s="231"/>
      <c r="Q10" s="231"/>
      <c r="R10" s="231"/>
      <c r="S10" s="231"/>
      <c r="T10" s="231"/>
      <c r="U10" s="231"/>
      <c r="V10" s="231"/>
      <c r="W10" s="231"/>
      <c r="X10" s="231"/>
      <c r="Y10" s="231"/>
    </row>
    <row r="11" spans="1:25" ht="18" customHeight="1" x14ac:dyDescent="0.2">
      <c r="A11" s="231"/>
      <c r="B11" s="861" t="s">
        <v>676</v>
      </c>
      <c r="C11" s="863" t="s">
        <v>677</v>
      </c>
      <c r="D11" s="863" t="s">
        <v>678</v>
      </c>
      <c r="E11" s="863" t="s">
        <v>679</v>
      </c>
      <c r="F11" s="863" t="s">
        <v>680</v>
      </c>
      <c r="G11" s="865" t="s">
        <v>681</v>
      </c>
      <c r="H11" s="866"/>
      <c r="I11" s="309" t="s">
        <v>682</v>
      </c>
      <c r="J11" s="867" t="s">
        <v>9</v>
      </c>
      <c r="K11" s="231"/>
      <c r="L11" s="231"/>
      <c r="M11" s="231"/>
      <c r="N11" s="231"/>
      <c r="O11" s="231"/>
      <c r="P11" s="231"/>
      <c r="Q11" s="231"/>
      <c r="R11" s="231"/>
      <c r="S11" s="231"/>
      <c r="T11" s="231"/>
      <c r="U11" s="231"/>
      <c r="V11" s="231"/>
      <c r="W11" s="231"/>
      <c r="X11" s="231"/>
      <c r="Y11" s="231"/>
    </row>
    <row r="12" spans="1:25" ht="18" customHeight="1" thickBot="1" x14ac:dyDescent="0.25">
      <c r="A12" s="252"/>
      <c r="B12" s="862"/>
      <c r="C12" s="864"/>
      <c r="D12" s="864"/>
      <c r="E12" s="864"/>
      <c r="F12" s="864"/>
      <c r="G12" s="310" t="s">
        <v>683</v>
      </c>
      <c r="H12" s="310" t="s">
        <v>684</v>
      </c>
      <c r="I12" s="311">
        <f>SUM(I13:I16)</f>
        <v>1</v>
      </c>
      <c r="J12" s="868"/>
      <c r="K12" s="252"/>
      <c r="L12" s="231"/>
      <c r="M12" s="231"/>
      <c r="N12" s="231"/>
      <c r="O12" s="231"/>
      <c r="P12" s="231"/>
      <c r="Q12" s="231"/>
      <c r="R12" s="231"/>
      <c r="S12" s="231"/>
      <c r="T12" s="231"/>
      <c r="U12" s="231"/>
      <c r="V12" s="231"/>
      <c r="W12" s="231"/>
      <c r="X12" s="231"/>
      <c r="Y12" s="231"/>
    </row>
    <row r="13" spans="1:25" ht="49.5" customHeight="1" x14ac:dyDescent="0.2">
      <c r="A13" s="252"/>
      <c r="B13" s="253">
        <v>1</v>
      </c>
      <c r="C13" s="254" t="s">
        <v>745</v>
      </c>
      <c r="D13" s="254" t="s">
        <v>746</v>
      </c>
      <c r="E13" s="254" t="s">
        <v>747</v>
      </c>
      <c r="F13" s="255">
        <v>0.9</v>
      </c>
      <c r="G13" s="256">
        <v>44593</v>
      </c>
      <c r="H13" s="256">
        <v>44926</v>
      </c>
      <c r="I13" s="255">
        <v>0.5</v>
      </c>
      <c r="J13" s="257" t="s">
        <v>748</v>
      </c>
      <c r="K13" s="252"/>
      <c r="L13" s="231"/>
      <c r="M13" s="231"/>
      <c r="N13" s="231"/>
      <c r="O13" s="231"/>
      <c r="P13" s="231"/>
      <c r="Q13" s="231"/>
      <c r="R13" s="231"/>
      <c r="S13" s="231"/>
      <c r="T13" s="231"/>
      <c r="U13" s="231"/>
      <c r="V13" s="231"/>
      <c r="W13" s="231"/>
      <c r="X13" s="231"/>
      <c r="Y13" s="231"/>
    </row>
    <row r="14" spans="1:25" ht="49.5" customHeight="1" x14ac:dyDescent="0.2">
      <c r="A14" s="252"/>
      <c r="B14" s="258">
        <v>2</v>
      </c>
      <c r="C14" s="259" t="s">
        <v>749</v>
      </c>
      <c r="D14" s="259" t="s">
        <v>746</v>
      </c>
      <c r="E14" s="259" t="s">
        <v>750</v>
      </c>
      <c r="F14" s="260">
        <v>1</v>
      </c>
      <c r="G14" s="256">
        <v>44593</v>
      </c>
      <c r="H14" s="256">
        <v>44926</v>
      </c>
      <c r="I14" s="260">
        <v>0.25</v>
      </c>
      <c r="J14" s="261" t="s">
        <v>748</v>
      </c>
      <c r="K14" s="252"/>
      <c r="L14" s="231"/>
      <c r="M14" s="231"/>
      <c r="N14" s="231"/>
      <c r="O14" s="231"/>
      <c r="P14" s="231"/>
      <c r="Q14" s="231"/>
      <c r="R14" s="231"/>
      <c r="S14" s="231"/>
      <c r="T14" s="231"/>
      <c r="U14" s="231"/>
      <c r="V14" s="231"/>
      <c r="W14" s="231"/>
      <c r="X14" s="231"/>
      <c r="Y14" s="231"/>
    </row>
    <row r="15" spans="1:25" ht="49.5" customHeight="1" x14ac:dyDescent="0.2">
      <c r="A15" s="252"/>
      <c r="B15" s="258">
        <v>3</v>
      </c>
      <c r="C15" s="259" t="s">
        <v>751</v>
      </c>
      <c r="D15" s="259" t="s">
        <v>746</v>
      </c>
      <c r="E15" s="259" t="s">
        <v>752</v>
      </c>
      <c r="F15" s="260">
        <v>0.95</v>
      </c>
      <c r="G15" s="256">
        <v>44593</v>
      </c>
      <c r="H15" s="256">
        <v>44926</v>
      </c>
      <c r="I15" s="260">
        <v>0.25</v>
      </c>
      <c r="J15" s="261" t="s">
        <v>753</v>
      </c>
      <c r="K15" s="252"/>
      <c r="L15" s="231"/>
      <c r="M15" s="231"/>
      <c r="N15" s="231"/>
      <c r="O15" s="231"/>
      <c r="P15" s="231"/>
      <c r="Q15" s="231"/>
      <c r="R15" s="231"/>
      <c r="S15" s="231"/>
      <c r="T15" s="231"/>
      <c r="U15" s="231"/>
      <c r="V15" s="231"/>
      <c r="W15" s="231"/>
      <c r="X15" s="231"/>
      <c r="Y15" s="231"/>
    </row>
    <row r="16" spans="1:25" ht="22.5" customHeight="1" thickBot="1" x14ac:dyDescent="0.25">
      <c r="A16" s="252"/>
      <c r="B16" s="262"/>
      <c r="C16" s="263"/>
      <c r="D16" s="263"/>
      <c r="E16" s="263"/>
      <c r="F16" s="263"/>
      <c r="G16" s="264"/>
      <c r="H16" s="264"/>
      <c r="I16" s="264"/>
      <c r="J16" s="265"/>
      <c r="K16" s="252"/>
      <c r="L16" s="231"/>
      <c r="M16" s="231"/>
      <c r="N16" s="231"/>
      <c r="O16" s="231"/>
      <c r="P16" s="231"/>
      <c r="Q16" s="231"/>
      <c r="R16" s="231"/>
      <c r="S16" s="231"/>
      <c r="T16" s="231"/>
      <c r="U16" s="231"/>
      <c r="V16" s="231"/>
      <c r="W16" s="231"/>
      <c r="X16" s="231"/>
      <c r="Y16" s="231"/>
    </row>
    <row r="17" spans="1:25" ht="33" customHeight="1" thickBot="1" x14ac:dyDescent="0.25">
      <c r="A17" s="252"/>
      <c r="B17" s="869" t="s">
        <v>725</v>
      </c>
      <c r="C17" s="869"/>
      <c r="D17" s="869"/>
      <c r="E17" s="869"/>
      <c r="F17" s="869"/>
      <c r="G17" s="869"/>
      <c r="H17" s="869"/>
      <c r="I17" s="869"/>
      <c r="J17" s="869"/>
      <c r="K17" s="252"/>
      <c r="L17" s="231"/>
      <c r="M17" s="231"/>
      <c r="N17" s="231"/>
      <c r="O17" s="231"/>
      <c r="P17" s="231"/>
      <c r="Q17" s="231"/>
      <c r="R17" s="231"/>
      <c r="S17" s="231"/>
      <c r="T17" s="231"/>
      <c r="U17" s="231"/>
      <c r="V17" s="231"/>
      <c r="W17" s="231"/>
      <c r="X17" s="231"/>
      <c r="Y17" s="231"/>
    </row>
    <row r="18" spans="1:25" s="278" customFormat="1" ht="24" customHeight="1" thickBot="1" x14ac:dyDescent="0.3">
      <c r="B18" s="99"/>
      <c r="C18" s="800" t="s">
        <v>695</v>
      </c>
      <c r="D18" s="801"/>
      <c r="E18" s="801"/>
      <c r="F18" s="802"/>
      <c r="G18" s="100"/>
      <c r="H18" s="100"/>
      <c r="I18" s="100"/>
      <c r="J18" s="68"/>
    </row>
    <row r="19" spans="1:25" s="278" customFormat="1" ht="33.75" customHeight="1" x14ac:dyDescent="0.25">
      <c r="B19" s="99"/>
      <c r="C19" s="276" t="s">
        <v>696</v>
      </c>
      <c r="D19" s="790" t="s">
        <v>697</v>
      </c>
      <c r="E19" s="791"/>
      <c r="F19" s="277" t="s">
        <v>698</v>
      </c>
      <c r="G19" s="100"/>
      <c r="H19" s="100"/>
      <c r="I19" s="100"/>
      <c r="J19" s="68"/>
    </row>
    <row r="20" spans="1:25" s="278" customFormat="1" ht="35.25" customHeight="1" x14ac:dyDescent="0.25">
      <c r="B20" s="99"/>
      <c r="C20" s="101">
        <v>1</v>
      </c>
      <c r="D20" s="792" t="s">
        <v>699</v>
      </c>
      <c r="E20" s="793"/>
      <c r="F20" s="102">
        <v>44592</v>
      </c>
      <c r="G20" s="100"/>
      <c r="H20" s="100"/>
      <c r="I20" s="100"/>
      <c r="J20" s="68"/>
    </row>
    <row r="21" spans="1:25" s="278" customFormat="1" ht="15.75" customHeight="1" x14ac:dyDescent="0.25">
      <c r="B21" s="99"/>
      <c r="C21" s="101"/>
      <c r="D21" s="103"/>
      <c r="E21" s="104"/>
      <c r="F21" s="105"/>
      <c r="G21" s="100"/>
      <c r="H21" s="100"/>
      <c r="I21" s="100"/>
      <c r="J21" s="68"/>
    </row>
    <row r="22" spans="1:25" s="278" customFormat="1" ht="15.75" customHeight="1" thickBot="1" x14ac:dyDescent="0.3">
      <c r="B22" s="99"/>
      <c r="C22" s="106"/>
      <c r="D22" s="107"/>
      <c r="E22" s="108"/>
      <c r="F22" s="109"/>
      <c r="G22" s="100"/>
      <c r="H22" s="100"/>
      <c r="I22" s="100"/>
      <c r="J22" s="68"/>
    </row>
    <row r="23" spans="1:25" ht="33" customHeight="1" x14ac:dyDescent="0.2">
      <c r="A23" s="252"/>
      <c r="B23" s="266"/>
      <c r="C23" s="267"/>
      <c r="D23" s="267"/>
      <c r="E23" s="266"/>
      <c r="F23" s="266"/>
      <c r="G23" s="268"/>
      <c r="H23" s="268"/>
      <c r="I23" s="268"/>
      <c r="J23" s="267"/>
      <c r="K23" s="252"/>
      <c r="L23" s="231"/>
      <c r="M23" s="231"/>
      <c r="N23" s="231"/>
      <c r="O23" s="231"/>
      <c r="P23" s="231"/>
      <c r="Q23" s="231"/>
      <c r="R23" s="231"/>
      <c r="S23" s="231"/>
      <c r="T23" s="231"/>
      <c r="U23" s="231"/>
      <c r="V23" s="231"/>
      <c r="W23" s="231"/>
      <c r="X23" s="231"/>
      <c r="Y23" s="231"/>
    </row>
    <row r="24" spans="1:25" ht="33" hidden="1" customHeight="1" x14ac:dyDescent="0.2">
      <c r="A24" s="252"/>
      <c r="B24" s="266"/>
      <c r="C24" s="267"/>
      <c r="D24" s="267"/>
      <c r="E24" s="266"/>
      <c r="F24" s="266"/>
      <c r="G24" s="268"/>
      <c r="H24" s="268"/>
      <c r="I24" s="268"/>
      <c r="J24" s="267"/>
      <c r="K24" s="252"/>
      <c r="L24" s="252"/>
      <c r="M24" s="252"/>
      <c r="N24" s="252"/>
      <c r="O24" s="252"/>
      <c r="P24" s="252"/>
      <c r="Q24" s="252"/>
      <c r="R24" s="252"/>
      <c r="S24" s="252"/>
      <c r="T24" s="252"/>
      <c r="U24" s="252"/>
      <c r="V24" s="252"/>
      <c r="W24" s="252"/>
      <c r="X24" s="252"/>
      <c r="Y24" s="252"/>
    </row>
    <row r="25" spans="1:25" ht="33" hidden="1" customHeight="1" x14ac:dyDescent="0.2">
      <c r="A25" s="252"/>
      <c r="B25" s="266"/>
      <c r="C25" s="267"/>
      <c r="D25" s="267"/>
      <c r="E25" s="266"/>
      <c r="F25" s="266"/>
      <c r="G25" s="268"/>
      <c r="H25" s="268"/>
      <c r="I25" s="268"/>
      <c r="J25" s="267"/>
      <c r="K25" s="252"/>
      <c r="L25" s="252"/>
      <c r="M25" s="252"/>
      <c r="N25" s="252"/>
      <c r="O25" s="252"/>
      <c r="P25" s="252"/>
      <c r="Q25" s="252"/>
      <c r="R25" s="252"/>
      <c r="S25" s="252"/>
      <c r="T25" s="252"/>
      <c r="U25" s="252"/>
      <c r="V25" s="252"/>
      <c r="W25" s="252"/>
      <c r="X25" s="252"/>
      <c r="Y25" s="252"/>
    </row>
    <row r="26" spans="1:25" ht="33" hidden="1" customHeight="1" x14ac:dyDescent="0.2">
      <c r="A26" s="252"/>
      <c r="B26" s="266"/>
      <c r="C26" s="267"/>
      <c r="D26" s="267"/>
      <c r="E26" s="266"/>
      <c r="F26" s="266"/>
      <c r="G26" s="268"/>
      <c r="H26" s="268"/>
      <c r="I26" s="268"/>
      <c r="J26" s="267"/>
      <c r="K26" s="252"/>
      <c r="L26" s="252"/>
      <c r="M26" s="252"/>
      <c r="N26" s="252"/>
      <c r="O26" s="252"/>
      <c r="P26" s="252"/>
      <c r="Q26" s="252"/>
      <c r="R26" s="252"/>
      <c r="S26" s="252"/>
      <c r="T26" s="252"/>
      <c r="U26" s="252"/>
      <c r="V26" s="252"/>
      <c r="W26" s="252"/>
      <c r="X26" s="252"/>
      <c r="Y26" s="252"/>
    </row>
    <row r="27" spans="1:25" ht="6.75" hidden="1" customHeight="1" x14ac:dyDescent="0.2">
      <c r="A27" s="252"/>
      <c r="B27" s="269"/>
      <c r="C27" s="267"/>
      <c r="D27" s="267"/>
      <c r="E27" s="266"/>
      <c r="F27" s="266"/>
      <c r="G27" s="269"/>
      <c r="H27" s="269"/>
      <c r="I27" s="269"/>
      <c r="J27" s="267"/>
      <c r="K27" s="252"/>
      <c r="L27" s="252"/>
      <c r="M27" s="252"/>
      <c r="N27" s="252"/>
      <c r="O27" s="252"/>
      <c r="P27" s="252"/>
      <c r="Q27" s="252"/>
      <c r="R27" s="252"/>
      <c r="S27" s="252"/>
      <c r="T27" s="252"/>
      <c r="U27" s="252"/>
      <c r="V27" s="252"/>
      <c r="W27" s="252"/>
      <c r="X27" s="252"/>
      <c r="Y27" s="252"/>
    </row>
    <row r="28" spans="1:25" ht="42.75" hidden="1" customHeight="1" x14ac:dyDescent="0.2">
      <c r="A28" s="231"/>
      <c r="B28" s="219"/>
      <c r="C28" s="270"/>
      <c r="D28" s="270"/>
      <c r="E28" s="271"/>
      <c r="F28" s="271"/>
      <c r="G28" s="272"/>
      <c r="H28" s="272"/>
      <c r="I28" s="272"/>
      <c r="J28" s="223"/>
      <c r="K28" s="231"/>
      <c r="L28" s="231"/>
      <c r="M28" s="231"/>
      <c r="N28" s="231"/>
      <c r="O28" s="231"/>
      <c r="P28" s="231"/>
      <c r="Q28" s="231"/>
      <c r="R28" s="231"/>
      <c r="S28" s="231"/>
      <c r="T28" s="231"/>
      <c r="U28" s="231"/>
      <c r="V28" s="231"/>
      <c r="W28" s="231"/>
      <c r="X28" s="231"/>
      <c r="Y28" s="231"/>
    </row>
    <row r="29" spans="1:25" ht="16.5" hidden="1" customHeight="1" x14ac:dyDescent="0.2">
      <c r="A29" s="231"/>
      <c r="B29" s="224"/>
      <c r="C29" s="177"/>
      <c r="D29" s="177"/>
      <c r="E29" s="177"/>
      <c r="F29" s="177"/>
      <c r="G29" s="177"/>
      <c r="H29" s="177"/>
      <c r="I29" s="177"/>
      <c r="J29" s="223"/>
      <c r="K29" s="231"/>
      <c r="L29" s="231"/>
      <c r="M29" s="231"/>
      <c r="N29" s="231"/>
      <c r="O29" s="231"/>
      <c r="P29" s="231"/>
      <c r="Q29" s="231"/>
      <c r="R29" s="231"/>
      <c r="S29" s="231"/>
      <c r="T29" s="231"/>
      <c r="U29" s="231"/>
      <c r="V29" s="231"/>
      <c r="W29" s="231"/>
      <c r="X29" s="231"/>
      <c r="Y29" s="231"/>
    </row>
    <row r="30" spans="1:25" ht="16.5" hidden="1" customHeight="1" x14ac:dyDescent="0.2">
      <c r="A30" s="231"/>
      <c r="B30" s="224"/>
      <c r="C30" s="225"/>
      <c r="D30" s="225"/>
      <c r="E30" s="225"/>
      <c r="F30" s="177"/>
      <c r="G30" s="177"/>
      <c r="H30" s="177"/>
      <c r="I30" s="177"/>
      <c r="J30" s="223"/>
      <c r="K30" s="231"/>
      <c r="L30" s="231"/>
      <c r="M30" s="231"/>
      <c r="N30" s="231"/>
      <c r="O30" s="231"/>
      <c r="P30" s="231"/>
      <c r="Q30" s="231"/>
      <c r="R30" s="231"/>
      <c r="S30" s="231"/>
      <c r="T30" s="231"/>
      <c r="U30" s="231"/>
      <c r="V30" s="231"/>
      <c r="W30" s="231"/>
      <c r="X30" s="231"/>
      <c r="Y30" s="231"/>
    </row>
    <row r="31" spans="1:25" ht="16.5" hidden="1" customHeight="1" x14ac:dyDescent="0.2">
      <c r="A31" s="231"/>
      <c r="B31" s="224"/>
      <c r="C31" s="225"/>
      <c r="D31" s="225"/>
      <c r="E31" s="225"/>
      <c r="F31" s="177"/>
      <c r="G31" s="177"/>
      <c r="H31" s="177"/>
      <c r="I31" s="177"/>
      <c r="J31" s="223"/>
      <c r="K31" s="231"/>
      <c r="L31" s="231"/>
      <c r="M31" s="231"/>
      <c r="N31" s="231"/>
      <c r="O31" s="231"/>
      <c r="P31" s="231"/>
      <c r="Q31" s="231"/>
      <c r="R31" s="231"/>
      <c r="S31" s="231"/>
      <c r="T31" s="231"/>
      <c r="U31" s="231"/>
      <c r="V31" s="231"/>
      <c r="W31" s="231"/>
      <c r="X31" s="231"/>
      <c r="Y31" s="231"/>
    </row>
    <row r="32" spans="1:25" ht="16.5" hidden="1" customHeight="1" x14ac:dyDescent="0.2">
      <c r="A32" s="231"/>
      <c r="B32" s="224"/>
      <c r="C32" s="225"/>
      <c r="D32" s="225"/>
      <c r="E32" s="225"/>
      <c r="F32" s="177"/>
      <c r="G32" s="177"/>
      <c r="H32" s="177"/>
      <c r="I32" s="177"/>
      <c r="J32" s="223"/>
      <c r="K32" s="231"/>
      <c r="L32" s="231"/>
      <c r="M32" s="231"/>
      <c r="N32" s="231"/>
      <c r="O32" s="231"/>
      <c r="P32" s="231"/>
      <c r="Q32" s="231"/>
      <c r="R32" s="231"/>
      <c r="S32" s="231"/>
      <c r="T32" s="231"/>
      <c r="U32" s="231"/>
      <c r="V32" s="231"/>
      <c r="W32" s="231"/>
      <c r="X32" s="231"/>
      <c r="Y32" s="231"/>
    </row>
    <row r="33" spans="1:25" ht="16.5" hidden="1" customHeight="1" x14ac:dyDescent="0.2">
      <c r="A33" s="231"/>
      <c r="B33" s="224"/>
      <c r="C33" s="225"/>
      <c r="D33" s="225"/>
      <c r="E33" s="225"/>
      <c r="F33" s="177"/>
      <c r="G33" s="177"/>
      <c r="H33" s="177"/>
      <c r="I33" s="177"/>
      <c r="J33" s="223"/>
      <c r="K33" s="231"/>
      <c r="L33" s="231"/>
      <c r="M33" s="231"/>
      <c r="N33" s="231"/>
      <c r="O33" s="231"/>
      <c r="P33" s="231"/>
      <c r="Q33" s="231"/>
      <c r="R33" s="231"/>
      <c r="S33" s="231"/>
      <c r="T33" s="231"/>
      <c r="U33" s="231"/>
      <c r="V33" s="231"/>
      <c r="W33" s="231"/>
      <c r="X33" s="231"/>
      <c r="Y33" s="231"/>
    </row>
    <row r="34" spans="1:25" ht="16.5" hidden="1" customHeight="1" x14ac:dyDescent="0.2">
      <c r="A34" s="231"/>
      <c r="B34" s="224"/>
      <c r="C34" s="225"/>
      <c r="D34" s="225"/>
      <c r="E34" s="225"/>
      <c r="F34" s="177"/>
      <c r="G34" s="177"/>
      <c r="H34" s="177"/>
      <c r="I34" s="177"/>
      <c r="J34" s="223"/>
      <c r="K34" s="231"/>
      <c r="L34" s="231"/>
      <c r="M34" s="231"/>
      <c r="N34" s="231"/>
      <c r="O34" s="231"/>
      <c r="P34" s="231"/>
      <c r="Q34" s="231"/>
      <c r="R34" s="231"/>
      <c r="S34" s="231"/>
      <c r="T34" s="231"/>
      <c r="U34" s="231"/>
      <c r="V34" s="231"/>
      <c r="W34" s="231"/>
      <c r="X34" s="231"/>
      <c r="Y34" s="231"/>
    </row>
    <row r="35" spans="1:25" ht="16.5" hidden="1" customHeight="1" x14ac:dyDescent="0.2">
      <c r="A35" s="231"/>
      <c r="B35" s="224"/>
      <c r="C35" s="225"/>
      <c r="D35" s="225"/>
      <c r="E35" s="225"/>
      <c r="F35" s="177"/>
      <c r="G35" s="177"/>
      <c r="H35" s="177"/>
      <c r="I35" s="177"/>
      <c r="J35" s="223"/>
      <c r="K35" s="231"/>
      <c r="L35" s="231"/>
      <c r="M35" s="231"/>
      <c r="N35" s="231"/>
      <c r="O35" s="231"/>
      <c r="P35" s="231"/>
      <c r="Q35" s="231"/>
      <c r="R35" s="231"/>
      <c r="S35" s="231"/>
      <c r="T35" s="231"/>
      <c r="U35" s="231"/>
      <c r="V35" s="231"/>
      <c r="W35" s="231"/>
      <c r="X35" s="231"/>
      <c r="Y35" s="231"/>
    </row>
    <row r="36" spans="1:25" ht="16.5" hidden="1" customHeight="1" x14ac:dyDescent="0.2">
      <c r="A36" s="231"/>
      <c r="B36" s="224"/>
      <c r="C36" s="225"/>
      <c r="D36" s="225"/>
      <c r="E36" s="225"/>
      <c r="F36" s="177"/>
      <c r="G36" s="177"/>
      <c r="H36" s="177"/>
      <c r="I36" s="177"/>
      <c r="J36" s="223"/>
      <c r="K36" s="231"/>
      <c r="L36" s="231"/>
      <c r="M36" s="231"/>
      <c r="N36" s="231"/>
      <c r="O36" s="231"/>
      <c r="P36" s="231"/>
      <c r="Q36" s="231"/>
      <c r="R36" s="231"/>
      <c r="S36" s="231"/>
      <c r="T36" s="231"/>
      <c r="U36" s="231"/>
      <c r="V36" s="231"/>
      <c r="W36" s="231"/>
      <c r="X36" s="231"/>
      <c r="Y36" s="231"/>
    </row>
    <row r="37" spans="1:25" ht="16.5" hidden="1" customHeight="1" x14ac:dyDescent="0.2">
      <c r="A37" s="231"/>
      <c r="B37" s="224"/>
      <c r="C37" s="225"/>
      <c r="D37" s="225"/>
      <c r="E37" s="225"/>
      <c r="F37" s="177"/>
      <c r="G37" s="177"/>
      <c r="H37" s="177"/>
      <c r="I37" s="177"/>
      <c r="J37" s="223"/>
      <c r="K37" s="231"/>
      <c r="L37" s="231"/>
      <c r="M37" s="231"/>
      <c r="N37" s="231"/>
      <c r="O37" s="231"/>
      <c r="P37" s="231"/>
      <c r="Q37" s="231"/>
      <c r="R37" s="231"/>
      <c r="S37" s="231"/>
      <c r="T37" s="231"/>
      <c r="U37" s="231"/>
      <c r="V37" s="231"/>
      <c r="W37" s="231"/>
      <c r="X37" s="231"/>
      <c r="Y37" s="231"/>
    </row>
    <row r="38" spans="1:25" ht="16.5" hidden="1" customHeight="1" x14ac:dyDescent="0.2">
      <c r="A38" s="231"/>
      <c r="B38" s="224"/>
      <c r="C38" s="225"/>
      <c r="D38" s="225"/>
      <c r="E38" s="225"/>
      <c r="F38" s="177"/>
      <c r="G38" s="177"/>
      <c r="H38" s="177"/>
      <c r="I38" s="177"/>
      <c r="J38" s="223"/>
      <c r="K38" s="231"/>
      <c r="L38" s="231"/>
      <c r="M38" s="231"/>
      <c r="N38" s="231"/>
      <c r="O38" s="231"/>
      <c r="P38" s="231"/>
      <c r="Q38" s="231"/>
      <c r="R38" s="231"/>
      <c r="S38" s="231"/>
      <c r="T38" s="231"/>
      <c r="U38" s="231"/>
      <c r="V38" s="231"/>
      <c r="W38" s="231"/>
      <c r="X38" s="231"/>
      <c r="Y38" s="231"/>
    </row>
    <row r="39" spans="1:25" ht="16.5" hidden="1" customHeight="1" x14ac:dyDescent="0.2">
      <c r="A39" s="231"/>
      <c r="B39" s="224"/>
      <c r="C39" s="225"/>
      <c r="D39" s="225"/>
      <c r="E39" s="225"/>
      <c r="F39" s="177"/>
      <c r="G39" s="177"/>
      <c r="H39" s="177"/>
      <c r="I39" s="177"/>
      <c r="J39" s="223"/>
      <c r="K39" s="231"/>
      <c r="L39" s="231"/>
      <c r="M39" s="231"/>
      <c r="N39" s="231"/>
      <c r="O39" s="231"/>
      <c r="P39" s="231"/>
      <c r="Q39" s="231"/>
      <c r="R39" s="231"/>
      <c r="S39" s="231"/>
      <c r="T39" s="231"/>
      <c r="U39" s="231"/>
      <c r="V39" s="231"/>
      <c r="W39" s="231"/>
      <c r="X39" s="231"/>
      <c r="Y39" s="231"/>
    </row>
    <row r="40" spans="1:25" ht="16.5" hidden="1" customHeight="1" x14ac:dyDescent="0.2">
      <c r="A40" s="231"/>
      <c r="B40" s="224"/>
      <c r="C40" s="225"/>
      <c r="D40" s="225"/>
      <c r="E40" s="225"/>
      <c r="F40" s="177"/>
      <c r="G40" s="177"/>
      <c r="H40" s="177"/>
      <c r="I40" s="177"/>
      <c r="J40" s="223"/>
      <c r="K40" s="231"/>
      <c r="L40" s="231"/>
      <c r="M40" s="231"/>
      <c r="N40" s="231"/>
      <c r="O40" s="231"/>
      <c r="P40" s="231"/>
      <c r="Q40" s="231"/>
      <c r="R40" s="231"/>
      <c r="S40" s="231"/>
      <c r="T40" s="231"/>
      <c r="U40" s="231"/>
      <c r="V40" s="231"/>
      <c r="W40" s="231"/>
      <c r="X40" s="231"/>
      <c r="Y40" s="231"/>
    </row>
    <row r="41" spans="1:25" ht="16.5" hidden="1" customHeight="1" x14ac:dyDescent="0.2">
      <c r="A41" s="231"/>
      <c r="B41" s="224"/>
      <c r="C41" s="225"/>
      <c r="D41" s="225"/>
      <c r="E41" s="225"/>
      <c r="F41" s="177"/>
      <c r="G41" s="177"/>
      <c r="H41" s="177"/>
      <c r="I41" s="177"/>
      <c r="J41" s="223"/>
      <c r="K41" s="231"/>
      <c r="L41" s="231"/>
      <c r="M41" s="231"/>
      <c r="N41" s="231"/>
      <c r="O41" s="231"/>
      <c r="P41" s="231"/>
      <c r="Q41" s="231"/>
      <c r="R41" s="231"/>
      <c r="S41" s="231"/>
      <c r="T41" s="231"/>
      <c r="U41" s="231"/>
      <c r="V41" s="231"/>
      <c r="W41" s="231"/>
      <c r="X41" s="231"/>
      <c r="Y41" s="231"/>
    </row>
    <row r="42" spans="1:25" ht="16.5" hidden="1" customHeight="1" x14ac:dyDescent="0.2">
      <c r="A42" s="231"/>
      <c r="B42" s="224"/>
      <c r="C42" s="225"/>
      <c r="D42" s="225"/>
      <c r="E42" s="225"/>
      <c r="F42" s="177"/>
      <c r="G42" s="177"/>
      <c r="H42" s="177"/>
      <c r="I42" s="177"/>
      <c r="J42" s="223"/>
      <c r="K42" s="231"/>
      <c r="L42" s="231"/>
      <c r="M42" s="231"/>
      <c r="N42" s="231"/>
      <c r="O42" s="231"/>
      <c r="P42" s="231"/>
      <c r="Q42" s="231"/>
      <c r="R42" s="231"/>
      <c r="S42" s="231"/>
      <c r="T42" s="231"/>
      <c r="U42" s="231"/>
      <c r="V42" s="231"/>
      <c r="W42" s="231"/>
      <c r="X42" s="231"/>
      <c r="Y42" s="231"/>
    </row>
    <row r="43" spans="1:25" ht="16.5" hidden="1" customHeight="1" x14ac:dyDescent="0.2">
      <c r="A43" s="231"/>
      <c r="B43" s="224"/>
      <c r="C43" s="225"/>
      <c r="D43" s="225"/>
      <c r="E43" s="225"/>
      <c r="F43" s="177"/>
      <c r="G43" s="177"/>
      <c r="H43" s="177"/>
      <c r="I43" s="177"/>
      <c r="J43" s="223"/>
      <c r="K43" s="231"/>
      <c r="L43" s="231"/>
      <c r="M43" s="231"/>
      <c r="N43" s="231"/>
      <c r="O43" s="231"/>
      <c r="P43" s="231"/>
      <c r="Q43" s="231"/>
      <c r="R43" s="231"/>
      <c r="S43" s="231"/>
      <c r="T43" s="231"/>
      <c r="U43" s="231"/>
      <c r="V43" s="231"/>
      <c r="W43" s="231"/>
      <c r="X43" s="231"/>
      <c r="Y43" s="231"/>
    </row>
    <row r="44" spans="1:25" ht="16.5" hidden="1" customHeight="1" x14ac:dyDescent="0.2">
      <c r="A44" s="231"/>
      <c r="B44" s="224"/>
      <c r="C44" s="225"/>
      <c r="D44" s="225"/>
      <c r="E44" s="225"/>
      <c r="F44" s="177"/>
      <c r="G44" s="177"/>
      <c r="H44" s="177"/>
      <c r="I44" s="177"/>
      <c r="J44" s="223"/>
      <c r="K44" s="231"/>
      <c r="L44" s="231"/>
      <c r="M44" s="231"/>
      <c r="N44" s="231"/>
      <c r="O44" s="231"/>
      <c r="P44" s="231"/>
      <c r="Q44" s="231"/>
      <c r="R44" s="231"/>
      <c r="S44" s="231"/>
      <c r="T44" s="231"/>
      <c r="U44" s="231"/>
      <c r="V44" s="231"/>
      <c r="W44" s="231"/>
      <c r="X44" s="231"/>
      <c r="Y44" s="231"/>
    </row>
    <row r="45" spans="1:25" ht="16.5" hidden="1" customHeight="1" x14ac:dyDescent="0.2">
      <c r="A45" s="231"/>
      <c r="B45" s="224"/>
      <c r="C45" s="225"/>
      <c r="D45" s="225"/>
      <c r="E45" s="225"/>
      <c r="F45" s="177"/>
      <c r="G45" s="177"/>
      <c r="H45" s="177"/>
      <c r="I45" s="177"/>
      <c r="J45" s="223"/>
      <c r="K45" s="231"/>
      <c r="L45" s="231"/>
      <c r="M45" s="231"/>
      <c r="N45" s="231"/>
      <c r="O45" s="231"/>
      <c r="P45" s="231"/>
      <c r="Q45" s="231"/>
      <c r="R45" s="231"/>
      <c r="S45" s="231"/>
      <c r="T45" s="231"/>
      <c r="U45" s="231"/>
      <c r="V45" s="231"/>
      <c r="W45" s="231"/>
      <c r="X45" s="231"/>
      <c r="Y45" s="231"/>
    </row>
    <row r="46" spans="1:25" ht="16.5" hidden="1" customHeight="1" x14ac:dyDescent="0.2">
      <c r="A46" s="231"/>
      <c r="B46" s="224"/>
      <c r="C46" s="225"/>
      <c r="D46" s="225"/>
      <c r="E46" s="225"/>
      <c r="F46" s="177"/>
      <c r="G46" s="177"/>
      <c r="H46" s="177"/>
      <c r="I46" s="177"/>
      <c r="J46" s="223"/>
      <c r="K46" s="231"/>
      <c r="L46" s="231"/>
      <c r="M46" s="231"/>
      <c r="N46" s="231"/>
      <c r="O46" s="231"/>
      <c r="P46" s="231"/>
      <c r="Q46" s="231"/>
      <c r="R46" s="231"/>
      <c r="S46" s="231"/>
      <c r="T46" s="231"/>
      <c r="U46" s="231"/>
      <c r="V46" s="231"/>
      <c r="W46" s="231"/>
      <c r="X46" s="231"/>
      <c r="Y46" s="231"/>
    </row>
    <row r="47" spans="1:25" ht="16.5" hidden="1" customHeight="1" x14ac:dyDescent="0.2">
      <c r="A47" s="231"/>
      <c r="B47" s="224"/>
      <c r="C47" s="225"/>
      <c r="D47" s="225"/>
      <c r="E47" s="225"/>
      <c r="F47" s="177"/>
      <c r="G47" s="177"/>
      <c r="H47" s="177"/>
      <c r="I47" s="177"/>
      <c r="J47" s="223"/>
      <c r="K47" s="231"/>
      <c r="L47" s="231"/>
      <c r="M47" s="231"/>
      <c r="N47" s="231"/>
      <c r="O47" s="231"/>
      <c r="P47" s="231"/>
      <c r="Q47" s="231"/>
      <c r="R47" s="231"/>
      <c r="S47" s="231"/>
      <c r="T47" s="231"/>
      <c r="U47" s="231"/>
      <c r="V47" s="231"/>
      <c r="W47" s="231"/>
      <c r="X47" s="231"/>
      <c r="Y47" s="231"/>
    </row>
    <row r="48" spans="1:25" ht="16.5" hidden="1" customHeight="1" x14ac:dyDescent="0.2">
      <c r="A48" s="231"/>
      <c r="B48" s="224"/>
      <c r="C48" s="225"/>
      <c r="D48" s="225"/>
      <c r="E48" s="225"/>
      <c r="F48" s="177"/>
      <c r="G48" s="177"/>
      <c r="H48" s="177"/>
      <c r="I48" s="177"/>
      <c r="J48" s="223"/>
      <c r="K48" s="231"/>
      <c r="L48" s="231"/>
      <c r="M48" s="231"/>
      <c r="N48" s="231"/>
      <c r="O48" s="231"/>
      <c r="P48" s="231"/>
      <c r="Q48" s="231"/>
      <c r="R48" s="231"/>
      <c r="S48" s="231"/>
      <c r="T48" s="231"/>
      <c r="U48" s="231"/>
      <c r="V48" s="231"/>
      <c r="W48" s="231"/>
      <c r="X48" s="231"/>
      <c r="Y48" s="231"/>
    </row>
    <row r="49" spans="1:25" ht="16.5" hidden="1" customHeight="1" x14ac:dyDescent="0.2">
      <c r="A49" s="231"/>
      <c r="B49" s="224"/>
      <c r="C49" s="225"/>
      <c r="D49" s="225"/>
      <c r="E49" s="225"/>
      <c r="F49" s="177"/>
      <c r="G49" s="177"/>
      <c r="H49" s="177"/>
      <c r="I49" s="177"/>
      <c r="J49" s="223"/>
      <c r="K49" s="231"/>
      <c r="L49" s="231"/>
      <c r="M49" s="231"/>
      <c r="N49" s="231"/>
      <c r="O49" s="231"/>
      <c r="P49" s="231"/>
      <c r="Q49" s="231"/>
      <c r="R49" s="231"/>
      <c r="S49" s="231"/>
      <c r="T49" s="231"/>
      <c r="U49" s="231"/>
      <c r="V49" s="231"/>
      <c r="W49" s="231"/>
      <c r="X49" s="231"/>
      <c r="Y49" s="231"/>
    </row>
    <row r="50" spans="1:25" ht="16.5" hidden="1" customHeight="1" x14ac:dyDescent="0.2">
      <c r="A50" s="231"/>
      <c r="B50" s="224"/>
      <c r="C50" s="225"/>
      <c r="D50" s="225"/>
      <c r="E50" s="225"/>
      <c r="F50" s="177"/>
      <c r="G50" s="177"/>
      <c r="H50" s="177"/>
      <c r="I50" s="177"/>
      <c r="J50" s="223"/>
      <c r="K50" s="231"/>
      <c r="L50" s="231"/>
      <c r="M50" s="231"/>
      <c r="N50" s="231"/>
      <c r="O50" s="231"/>
      <c r="P50" s="231"/>
      <c r="Q50" s="231"/>
      <c r="R50" s="231"/>
      <c r="S50" s="231"/>
      <c r="T50" s="231"/>
      <c r="U50" s="231"/>
      <c r="V50" s="231"/>
      <c r="W50" s="231"/>
      <c r="X50" s="231"/>
      <c r="Y50" s="231"/>
    </row>
    <row r="51" spans="1:25" ht="16.5" hidden="1" customHeight="1" x14ac:dyDescent="0.2">
      <c r="A51" s="231"/>
      <c r="B51" s="224"/>
      <c r="C51" s="225"/>
      <c r="D51" s="225"/>
      <c r="E51" s="225"/>
      <c r="F51" s="177"/>
      <c r="G51" s="177"/>
      <c r="H51" s="177"/>
      <c r="I51" s="177"/>
      <c r="J51" s="223"/>
      <c r="K51" s="231"/>
      <c r="L51" s="231"/>
      <c r="M51" s="231"/>
      <c r="N51" s="231"/>
      <c r="O51" s="231"/>
      <c r="P51" s="231"/>
      <c r="Q51" s="231"/>
      <c r="R51" s="231"/>
      <c r="S51" s="231"/>
      <c r="T51" s="231"/>
      <c r="U51" s="231"/>
      <c r="V51" s="231"/>
      <c r="W51" s="231"/>
      <c r="X51" s="231"/>
      <c r="Y51" s="231"/>
    </row>
    <row r="52" spans="1:25" ht="16.5" hidden="1" customHeight="1" x14ac:dyDescent="0.2">
      <c r="A52" s="231"/>
      <c r="B52" s="224"/>
      <c r="C52" s="225"/>
      <c r="D52" s="225"/>
      <c r="E52" s="225"/>
      <c r="F52" s="177"/>
      <c r="G52" s="177"/>
      <c r="H52" s="177"/>
      <c r="I52" s="177"/>
      <c r="J52" s="223"/>
      <c r="K52" s="231"/>
      <c r="L52" s="231"/>
      <c r="M52" s="231"/>
      <c r="N52" s="231"/>
      <c r="O52" s="231"/>
      <c r="P52" s="231"/>
      <c r="Q52" s="231"/>
      <c r="R52" s="231"/>
      <c r="S52" s="231"/>
      <c r="T52" s="231"/>
      <c r="U52" s="231"/>
      <c r="V52" s="231"/>
      <c r="W52" s="231"/>
      <c r="X52" s="231"/>
      <c r="Y52" s="231"/>
    </row>
    <row r="53" spans="1:25" ht="16.5" hidden="1" customHeight="1" x14ac:dyDescent="0.2">
      <c r="A53" s="231"/>
      <c r="B53" s="224"/>
      <c r="C53" s="225"/>
      <c r="D53" s="225"/>
      <c r="E53" s="225"/>
      <c r="F53" s="177"/>
      <c r="G53" s="177"/>
      <c r="H53" s="177"/>
      <c r="I53" s="177"/>
      <c r="J53" s="223"/>
      <c r="K53" s="231"/>
      <c r="L53" s="231"/>
      <c r="M53" s="231"/>
      <c r="N53" s="231"/>
      <c r="O53" s="231"/>
      <c r="P53" s="231"/>
      <c r="Q53" s="231"/>
      <c r="R53" s="231"/>
      <c r="S53" s="231"/>
      <c r="T53" s="231"/>
      <c r="U53" s="231"/>
      <c r="V53" s="231"/>
      <c r="W53" s="231"/>
      <c r="X53" s="231"/>
      <c r="Y53" s="231"/>
    </row>
    <row r="54" spans="1:25" ht="16.5" hidden="1" customHeight="1" x14ac:dyDescent="0.2">
      <c r="A54" s="231"/>
      <c r="B54" s="224"/>
      <c r="C54" s="225"/>
      <c r="D54" s="225"/>
      <c r="E54" s="225"/>
      <c r="F54" s="177"/>
      <c r="G54" s="177"/>
      <c r="H54" s="177"/>
      <c r="I54" s="177"/>
      <c r="J54" s="223"/>
      <c r="K54" s="231"/>
      <c r="L54" s="231"/>
      <c r="M54" s="231"/>
      <c r="N54" s="231"/>
      <c r="O54" s="231"/>
      <c r="P54" s="231"/>
      <c r="Q54" s="231"/>
      <c r="R54" s="231"/>
      <c r="S54" s="231"/>
      <c r="T54" s="231"/>
      <c r="U54" s="231"/>
      <c r="V54" s="231"/>
      <c r="W54" s="231"/>
      <c r="X54" s="231"/>
      <c r="Y54" s="231"/>
    </row>
    <row r="55" spans="1:25" ht="16.5" hidden="1" customHeight="1" x14ac:dyDescent="0.2">
      <c r="A55" s="231"/>
      <c r="B55" s="224"/>
      <c r="C55" s="225"/>
      <c r="D55" s="225"/>
      <c r="E55" s="225"/>
      <c r="F55" s="177"/>
      <c r="G55" s="177"/>
      <c r="H55" s="177"/>
      <c r="I55" s="177"/>
      <c r="J55" s="223"/>
      <c r="K55" s="231"/>
      <c r="L55" s="231"/>
      <c r="M55" s="231"/>
      <c r="N55" s="231"/>
      <c r="O55" s="231"/>
      <c r="P55" s="231"/>
      <c r="Q55" s="231"/>
      <c r="R55" s="231"/>
      <c r="S55" s="231"/>
      <c r="T55" s="231"/>
      <c r="U55" s="231"/>
      <c r="V55" s="231"/>
      <c r="W55" s="231"/>
      <c r="X55" s="231"/>
      <c r="Y55" s="231"/>
    </row>
    <row r="56" spans="1:25" ht="16.5" hidden="1" customHeight="1" x14ac:dyDescent="0.2">
      <c r="A56" s="231"/>
      <c r="B56" s="224"/>
      <c r="C56" s="225"/>
      <c r="D56" s="225"/>
      <c r="E56" s="225"/>
      <c r="F56" s="177"/>
      <c r="G56" s="177"/>
      <c r="H56" s="177"/>
      <c r="I56" s="177"/>
      <c r="J56" s="223"/>
      <c r="K56" s="231"/>
      <c r="L56" s="231"/>
      <c r="M56" s="231"/>
      <c r="N56" s="231"/>
      <c r="O56" s="231"/>
      <c r="P56" s="231"/>
      <c r="Q56" s="231"/>
      <c r="R56" s="231"/>
      <c r="S56" s="231"/>
      <c r="T56" s="231"/>
      <c r="U56" s="231"/>
      <c r="V56" s="231"/>
      <c r="W56" s="231"/>
      <c r="X56" s="231"/>
      <c r="Y56" s="231"/>
    </row>
    <row r="57" spans="1:25" ht="16.5" hidden="1" customHeight="1" x14ac:dyDescent="0.2">
      <c r="A57" s="231"/>
      <c r="B57" s="224"/>
      <c r="C57" s="225"/>
      <c r="D57" s="225"/>
      <c r="E57" s="225"/>
      <c r="F57" s="177"/>
      <c r="G57" s="177"/>
      <c r="H57" s="177"/>
      <c r="I57" s="177"/>
      <c r="J57" s="223"/>
      <c r="K57" s="231"/>
      <c r="L57" s="231"/>
      <c r="M57" s="231"/>
      <c r="N57" s="231"/>
      <c r="O57" s="231"/>
      <c r="P57" s="231"/>
      <c r="Q57" s="231"/>
      <c r="R57" s="231"/>
      <c r="S57" s="231"/>
      <c r="T57" s="231"/>
      <c r="U57" s="231"/>
      <c r="V57" s="231"/>
      <c r="W57" s="231"/>
      <c r="X57" s="231"/>
      <c r="Y57" s="231"/>
    </row>
    <row r="58" spans="1:25" ht="16.5" hidden="1" customHeight="1" x14ac:dyDescent="0.2">
      <c r="A58" s="231"/>
      <c r="B58" s="224"/>
      <c r="C58" s="225"/>
      <c r="D58" s="225"/>
      <c r="E58" s="225"/>
      <c r="F58" s="177"/>
      <c r="G58" s="177"/>
      <c r="H58" s="177"/>
      <c r="I58" s="177"/>
      <c r="J58" s="223"/>
      <c r="K58" s="231"/>
      <c r="L58" s="231"/>
      <c r="M58" s="231"/>
      <c r="N58" s="231"/>
      <c r="O58" s="231"/>
      <c r="P58" s="231"/>
      <c r="Q58" s="231"/>
      <c r="R58" s="231"/>
      <c r="S58" s="231"/>
      <c r="T58" s="231"/>
      <c r="U58" s="231"/>
      <c r="V58" s="231"/>
      <c r="W58" s="231"/>
      <c r="X58" s="231"/>
      <c r="Y58" s="231"/>
    </row>
    <row r="59" spans="1:25" ht="15" hidden="1" customHeight="1" x14ac:dyDescent="0.2">
      <c r="A59" s="231"/>
      <c r="B59" s="224"/>
      <c r="C59" s="225"/>
      <c r="D59" s="225"/>
      <c r="E59" s="225"/>
      <c r="F59" s="177"/>
      <c r="G59" s="177"/>
      <c r="H59" s="177"/>
      <c r="I59" s="177"/>
      <c r="J59" s="223"/>
      <c r="K59" s="231"/>
      <c r="L59" s="231"/>
      <c r="M59" s="231"/>
      <c r="N59" s="231"/>
      <c r="O59" s="231"/>
      <c r="P59" s="231"/>
      <c r="Q59" s="231"/>
      <c r="R59" s="231"/>
      <c r="S59" s="231"/>
      <c r="T59" s="231"/>
      <c r="U59" s="231"/>
      <c r="V59" s="231"/>
      <c r="W59" s="231"/>
      <c r="X59" s="231"/>
      <c r="Y59" s="231"/>
    </row>
    <row r="60" spans="1:25" ht="15" hidden="1" customHeight="1" x14ac:dyDescent="0.2">
      <c r="A60" s="231"/>
      <c r="B60" s="224"/>
      <c r="C60" s="225"/>
      <c r="D60" s="225"/>
      <c r="E60" s="225"/>
      <c r="F60" s="177"/>
      <c r="G60" s="177"/>
      <c r="H60" s="177"/>
      <c r="I60" s="177"/>
      <c r="J60" s="223"/>
      <c r="K60" s="231"/>
      <c r="L60" s="231"/>
      <c r="M60" s="231"/>
      <c r="N60" s="231"/>
      <c r="O60" s="231"/>
      <c r="P60" s="231"/>
      <c r="Q60" s="231"/>
      <c r="R60" s="231"/>
      <c r="S60" s="231"/>
      <c r="T60" s="231"/>
      <c r="U60" s="231"/>
      <c r="V60" s="231"/>
      <c r="W60" s="231"/>
      <c r="X60" s="231"/>
      <c r="Y60" s="231"/>
    </row>
    <row r="61" spans="1:25" ht="15" hidden="1" customHeight="1" x14ac:dyDescent="0.2">
      <c r="A61" s="231"/>
      <c r="B61" s="224"/>
      <c r="C61" s="225"/>
      <c r="D61" s="225"/>
      <c r="E61" s="225"/>
      <c r="F61" s="177"/>
      <c r="G61" s="177"/>
      <c r="H61" s="177"/>
      <c r="I61" s="177"/>
      <c r="J61" s="223"/>
      <c r="K61" s="231"/>
      <c r="L61" s="231"/>
      <c r="M61" s="231"/>
      <c r="N61" s="231"/>
      <c r="O61" s="231"/>
      <c r="P61" s="231"/>
      <c r="Q61" s="231"/>
      <c r="R61" s="231"/>
      <c r="S61" s="231"/>
      <c r="T61" s="231"/>
      <c r="U61" s="231"/>
      <c r="V61" s="231"/>
      <c r="W61" s="231"/>
      <c r="X61" s="231"/>
      <c r="Y61" s="231"/>
    </row>
    <row r="62" spans="1:25" ht="15" hidden="1" customHeight="1" x14ac:dyDescent="0.2">
      <c r="A62" s="231"/>
      <c r="B62" s="224"/>
      <c r="C62" s="225"/>
      <c r="D62" s="225"/>
      <c r="E62" s="225"/>
      <c r="F62" s="177"/>
      <c r="G62" s="177"/>
      <c r="H62" s="177"/>
      <c r="I62" s="177"/>
      <c r="J62" s="223"/>
      <c r="K62" s="231"/>
      <c r="L62" s="231"/>
      <c r="M62" s="231"/>
      <c r="N62" s="231"/>
      <c r="O62" s="231"/>
      <c r="P62" s="231"/>
      <c r="Q62" s="231"/>
      <c r="R62" s="231"/>
      <c r="S62" s="231"/>
      <c r="T62" s="231"/>
      <c r="U62" s="231"/>
      <c r="V62" s="231"/>
      <c r="W62" s="231"/>
      <c r="X62" s="231"/>
      <c r="Y62" s="231"/>
    </row>
    <row r="63" spans="1:25" ht="15" hidden="1" customHeight="1" x14ac:dyDescent="0.2">
      <c r="A63" s="231"/>
      <c r="B63" s="224"/>
      <c r="C63" s="225"/>
      <c r="D63" s="225"/>
      <c r="E63" s="225"/>
      <c r="F63" s="177"/>
      <c r="G63" s="177"/>
      <c r="H63" s="177"/>
      <c r="I63" s="177"/>
      <c r="J63" s="223"/>
      <c r="K63" s="231"/>
      <c r="L63" s="231"/>
      <c r="M63" s="231"/>
      <c r="N63" s="231"/>
      <c r="O63" s="231"/>
      <c r="P63" s="231"/>
      <c r="Q63" s="231"/>
      <c r="R63" s="231"/>
      <c r="S63" s="231"/>
      <c r="T63" s="231"/>
      <c r="U63" s="231"/>
      <c r="V63" s="231"/>
      <c r="W63" s="231"/>
      <c r="X63" s="231"/>
      <c r="Y63" s="231"/>
    </row>
    <row r="64" spans="1:25" ht="15" hidden="1" customHeight="1" x14ac:dyDescent="0.2">
      <c r="A64" s="231"/>
      <c r="B64" s="224"/>
      <c r="C64" s="225"/>
      <c r="D64" s="225"/>
      <c r="E64" s="225"/>
      <c r="F64" s="177"/>
      <c r="G64" s="177"/>
      <c r="H64" s="177"/>
      <c r="I64" s="177"/>
      <c r="J64" s="223"/>
      <c r="K64" s="231"/>
      <c r="L64" s="231"/>
      <c r="M64" s="231"/>
      <c r="N64" s="231"/>
      <c r="O64" s="231"/>
      <c r="P64" s="231"/>
      <c r="Q64" s="231"/>
      <c r="R64" s="231"/>
      <c r="S64" s="231"/>
      <c r="T64" s="231"/>
      <c r="U64" s="231"/>
      <c r="V64" s="231"/>
      <c r="W64" s="231"/>
      <c r="X64" s="231"/>
      <c r="Y64" s="231"/>
    </row>
    <row r="65" spans="1:25" ht="15" hidden="1" customHeight="1" x14ac:dyDescent="0.2">
      <c r="A65" s="231"/>
      <c r="B65" s="224"/>
      <c r="C65" s="225"/>
      <c r="D65" s="225"/>
      <c r="E65" s="225"/>
      <c r="F65" s="177"/>
      <c r="G65" s="177"/>
      <c r="H65" s="177"/>
      <c r="I65" s="177"/>
      <c r="J65" s="223"/>
      <c r="K65" s="231"/>
      <c r="L65" s="231"/>
      <c r="M65" s="231"/>
      <c r="N65" s="231"/>
      <c r="O65" s="231"/>
      <c r="P65" s="231"/>
      <c r="Q65" s="231"/>
      <c r="R65" s="231"/>
      <c r="S65" s="231"/>
      <c r="T65" s="231"/>
      <c r="U65" s="231"/>
      <c r="V65" s="231"/>
      <c r="W65" s="231"/>
      <c r="X65" s="231"/>
      <c r="Y65" s="231"/>
    </row>
    <row r="66" spans="1:25" ht="15" hidden="1" customHeight="1" x14ac:dyDescent="0.2">
      <c r="A66" s="231"/>
      <c r="B66" s="224"/>
      <c r="C66" s="225"/>
      <c r="D66" s="225"/>
      <c r="E66" s="225"/>
      <c r="F66" s="177"/>
      <c r="G66" s="177"/>
      <c r="H66" s="177"/>
      <c r="I66" s="177"/>
      <c r="J66" s="223"/>
      <c r="K66" s="231"/>
      <c r="L66" s="231"/>
      <c r="M66" s="231"/>
      <c r="N66" s="231"/>
      <c r="O66" s="231"/>
      <c r="P66" s="231"/>
      <c r="Q66" s="231"/>
      <c r="R66" s="231"/>
      <c r="S66" s="231"/>
      <c r="T66" s="231"/>
      <c r="U66" s="231"/>
      <c r="V66" s="231"/>
      <c r="W66" s="231"/>
      <c r="X66" s="231"/>
      <c r="Y66" s="231"/>
    </row>
    <row r="67" spans="1:25" ht="15" hidden="1" customHeight="1" x14ac:dyDescent="0.2">
      <c r="A67" s="231"/>
      <c r="B67" s="224"/>
      <c r="C67" s="225"/>
      <c r="D67" s="225"/>
      <c r="E67" s="225"/>
      <c r="F67" s="177"/>
      <c r="G67" s="177"/>
      <c r="H67" s="177"/>
      <c r="I67" s="177"/>
      <c r="J67" s="223"/>
      <c r="K67" s="231"/>
      <c r="L67" s="231"/>
      <c r="M67" s="231"/>
      <c r="N67" s="231"/>
      <c r="O67" s="231"/>
      <c r="P67" s="231"/>
      <c r="Q67" s="231"/>
      <c r="R67" s="231"/>
      <c r="S67" s="231"/>
      <c r="T67" s="231"/>
      <c r="U67" s="231"/>
      <c r="V67" s="231"/>
      <c r="W67" s="231"/>
      <c r="X67" s="231"/>
      <c r="Y67" s="231"/>
    </row>
    <row r="68" spans="1:25" ht="15" hidden="1" customHeight="1" x14ac:dyDescent="0.2">
      <c r="A68" s="231"/>
      <c r="B68" s="224"/>
      <c r="C68" s="225"/>
      <c r="D68" s="225"/>
      <c r="E68" s="225"/>
      <c r="F68" s="177"/>
      <c r="G68" s="177"/>
      <c r="H68" s="177"/>
      <c r="I68" s="177"/>
      <c r="J68" s="223"/>
      <c r="K68" s="231"/>
      <c r="L68" s="231"/>
      <c r="M68" s="231"/>
      <c r="N68" s="231"/>
      <c r="O68" s="231"/>
      <c r="P68" s="231"/>
      <c r="Q68" s="231"/>
      <c r="R68" s="231"/>
      <c r="S68" s="231"/>
      <c r="T68" s="231"/>
      <c r="U68" s="231"/>
      <c r="V68" s="231"/>
      <c r="W68" s="231"/>
      <c r="X68" s="231"/>
      <c r="Y68" s="231"/>
    </row>
    <row r="69" spans="1:25" ht="15.75" hidden="1" customHeight="1" x14ac:dyDescent="0.2">
      <c r="A69" s="231"/>
      <c r="B69" s="224"/>
      <c r="C69" s="225"/>
      <c r="D69" s="225"/>
      <c r="E69" s="225"/>
      <c r="F69" s="177"/>
      <c r="G69" s="177"/>
      <c r="H69" s="177"/>
      <c r="I69" s="177"/>
      <c r="J69" s="223"/>
      <c r="K69" s="231"/>
      <c r="L69" s="231"/>
      <c r="M69" s="231"/>
      <c r="N69" s="231"/>
      <c r="O69" s="231"/>
      <c r="P69" s="231"/>
      <c r="Q69" s="231"/>
      <c r="R69" s="231"/>
      <c r="S69" s="231"/>
      <c r="T69" s="231"/>
      <c r="U69" s="231"/>
      <c r="V69" s="231"/>
      <c r="W69" s="231"/>
      <c r="X69" s="231"/>
      <c r="Y69" s="231"/>
    </row>
    <row r="70" spans="1:25" ht="15.75" hidden="1" customHeight="1" x14ac:dyDescent="0.2">
      <c r="A70" s="231"/>
      <c r="B70" s="224"/>
      <c r="C70" s="225"/>
      <c r="D70" s="225"/>
      <c r="E70" s="225"/>
      <c r="F70" s="177"/>
      <c r="G70" s="177"/>
      <c r="H70" s="177"/>
      <c r="I70" s="177"/>
      <c r="J70" s="223"/>
      <c r="K70" s="231"/>
      <c r="L70" s="231"/>
      <c r="M70" s="231"/>
      <c r="N70" s="231"/>
      <c r="O70" s="231"/>
      <c r="P70" s="231"/>
      <c r="Q70" s="231"/>
      <c r="R70" s="231"/>
      <c r="S70" s="231"/>
      <c r="T70" s="231"/>
      <c r="U70" s="231"/>
      <c r="V70" s="231"/>
      <c r="W70" s="231"/>
      <c r="X70" s="231"/>
      <c r="Y70" s="231"/>
    </row>
    <row r="71" spans="1:25" ht="15.75" hidden="1" customHeight="1" x14ac:dyDescent="0.2">
      <c r="A71" s="231"/>
      <c r="B71" s="224"/>
      <c r="C71" s="225"/>
      <c r="D71" s="225"/>
      <c r="E71" s="225"/>
      <c r="F71" s="177"/>
      <c r="G71" s="177"/>
      <c r="H71" s="177"/>
      <c r="I71" s="177"/>
      <c r="J71" s="223"/>
      <c r="K71" s="231"/>
      <c r="L71" s="231"/>
      <c r="M71" s="231"/>
      <c r="N71" s="231"/>
      <c r="O71" s="231"/>
      <c r="P71" s="231"/>
      <c r="Q71" s="231"/>
      <c r="R71" s="231"/>
      <c r="S71" s="231"/>
      <c r="T71" s="231"/>
      <c r="U71" s="231"/>
      <c r="V71" s="231"/>
      <c r="W71" s="231"/>
      <c r="X71" s="231"/>
      <c r="Y71" s="231"/>
    </row>
    <row r="72" spans="1:25" ht="15.75" hidden="1" customHeight="1" x14ac:dyDescent="0.2">
      <c r="A72" s="231"/>
      <c r="B72" s="224"/>
      <c r="C72" s="225"/>
      <c r="D72" s="225"/>
      <c r="E72" s="225"/>
      <c r="F72" s="177"/>
      <c r="G72" s="177"/>
      <c r="H72" s="177"/>
      <c r="I72" s="177"/>
      <c r="J72" s="223"/>
      <c r="K72" s="231"/>
      <c r="L72" s="231"/>
      <c r="M72" s="231"/>
      <c r="N72" s="231"/>
      <c r="O72" s="231"/>
      <c r="P72" s="231"/>
      <c r="Q72" s="231"/>
      <c r="R72" s="231"/>
      <c r="S72" s="231"/>
      <c r="T72" s="231"/>
      <c r="U72" s="231"/>
      <c r="V72" s="231"/>
      <c r="W72" s="231"/>
      <c r="X72" s="231"/>
      <c r="Y72" s="231"/>
    </row>
    <row r="73" spans="1:25" ht="15.75" hidden="1" customHeight="1" x14ac:dyDescent="0.2">
      <c r="A73" s="231"/>
      <c r="B73" s="224"/>
      <c r="C73" s="225"/>
      <c r="D73" s="225"/>
      <c r="E73" s="225"/>
      <c r="F73" s="177"/>
      <c r="G73" s="177"/>
      <c r="H73" s="177"/>
      <c r="I73" s="177"/>
      <c r="J73" s="223"/>
      <c r="K73" s="231"/>
      <c r="L73" s="231"/>
      <c r="M73" s="231"/>
      <c r="N73" s="231"/>
      <c r="O73" s="231"/>
      <c r="P73" s="231"/>
      <c r="Q73" s="231"/>
      <c r="R73" s="231"/>
      <c r="S73" s="231"/>
      <c r="T73" s="231"/>
      <c r="U73" s="231"/>
      <c r="V73" s="231"/>
      <c r="W73" s="231"/>
      <c r="X73" s="231"/>
      <c r="Y73" s="231"/>
    </row>
    <row r="74" spans="1:25" ht="15.75" hidden="1" customHeight="1" x14ac:dyDescent="0.2">
      <c r="A74" s="231"/>
      <c r="B74" s="224"/>
      <c r="C74" s="225"/>
      <c r="D74" s="225"/>
      <c r="E74" s="225"/>
      <c r="F74" s="177"/>
      <c r="G74" s="177"/>
      <c r="H74" s="177"/>
      <c r="I74" s="177"/>
      <c r="J74" s="223"/>
      <c r="K74" s="231"/>
      <c r="L74" s="231"/>
      <c r="M74" s="231"/>
      <c r="N74" s="231"/>
      <c r="O74" s="231"/>
      <c r="P74" s="231"/>
      <c r="Q74" s="231"/>
      <c r="R74" s="231"/>
      <c r="S74" s="231"/>
      <c r="T74" s="231"/>
      <c r="U74" s="231"/>
      <c r="V74" s="231"/>
      <c r="W74" s="231"/>
      <c r="X74" s="231"/>
      <c r="Y74" s="231"/>
    </row>
    <row r="75" spans="1:25" ht="15.75" hidden="1" customHeight="1" x14ac:dyDescent="0.2">
      <c r="A75" s="231"/>
      <c r="B75" s="224"/>
      <c r="C75" s="225"/>
      <c r="D75" s="225"/>
      <c r="E75" s="225"/>
      <c r="F75" s="177"/>
      <c r="G75" s="177"/>
      <c r="H75" s="177"/>
      <c r="I75" s="177"/>
      <c r="J75" s="223"/>
      <c r="K75" s="231"/>
      <c r="L75" s="231"/>
      <c r="M75" s="231"/>
      <c r="N75" s="231"/>
      <c r="O75" s="231"/>
      <c r="P75" s="231"/>
      <c r="Q75" s="231"/>
      <c r="R75" s="231"/>
      <c r="S75" s="231"/>
      <c r="T75" s="231"/>
      <c r="U75" s="231"/>
      <c r="V75" s="231"/>
      <c r="W75" s="231"/>
      <c r="X75" s="231"/>
      <c r="Y75" s="231"/>
    </row>
    <row r="76" spans="1:25" ht="15.75" hidden="1" customHeight="1" x14ac:dyDescent="0.2">
      <c r="A76" s="231"/>
      <c r="B76" s="224"/>
      <c r="C76" s="225"/>
      <c r="D76" s="225"/>
      <c r="E76" s="225"/>
      <c r="F76" s="177"/>
      <c r="G76" s="177"/>
      <c r="H76" s="177"/>
      <c r="I76" s="177"/>
      <c r="J76" s="223"/>
      <c r="K76" s="231"/>
      <c r="L76" s="231"/>
      <c r="M76" s="231"/>
      <c r="N76" s="231"/>
      <c r="O76" s="231"/>
      <c r="P76" s="231"/>
      <c r="Q76" s="231"/>
      <c r="R76" s="231"/>
      <c r="S76" s="231"/>
      <c r="T76" s="231"/>
      <c r="U76" s="231"/>
      <c r="V76" s="231"/>
      <c r="W76" s="231"/>
      <c r="X76" s="231"/>
      <c r="Y76" s="231"/>
    </row>
    <row r="77" spans="1:25" ht="15.75" hidden="1" customHeight="1" x14ac:dyDescent="0.2">
      <c r="A77" s="231"/>
      <c r="B77" s="224"/>
      <c r="C77" s="225"/>
      <c r="D77" s="225"/>
      <c r="E77" s="225"/>
      <c r="F77" s="177"/>
      <c r="G77" s="177"/>
      <c r="H77" s="177"/>
      <c r="I77" s="177"/>
      <c r="J77" s="223"/>
      <c r="K77" s="231"/>
      <c r="L77" s="231"/>
      <c r="M77" s="231"/>
      <c r="N77" s="231"/>
      <c r="O77" s="231"/>
      <c r="P77" s="231"/>
      <c r="Q77" s="231"/>
      <c r="R77" s="231"/>
      <c r="S77" s="231"/>
      <c r="T77" s="231"/>
      <c r="U77" s="231"/>
      <c r="V77" s="231"/>
      <c r="W77" s="231"/>
      <c r="X77" s="231"/>
      <c r="Y77" s="231"/>
    </row>
    <row r="78" spans="1:25" ht="15.75" hidden="1" customHeight="1" x14ac:dyDescent="0.2">
      <c r="A78" s="231"/>
      <c r="B78" s="224"/>
      <c r="C78" s="225"/>
      <c r="D78" s="225"/>
      <c r="E78" s="225"/>
      <c r="F78" s="177"/>
      <c r="G78" s="177"/>
      <c r="H78" s="177"/>
      <c r="I78" s="177"/>
      <c r="J78" s="223"/>
      <c r="K78" s="231"/>
      <c r="L78" s="231"/>
      <c r="M78" s="231"/>
      <c r="N78" s="231"/>
      <c r="O78" s="231"/>
      <c r="P78" s="231"/>
      <c r="Q78" s="231"/>
      <c r="R78" s="231"/>
      <c r="S78" s="231"/>
      <c r="T78" s="231"/>
      <c r="U78" s="231"/>
      <c r="V78" s="231"/>
      <c r="W78" s="231"/>
      <c r="X78" s="231"/>
      <c r="Y78" s="231"/>
    </row>
    <row r="79" spans="1:25" ht="15.75" hidden="1" customHeight="1" x14ac:dyDescent="0.2">
      <c r="A79" s="231"/>
      <c r="B79" s="224"/>
      <c r="C79" s="225"/>
      <c r="D79" s="225"/>
      <c r="E79" s="225"/>
      <c r="F79" s="177"/>
      <c r="G79" s="177"/>
      <c r="H79" s="177"/>
      <c r="I79" s="177"/>
      <c r="J79" s="223"/>
      <c r="K79" s="231"/>
      <c r="L79" s="231"/>
      <c r="M79" s="231"/>
      <c r="N79" s="231"/>
      <c r="O79" s="231"/>
      <c r="P79" s="231"/>
      <c r="Q79" s="231"/>
      <c r="R79" s="231"/>
      <c r="S79" s="231"/>
      <c r="T79" s="231"/>
      <c r="U79" s="231"/>
      <c r="V79" s="231"/>
      <c r="W79" s="231"/>
      <c r="X79" s="231"/>
      <c r="Y79" s="231"/>
    </row>
    <row r="80" spans="1:25" ht="15.75" hidden="1" customHeight="1" x14ac:dyDescent="0.2">
      <c r="A80" s="231"/>
      <c r="B80" s="224"/>
      <c r="C80" s="225"/>
      <c r="D80" s="225"/>
      <c r="E80" s="225"/>
      <c r="F80" s="177"/>
      <c r="G80" s="177"/>
      <c r="H80" s="177"/>
      <c r="I80" s="177"/>
      <c r="J80" s="223"/>
      <c r="K80" s="231"/>
      <c r="L80" s="231"/>
      <c r="M80" s="231"/>
      <c r="N80" s="231"/>
      <c r="O80" s="231"/>
      <c r="P80" s="231"/>
      <c r="Q80" s="231"/>
      <c r="R80" s="231"/>
      <c r="S80" s="231"/>
      <c r="T80" s="231"/>
      <c r="U80" s="231"/>
      <c r="V80" s="231"/>
      <c r="W80" s="231"/>
      <c r="X80" s="231"/>
      <c r="Y80" s="231"/>
    </row>
    <row r="81" spans="1:25" ht="15.75" hidden="1" customHeight="1" x14ac:dyDescent="0.2">
      <c r="A81" s="231"/>
      <c r="B81" s="224"/>
      <c r="C81" s="225"/>
      <c r="D81" s="225"/>
      <c r="E81" s="225"/>
      <c r="F81" s="177"/>
      <c r="G81" s="177"/>
      <c r="H81" s="177"/>
      <c r="I81" s="177"/>
      <c r="J81" s="223"/>
      <c r="K81" s="231"/>
      <c r="L81" s="231"/>
      <c r="M81" s="231"/>
      <c r="N81" s="231"/>
      <c r="O81" s="231"/>
      <c r="P81" s="231"/>
      <c r="Q81" s="231"/>
      <c r="R81" s="231"/>
      <c r="S81" s="231"/>
      <c r="T81" s="231"/>
      <c r="U81" s="231"/>
      <c r="V81" s="231"/>
      <c r="W81" s="231"/>
      <c r="X81" s="231"/>
      <c r="Y81" s="231"/>
    </row>
    <row r="82" spans="1:25" ht="15.75" hidden="1" customHeight="1" x14ac:dyDescent="0.2">
      <c r="A82" s="231"/>
      <c r="B82" s="224"/>
      <c r="C82" s="225"/>
      <c r="D82" s="225"/>
      <c r="E82" s="225"/>
      <c r="F82" s="177"/>
      <c r="G82" s="177"/>
      <c r="H82" s="177"/>
      <c r="I82" s="177"/>
      <c r="J82" s="223"/>
      <c r="K82" s="231"/>
      <c r="L82" s="231"/>
      <c r="M82" s="231"/>
      <c r="N82" s="231"/>
      <c r="O82" s="231"/>
      <c r="P82" s="231"/>
      <c r="Q82" s="231"/>
      <c r="R82" s="231"/>
      <c r="S82" s="231"/>
      <c r="T82" s="231"/>
      <c r="U82" s="231"/>
      <c r="V82" s="231"/>
      <c r="W82" s="231"/>
      <c r="X82" s="231"/>
      <c r="Y82" s="231"/>
    </row>
    <row r="83" spans="1:25" ht="15.75" hidden="1" customHeight="1" x14ac:dyDescent="0.2">
      <c r="A83" s="231"/>
      <c r="B83" s="224"/>
      <c r="C83" s="225"/>
      <c r="D83" s="225"/>
      <c r="E83" s="225"/>
      <c r="F83" s="177"/>
      <c r="G83" s="177"/>
      <c r="H83" s="177"/>
      <c r="I83" s="177"/>
      <c r="J83" s="223"/>
      <c r="K83" s="231"/>
      <c r="L83" s="231"/>
      <c r="M83" s="231"/>
      <c r="N83" s="231"/>
      <c r="O83" s="231"/>
      <c r="P83" s="231"/>
      <c r="Q83" s="231"/>
      <c r="R83" s="231"/>
      <c r="S83" s="231"/>
      <c r="T83" s="231"/>
      <c r="U83" s="231"/>
      <c r="V83" s="231"/>
      <c r="W83" s="231"/>
      <c r="X83" s="231"/>
      <c r="Y83" s="231"/>
    </row>
    <row r="84" spans="1:25" ht="15.75" hidden="1" customHeight="1" x14ac:dyDescent="0.2">
      <c r="A84" s="231"/>
      <c r="B84" s="224"/>
      <c r="C84" s="225"/>
      <c r="D84" s="225"/>
      <c r="E84" s="225"/>
      <c r="F84" s="177"/>
      <c r="G84" s="177"/>
      <c r="H84" s="177"/>
      <c r="I84" s="177"/>
      <c r="J84" s="223"/>
      <c r="K84" s="231"/>
      <c r="L84" s="231"/>
      <c r="M84" s="231"/>
      <c r="N84" s="231"/>
      <c r="O84" s="231"/>
      <c r="P84" s="231"/>
      <c r="Q84" s="231"/>
      <c r="R84" s="231"/>
      <c r="S84" s="231"/>
      <c r="T84" s="231"/>
      <c r="U84" s="231"/>
      <c r="V84" s="231"/>
      <c r="W84" s="231"/>
      <c r="X84" s="231"/>
      <c r="Y84" s="231"/>
    </row>
    <row r="85" spans="1:25" ht="15.75" hidden="1" customHeight="1" x14ac:dyDescent="0.2">
      <c r="A85" s="231"/>
      <c r="B85" s="224"/>
      <c r="C85" s="225"/>
      <c r="D85" s="225"/>
      <c r="E85" s="225"/>
      <c r="F85" s="177"/>
      <c r="G85" s="177"/>
      <c r="H85" s="177"/>
      <c r="I85" s="177"/>
      <c r="J85" s="223"/>
      <c r="K85" s="231"/>
      <c r="L85" s="231"/>
      <c r="M85" s="231"/>
      <c r="N85" s="231"/>
      <c r="O85" s="231"/>
      <c r="P85" s="231"/>
      <c r="Q85" s="231"/>
      <c r="R85" s="231"/>
      <c r="S85" s="231"/>
      <c r="T85" s="231"/>
      <c r="U85" s="231"/>
      <c r="V85" s="231"/>
      <c r="W85" s="231"/>
      <c r="X85" s="231"/>
      <c r="Y85" s="231"/>
    </row>
    <row r="86" spans="1:25" ht="15.75" hidden="1" customHeight="1" x14ac:dyDescent="0.2">
      <c r="A86" s="231"/>
      <c r="B86" s="224"/>
      <c r="C86" s="225"/>
      <c r="D86" s="225"/>
      <c r="E86" s="225"/>
      <c r="F86" s="177"/>
      <c r="G86" s="177"/>
      <c r="H86" s="177"/>
      <c r="I86" s="177"/>
      <c r="J86" s="223"/>
      <c r="K86" s="231"/>
      <c r="L86" s="231"/>
      <c r="M86" s="231"/>
      <c r="N86" s="231"/>
      <c r="O86" s="231"/>
      <c r="P86" s="231"/>
      <c r="Q86" s="231"/>
      <c r="R86" s="231"/>
      <c r="S86" s="231"/>
      <c r="T86" s="231"/>
      <c r="U86" s="231"/>
      <c r="V86" s="231"/>
      <c r="W86" s="231"/>
      <c r="X86" s="231"/>
      <c r="Y86" s="231"/>
    </row>
    <row r="87" spans="1:25" ht="15.75" hidden="1" customHeight="1" x14ac:dyDescent="0.2">
      <c r="A87" s="231"/>
      <c r="B87" s="224"/>
      <c r="C87" s="225"/>
      <c r="D87" s="225"/>
      <c r="E87" s="225"/>
      <c r="F87" s="177"/>
      <c r="G87" s="177"/>
      <c r="H87" s="177"/>
      <c r="I87" s="177"/>
      <c r="J87" s="223"/>
      <c r="K87" s="231"/>
      <c r="L87" s="231"/>
      <c r="M87" s="231"/>
      <c r="N87" s="231"/>
      <c r="O87" s="231"/>
      <c r="P87" s="231"/>
      <c r="Q87" s="231"/>
      <c r="R87" s="231"/>
      <c r="S87" s="231"/>
      <c r="T87" s="231"/>
      <c r="U87" s="231"/>
      <c r="V87" s="231"/>
      <c r="W87" s="231"/>
      <c r="X87" s="231"/>
      <c r="Y87" s="231"/>
    </row>
    <row r="88" spans="1:25" ht="15.75" hidden="1" customHeight="1" x14ac:dyDescent="0.2">
      <c r="A88" s="231"/>
      <c r="B88" s="224"/>
      <c r="C88" s="225"/>
      <c r="D88" s="225"/>
      <c r="E88" s="225"/>
      <c r="F88" s="177"/>
      <c r="G88" s="177"/>
      <c r="H88" s="177"/>
      <c r="I88" s="177"/>
      <c r="J88" s="223"/>
      <c r="K88" s="231"/>
      <c r="L88" s="231"/>
      <c r="M88" s="231"/>
      <c r="N88" s="231"/>
      <c r="O88" s="231"/>
      <c r="P88" s="231"/>
      <c r="Q88" s="231"/>
      <c r="R88" s="231"/>
      <c r="S88" s="231"/>
      <c r="T88" s="231"/>
      <c r="U88" s="231"/>
      <c r="V88" s="231"/>
      <c r="W88" s="231"/>
      <c r="X88" s="231"/>
      <c r="Y88" s="231"/>
    </row>
    <row r="89" spans="1:25" ht="15.75" hidden="1" customHeight="1" x14ac:dyDescent="0.2">
      <c r="A89" s="231"/>
      <c r="B89" s="224"/>
      <c r="C89" s="225"/>
      <c r="D89" s="225"/>
      <c r="E89" s="225"/>
      <c r="F89" s="177"/>
      <c r="G89" s="177"/>
      <c r="H89" s="177"/>
      <c r="I89" s="177"/>
      <c r="J89" s="223"/>
      <c r="K89" s="231"/>
      <c r="L89" s="231"/>
      <c r="M89" s="231"/>
      <c r="N89" s="231"/>
      <c r="O89" s="231"/>
      <c r="P89" s="231"/>
      <c r="Q89" s="231"/>
      <c r="R89" s="231"/>
      <c r="S89" s="231"/>
      <c r="T89" s="231"/>
      <c r="U89" s="231"/>
      <c r="V89" s="231"/>
      <c r="W89" s="231"/>
      <c r="X89" s="231"/>
      <c r="Y89" s="231"/>
    </row>
    <row r="90" spans="1:25" ht="15.75" hidden="1" customHeight="1" x14ac:dyDescent="0.2">
      <c r="A90" s="231"/>
      <c r="B90" s="224"/>
      <c r="C90" s="225"/>
      <c r="D90" s="225"/>
      <c r="E90" s="225"/>
      <c r="F90" s="177"/>
      <c r="G90" s="177"/>
      <c r="H90" s="177"/>
      <c r="I90" s="177"/>
      <c r="J90" s="223"/>
      <c r="K90" s="231"/>
      <c r="L90" s="231"/>
      <c r="M90" s="231"/>
      <c r="N90" s="231"/>
      <c r="O90" s="231"/>
      <c r="P90" s="231"/>
      <c r="Q90" s="231"/>
      <c r="R90" s="231"/>
      <c r="S90" s="231"/>
      <c r="T90" s="231"/>
      <c r="U90" s="231"/>
      <c r="V90" s="231"/>
      <c r="W90" s="231"/>
      <c r="X90" s="231"/>
      <c r="Y90" s="231"/>
    </row>
    <row r="91" spans="1:25" ht="15.75" hidden="1" customHeight="1" x14ac:dyDescent="0.2">
      <c r="A91" s="231"/>
      <c r="B91" s="224"/>
      <c r="C91" s="225"/>
      <c r="D91" s="225"/>
      <c r="E91" s="225"/>
      <c r="F91" s="177"/>
      <c r="G91" s="177"/>
      <c r="H91" s="177"/>
      <c r="I91" s="177"/>
      <c r="J91" s="223"/>
      <c r="K91" s="231"/>
      <c r="L91" s="231"/>
      <c r="M91" s="231"/>
      <c r="N91" s="231"/>
      <c r="O91" s="231"/>
      <c r="P91" s="231"/>
      <c r="Q91" s="231"/>
      <c r="R91" s="231"/>
      <c r="S91" s="231"/>
      <c r="T91" s="231"/>
      <c r="U91" s="231"/>
      <c r="V91" s="231"/>
      <c r="W91" s="231"/>
      <c r="X91" s="231"/>
      <c r="Y91" s="231"/>
    </row>
    <row r="92" spans="1:25" ht="15.75" hidden="1" customHeight="1" x14ac:dyDescent="0.2">
      <c r="A92" s="231"/>
      <c r="B92" s="224"/>
      <c r="C92" s="225"/>
      <c r="D92" s="225"/>
      <c r="E92" s="225"/>
      <c r="F92" s="177"/>
      <c r="G92" s="177"/>
      <c r="H92" s="177"/>
      <c r="I92" s="177"/>
      <c r="J92" s="223"/>
      <c r="K92" s="231"/>
      <c r="L92" s="231"/>
      <c r="M92" s="231"/>
      <c r="N92" s="231"/>
      <c r="O92" s="231"/>
      <c r="P92" s="231"/>
      <c r="Q92" s="231"/>
      <c r="R92" s="231"/>
      <c r="S92" s="231"/>
      <c r="T92" s="231"/>
      <c r="U92" s="231"/>
      <c r="V92" s="231"/>
      <c r="W92" s="231"/>
      <c r="X92" s="231"/>
      <c r="Y92" s="231"/>
    </row>
    <row r="93" spans="1:25" ht="15.75" hidden="1" customHeight="1" x14ac:dyDescent="0.2">
      <c r="A93" s="231"/>
      <c r="B93" s="224"/>
      <c r="C93" s="225"/>
      <c r="D93" s="225"/>
      <c r="E93" s="225"/>
      <c r="F93" s="177"/>
      <c r="G93" s="177"/>
      <c r="H93" s="177"/>
      <c r="I93" s="177"/>
      <c r="J93" s="223"/>
      <c r="K93" s="231"/>
      <c r="L93" s="231"/>
      <c r="M93" s="231"/>
      <c r="N93" s="231"/>
      <c r="O93" s="231"/>
      <c r="P93" s="231"/>
      <c r="Q93" s="231"/>
      <c r="R93" s="231"/>
      <c r="S93" s="231"/>
      <c r="T93" s="231"/>
      <c r="U93" s="231"/>
      <c r="V93" s="231"/>
      <c r="W93" s="231"/>
      <c r="X93" s="231"/>
      <c r="Y93" s="231"/>
    </row>
    <row r="94" spans="1:25" ht="15.75" hidden="1" customHeight="1" x14ac:dyDescent="0.2">
      <c r="A94" s="231"/>
      <c r="B94" s="224"/>
      <c r="C94" s="225"/>
      <c r="D94" s="225"/>
      <c r="E94" s="225"/>
      <c r="F94" s="177"/>
      <c r="G94" s="177"/>
      <c r="H94" s="177"/>
      <c r="I94" s="177"/>
      <c r="J94" s="223"/>
      <c r="K94" s="231"/>
      <c r="L94" s="231"/>
      <c r="M94" s="231"/>
      <c r="N94" s="231"/>
      <c r="O94" s="231"/>
      <c r="P94" s="231"/>
      <c r="Q94" s="231"/>
      <c r="R94" s="231"/>
      <c r="S94" s="231"/>
      <c r="T94" s="231"/>
      <c r="U94" s="231"/>
      <c r="V94" s="231"/>
      <c r="W94" s="231"/>
      <c r="X94" s="231"/>
      <c r="Y94" s="231"/>
    </row>
    <row r="95" spans="1:25" ht="15.75" hidden="1" customHeight="1" x14ac:dyDescent="0.2">
      <c r="A95" s="231"/>
      <c r="B95" s="224"/>
      <c r="C95" s="225"/>
      <c r="D95" s="225"/>
      <c r="E95" s="225"/>
      <c r="F95" s="177"/>
      <c r="G95" s="177"/>
      <c r="H95" s="177"/>
      <c r="I95" s="177"/>
      <c r="J95" s="223"/>
      <c r="K95" s="231"/>
      <c r="L95" s="231"/>
      <c r="M95" s="231"/>
      <c r="N95" s="231"/>
      <c r="O95" s="231"/>
      <c r="P95" s="231"/>
      <c r="Q95" s="231"/>
      <c r="R95" s="231"/>
      <c r="S95" s="231"/>
      <c r="T95" s="231"/>
      <c r="U95" s="231"/>
      <c r="V95" s="231"/>
      <c r="W95" s="231"/>
      <c r="X95" s="231"/>
      <c r="Y95" s="231"/>
    </row>
    <row r="96" spans="1:25" ht="15.75" hidden="1" customHeight="1" x14ac:dyDescent="0.2">
      <c r="A96" s="231"/>
      <c r="B96" s="224"/>
      <c r="C96" s="225"/>
      <c r="D96" s="225"/>
      <c r="E96" s="225"/>
      <c r="F96" s="177"/>
      <c r="G96" s="177"/>
      <c r="H96" s="177"/>
      <c r="I96" s="177"/>
      <c r="J96" s="223"/>
      <c r="K96" s="231"/>
      <c r="L96" s="231"/>
      <c r="M96" s="231"/>
      <c r="N96" s="231"/>
      <c r="O96" s="231"/>
      <c r="P96" s="231"/>
      <c r="Q96" s="231"/>
      <c r="R96" s="231"/>
      <c r="S96" s="231"/>
      <c r="T96" s="231"/>
      <c r="U96" s="231"/>
      <c r="V96" s="231"/>
      <c r="W96" s="231"/>
      <c r="X96" s="231"/>
      <c r="Y96" s="231"/>
    </row>
    <row r="97" spans="1:25" ht="15.75" hidden="1" customHeight="1" x14ac:dyDescent="0.2">
      <c r="A97" s="231"/>
      <c r="B97" s="224"/>
      <c r="C97" s="225"/>
      <c r="D97" s="225"/>
      <c r="E97" s="225"/>
      <c r="F97" s="177"/>
      <c r="G97" s="177"/>
      <c r="H97" s="177"/>
      <c r="I97" s="177"/>
      <c r="J97" s="223"/>
      <c r="K97" s="231"/>
      <c r="L97" s="231"/>
      <c r="M97" s="231"/>
      <c r="N97" s="231"/>
      <c r="O97" s="231"/>
      <c r="P97" s="231"/>
      <c r="Q97" s="231"/>
      <c r="R97" s="231"/>
      <c r="S97" s="231"/>
      <c r="T97" s="231"/>
      <c r="U97" s="231"/>
      <c r="V97" s="231"/>
      <c r="W97" s="231"/>
      <c r="X97" s="231"/>
      <c r="Y97" s="231"/>
    </row>
    <row r="98" spans="1:25" ht="15.75" hidden="1" customHeight="1" x14ac:dyDescent="0.2">
      <c r="A98" s="231"/>
      <c r="B98" s="224"/>
      <c r="C98" s="225"/>
      <c r="D98" s="225"/>
      <c r="E98" s="225"/>
      <c r="F98" s="177"/>
      <c r="G98" s="177"/>
      <c r="H98" s="177"/>
      <c r="I98" s="177"/>
      <c r="J98" s="223"/>
      <c r="K98" s="231"/>
      <c r="L98" s="231"/>
      <c r="M98" s="231"/>
      <c r="N98" s="231"/>
      <c r="O98" s="231"/>
      <c r="P98" s="231"/>
      <c r="Q98" s="231"/>
      <c r="R98" s="231"/>
      <c r="S98" s="231"/>
      <c r="T98" s="231"/>
      <c r="U98" s="231"/>
      <c r="V98" s="231"/>
      <c r="W98" s="231"/>
      <c r="X98" s="231"/>
      <c r="Y98" s="231"/>
    </row>
    <row r="99" spans="1:25" ht="15.75" hidden="1" customHeight="1" x14ac:dyDescent="0.2">
      <c r="A99" s="231"/>
      <c r="B99" s="224"/>
      <c r="C99" s="225"/>
      <c r="D99" s="225"/>
      <c r="E99" s="225"/>
      <c r="F99" s="177"/>
      <c r="G99" s="177"/>
      <c r="H99" s="177"/>
      <c r="I99" s="177"/>
      <c r="J99" s="223"/>
      <c r="K99" s="231"/>
      <c r="L99" s="231"/>
      <c r="M99" s="231"/>
      <c r="N99" s="231"/>
      <c r="O99" s="231"/>
      <c r="P99" s="231"/>
      <c r="Q99" s="231"/>
      <c r="R99" s="231"/>
      <c r="S99" s="231"/>
      <c r="T99" s="231"/>
      <c r="U99" s="231"/>
      <c r="V99" s="231"/>
      <c r="W99" s="231"/>
      <c r="X99" s="231"/>
      <c r="Y99" s="231"/>
    </row>
    <row r="100" spans="1:25" ht="15.75" hidden="1" customHeight="1" x14ac:dyDescent="0.2">
      <c r="A100" s="231"/>
      <c r="B100" s="224"/>
      <c r="C100" s="225"/>
      <c r="D100" s="225"/>
      <c r="E100" s="225"/>
      <c r="F100" s="177"/>
      <c r="G100" s="177"/>
      <c r="H100" s="177"/>
      <c r="I100" s="177"/>
      <c r="J100" s="223"/>
      <c r="K100" s="231"/>
      <c r="L100" s="231"/>
      <c r="M100" s="231"/>
      <c r="N100" s="231"/>
      <c r="O100" s="231"/>
      <c r="P100" s="231"/>
      <c r="Q100" s="231"/>
      <c r="R100" s="231"/>
      <c r="S100" s="231"/>
      <c r="T100" s="231"/>
      <c r="U100" s="231"/>
      <c r="V100" s="231"/>
      <c r="W100" s="231"/>
      <c r="X100" s="231"/>
      <c r="Y100" s="231"/>
    </row>
    <row r="101" spans="1:25" ht="15.75" hidden="1" customHeight="1" x14ac:dyDescent="0.2">
      <c r="A101" s="231"/>
      <c r="B101" s="224"/>
      <c r="C101" s="225"/>
      <c r="D101" s="225"/>
      <c r="E101" s="225"/>
      <c r="F101" s="177"/>
      <c r="G101" s="177"/>
      <c r="H101" s="177"/>
      <c r="I101" s="177"/>
      <c r="J101" s="223"/>
      <c r="K101" s="231"/>
      <c r="L101" s="231"/>
      <c r="M101" s="231"/>
      <c r="N101" s="231"/>
      <c r="O101" s="231"/>
      <c r="P101" s="231"/>
      <c r="Q101" s="231"/>
      <c r="R101" s="231"/>
      <c r="S101" s="231"/>
      <c r="T101" s="231"/>
      <c r="U101" s="231"/>
      <c r="V101" s="231"/>
      <c r="W101" s="231"/>
      <c r="X101" s="231"/>
      <c r="Y101" s="231"/>
    </row>
    <row r="102" spans="1:25" ht="15.75" hidden="1" customHeight="1" x14ac:dyDescent="0.2">
      <c r="A102" s="231"/>
      <c r="B102" s="224"/>
      <c r="C102" s="225"/>
      <c r="D102" s="225"/>
      <c r="E102" s="225"/>
      <c r="F102" s="177"/>
      <c r="G102" s="177"/>
      <c r="H102" s="177"/>
      <c r="I102" s="177"/>
      <c r="J102" s="223"/>
      <c r="K102" s="231"/>
      <c r="L102" s="231"/>
      <c r="M102" s="231"/>
      <c r="N102" s="231"/>
      <c r="O102" s="231"/>
      <c r="P102" s="231"/>
      <c r="Q102" s="231"/>
      <c r="R102" s="231"/>
      <c r="S102" s="231"/>
      <c r="T102" s="231"/>
      <c r="U102" s="231"/>
      <c r="V102" s="231"/>
      <c r="W102" s="231"/>
      <c r="X102" s="231"/>
      <c r="Y102" s="231"/>
    </row>
    <row r="103" spans="1:25" ht="15.75" hidden="1" customHeight="1" x14ac:dyDescent="0.2">
      <c r="A103" s="231"/>
      <c r="B103" s="224"/>
      <c r="C103" s="225"/>
      <c r="D103" s="225"/>
      <c r="E103" s="225"/>
      <c r="F103" s="177"/>
      <c r="G103" s="177"/>
      <c r="H103" s="177"/>
      <c r="I103" s="177"/>
      <c r="J103" s="223"/>
      <c r="K103" s="231"/>
      <c r="L103" s="231"/>
      <c r="M103" s="231"/>
      <c r="N103" s="231"/>
      <c r="O103" s="231"/>
      <c r="P103" s="231"/>
      <c r="Q103" s="231"/>
      <c r="R103" s="231"/>
      <c r="S103" s="231"/>
      <c r="T103" s="231"/>
      <c r="U103" s="231"/>
      <c r="V103" s="231"/>
      <c r="W103" s="231"/>
      <c r="X103" s="231"/>
      <c r="Y103" s="231"/>
    </row>
    <row r="104" spans="1:25" ht="15.75" hidden="1" customHeight="1" x14ac:dyDescent="0.2">
      <c r="A104" s="231"/>
      <c r="B104" s="224"/>
      <c r="C104" s="225"/>
      <c r="D104" s="225"/>
      <c r="E104" s="225"/>
      <c r="F104" s="177"/>
      <c r="G104" s="177"/>
      <c r="H104" s="177"/>
      <c r="I104" s="177"/>
      <c r="J104" s="223"/>
      <c r="K104" s="231"/>
      <c r="L104" s="231"/>
      <c r="M104" s="231"/>
      <c r="N104" s="231"/>
      <c r="O104" s="231"/>
      <c r="P104" s="231"/>
      <c r="Q104" s="231"/>
      <c r="R104" s="231"/>
      <c r="S104" s="231"/>
      <c r="T104" s="231"/>
      <c r="U104" s="231"/>
      <c r="V104" s="231"/>
      <c r="W104" s="231"/>
      <c r="X104" s="231"/>
      <c r="Y104" s="231"/>
    </row>
    <row r="105" spans="1:25" ht="15.75" hidden="1" customHeight="1" x14ac:dyDescent="0.2">
      <c r="A105" s="231"/>
      <c r="B105" s="224"/>
      <c r="C105" s="225"/>
      <c r="D105" s="225"/>
      <c r="E105" s="225"/>
      <c r="F105" s="177"/>
      <c r="G105" s="177"/>
      <c r="H105" s="177"/>
      <c r="I105" s="177"/>
      <c r="J105" s="223"/>
      <c r="K105" s="231"/>
      <c r="L105" s="231"/>
      <c r="M105" s="231"/>
      <c r="N105" s="231"/>
      <c r="O105" s="231"/>
      <c r="P105" s="231"/>
      <c r="Q105" s="231"/>
      <c r="R105" s="231"/>
      <c r="S105" s="231"/>
      <c r="T105" s="231"/>
      <c r="U105" s="231"/>
      <c r="V105" s="231"/>
      <c r="W105" s="231"/>
      <c r="X105" s="231"/>
      <c r="Y105" s="231"/>
    </row>
    <row r="106" spans="1:25" ht="15.75" hidden="1" customHeight="1" x14ac:dyDescent="0.2">
      <c r="A106" s="231"/>
      <c r="B106" s="224"/>
      <c r="C106" s="225"/>
      <c r="D106" s="225"/>
      <c r="E106" s="225"/>
      <c r="F106" s="177"/>
      <c r="G106" s="177"/>
      <c r="H106" s="177"/>
      <c r="I106" s="177"/>
      <c r="J106" s="223"/>
      <c r="K106" s="231"/>
      <c r="L106" s="231"/>
      <c r="M106" s="231"/>
      <c r="N106" s="231"/>
      <c r="O106" s="231"/>
      <c r="P106" s="231"/>
      <c r="Q106" s="231"/>
      <c r="R106" s="231"/>
      <c r="S106" s="231"/>
      <c r="T106" s="231"/>
      <c r="U106" s="231"/>
      <c r="V106" s="231"/>
      <c r="W106" s="231"/>
      <c r="X106" s="231"/>
      <c r="Y106" s="231"/>
    </row>
    <row r="107" spans="1:25" ht="15.75" hidden="1" customHeight="1" x14ac:dyDescent="0.2">
      <c r="A107" s="231"/>
      <c r="B107" s="224"/>
      <c r="C107" s="225"/>
      <c r="D107" s="225"/>
      <c r="E107" s="225"/>
      <c r="F107" s="177"/>
      <c r="G107" s="177"/>
      <c r="H107" s="177"/>
      <c r="I107" s="177"/>
      <c r="J107" s="223"/>
      <c r="K107" s="231"/>
      <c r="L107" s="231"/>
      <c r="M107" s="231"/>
      <c r="N107" s="231"/>
      <c r="O107" s="231"/>
      <c r="P107" s="231"/>
      <c r="Q107" s="231"/>
      <c r="R107" s="231"/>
      <c r="S107" s="231"/>
      <c r="T107" s="231"/>
      <c r="U107" s="231"/>
      <c r="V107" s="231"/>
      <c r="W107" s="231"/>
      <c r="X107" s="231"/>
      <c r="Y107" s="231"/>
    </row>
    <row r="108" spans="1:25" ht="15.75" hidden="1" customHeight="1" x14ac:dyDescent="0.2">
      <c r="A108" s="231"/>
      <c r="B108" s="224"/>
      <c r="C108" s="225"/>
      <c r="D108" s="225"/>
      <c r="E108" s="225"/>
      <c r="F108" s="177"/>
      <c r="G108" s="177"/>
      <c r="H108" s="177"/>
      <c r="I108" s="177"/>
      <c r="J108" s="223"/>
      <c r="K108" s="231"/>
      <c r="L108" s="231"/>
      <c r="M108" s="231"/>
      <c r="N108" s="231"/>
      <c r="O108" s="231"/>
      <c r="P108" s="231"/>
      <c r="Q108" s="231"/>
      <c r="R108" s="231"/>
      <c r="S108" s="231"/>
      <c r="T108" s="231"/>
      <c r="U108" s="231"/>
      <c r="V108" s="231"/>
      <c r="W108" s="231"/>
      <c r="X108" s="231"/>
      <c r="Y108" s="231"/>
    </row>
    <row r="109" spans="1:25" ht="15.75" hidden="1" customHeight="1" x14ac:dyDescent="0.2">
      <c r="A109" s="231"/>
      <c r="B109" s="224"/>
      <c r="C109" s="225"/>
      <c r="D109" s="225"/>
      <c r="E109" s="225"/>
      <c r="F109" s="177"/>
      <c r="G109" s="177"/>
      <c r="H109" s="177"/>
      <c r="I109" s="177"/>
      <c r="J109" s="223"/>
      <c r="K109" s="231"/>
      <c r="L109" s="231"/>
      <c r="M109" s="231"/>
      <c r="N109" s="231"/>
      <c r="O109" s="231"/>
      <c r="P109" s="231"/>
      <c r="Q109" s="231"/>
      <c r="R109" s="231"/>
      <c r="S109" s="231"/>
      <c r="T109" s="231"/>
      <c r="U109" s="231"/>
      <c r="V109" s="231"/>
      <c r="W109" s="231"/>
      <c r="X109" s="231"/>
      <c r="Y109" s="231"/>
    </row>
    <row r="110" spans="1:25" ht="15.75" hidden="1" customHeight="1" x14ac:dyDescent="0.2">
      <c r="A110" s="231"/>
      <c r="B110" s="224"/>
      <c r="C110" s="225"/>
      <c r="D110" s="225"/>
      <c r="E110" s="225"/>
      <c r="F110" s="177"/>
      <c r="G110" s="177"/>
      <c r="H110" s="177"/>
      <c r="I110" s="177"/>
      <c r="J110" s="223"/>
      <c r="K110" s="231"/>
      <c r="L110" s="231"/>
      <c r="M110" s="231"/>
      <c r="N110" s="231"/>
      <c r="O110" s="231"/>
      <c r="P110" s="231"/>
      <c r="Q110" s="231"/>
      <c r="R110" s="231"/>
      <c r="S110" s="231"/>
      <c r="T110" s="231"/>
      <c r="U110" s="231"/>
      <c r="V110" s="231"/>
      <c r="W110" s="231"/>
      <c r="X110" s="231"/>
      <c r="Y110" s="231"/>
    </row>
    <row r="111" spans="1:25" ht="15.75" hidden="1" customHeight="1" x14ac:dyDescent="0.2">
      <c r="A111" s="231"/>
      <c r="B111" s="224"/>
      <c r="C111" s="225"/>
      <c r="D111" s="225"/>
      <c r="E111" s="225"/>
      <c r="F111" s="177"/>
      <c r="G111" s="177"/>
      <c r="H111" s="177"/>
      <c r="I111" s="177"/>
      <c r="J111" s="223"/>
      <c r="K111" s="231"/>
      <c r="L111" s="231"/>
      <c r="M111" s="231"/>
      <c r="N111" s="231"/>
      <c r="O111" s="231"/>
      <c r="P111" s="231"/>
      <c r="Q111" s="231"/>
      <c r="R111" s="231"/>
      <c r="S111" s="231"/>
      <c r="T111" s="231"/>
      <c r="U111" s="231"/>
      <c r="V111" s="231"/>
      <c r="W111" s="231"/>
      <c r="X111" s="231"/>
      <c r="Y111" s="231"/>
    </row>
    <row r="112" spans="1:25" ht="15.75" hidden="1" customHeight="1" x14ac:dyDescent="0.2">
      <c r="A112" s="231"/>
      <c r="B112" s="224"/>
      <c r="C112" s="225"/>
      <c r="D112" s="225"/>
      <c r="E112" s="225"/>
      <c r="F112" s="177"/>
      <c r="G112" s="177"/>
      <c r="H112" s="177"/>
      <c r="I112" s="177"/>
      <c r="J112" s="223"/>
      <c r="K112" s="231"/>
      <c r="L112" s="231"/>
      <c r="M112" s="231"/>
      <c r="N112" s="231"/>
      <c r="O112" s="231"/>
      <c r="P112" s="231"/>
      <c r="Q112" s="231"/>
      <c r="R112" s="231"/>
      <c r="S112" s="231"/>
      <c r="T112" s="231"/>
      <c r="U112" s="231"/>
      <c r="V112" s="231"/>
      <c r="W112" s="231"/>
      <c r="X112" s="231"/>
      <c r="Y112" s="231"/>
    </row>
    <row r="113" spans="1:25" ht="15.75" hidden="1" customHeight="1" x14ac:dyDescent="0.2">
      <c r="A113" s="231"/>
      <c r="B113" s="224"/>
      <c r="C113" s="225"/>
      <c r="D113" s="225"/>
      <c r="E113" s="225"/>
      <c r="F113" s="177"/>
      <c r="G113" s="177"/>
      <c r="H113" s="177"/>
      <c r="I113" s="177"/>
      <c r="J113" s="223"/>
      <c r="K113" s="231"/>
      <c r="L113" s="231"/>
      <c r="M113" s="231"/>
      <c r="N113" s="231"/>
      <c r="O113" s="231"/>
      <c r="P113" s="231"/>
      <c r="Q113" s="231"/>
      <c r="R113" s="231"/>
      <c r="S113" s="231"/>
      <c r="T113" s="231"/>
      <c r="U113" s="231"/>
      <c r="V113" s="231"/>
      <c r="W113" s="231"/>
      <c r="X113" s="231"/>
      <c r="Y113" s="231"/>
    </row>
    <row r="114" spans="1:25" ht="15.75" hidden="1" customHeight="1" x14ac:dyDescent="0.2">
      <c r="A114" s="231"/>
      <c r="B114" s="224"/>
      <c r="C114" s="225"/>
      <c r="D114" s="225"/>
      <c r="E114" s="225"/>
      <c r="F114" s="177"/>
      <c r="G114" s="177"/>
      <c r="H114" s="177"/>
      <c r="I114" s="177"/>
      <c r="J114" s="223"/>
      <c r="K114" s="231"/>
      <c r="L114" s="231"/>
      <c r="M114" s="231"/>
      <c r="N114" s="231"/>
      <c r="O114" s="231"/>
      <c r="P114" s="231"/>
      <c r="Q114" s="231"/>
      <c r="R114" s="231"/>
      <c r="S114" s="231"/>
      <c r="T114" s="231"/>
      <c r="U114" s="231"/>
      <c r="V114" s="231"/>
      <c r="W114" s="231"/>
      <c r="X114" s="231"/>
      <c r="Y114" s="231"/>
    </row>
    <row r="115" spans="1:25" ht="15.75" hidden="1" customHeight="1" x14ac:dyDescent="0.2">
      <c r="A115" s="231"/>
      <c r="B115" s="224"/>
      <c r="C115" s="225"/>
      <c r="D115" s="225"/>
      <c r="E115" s="225"/>
      <c r="F115" s="177"/>
      <c r="G115" s="177"/>
      <c r="H115" s="177"/>
      <c r="I115" s="177"/>
      <c r="J115" s="223"/>
      <c r="K115" s="231"/>
      <c r="L115" s="231"/>
      <c r="M115" s="231"/>
      <c r="N115" s="231"/>
      <c r="O115" s="231"/>
      <c r="P115" s="231"/>
      <c r="Q115" s="231"/>
      <c r="R115" s="231"/>
      <c r="S115" s="231"/>
      <c r="T115" s="231"/>
      <c r="U115" s="231"/>
      <c r="V115" s="231"/>
      <c r="W115" s="231"/>
      <c r="X115" s="231"/>
      <c r="Y115" s="231"/>
    </row>
    <row r="116" spans="1:25" ht="15.75" hidden="1" customHeight="1" x14ac:dyDescent="0.2">
      <c r="A116" s="231"/>
      <c r="B116" s="224"/>
      <c r="C116" s="225"/>
      <c r="D116" s="225"/>
      <c r="E116" s="225"/>
      <c r="F116" s="177"/>
      <c r="G116" s="177"/>
      <c r="H116" s="177"/>
      <c r="I116" s="177"/>
      <c r="J116" s="223"/>
      <c r="K116" s="231"/>
      <c r="L116" s="231"/>
      <c r="M116" s="231"/>
      <c r="N116" s="231"/>
      <c r="O116" s="231"/>
      <c r="P116" s="231"/>
      <c r="Q116" s="231"/>
      <c r="R116" s="231"/>
      <c r="S116" s="231"/>
      <c r="T116" s="231"/>
      <c r="U116" s="231"/>
      <c r="V116" s="231"/>
      <c r="W116" s="231"/>
      <c r="X116" s="231"/>
      <c r="Y116" s="231"/>
    </row>
    <row r="117" spans="1:25" ht="15.75" hidden="1" customHeight="1" x14ac:dyDescent="0.2">
      <c r="A117" s="231"/>
      <c r="B117" s="224"/>
      <c r="C117" s="225"/>
      <c r="D117" s="225"/>
      <c r="E117" s="225"/>
      <c r="F117" s="177"/>
      <c r="G117" s="177"/>
      <c r="H117" s="177"/>
      <c r="I117" s="177"/>
      <c r="J117" s="223"/>
      <c r="K117" s="231"/>
      <c r="L117" s="231"/>
      <c r="M117" s="231"/>
      <c r="N117" s="231"/>
      <c r="O117" s="231"/>
      <c r="P117" s="231"/>
      <c r="Q117" s="231"/>
      <c r="R117" s="231"/>
      <c r="S117" s="231"/>
      <c r="T117" s="231"/>
      <c r="U117" s="231"/>
      <c r="V117" s="231"/>
      <c r="W117" s="231"/>
      <c r="X117" s="231"/>
      <c r="Y117" s="231"/>
    </row>
    <row r="118" spans="1:25" ht="15.75" hidden="1" customHeight="1" x14ac:dyDescent="0.2">
      <c r="A118" s="231"/>
      <c r="B118" s="224"/>
      <c r="C118" s="225"/>
      <c r="D118" s="225"/>
      <c r="E118" s="225"/>
      <c r="F118" s="177"/>
      <c r="G118" s="177"/>
      <c r="H118" s="177"/>
      <c r="I118" s="177"/>
      <c r="J118" s="223"/>
      <c r="K118" s="231"/>
      <c r="L118" s="231"/>
      <c r="M118" s="231"/>
      <c r="N118" s="231"/>
      <c r="O118" s="231"/>
      <c r="P118" s="231"/>
      <c r="Q118" s="231"/>
      <c r="R118" s="231"/>
      <c r="S118" s="231"/>
      <c r="T118" s="231"/>
      <c r="U118" s="231"/>
      <c r="V118" s="231"/>
      <c r="W118" s="231"/>
      <c r="X118" s="231"/>
      <c r="Y118" s="231"/>
    </row>
    <row r="119" spans="1:25" ht="15.75" hidden="1" customHeight="1" x14ac:dyDescent="0.2">
      <c r="A119" s="231"/>
      <c r="B119" s="224"/>
      <c r="C119" s="225"/>
      <c r="D119" s="225"/>
      <c r="E119" s="225"/>
      <c r="F119" s="177"/>
      <c r="G119" s="177"/>
      <c r="H119" s="177"/>
      <c r="I119" s="177"/>
      <c r="J119" s="223"/>
      <c r="K119" s="231"/>
      <c r="L119" s="231"/>
      <c r="M119" s="231"/>
      <c r="N119" s="231"/>
      <c r="O119" s="231"/>
      <c r="P119" s="231"/>
      <c r="Q119" s="231"/>
      <c r="R119" s="231"/>
      <c r="S119" s="231"/>
      <c r="T119" s="231"/>
      <c r="U119" s="231"/>
      <c r="V119" s="231"/>
      <c r="W119" s="231"/>
      <c r="X119" s="231"/>
      <c r="Y119" s="231"/>
    </row>
    <row r="120" spans="1:25" ht="15.75" hidden="1" customHeight="1" x14ac:dyDescent="0.2">
      <c r="A120" s="231"/>
      <c r="B120" s="224"/>
      <c r="C120" s="225"/>
      <c r="D120" s="225"/>
      <c r="E120" s="225"/>
      <c r="F120" s="177"/>
      <c r="G120" s="177"/>
      <c r="H120" s="177"/>
      <c r="I120" s="177"/>
      <c r="J120" s="223"/>
      <c r="K120" s="231"/>
      <c r="L120" s="231"/>
      <c r="M120" s="231"/>
      <c r="N120" s="231"/>
      <c r="O120" s="231"/>
      <c r="P120" s="231"/>
      <c r="Q120" s="231"/>
      <c r="R120" s="231"/>
      <c r="S120" s="231"/>
      <c r="T120" s="231"/>
      <c r="U120" s="231"/>
      <c r="V120" s="231"/>
      <c r="W120" s="231"/>
      <c r="X120" s="231"/>
      <c r="Y120" s="231"/>
    </row>
    <row r="121" spans="1:25" ht="15.75" hidden="1" customHeight="1" x14ac:dyDescent="0.2">
      <c r="A121" s="231"/>
      <c r="B121" s="224"/>
      <c r="C121" s="225"/>
      <c r="D121" s="225"/>
      <c r="E121" s="225"/>
      <c r="F121" s="177"/>
      <c r="G121" s="177"/>
      <c r="H121" s="177"/>
      <c r="I121" s="177"/>
      <c r="J121" s="223"/>
      <c r="K121" s="231"/>
      <c r="L121" s="231"/>
      <c r="M121" s="231"/>
      <c r="N121" s="231"/>
      <c r="O121" s="231"/>
      <c r="P121" s="231"/>
      <c r="Q121" s="231"/>
      <c r="R121" s="231"/>
      <c r="S121" s="231"/>
      <c r="T121" s="231"/>
      <c r="U121" s="231"/>
      <c r="V121" s="231"/>
      <c r="W121" s="231"/>
      <c r="X121" s="231"/>
      <c r="Y121" s="231"/>
    </row>
    <row r="122" spans="1:25" ht="15.75" hidden="1" customHeight="1" x14ac:dyDescent="0.2">
      <c r="A122" s="231"/>
      <c r="B122" s="224"/>
      <c r="C122" s="225"/>
      <c r="D122" s="225"/>
      <c r="E122" s="225"/>
      <c r="F122" s="177"/>
      <c r="G122" s="177"/>
      <c r="H122" s="177"/>
      <c r="I122" s="177"/>
      <c r="J122" s="223"/>
      <c r="K122" s="231"/>
      <c r="L122" s="231"/>
      <c r="M122" s="231"/>
      <c r="N122" s="231"/>
      <c r="O122" s="231"/>
      <c r="P122" s="231"/>
      <c r="Q122" s="231"/>
      <c r="R122" s="231"/>
      <c r="S122" s="231"/>
      <c r="T122" s="231"/>
      <c r="U122" s="231"/>
      <c r="V122" s="231"/>
      <c r="W122" s="231"/>
      <c r="X122" s="231"/>
      <c r="Y122" s="231"/>
    </row>
    <row r="123" spans="1:25" ht="15.75" hidden="1" customHeight="1" x14ac:dyDescent="0.2">
      <c r="A123" s="231"/>
      <c r="B123" s="224"/>
      <c r="C123" s="225"/>
      <c r="D123" s="225"/>
      <c r="E123" s="225"/>
      <c r="F123" s="177"/>
      <c r="G123" s="177"/>
      <c r="H123" s="177"/>
      <c r="I123" s="177"/>
      <c r="J123" s="223"/>
      <c r="K123" s="231"/>
      <c r="L123" s="231"/>
      <c r="M123" s="231"/>
      <c r="N123" s="231"/>
      <c r="O123" s="231"/>
      <c r="P123" s="231"/>
      <c r="Q123" s="231"/>
      <c r="R123" s="231"/>
      <c r="S123" s="231"/>
      <c r="T123" s="231"/>
      <c r="U123" s="231"/>
      <c r="V123" s="231"/>
      <c r="W123" s="231"/>
      <c r="X123" s="231"/>
      <c r="Y123" s="231"/>
    </row>
    <row r="124" spans="1:25" ht="15.75" hidden="1" customHeight="1" x14ac:dyDescent="0.2">
      <c r="A124" s="231"/>
      <c r="B124" s="224"/>
      <c r="C124" s="225"/>
      <c r="D124" s="225"/>
      <c r="E124" s="225"/>
      <c r="F124" s="177"/>
      <c r="G124" s="177"/>
      <c r="H124" s="177"/>
      <c r="I124" s="177"/>
      <c r="J124" s="223"/>
      <c r="K124" s="231"/>
      <c r="L124" s="231"/>
      <c r="M124" s="231"/>
      <c r="N124" s="231"/>
      <c r="O124" s="231"/>
      <c r="P124" s="231"/>
      <c r="Q124" s="231"/>
      <c r="R124" s="231"/>
      <c r="S124" s="231"/>
      <c r="T124" s="231"/>
      <c r="U124" s="231"/>
      <c r="V124" s="231"/>
      <c r="W124" s="231"/>
      <c r="X124" s="231"/>
      <c r="Y124" s="231"/>
    </row>
    <row r="125" spans="1:25" ht="15.75" hidden="1" customHeight="1" x14ac:dyDescent="0.2">
      <c r="A125" s="231"/>
      <c r="B125" s="224"/>
      <c r="C125" s="225"/>
      <c r="D125" s="225"/>
      <c r="E125" s="225"/>
      <c r="F125" s="177"/>
      <c r="G125" s="177"/>
      <c r="H125" s="177"/>
      <c r="I125" s="177"/>
      <c r="J125" s="223"/>
      <c r="K125" s="231"/>
      <c r="L125" s="231"/>
      <c r="M125" s="231"/>
      <c r="N125" s="231"/>
      <c r="O125" s="231"/>
      <c r="P125" s="231"/>
      <c r="Q125" s="231"/>
      <c r="R125" s="231"/>
      <c r="S125" s="231"/>
      <c r="T125" s="231"/>
      <c r="U125" s="231"/>
      <c r="V125" s="231"/>
      <c r="W125" s="231"/>
      <c r="X125" s="231"/>
      <c r="Y125" s="231"/>
    </row>
    <row r="126" spans="1:25" ht="15.75" hidden="1" customHeight="1" x14ac:dyDescent="0.2">
      <c r="A126" s="231"/>
      <c r="B126" s="224"/>
      <c r="C126" s="225"/>
      <c r="D126" s="225"/>
      <c r="E126" s="225"/>
      <c r="F126" s="177"/>
      <c r="G126" s="177"/>
      <c r="H126" s="177"/>
      <c r="I126" s="177"/>
      <c r="J126" s="223"/>
      <c r="K126" s="231"/>
      <c r="L126" s="231"/>
      <c r="M126" s="231"/>
      <c r="N126" s="231"/>
      <c r="O126" s="231"/>
      <c r="P126" s="231"/>
      <c r="Q126" s="231"/>
      <c r="R126" s="231"/>
      <c r="S126" s="231"/>
      <c r="T126" s="231"/>
      <c r="U126" s="231"/>
      <c r="V126" s="231"/>
      <c r="W126" s="231"/>
      <c r="X126" s="231"/>
      <c r="Y126" s="231"/>
    </row>
    <row r="127" spans="1:25" ht="15.75" hidden="1" customHeight="1" x14ac:dyDescent="0.2">
      <c r="A127" s="231"/>
      <c r="B127" s="224"/>
      <c r="C127" s="225"/>
      <c r="D127" s="225"/>
      <c r="E127" s="225"/>
      <c r="F127" s="177"/>
      <c r="G127" s="177"/>
      <c r="H127" s="177"/>
      <c r="I127" s="177"/>
      <c r="J127" s="223"/>
      <c r="K127" s="231"/>
      <c r="L127" s="231"/>
      <c r="M127" s="231"/>
      <c r="N127" s="231"/>
      <c r="O127" s="231"/>
      <c r="P127" s="231"/>
      <c r="Q127" s="231"/>
      <c r="R127" s="231"/>
      <c r="S127" s="231"/>
      <c r="T127" s="231"/>
      <c r="U127" s="231"/>
      <c r="V127" s="231"/>
      <c r="W127" s="231"/>
      <c r="X127" s="231"/>
      <c r="Y127" s="231"/>
    </row>
    <row r="128" spans="1:25" ht="15.75" hidden="1" customHeight="1" x14ac:dyDescent="0.2">
      <c r="A128" s="231"/>
      <c r="B128" s="224"/>
      <c r="C128" s="225"/>
      <c r="D128" s="225"/>
      <c r="E128" s="225"/>
      <c r="F128" s="177"/>
      <c r="G128" s="177"/>
      <c r="H128" s="177"/>
      <c r="I128" s="177"/>
      <c r="J128" s="223"/>
      <c r="K128" s="231"/>
      <c r="L128" s="231"/>
      <c r="M128" s="231"/>
      <c r="N128" s="231"/>
      <c r="O128" s="231"/>
      <c r="P128" s="231"/>
      <c r="Q128" s="231"/>
      <c r="R128" s="231"/>
      <c r="S128" s="231"/>
      <c r="T128" s="231"/>
      <c r="U128" s="231"/>
      <c r="V128" s="231"/>
      <c r="W128" s="231"/>
      <c r="X128" s="231"/>
      <c r="Y128" s="231"/>
    </row>
    <row r="129" spans="1:25" ht="15.75" hidden="1" customHeight="1" x14ac:dyDescent="0.2">
      <c r="A129" s="231"/>
      <c r="B129" s="224"/>
      <c r="C129" s="225"/>
      <c r="D129" s="225"/>
      <c r="E129" s="225"/>
      <c r="F129" s="177"/>
      <c r="G129" s="177"/>
      <c r="H129" s="177"/>
      <c r="I129" s="177"/>
      <c r="J129" s="223"/>
      <c r="K129" s="231"/>
      <c r="L129" s="231"/>
      <c r="M129" s="231"/>
      <c r="N129" s="231"/>
      <c r="O129" s="231"/>
      <c r="P129" s="231"/>
      <c r="Q129" s="231"/>
      <c r="R129" s="231"/>
      <c r="S129" s="231"/>
      <c r="T129" s="231"/>
      <c r="U129" s="231"/>
      <c r="V129" s="231"/>
      <c r="W129" s="231"/>
      <c r="X129" s="231"/>
      <c r="Y129" s="231"/>
    </row>
    <row r="130" spans="1:25" ht="15.75" hidden="1" customHeight="1" x14ac:dyDescent="0.2">
      <c r="A130" s="231"/>
      <c r="B130" s="224"/>
      <c r="C130" s="225"/>
      <c r="D130" s="225"/>
      <c r="E130" s="225"/>
      <c r="F130" s="177"/>
      <c r="G130" s="177"/>
      <c r="H130" s="177"/>
      <c r="I130" s="177"/>
      <c r="J130" s="223"/>
      <c r="K130" s="231"/>
      <c r="L130" s="231"/>
      <c r="M130" s="231"/>
      <c r="N130" s="231"/>
      <c r="O130" s="231"/>
      <c r="P130" s="231"/>
      <c r="Q130" s="231"/>
      <c r="R130" s="231"/>
      <c r="S130" s="231"/>
      <c r="T130" s="231"/>
      <c r="U130" s="231"/>
      <c r="V130" s="231"/>
      <c r="W130" s="231"/>
      <c r="X130" s="231"/>
      <c r="Y130" s="231"/>
    </row>
    <row r="131" spans="1:25" ht="15.75" hidden="1" customHeight="1" x14ac:dyDescent="0.2">
      <c r="A131" s="231"/>
      <c r="B131" s="224"/>
      <c r="C131" s="225"/>
      <c r="D131" s="225"/>
      <c r="E131" s="225"/>
      <c r="F131" s="177"/>
      <c r="G131" s="177"/>
      <c r="H131" s="177"/>
      <c r="I131" s="177"/>
      <c r="J131" s="223"/>
      <c r="K131" s="231"/>
      <c r="L131" s="231"/>
      <c r="M131" s="231"/>
      <c r="N131" s="231"/>
      <c r="O131" s="231"/>
      <c r="P131" s="231"/>
      <c r="Q131" s="231"/>
      <c r="R131" s="231"/>
      <c r="S131" s="231"/>
      <c r="T131" s="231"/>
      <c r="U131" s="231"/>
      <c r="V131" s="231"/>
      <c r="W131" s="231"/>
      <c r="X131" s="231"/>
      <c r="Y131" s="231"/>
    </row>
    <row r="132" spans="1:25" ht="15.75" hidden="1" customHeight="1" x14ac:dyDescent="0.2">
      <c r="A132" s="231"/>
      <c r="B132" s="224"/>
      <c r="C132" s="225"/>
      <c r="D132" s="225"/>
      <c r="E132" s="225"/>
      <c r="F132" s="177"/>
      <c r="G132" s="177"/>
      <c r="H132" s="177"/>
      <c r="I132" s="177"/>
      <c r="J132" s="223"/>
      <c r="K132" s="231"/>
      <c r="L132" s="231"/>
      <c r="M132" s="231"/>
      <c r="N132" s="231"/>
      <c r="O132" s="231"/>
      <c r="P132" s="231"/>
      <c r="Q132" s="231"/>
      <c r="R132" s="231"/>
      <c r="S132" s="231"/>
      <c r="T132" s="231"/>
      <c r="U132" s="231"/>
      <c r="V132" s="231"/>
      <c r="W132" s="231"/>
      <c r="X132" s="231"/>
      <c r="Y132" s="231"/>
    </row>
    <row r="133" spans="1:25" ht="15.75" hidden="1" customHeight="1" x14ac:dyDescent="0.2">
      <c r="A133" s="231"/>
      <c r="B133" s="224"/>
      <c r="C133" s="225"/>
      <c r="D133" s="225"/>
      <c r="E133" s="225"/>
      <c r="F133" s="177"/>
      <c r="G133" s="177"/>
      <c r="H133" s="177"/>
      <c r="I133" s="177"/>
      <c r="J133" s="223"/>
      <c r="K133" s="231"/>
      <c r="L133" s="231"/>
      <c r="M133" s="231"/>
      <c r="N133" s="231"/>
      <c r="O133" s="231"/>
      <c r="P133" s="231"/>
      <c r="Q133" s="231"/>
      <c r="R133" s="231"/>
      <c r="S133" s="231"/>
      <c r="T133" s="231"/>
      <c r="U133" s="231"/>
      <c r="V133" s="231"/>
      <c r="W133" s="231"/>
      <c r="X133" s="231"/>
      <c r="Y133" s="231"/>
    </row>
    <row r="134" spans="1:25" ht="15.75" hidden="1" customHeight="1" x14ac:dyDescent="0.2">
      <c r="A134" s="231"/>
      <c r="B134" s="224"/>
      <c r="C134" s="225"/>
      <c r="D134" s="225"/>
      <c r="E134" s="225"/>
      <c r="F134" s="177"/>
      <c r="G134" s="177"/>
      <c r="H134" s="177"/>
      <c r="I134" s="177"/>
      <c r="J134" s="223"/>
      <c r="K134" s="231"/>
      <c r="L134" s="231"/>
      <c r="M134" s="231"/>
      <c r="N134" s="231"/>
      <c r="O134" s="231"/>
      <c r="P134" s="231"/>
      <c r="Q134" s="231"/>
      <c r="R134" s="231"/>
      <c r="S134" s="231"/>
      <c r="T134" s="231"/>
      <c r="U134" s="231"/>
      <c r="V134" s="231"/>
      <c r="W134" s="231"/>
      <c r="X134" s="231"/>
      <c r="Y134" s="231"/>
    </row>
    <row r="135" spans="1:25" ht="15.75" hidden="1" customHeight="1" x14ac:dyDescent="0.2">
      <c r="A135" s="231"/>
      <c r="B135" s="224"/>
      <c r="C135" s="225"/>
      <c r="D135" s="225"/>
      <c r="E135" s="225"/>
      <c r="F135" s="177"/>
      <c r="G135" s="177"/>
      <c r="H135" s="177"/>
      <c r="I135" s="177"/>
      <c r="J135" s="223"/>
      <c r="K135" s="231"/>
      <c r="L135" s="231"/>
      <c r="M135" s="231"/>
      <c r="N135" s="231"/>
      <c r="O135" s="231"/>
      <c r="P135" s="231"/>
      <c r="Q135" s="231"/>
      <c r="R135" s="231"/>
      <c r="S135" s="231"/>
      <c r="T135" s="231"/>
      <c r="U135" s="231"/>
      <c r="V135" s="231"/>
      <c r="W135" s="231"/>
      <c r="X135" s="231"/>
      <c r="Y135" s="231"/>
    </row>
    <row r="136" spans="1:25" ht="15.75" hidden="1" customHeight="1" x14ac:dyDescent="0.2">
      <c r="A136" s="231"/>
      <c r="B136" s="224"/>
      <c r="C136" s="225"/>
      <c r="D136" s="225"/>
      <c r="E136" s="225"/>
      <c r="F136" s="177"/>
      <c r="G136" s="177"/>
      <c r="H136" s="177"/>
      <c r="I136" s="177"/>
      <c r="J136" s="223"/>
      <c r="K136" s="231"/>
      <c r="L136" s="231"/>
      <c r="M136" s="231"/>
      <c r="N136" s="231"/>
      <c r="O136" s="231"/>
      <c r="P136" s="231"/>
      <c r="Q136" s="231"/>
      <c r="R136" s="231"/>
      <c r="S136" s="231"/>
      <c r="T136" s="231"/>
      <c r="U136" s="231"/>
      <c r="V136" s="231"/>
      <c r="W136" s="231"/>
      <c r="X136" s="231"/>
      <c r="Y136" s="231"/>
    </row>
    <row r="137" spans="1:25" ht="15.75" hidden="1" customHeight="1" x14ac:dyDescent="0.2">
      <c r="A137" s="231"/>
      <c r="B137" s="224"/>
      <c r="C137" s="225"/>
      <c r="D137" s="225"/>
      <c r="E137" s="225"/>
      <c r="F137" s="177"/>
      <c r="G137" s="177"/>
      <c r="H137" s="177"/>
      <c r="I137" s="177"/>
      <c r="J137" s="223"/>
      <c r="K137" s="231"/>
      <c r="L137" s="231"/>
      <c r="M137" s="231"/>
      <c r="N137" s="231"/>
      <c r="O137" s="231"/>
      <c r="P137" s="231"/>
      <c r="Q137" s="231"/>
      <c r="R137" s="231"/>
      <c r="S137" s="231"/>
      <c r="T137" s="231"/>
      <c r="U137" s="231"/>
      <c r="V137" s="231"/>
      <c r="W137" s="231"/>
      <c r="X137" s="231"/>
      <c r="Y137" s="231"/>
    </row>
    <row r="138" spans="1:25" ht="15.75" hidden="1" customHeight="1" x14ac:dyDescent="0.2">
      <c r="A138" s="231"/>
      <c r="B138" s="224"/>
      <c r="C138" s="225"/>
      <c r="D138" s="225"/>
      <c r="E138" s="225"/>
      <c r="F138" s="177"/>
      <c r="G138" s="177"/>
      <c r="H138" s="177"/>
      <c r="I138" s="177"/>
      <c r="J138" s="223"/>
      <c r="K138" s="231"/>
      <c r="L138" s="231"/>
      <c r="M138" s="231"/>
      <c r="N138" s="231"/>
      <c r="O138" s="231"/>
      <c r="P138" s="231"/>
      <c r="Q138" s="231"/>
      <c r="R138" s="231"/>
      <c r="S138" s="231"/>
      <c r="T138" s="231"/>
      <c r="U138" s="231"/>
      <c r="V138" s="231"/>
      <c r="W138" s="231"/>
      <c r="X138" s="231"/>
      <c r="Y138" s="231"/>
    </row>
    <row r="139" spans="1:25" ht="15.75" hidden="1" customHeight="1" x14ac:dyDescent="0.2">
      <c r="A139" s="231"/>
      <c r="B139" s="224"/>
      <c r="C139" s="225"/>
      <c r="D139" s="225"/>
      <c r="E139" s="225"/>
      <c r="F139" s="177"/>
      <c r="G139" s="177"/>
      <c r="H139" s="177"/>
      <c r="I139" s="177"/>
      <c r="J139" s="223"/>
      <c r="K139" s="231"/>
      <c r="L139" s="231"/>
      <c r="M139" s="231"/>
      <c r="N139" s="231"/>
      <c r="O139" s="231"/>
      <c r="P139" s="231"/>
      <c r="Q139" s="231"/>
      <c r="R139" s="231"/>
      <c r="S139" s="231"/>
      <c r="T139" s="231"/>
      <c r="U139" s="231"/>
      <c r="V139" s="231"/>
      <c r="W139" s="231"/>
      <c r="X139" s="231"/>
      <c r="Y139" s="231"/>
    </row>
    <row r="140" spans="1:25" ht="15.75" hidden="1" customHeight="1" x14ac:dyDescent="0.2">
      <c r="A140" s="231"/>
      <c r="B140" s="224"/>
      <c r="C140" s="225"/>
      <c r="D140" s="225"/>
      <c r="E140" s="225"/>
      <c r="F140" s="177"/>
      <c r="G140" s="177"/>
      <c r="H140" s="177"/>
      <c r="I140" s="177"/>
      <c r="J140" s="223"/>
      <c r="K140" s="231"/>
      <c r="L140" s="231"/>
      <c r="M140" s="231"/>
      <c r="N140" s="231"/>
      <c r="O140" s="231"/>
      <c r="P140" s="231"/>
      <c r="Q140" s="231"/>
      <c r="R140" s="231"/>
      <c r="S140" s="231"/>
      <c r="T140" s="231"/>
      <c r="U140" s="231"/>
      <c r="V140" s="231"/>
      <c r="W140" s="231"/>
      <c r="X140" s="231"/>
      <c r="Y140" s="231"/>
    </row>
    <row r="141" spans="1:25" ht="15.75" hidden="1" customHeight="1" x14ac:dyDescent="0.2">
      <c r="A141" s="231"/>
      <c r="B141" s="224"/>
      <c r="C141" s="225"/>
      <c r="D141" s="225"/>
      <c r="E141" s="225"/>
      <c r="F141" s="177"/>
      <c r="G141" s="177"/>
      <c r="H141" s="177"/>
      <c r="I141" s="177"/>
      <c r="J141" s="223"/>
      <c r="K141" s="231"/>
      <c r="L141" s="231"/>
      <c r="M141" s="231"/>
      <c r="N141" s="231"/>
      <c r="O141" s="231"/>
      <c r="P141" s="231"/>
      <c r="Q141" s="231"/>
      <c r="R141" s="231"/>
      <c r="S141" s="231"/>
      <c r="T141" s="231"/>
      <c r="U141" s="231"/>
      <c r="V141" s="231"/>
      <c r="W141" s="231"/>
      <c r="X141" s="231"/>
      <c r="Y141" s="231"/>
    </row>
    <row r="142" spans="1:25" ht="15.75" hidden="1" customHeight="1" x14ac:dyDescent="0.2">
      <c r="A142" s="231"/>
      <c r="B142" s="224"/>
      <c r="C142" s="225"/>
      <c r="D142" s="225"/>
      <c r="E142" s="225"/>
      <c r="F142" s="177"/>
      <c r="G142" s="177"/>
      <c r="H142" s="177"/>
      <c r="I142" s="177"/>
      <c r="J142" s="223"/>
      <c r="K142" s="231"/>
      <c r="L142" s="231"/>
      <c r="M142" s="231"/>
      <c r="N142" s="231"/>
      <c r="O142" s="231"/>
      <c r="P142" s="231"/>
      <c r="Q142" s="231"/>
      <c r="R142" s="231"/>
      <c r="S142" s="231"/>
      <c r="T142" s="231"/>
      <c r="U142" s="231"/>
      <c r="V142" s="231"/>
      <c r="W142" s="231"/>
      <c r="X142" s="231"/>
      <c r="Y142" s="231"/>
    </row>
    <row r="143" spans="1:25" ht="15.75" hidden="1" customHeight="1" x14ac:dyDescent="0.2">
      <c r="A143" s="231"/>
      <c r="B143" s="224"/>
      <c r="C143" s="225"/>
      <c r="D143" s="225"/>
      <c r="E143" s="225"/>
      <c r="F143" s="177"/>
      <c r="G143" s="177"/>
      <c r="H143" s="177"/>
      <c r="I143" s="177"/>
      <c r="J143" s="223"/>
      <c r="K143" s="231"/>
      <c r="L143" s="231"/>
      <c r="M143" s="231"/>
      <c r="N143" s="231"/>
      <c r="O143" s="231"/>
      <c r="P143" s="231"/>
      <c r="Q143" s="231"/>
      <c r="R143" s="231"/>
      <c r="S143" s="231"/>
      <c r="T143" s="231"/>
      <c r="U143" s="231"/>
      <c r="V143" s="231"/>
      <c r="W143" s="231"/>
      <c r="X143" s="231"/>
      <c r="Y143" s="231"/>
    </row>
    <row r="144" spans="1:25" ht="15.75" hidden="1" customHeight="1" x14ac:dyDescent="0.2">
      <c r="A144" s="231"/>
      <c r="B144" s="224"/>
      <c r="C144" s="225"/>
      <c r="D144" s="225"/>
      <c r="E144" s="225"/>
      <c r="F144" s="177"/>
      <c r="G144" s="177"/>
      <c r="H144" s="177"/>
      <c r="I144" s="177"/>
      <c r="J144" s="223"/>
      <c r="K144" s="231"/>
      <c r="L144" s="231"/>
      <c r="M144" s="231"/>
      <c r="N144" s="231"/>
      <c r="O144" s="231"/>
      <c r="P144" s="231"/>
      <c r="Q144" s="231"/>
      <c r="R144" s="231"/>
      <c r="S144" s="231"/>
      <c r="T144" s="231"/>
      <c r="U144" s="231"/>
      <c r="V144" s="231"/>
      <c r="W144" s="231"/>
      <c r="X144" s="231"/>
      <c r="Y144" s="231"/>
    </row>
    <row r="145" spans="1:25" ht="15.75" hidden="1" customHeight="1" x14ac:dyDescent="0.2">
      <c r="A145" s="231"/>
      <c r="B145" s="224"/>
      <c r="C145" s="225"/>
      <c r="D145" s="225"/>
      <c r="E145" s="225"/>
      <c r="F145" s="177"/>
      <c r="G145" s="177"/>
      <c r="H145" s="177"/>
      <c r="I145" s="177"/>
      <c r="J145" s="223"/>
      <c r="K145" s="231"/>
      <c r="L145" s="231"/>
      <c r="M145" s="231"/>
      <c r="N145" s="231"/>
      <c r="O145" s="231"/>
      <c r="P145" s="231"/>
      <c r="Q145" s="231"/>
      <c r="R145" s="231"/>
      <c r="S145" s="231"/>
      <c r="T145" s="231"/>
      <c r="U145" s="231"/>
      <c r="V145" s="231"/>
      <c r="W145" s="231"/>
      <c r="X145" s="231"/>
      <c r="Y145" s="231"/>
    </row>
    <row r="146" spans="1:25" ht="15.75" hidden="1" customHeight="1" x14ac:dyDescent="0.2">
      <c r="A146" s="231"/>
      <c r="B146" s="224"/>
      <c r="C146" s="225"/>
      <c r="D146" s="225"/>
      <c r="E146" s="225"/>
      <c r="F146" s="177"/>
      <c r="G146" s="177"/>
      <c r="H146" s="177"/>
      <c r="I146" s="177"/>
      <c r="J146" s="223"/>
      <c r="K146" s="231"/>
      <c r="L146" s="231"/>
      <c r="M146" s="231"/>
      <c r="N146" s="231"/>
      <c r="O146" s="231"/>
      <c r="P146" s="231"/>
      <c r="Q146" s="231"/>
      <c r="R146" s="231"/>
      <c r="S146" s="231"/>
      <c r="T146" s="231"/>
      <c r="U146" s="231"/>
      <c r="V146" s="231"/>
      <c r="W146" s="231"/>
      <c r="X146" s="231"/>
      <c r="Y146" s="231"/>
    </row>
    <row r="147" spans="1:25" ht="15.75" hidden="1" customHeight="1" x14ac:dyDescent="0.2">
      <c r="A147" s="231"/>
      <c r="B147" s="224"/>
      <c r="C147" s="225"/>
      <c r="D147" s="225"/>
      <c r="E147" s="225"/>
      <c r="F147" s="177"/>
      <c r="G147" s="177"/>
      <c r="H147" s="177"/>
      <c r="I147" s="177"/>
      <c r="J147" s="223"/>
      <c r="K147" s="231"/>
      <c r="L147" s="231"/>
      <c r="M147" s="231"/>
      <c r="N147" s="231"/>
      <c r="O147" s="231"/>
      <c r="P147" s="231"/>
      <c r="Q147" s="231"/>
      <c r="R147" s="231"/>
      <c r="S147" s="231"/>
      <c r="T147" s="231"/>
      <c r="U147" s="231"/>
      <c r="V147" s="231"/>
      <c r="W147" s="231"/>
      <c r="X147" s="231"/>
      <c r="Y147" s="231"/>
    </row>
    <row r="148" spans="1:25" ht="15.75" hidden="1" customHeight="1" x14ac:dyDescent="0.2">
      <c r="A148" s="231"/>
      <c r="B148" s="224"/>
      <c r="C148" s="225"/>
      <c r="D148" s="225"/>
      <c r="E148" s="225"/>
      <c r="F148" s="177"/>
      <c r="G148" s="177"/>
      <c r="H148" s="177"/>
      <c r="I148" s="177"/>
      <c r="J148" s="223"/>
      <c r="K148" s="231"/>
      <c r="L148" s="231"/>
      <c r="M148" s="231"/>
      <c r="N148" s="231"/>
      <c r="O148" s="231"/>
      <c r="P148" s="231"/>
      <c r="Q148" s="231"/>
      <c r="R148" s="231"/>
      <c r="S148" s="231"/>
      <c r="T148" s="231"/>
      <c r="U148" s="231"/>
      <c r="V148" s="231"/>
      <c r="W148" s="231"/>
      <c r="X148" s="231"/>
      <c r="Y148" s="231"/>
    </row>
    <row r="149" spans="1:25" ht="15.75" hidden="1" customHeight="1" x14ac:dyDescent="0.2">
      <c r="A149" s="231"/>
      <c r="B149" s="224"/>
      <c r="C149" s="225"/>
      <c r="D149" s="225"/>
      <c r="E149" s="225"/>
      <c r="F149" s="177"/>
      <c r="G149" s="177"/>
      <c r="H149" s="177"/>
      <c r="I149" s="177"/>
      <c r="J149" s="223"/>
      <c r="K149" s="231"/>
      <c r="L149" s="231"/>
      <c r="M149" s="231"/>
      <c r="N149" s="231"/>
      <c r="O149" s="231"/>
      <c r="P149" s="231"/>
      <c r="Q149" s="231"/>
      <c r="R149" s="231"/>
      <c r="S149" s="231"/>
      <c r="T149" s="231"/>
      <c r="U149" s="231"/>
      <c r="V149" s="231"/>
      <c r="W149" s="231"/>
      <c r="X149" s="231"/>
      <c r="Y149" s="231"/>
    </row>
    <row r="150" spans="1:25" ht="15.75" hidden="1" customHeight="1" x14ac:dyDescent="0.2">
      <c r="A150" s="231"/>
      <c r="B150" s="224"/>
      <c r="C150" s="225"/>
      <c r="D150" s="225"/>
      <c r="E150" s="225"/>
      <c r="F150" s="177"/>
      <c r="G150" s="177"/>
      <c r="H150" s="177"/>
      <c r="I150" s="177"/>
      <c r="J150" s="223"/>
      <c r="K150" s="231"/>
      <c r="L150" s="231"/>
      <c r="M150" s="231"/>
      <c r="N150" s="231"/>
      <c r="O150" s="231"/>
      <c r="P150" s="231"/>
      <c r="Q150" s="231"/>
      <c r="R150" s="231"/>
      <c r="S150" s="231"/>
      <c r="T150" s="231"/>
      <c r="U150" s="231"/>
      <c r="V150" s="231"/>
      <c r="W150" s="231"/>
      <c r="X150" s="231"/>
      <c r="Y150" s="231"/>
    </row>
    <row r="151" spans="1:25" ht="15.75" hidden="1" customHeight="1" x14ac:dyDescent="0.2">
      <c r="A151" s="231"/>
      <c r="B151" s="224"/>
      <c r="C151" s="225"/>
      <c r="D151" s="225"/>
      <c r="E151" s="225"/>
      <c r="F151" s="177"/>
      <c r="G151" s="177"/>
      <c r="H151" s="177"/>
      <c r="I151" s="177"/>
      <c r="J151" s="223"/>
      <c r="K151" s="231"/>
      <c r="L151" s="231"/>
      <c r="M151" s="231"/>
      <c r="N151" s="231"/>
      <c r="O151" s="231"/>
      <c r="P151" s="231"/>
      <c r="Q151" s="231"/>
      <c r="R151" s="231"/>
      <c r="S151" s="231"/>
      <c r="T151" s="231"/>
      <c r="U151" s="231"/>
      <c r="V151" s="231"/>
      <c r="W151" s="231"/>
      <c r="X151" s="231"/>
      <c r="Y151" s="231"/>
    </row>
    <row r="152" spans="1:25" ht="15.75" hidden="1" customHeight="1" x14ac:dyDescent="0.2">
      <c r="A152" s="231"/>
      <c r="B152" s="224"/>
      <c r="C152" s="225"/>
      <c r="D152" s="225"/>
      <c r="E152" s="225"/>
      <c r="F152" s="177"/>
      <c r="G152" s="177"/>
      <c r="H152" s="177"/>
      <c r="I152" s="177"/>
      <c r="J152" s="223"/>
      <c r="K152" s="231"/>
      <c r="L152" s="231"/>
      <c r="M152" s="231"/>
      <c r="N152" s="231"/>
      <c r="O152" s="231"/>
      <c r="P152" s="231"/>
      <c r="Q152" s="231"/>
      <c r="R152" s="231"/>
      <c r="S152" s="231"/>
      <c r="T152" s="231"/>
      <c r="U152" s="231"/>
      <c r="V152" s="231"/>
      <c r="W152" s="231"/>
      <c r="X152" s="231"/>
      <c r="Y152" s="231"/>
    </row>
    <row r="153" spans="1:25" ht="15.75" hidden="1" customHeight="1" x14ac:dyDescent="0.2">
      <c r="A153" s="231"/>
      <c r="B153" s="224"/>
      <c r="C153" s="225"/>
      <c r="D153" s="225"/>
      <c r="E153" s="225"/>
      <c r="F153" s="177"/>
      <c r="G153" s="177"/>
      <c r="H153" s="177"/>
      <c r="I153" s="177"/>
      <c r="J153" s="223"/>
      <c r="K153" s="231"/>
      <c r="L153" s="231"/>
      <c r="M153" s="231"/>
      <c r="N153" s="231"/>
      <c r="O153" s="231"/>
      <c r="P153" s="231"/>
      <c r="Q153" s="231"/>
      <c r="R153" s="231"/>
      <c r="S153" s="231"/>
      <c r="T153" s="231"/>
      <c r="U153" s="231"/>
      <c r="V153" s="231"/>
      <c r="W153" s="231"/>
      <c r="X153" s="231"/>
      <c r="Y153" s="231"/>
    </row>
    <row r="154" spans="1:25" ht="15.75" hidden="1" customHeight="1" x14ac:dyDescent="0.2">
      <c r="A154" s="231"/>
      <c r="B154" s="224"/>
      <c r="C154" s="225"/>
      <c r="D154" s="225"/>
      <c r="E154" s="225"/>
      <c r="F154" s="177"/>
      <c r="G154" s="177"/>
      <c r="H154" s="177"/>
      <c r="I154" s="177"/>
      <c r="J154" s="223"/>
      <c r="K154" s="231"/>
      <c r="L154" s="231"/>
      <c r="M154" s="231"/>
      <c r="N154" s="231"/>
      <c r="O154" s="231"/>
      <c r="P154" s="231"/>
      <c r="Q154" s="231"/>
      <c r="R154" s="231"/>
      <c r="S154" s="231"/>
      <c r="T154" s="231"/>
      <c r="U154" s="231"/>
      <c r="V154" s="231"/>
      <c r="W154" s="231"/>
      <c r="X154" s="231"/>
      <c r="Y154" s="231"/>
    </row>
    <row r="155" spans="1:25" ht="15.75" hidden="1" customHeight="1" x14ac:dyDescent="0.2">
      <c r="A155" s="231"/>
      <c r="B155" s="224"/>
      <c r="C155" s="225"/>
      <c r="D155" s="225"/>
      <c r="E155" s="225"/>
      <c r="F155" s="177"/>
      <c r="G155" s="177"/>
      <c r="H155" s="177"/>
      <c r="I155" s="177"/>
      <c r="J155" s="223"/>
      <c r="K155" s="231"/>
      <c r="L155" s="231"/>
      <c r="M155" s="231"/>
      <c r="N155" s="231"/>
      <c r="O155" s="231"/>
      <c r="P155" s="231"/>
      <c r="Q155" s="231"/>
      <c r="R155" s="231"/>
      <c r="S155" s="231"/>
      <c r="T155" s="231"/>
      <c r="U155" s="231"/>
      <c r="V155" s="231"/>
      <c r="W155" s="231"/>
      <c r="X155" s="231"/>
      <c r="Y155" s="231"/>
    </row>
    <row r="156" spans="1:25" ht="15.75" hidden="1" customHeight="1" x14ac:dyDescent="0.2">
      <c r="A156" s="231"/>
      <c r="B156" s="224"/>
      <c r="C156" s="225"/>
      <c r="D156" s="225"/>
      <c r="E156" s="225"/>
      <c r="F156" s="177"/>
      <c r="G156" s="177"/>
      <c r="H156" s="177"/>
      <c r="I156" s="177"/>
      <c r="J156" s="223"/>
      <c r="K156" s="231"/>
      <c r="L156" s="231"/>
      <c r="M156" s="231"/>
      <c r="N156" s="231"/>
      <c r="O156" s="231"/>
      <c r="P156" s="231"/>
      <c r="Q156" s="231"/>
      <c r="R156" s="231"/>
      <c r="S156" s="231"/>
      <c r="T156" s="231"/>
      <c r="U156" s="231"/>
      <c r="V156" s="231"/>
      <c r="W156" s="231"/>
      <c r="X156" s="231"/>
      <c r="Y156" s="231"/>
    </row>
    <row r="157" spans="1:25" ht="15.75" hidden="1" customHeight="1" x14ac:dyDescent="0.2">
      <c r="A157" s="231"/>
      <c r="B157" s="224"/>
      <c r="C157" s="225"/>
      <c r="D157" s="225"/>
      <c r="E157" s="225"/>
      <c r="F157" s="177"/>
      <c r="G157" s="177"/>
      <c r="H157" s="177"/>
      <c r="I157" s="177"/>
      <c r="J157" s="223"/>
      <c r="K157" s="231"/>
      <c r="L157" s="231"/>
      <c r="M157" s="231"/>
      <c r="N157" s="231"/>
      <c r="O157" s="231"/>
      <c r="P157" s="231"/>
      <c r="Q157" s="231"/>
      <c r="R157" s="231"/>
      <c r="S157" s="231"/>
      <c r="T157" s="231"/>
      <c r="U157" s="231"/>
      <c r="V157" s="231"/>
      <c r="W157" s="231"/>
      <c r="X157" s="231"/>
      <c r="Y157" s="231"/>
    </row>
    <row r="158" spans="1:25" ht="15.75" hidden="1" customHeight="1" x14ac:dyDescent="0.2">
      <c r="A158" s="231"/>
      <c r="B158" s="224"/>
      <c r="C158" s="225"/>
      <c r="D158" s="225"/>
      <c r="E158" s="225"/>
      <c r="F158" s="177"/>
      <c r="G158" s="177"/>
      <c r="H158" s="177"/>
      <c r="I158" s="177"/>
      <c r="J158" s="223"/>
      <c r="K158" s="231"/>
      <c r="L158" s="231"/>
      <c r="M158" s="231"/>
      <c r="N158" s="231"/>
      <c r="O158" s="231"/>
      <c r="P158" s="231"/>
      <c r="Q158" s="231"/>
      <c r="R158" s="231"/>
      <c r="S158" s="231"/>
      <c r="T158" s="231"/>
      <c r="U158" s="231"/>
      <c r="V158" s="231"/>
      <c r="W158" s="231"/>
      <c r="X158" s="231"/>
      <c r="Y158" s="231"/>
    </row>
    <row r="159" spans="1:25" ht="15.75" hidden="1" customHeight="1" x14ac:dyDescent="0.2">
      <c r="A159" s="231"/>
      <c r="B159" s="224"/>
      <c r="C159" s="225"/>
      <c r="D159" s="225"/>
      <c r="E159" s="225"/>
      <c r="F159" s="177"/>
      <c r="G159" s="177"/>
      <c r="H159" s="177"/>
      <c r="I159" s="177"/>
      <c r="J159" s="223"/>
      <c r="K159" s="231"/>
      <c r="L159" s="231"/>
      <c r="M159" s="231"/>
      <c r="N159" s="231"/>
      <c r="O159" s="231"/>
      <c r="P159" s="231"/>
      <c r="Q159" s="231"/>
      <c r="R159" s="231"/>
      <c r="S159" s="231"/>
      <c r="T159" s="231"/>
      <c r="U159" s="231"/>
      <c r="V159" s="231"/>
      <c r="W159" s="231"/>
      <c r="X159" s="231"/>
      <c r="Y159" s="231"/>
    </row>
    <row r="160" spans="1:25" ht="15.75" hidden="1" customHeight="1" x14ac:dyDescent="0.2">
      <c r="A160" s="231"/>
      <c r="B160" s="224"/>
      <c r="C160" s="225"/>
      <c r="D160" s="225"/>
      <c r="E160" s="225"/>
      <c r="F160" s="177"/>
      <c r="G160" s="177"/>
      <c r="H160" s="177"/>
      <c r="I160" s="177"/>
      <c r="J160" s="223"/>
      <c r="K160" s="231"/>
      <c r="L160" s="231"/>
      <c r="M160" s="231"/>
      <c r="N160" s="231"/>
      <c r="O160" s="231"/>
      <c r="P160" s="231"/>
      <c r="Q160" s="231"/>
      <c r="R160" s="231"/>
      <c r="S160" s="231"/>
      <c r="T160" s="231"/>
      <c r="U160" s="231"/>
      <c r="V160" s="231"/>
      <c r="W160" s="231"/>
      <c r="X160" s="231"/>
      <c r="Y160" s="231"/>
    </row>
    <row r="161" spans="1:25" ht="15.75" hidden="1" customHeight="1" x14ac:dyDescent="0.2">
      <c r="A161" s="231"/>
      <c r="B161" s="224"/>
      <c r="C161" s="225"/>
      <c r="D161" s="225"/>
      <c r="E161" s="225"/>
      <c r="F161" s="177"/>
      <c r="G161" s="177"/>
      <c r="H161" s="177"/>
      <c r="I161" s="177"/>
      <c r="J161" s="223"/>
      <c r="K161" s="231"/>
      <c r="L161" s="231"/>
      <c r="M161" s="231"/>
      <c r="N161" s="231"/>
      <c r="O161" s="231"/>
      <c r="P161" s="231"/>
      <c r="Q161" s="231"/>
      <c r="R161" s="231"/>
      <c r="S161" s="231"/>
      <c r="T161" s="231"/>
      <c r="U161" s="231"/>
      <c r="V161" s="231"/>
      <c r="W161" s="231"/>
      <c r="X161" s="231"/>
      <c r="Y161" s="231"/>
    </row>
    <row r="162" spans="1:25" ht="15.75" hidden="1" customHeight="1" x14ac:dyDescent="0.2">
      <c r="A162" s="231"/>
      <c r="B162" s="224"/>
      <c r="C162" s="225"/>
      <c r="D162" s="225"/>
      <c r="E162" s="225"/>
      <c r="F162" s="177"/>
      <c r="G162" s="177"/>
      <c r="H162" s="177"/>
      <c r="I162" s="177"/>
      <c r="J162" s="223"/>
      <c r="K162" s="231"/>
      <c r="L162" s="231"/>
      <c r="M162" s="231"/>
      <c r="N162" s="231"/>
      <c r="O162" s="231"/>
      <c r="P162" s="231"/>
      <c r="Q162" s="231"/>
      <c r="R162" s="231"/>
      <c r="S162" s="231"/>
      <c r="T162" s="231"/>
      <c r="U162" s="231"/>
      <c r="V162" s="231"/>
      <c r="W162" s="231"/>
      <c r="X162" s="231"/>
      <c r="Y162" s="231"/>
    </row>
    <row r="163" spans="1:25" ht="15.75" hidden="1" customHeight="1" x14ac:dyDescent="0.2">
      <c r="A163" s="231"/>
      <c r="B163" s="224"/>
      <c r="C163" s="225"/>
      <c r="D163" s="225"/>
      <c r="E163" s="225"/>
      <c r="F163" s="177"/>
      <c r="G163" s="177"/>
      <c r="H163" s="177"/>
      <c r="I163" s="177"/>
      <c r="J163" s="223"/>
      <c r="K163" s="231"/>
      <c r="L163" s="231"/>
      <c r="M163" s="231"/>
      <c r="N163" s="231"/>
      <c r="O163" s="231"/>
      <c r="P163" s="231"/>
      <c r="Q163" s="231"/>
      <c r="R163" s="231"/>
      <c r="S163" s="231"/>
      <c r="T163" s="231"/>
      <c r="U163" s="231"/>
      <c r="V163" s="231"/>
      <c r="W163" s="231"/>
      <c r="X163" s="231"/>
      <c r="Y163" s="231"/>
    </row>
    <row r="164" spans="1:25" ht="15.75" hidden="1" customHeight="1" x14ac:dyDescent="0.2">
      <c r="A164" s="231"/>
      <c r="B164" s="224"/>
      <c r="C164" s="225"/>
      <c r="D164" s="225"/>
      <c r="E164" s="225"/>
      <c r="F164" s="177"/>
      <c r="G164" s="177"/>
      <c r="H164" s="177"/>
      <c r="I164" s="177"/>
      <c r="J164" s="223"/>
      <c r="K164" s="231"/>
      <c r="L164" s="231"/>
      <c r="M164" s="231"/>
      <c r="N164" s="231"/>
      <c r="O164" s="231"/>
      <c r="P164" s="231"/>
      <c r="Q164" s="231"/>
      <c r="R164" s="231"/>
      <c r="S164" s="231"/>
      <c r="T164" s="231"/>
      <c r="U164" s="231"/>
      <c r="V164" s="231"/>
      <c r="W164" s="231"/>
      <c r="X164" s="231"/>
      <c r="Y164" s="231"/>
    </row>
    <row r="165" spans="1:25" ht="15.75" hidden="1" customHeight="1" x14ac:dyDescent="0.2">
      <c r="A165" s="231"/>
      <c r="B165" s="224"/>
      <c r="C165" s="225"/>
      <c r="D165" s="225"/>
      <c r="E165" s="225"/>
      <c r="F165" s="177"/>
      <c r="G165" s="177"/>
      <c r="H165" s="177"/>
      <c r="I165" s="177"/>
      <c r="J165" s="223"/>
      <c r="K165" s="231"/>
      <c r="L165" s="231"/>
      <c r="M165" s="231"/>
      <c r="N165" s="231"/>
      <c r="O165" s="231"/>
      <c r="P165" s="231"/>
      <c r="Q165" s="231"/>
      <c r="R165" s="231"/>
      <c r="S165" s="231"/>
      <c r="T165" s="231"/>
      <c r="U165" s="231"/>
      <c r="V165" s="231"/>
      <c r="W165" s="231"/>
      <c r="X165" s="231"/>
      <c r="Y165" s="231"/>
    </row>
    <row r="166" spans="1:25" ht="15.75" hidden="1" customHeight="1" x14ac:dyDescent="0.2">
      <c r="A166" s="231"/>
      <c r="B166" s="224"/>
      <c r="C166" s="225"/>
      <c r="D166" s="225"/>
      <c r="E166" s="225"/>
      <c r="F166" s="177"/>
      <c r="G166" s="177"/>
      <c r="H166" s="177"/>
      <c r="I166" s="177"/>
      <c r="J166" s="223"/>
      <c r="K166" s="231"/>
      <c r="L166" s="231"/>
      <c r="M166" s="231"/>
      <c r="N166" s="231"/>
      <c r="O166" s="231"/>
      <c r="P166" s="231"/>
      <c r="Q166" s="231"/>
      <c r="R166" s="231"/>
      <c r="S166" s="231"/>
      <c r="T166" s="231"/>
      <c r="U166" s="231"/>
      <c r="V166" s="231"/>
      <c r="W166" s="231"/>
      <c r="X166" s="231"/>
      <c r="Y166" s="231"/>
    </row>
    <row r="167" spans="1:25" ht="15.75" hidden="1" customHeight="1" x14ac:dyDescent="0.2">
      <c r="A167" s="231"/>
      <c r="B167" s="224"/>
      <c r="C167" s="225"/>
      <c r="D167" s="225"/>
      <c r="E167" s="225"/>
      <c r="F167" s="177"/>
      <c r="G167" s="177"/>
      <c r="H167" s="177"/>
      <c r="I167" s="177"/>
      <c r="J167" s="223"/>
      <c r="K167" s="231"/>
      <c r="L167" s="231"/>
      <c r="M167" s="231"/>
      <c r="N167" s="231"/>
      <c r="O167" s="231"/>
      <c r="P167" s="231"/>
      <c r="Q167" s="231"/>
      <c r="R167" s="231"/>
      <c r="S167" s="231"/>
      <c r="T167" s="231"/>
      <c r="U167" s="231"/>
      <c r="V167" s="231"/>
      <c r="W167" s="231"/>
      <c r="X167" s="231"/>
      <c r="Y167" s="231"/>
    </row>
    <row r="168" spans="1:25" ht="15.75" hidden="1" customHeight="1" x14ac:dyDescent="0.2">
      <c r="A168" s="231"/>
      <c r="B168" s="224"/>
      <c r="C168" s="225"/>
      <c r="D168" s="225"/>
      <c r="E168" s="225"/>
      <c r="F168" s="177"/>
      <c r="G168" s="177"/>
      <c r="H168" s="177"/>
      <c r="I168" s="177"/>
      <c r="J168" s="223"/>
      <c r="K168" s="231"/>
      <c r="L168" s="231"/>
      <c r="M168" s="231"/>
      <c r="N168" s="231"/>
      <c r="O168" s="231"/>
      <c r="P168" s="231"/>
      <c r="Q168" s="231"/>
      <c r="R168" s="231"/>
      <c r="S168" s="231"/>
      <c r="T168" s="231"/>
      <c r="U168" s="231"/>
      <c r="V168" s="231"/>
      <c r="W168" s="231"/>
      <c r="X168" s="231"/>
      <c r="Y168" s="231"/>
    </row>
    <row r="169" spans="1:25" ht="15.75" hidden="1" customHeight="1" x14ac:dyDescent="0.2">
      <c r="A169" s="231"/>
      <c r="B169" s="224"/>
      <c r="C169" s="225"/>
      <c r="D169" s="225"/>
      <c r="E169" s="225"/>
      <c r="F169" s="177"/>
      <c r="G169" s="177"/>
      <c r="H169" s="177"/>
      <c r="I169" s="177"/>
      <c r="J169" s="223"/>
      <c r="K169" s="231"/>
      <c r="L169" s="231"/>
      <c r="M169" s="231"/>
      <c r="N169" s="231"/>
      <c r="O169" s="231"/>
      <c r="P169" s="231"/>
      <c r="Q169" s="231"/>
      <c r="R169" s="231"/>
      <c r="S169" s="231"/>
      <c r="T169" s="231"/>
      <c r="U169" s="231"/>
      <c r="V169" s="231"/>
      <c r="W169" s="231"/>
      <c r="X169" s="231"/>
      <c r="Y169" s="231"/>
    </row>
    <row r="170" spans="1:25" ht="15.75" hidden="1" customHeight="1" x14ac:dyDescent="0.2">
      <c r="A170" s="231"/>
      <c r="B170" s="224"/>
      <c r="C170" s="225"/>
      <c r="D170" s="225"/>
      <c r="E170" s="225"/>
      <c r="F170" s="177"/>
      <c r="G170" s="177"/>
      <c r="H170" s="177"/>
      <c r="I170" s="177"/>
      <c r="J170" s="223"/>
      <c r="K170" s="231"/>
      <c r="L170" s="231"/>
      <c r="M170" s="231"/>
      <c r="N170" s="231"/>
      <c r="O170" s="231"/>
      <c r="P170" s="231"/>
      <c r="Q170" s="231"/>
      <c r="R170" s="231"/>
      <c r="S170" s="231"/>
      <c r="T170" s="231"/>
      <c r="U170" s="231"/>
      <c r="V170" s="231"/>
      <c r="W170" s="231"/>
      <c r="X170" s="231"/>
      <c r="Y170" s="231"/>
    </row>
    <row r="171" spans="1:25" ht="15.75" hidden="1" customHeight="1" x14ac:dyDescent="0.2">
      <c r="A171" s="231"/>
      <c r="B171" s="224"/>
      <c r="C171" s="225"/>
      <c r="D171" s="225"/>
      <c r="E171" s="225"/>
      <c r="F171" s="177"/>
      <c r="G171" s="177"/>
      <c r="H171" s="177"/>
      <c r="I171" s="177"/>
      <c r="J171" s="223"/>
      <c r="K171" s="231"/>
      <c r="L171" s="231"/>
      <c r="M171" s="231"/>
      <c r="N171" s="231"/>
      <c r="O171" s="231"/>
      <c r="P171" s="231"/>
      <c r="Q171" s="231"/>
      <c r="R171" s="231"/>
      <c r="S171" s="231"/>
      <c r="T171" s="231"/>
      <c r="U171" s="231"/>
      <c r="V171" s="231"/>
      <c r="W171" s="231"/>
      <c r="X171" s="231"/>
      <c r="Y171" s="231"/>
    </row>
    <row r="172" spans="1:25" ht="15.75" hidden="1" customHeight="1" x14ac:dyDescent="0.2">
      <c r="A172" s="231"/>
      <c r="B172" s="224"/>
      <c r="C172" s="225"/>
      <c r="D172" s="225"/>
      <c r="E172" s="225"/>
      <c r="F172" s="177"/>
      <c r="G172" s="177"/>
      <c r="H172" s="177"/>
      <c r="I172" s="177"/>
      <c r="J172" s="223"/>
      <c r="K172" s="231"/>
      <c r="L172" s="231"/>
      <c r="M172" s="231"/>
      <c r="N172" s="231"/>
      <c r="O172" s="231"/>
      <c r="P172" s="231"/>
      <c r="Q172" s="231"/>
      <c r="R172" s="231"/>
      <c r="S172" s="231"/>
      <c r="T172" s="231"/>
      <c r="U172" s="231"/>
      <c r="V172" s="231"/>
      <c r="W172" s="231"/>
      <c r="X172" s="231"/>
      <c r="Y172" s="231"/>
    </row>
    <row r="173" spans="1:25" ht="15.75" hidden="1" customHeight="1" x14ac:dyDescent="0.2">
      <c r="A173" s="231"/>
      <c r="B173" s="224"/>
      <c r="C173" s="225"/>
      <c r="D173" s="225"/>
      <c r="E173" s="225"/>
      <c r="F173" s="177"/>
      <c r="G173" s="177"/>
      <c r="H173" s="177"/>
      <c r="I173" s="177"/>
      <c r="J173" s="223"/>
      <c r="K173" s="231"/>
      <c r="L173" s="231"/>
      <c r="M173" s="231"/>
      <c r="N173" s="231"/>
      <c r="O173" s="231"/>
      <c r="P173" s="231"/>
      <c r="Q173" s="231"/>
      <c r="R173" s="231"/>
      <c r="S173" s="231"/>
      <c r="T173" s="231"/>
      <c r="U173" s="231"/>
      <c r="V173" s="231"/>
      <c r="W173" s="231"/>
      <c r="X173" s="231"/>
      <c r="Y173" s="231"/>
    </row>
    <row r="174" spans="1:25" ht="15.75" hidden="1" customHeight="1" x14ac:dyDescent="0.2">
      <c r="A174" s="231"/>
      <c r="B174" s="224"/>
      <c r="C174" s="225"/>
      <c r="D174" s="225"/>
      <c r="E174" s="225"/>
      <c r="F174" s="177"/>
      <c r="G174" s="177"/>
      <c r="H174" s="177"/>
      <c r="I174" s="177"/>
      <c r="J174" s="223"/>
      <c r="K174" s="231"/>
      <c r="L174" s="231"/>
      <c r="M174" s="231"/>
      <c r="N174" s="231"/>
      <c r="O174" s="231"/>
      <c r="P174" s="231"/>
      <c r="Q174" s="231"/>
      <c r="R174" s="231"/>
      <c r="S174" s="231"/>
      <c r="T174" s="231"/>
      <c r="U174" s="231"/>
      <c r="V174" s="231"/>
      <c r="W174" s="231"/>
      <c r="X174" s="231"/>
      <c r="Y174" s="231"/>
    </row>
    <row r="175" spans="1:25" ht="15.75" hidden="1" customHeight="1" x14ac:dyDescent="0.2">
      <c r="A175" s="231"/>
      <c r="B175" s="224"/>
      <c r="C175" s="225"/>
      <c r="D175" s="225"/>
      <c r="E175" s="225"/>
      <c r="F175" s="177"/>
      <c r="G175" s="177"/>
      <c r="H175" s="177"/>
      <c r="I175" s="177"/>
      <c r="J175" s="223"/>
      <c r="K175" s="231"/>
      <c r="L175" s="231"/>
      <c r="M175" s="231"/>
      <c r="N175" s="231"/>
      <c r="O175" s="231"/>
      <c r="P175" s="231"/>
      <c r="Q175" s="231"/>
      <c r="R175" s="231"/>
      <c r="S175" s="231"/>
      <c r="T175" s="231"/>
      <c r="U175" s="231"/>
      <c r="V175" s="231"/>
      <c r="W175" s="231"/>
      <c r="X175" s="231"/>
      <c r="Y175" s="231"/>
    </row>
    <row r="176" spans="1:25" ht="15.75" hidden="1" customHeight="1" x14ac:dyDescent="0.2">
      <c r="A176" s="231"/>
      <c r="B176" s="224"/>
      <c r="C176" s="225"/>
      <c r="D176" s="225"/>
      <c r="E176" s="225"/>
      <c r="F176" s="177"/>
      <c r="G176" s="177"/>
      <c r="H176" s="177"/>
      <c r="I176" s="177"/>
      <c r="J176" s="223"/>
      <c r="K176" s="231"/>
      <c r="L176" s="231"/>
      <c r="M176" s="231"/>
      <c r="N176" s="231"/>
      <c r="O176" s="231"/>
      <c r="P176" s="231"/>
      <c r="Q176" s="231"/>
      <c r="R176" s="231"/>
      <c r="S176" s="231"/>
      <c r="T176" s="231"/>
      <c r="U176" s="231"/>
      <c r="V176" s="231"/>
      <c r="W176" s="231"/>
      <c r="X176" s="231"/>
      <c r="Y176" s="231"/>
    </row>
    <row r="177" spans="1:25" ht="15.75" hidden="1" customHeight="1" x14ac:dyDescent="0.2">
      <c r="A177" s="231"/>
      <c r="B177" s="224"/>
      <c r="C177" s="225"/>
      <c r="D177" s="225"/>
      <c r="E177" s="225"/>
      <c r="F177" s="177"/>
      <c r="G177" s="177"/>
      <c r="H177" s="177"/>
      <c r="I177" s="177"/>
      <c r="J177" s="223"/>
      <c r="K177" s="231"/>
      <c r="L177" s="231"/>
      <c r="M177" s="231"/>
      <c r="N177" s="231"/>
      <c r="O177" s="231"/>
      <c r="P177" s="231"/>
      <c r="Q177" s="231"/>
      <c r="R177" s="231"/>
      <c r="S177" s="231"/>
      <c r="T177" s="231"/>
      <c r="U177" s="231"/>
      <c r="V177" s="231"/>
      <c r="W177" s="231"/>
      <c r="X177" s="231"/>
      <c r="Y177" s="231"/>
    </row>
    <row r="178" spans="1:25" ht="15.75" hidden="1" customHeight="1" x14ac:dyDescent="0.2">
      <c r="A178" s="231"/>
      <c r="B178" s="224"/>
      <c r="C178" s="225"/>
      <c r="D178" s="225"/>
      <c r="E178" s="225"/>
      <c r="F178" s="177"/>
      <c r="G178" s="177"/>
      <c r="H178" s="177"/>
      <c r="I178" s="177"/>
      <c r="J178" s="223"/>
      <c r="K178" s="231"/>
      <c r="L178" s="231"/>
      <c r="M178" s="231"/>
      <c r="N178" s="231"/>
      <c r="O178" s="231"/>
      <c r="P178" s="231"/>
      <c r="Q178" s="231"/>
      <c r="R178" s="231"/>
      <c r="S178" s="231"/>
      <c r="T178" s="231"/>
      <c r="U178" s="231"/>
      <c r="V178" s="231"/>
      <c r="W178" s="231"/>
      <c r="X178" s="231"/>
      <c r="Y178" s="231"/>
    </row>
    <row r="179" spans="1:25" ht="15.75" hidden="1" customHeight="1" x14ac:dyDescent="0.2">
      <c r="A179" s="231"/>
      <c r="B179" s="224"/>
      <c r="C179" s="225"/>
      <c r="D179" s="225"/>
      <c r="E179" s="225"/>
      <c r="F179" s="177"/>
      <c r="G179" s="177"/>
      <c r="H179" s="177"/>
      <c r="I179" s="177"/>
      <c r="J179" s="223"/>
      <c r="K179" s="231"/>
      <c r="L179" s="231"/>
      <c r="M179" s="231"/>
      <c r="N179" s="231"/>
      <c r="O179" s="231"/>
      <c r="P179" s="231"/>
      <c r="Q179" s="231"/>
      <c r="R179" s="231"/>
      <c r="S179" s="231"/>
      <c r="T179" s="231"/>
      <c r="U179" s="231"/>
      <c r="V179" s="231"/>
      <c r="W179" s="231"/>
      <c r="X179" s="231"/>
      <c r="Y179" s="231"/>
    </row>
    <row r="180" spans="1:25" ht="15.75" hidden="1" customHeight="1" x14ac:dyDescent="0.2">
      <c r="A180" s="231"/>
      <c r="B180" s="224"/>
      <c r="C180" s="225"/>
      <c r="D180" s="225"/>
      <c r="E180" s="225"/>
      <c r="F180" s="177"/>
      <c r="G180" s="177"/>
      <c r="H180" s="177"/>
      <c r="I180" s="177"/>
      <c r="J180" s="223"/>
      <c r="K180" s="231"/>
      <c r="L180" s="231"/>
      <c r="M180" s="231"/>
      <c r="N180" s="231"/>
      <c r="O180" s="231"/>
      <c r="P180" s="231"/>
      <c r="Q180" s="231"/>
      <c r="R180" s="231"/>
      <c r="S180" s="231"/>
      <c r="T180" s="231"/>
      <c r="U180" s="231"/>
      <c r="V180" s="231"/>
      <c r="W180" s="231"/>
      <c r="X180" s="231"/>
      <c r="Y180" s="231"/>
    </row>
    <row r="181" spans="1:25" ht="15.75" hidden="1" customHeight="1" x14ac:dyDescent="0.2">
      <c r="A181" s="231"/>
      <c r="B181" s="224"/>
      <c r="C181" s="225"/>
      <c r="D181" s="225"/>
      <c r="E181" s="225"/>
      <c r="F181" s="177"/>
      <c r="G181" s="177"/>
      <c r="H181" s="177"/>
      <c r="I181" s="177"/>
      <c r="J181" s="223"/>
      <c r="K181" s="231"/>
      <c r="L181" s="231"/>
      <c r="M181" s="231"/>
      <c r="N181" s="231"/>
      <c r="O181" s="231"/>
      <c r="P181" s="231"/>
      <c r="Q181" s="231"/>
      <c r="R181" s="231"/>
      <c r="S181" s="231"/>
      <c r="T181" s="231"/>
      <c r="U181" s="231"/>
      <c r="V181" s="231"/>
      <c r="W181" s="231"/>
      <c r="X181" s="231"/>
      <c r="Y181" s="231"/>
    </row>
    <row r="182" spans="1:25" ht="15.75" hidden="1" customHeight="1" x14ac:dyDescent="0.2">
      <c r="A182" s="231"/>
      <c r="B182" s="224"/>
      <c r="C182" s="225"/>
      <c r="D182" s="225"/>
      <c r="E182" s="225"/>
      <c r="F182" s="177"/>
      <c r="G182" s="177"/>
      <c r="H182" s="177"/>
      <c r="I182" s="177"/>
      <c r="J182" s="223"/>
      <c r="K182" s="231"/>
      <c r="L182" s="231"/>
      <c r="M182" s="231"/>
      <c r="N182" s="231"/>
      <c r="O182" s="231"/>
      <c r="P182" s="231"/>
      <c r="Q182" s="231"/>
      <c r="R182" s="231"/>
      <c r="S182" s="231"/>
      <c r="T182" s="231"/>
      <c r="U182" s="231"/>
      <c r="V182" s="231"/>
      <c r="W182" s="231"/>
      <c r="X182" s="231"/>
      <c r="Y182" s="231"/>
    </row>
    <row r="183" spans="1:25" ht="15.75" hidden="1" customHeight="1" x14ac:dyDescent="0.2">
      <c r="A183" s="231"/>
      <c r="B183" s="224"/>
      <c r="C183" s="225"/>
      <c r="D183" s="225"/>
      <c r="E183" s="225"/>
      <c r="F183" s="177"/>
      <c r="G183" s="177"/>
      <c r="H183" s="177"/>
      <c r="I183" s="177"/>
      <c r="J183" s="223"/>
      <c r="K183" s="231"/>
      <c r="L183" s="231"/>
      <c r="M183" s="231"/>
      <c r="N183" s="231"/>
      <c r="O183" s="231"/>
      <c r="P183" s="231"/>
      <c r="Q183" s="231"/>
      <c r="R183" s="231"/>
      <c r="S183" s="231"/>
      <c r="T183" s="231"/>
      <c r="U183" s="231"/>
      <c r="V183" s="231"/>
      <c r="W183" s="231"/>
      <c r="X183" s="231"/>
      <c r="Y183" s="231"/>
    </row>
    <row r="184" spans="1:25" ht="15.75" hidden="1" customHeight="1" x14ac:dyDescent="0.2">
      <c r="A184" s="231"/>
      <c r="B184" s="224"/>
      <c r="C184" s="225"/>
      <c r="D184" s="225"/>
      <c r="E184" s="225"/>
      <c r="F184" s="177"/>
      <c r="G184" s="177"/>
      <c r="H184" s="177"/>
      <c r="I184" s="177"/>
      <c r="J184" s="223"/>
      <c r="K184" s="231"/>
      <c r="L184" s="231"/>
      <c r="M184" s="231"/>
      <c r="N184" s="231"/>
      <c r="O184" s="231"/>
      <c r="P184" s="231"/>
      <c r="Q184" s="231"/>
      <c r="R184" s="231"/>
      <c r="S184" s="231"/>
      <c r="T184" s="231"/>
      <c r="U184" s="231"/>
      <c r="V184" s="231"/>
      <c r="W184" s="231"/>
      <c r="X184" s="231"/>
      <c r="Y184" s="231"/>
    </row>
    <row r="185" spans="1:25" ht="15.75" hidden="1" customHeight="1" x14ac:dyDescent="0.2">
      <c r="A185" s="231"/>
      <c r="B185" s="224"/>
      <c r="C185" s="225"/>
      <c r="D185" s="225"/>
      <c r="E185" s="225"/>
      <c r="F185" s="177"/>
      <c r="G185" s="177"/>
      <c r="H185" s="177"/>
      <c r="I185" s="177"/>
      <c r="J185" s="223"/>
      <c r="K185" s="231"/>
      <c r="L185" s="231"/>
      <c r="M185" s="231"/>
      <c r="N185" s="231"/>
      <c r="O185" s="231"/>
      <c r="P185" s="231"/>
      <c r="Q185" s="231"/>
      <c r="R185" s="231"/>
      <c r="S185" s="231"/>
      <c r="T185" s="231"/>
      <c r="U185" s="231"/>
      <c r="V185" s="231"/>
      <c r="W185" s="231"/>
      <c r="X185" s="231"/>
      <c r="Y185" s="231"/>
    </row>
    <row r="186" spans="1:25" ht="15.75" hidden="1" customHeight="1" x14ac:dyDescent="0.2">
      <c r="A186" s="231"/>
      <c r="B186" s="224"/>
      <c r="C186" s="225"/>
      <c r="D186" s="225"/>
      <c r="E186" s="225"/>
      <c r="F186" s="177"/>
      <c r="G186" s="177"/>
      <c r="H186" s="177"/>
      <c r="I186" s="177"/>
      <c r="J186" s="223"/>
      <c r="K186" s="231"/>
      <c r="L186" s="231"/>
      <c r="M186" s="231"/>
      <c r="N186" s="231"/>
      <c r="O186" s="231"/>
      <c r="P186" s="231"/>
      <c r="Q186" s="231"/>
      <c r="R186" s="231"/>
      <c r="S186" s="231"/>
      <c r="T186" s="231"/>
      <c r="U186" s="231"/>
      <c r="V186" s="231"/>
      <c r="W186" s="231"/>
      <c r="X186" s="231"/>
      <c r="Y186" s="231"/>
    </row>
    <row r="187" spans="1:25" ht="15.75" hidden="1" customHeight="1" x14ac:dyDescent="0.2">
      <c r="A187" s="231"/>
      <c r="B187" s="224"/>
      <c r="C187" s="225"/>
      <c r="D187" s="225"/>
      <c r="E187" s="225"/>
      <c r="F187" s="177"/>
      <c r="G187" s="177"/>
      <c r="H187" s="177"/>
      <c r="I187" s="177"/>
      <c r="J187" s="223"/>
      <c r="K187" s="231"/>
      <c r="L187" s="231"/>
      <c r="M187" s="231"/>
      <c r="N187" s="231"/>
      <c r="O187" s="231"/>
      <c r="P187" s="231"/>
      <c r="Q187" s="231"/>
      <c r="R187" s="231"/>
      <c r="S187" s="231"/>
      <c r="T187" s="231"/>
      <c r="U187" s="231"/>
      <c r="V187" s="231"/>
      <c r="W187" s="231"/>
      <c r="X187" s="231"/>
      <c r="Y187" s="231"/>
    </row>
    <row r="188" spans="1:25" ht="15.75" hidden="1" customHeight="1" x14ac:dyDescent="0.2">
      <c r="A188" s="231"/>
      <c r="B188" s="224"/>
      <c r="C188" s="225"/>
      <c r="D188" s="225"/>
      <c r="E188" s="225"/>
      <c r="F188" s="177"/>
      <c r="G188" s="177"/>
      <c r="H188" s="177"/>
      <c r="I188" s="177"/>
      <c r="J188" s="223"/>
      <c r="K188" s="231"/>
      <c r="L188" s="231"/>
      <c r="M188" s="231"/>
      <c r="N188" s="231"/>
      <c r="O188" s="231"/>
      <c r="P188" s="231"/>
      <c r="Q188" s="231"/>
      <c r="R188" s="231"/>
      <c r="S188" s="231"/>
      <c r="T188" s="231"/>
      <c r="U188" s="231"/>
      <c r="V188" s="231"/>
      <c r="W188" s="231"/>
      <c r="X188" s="231"/>
      <c r="Y188" s="231"/>
    </row>
    <row r="189" spans="1:25" ht="15.75" hidden="1" customHeight="1" x14ac:dyDescent="0.2">
      <c r="A189" s="231"/>
      <c r="B189" s="224"/>
      <c r="C189" s="225"/>
      <c r="D189" s="225"/>
      <c r="E189" s="225"/>
      <c r="F189" s="177"/>
      <c r="G189" s="177"/>
      <c r="H189" s="177"/>
      <c r="I189" s="177"/>
      <c r="J189" s="223"/>
      <c r="K189" s="231"/>
      <c r="L189" s="231"/>
      <c r="M189" s="231"/>
      <c r="N189" s="231"/>
      <c r="O189" s="231"/>
      <c r="P189" s="231"/>
      <c r="Q189" s="231"/>
      <c r="R189" s="231"/>
      <c r="S189" s="231"/>
      <c r="T189" s="231"/>
      <c r="U189" s="231"/>
      <c r="V189" s="231"/>
      <c r="W189" s="231"/>
      <c r="X189" s="231"/>
      <c r="Y189" s="231"/>
    </row>
    <row r="190" spans="1:25" ht="15.75" hidden="1" customHeight="1" x14ac:dyDescent="0.2">
      <c r="A190" s="231"/>
      <c r="B190" s="224"/>
      <c r="C190" s="225"/>
      <c r="D190" s="225"/>
      <c r="E190" s="225"/>
      <c r="F190" s="177"/>
      <c r="G190" s="177"/>
      <c r="H190" s="177"/>
      <c r="I190" s="177"/>
      <c r="J190" s="223"/>
      <c r="K190" s="231"/>
      <c r="L190" s="231"/>
      <c r="M190" s="231"/>
      <c r="N190" s="231"/>
      <c r="O190" s="231"/>
      <c r="P190" s="231"/>
      <c r="Q190" s="231"/>
      <c r="R190" s="231"/>
      <c r="S190" s="231"/>
      <c r="T190" s="231"/>
      <c r="U190" s="231"/>
      <c r="V190" s="231"/>
      <c r="W190" s="231"/>
      <c r="X190" s="231"/>
      <c r="Y190" s="231"/>
    </row>
    <row r="191" spans="1:25" ht="15.75" hidden="1" customHeight="1" x14ac:dyDescent="0.2">
      <c r="A191" s="231"/>
      <c r="B191" s="224"/>
      <c r="C191" s="225"/>
      <c r="D191" s="225"/>
      <c r="E191" s="225"/>
      <c r="F191" s="177"/>
      <c r="G191" s="177"/>
      <c r="H191" s="177"/>
      <c r="I191" s="177"/>
      <c r="J191" s="223"/>
      <c r="K191" s="231"/>
      <c r="L191" s="231"/>
      <c r="M191" s="231"/>
      <c r="N191" s="231"/>
      <c r="O191" s="231"/>
      <c r="P191" s="231"/>
      <c r="Q191" s="231"/>
      <c r="R191" s="231"/>
      <c r="S191" s="231"/>
      <c r="T191" s="231"/>
      <c r="U191" s="231"/>
      <c r="V191" s="231"/>
      <c r="W191" s="231"/>
      <c r="X191" s="231"/>
      <c r="Y191" s="231"/>
    </row>
    <row r="192" spans="1:25" ht="15.75" hidden="1" customHeight="1" x14ac:dyDescent="0.2">
      <c r="A192" s="231"/>
      <c r="B192" s="224"/>
      <c r="C192" s="225"/>
      <c r="D192" s="225"/>
      <c r="E192" s="225"/>
      <c r="F192" s="177"/>
      <c r="G192" s="177"/>
      <c r="H192" s="177"/>
      <c r="I192" s="177"/>
      <c r="J192" s="223"/>
      <c r="K192" s="231"/>
      <c r="L192" s="231"/>
      <c r="M192" s="231"/>
      <c r="N192" s="231"/>
      <c r="O192" s="231"/>
      <c r="P192" s="231"/>
      <c r="Q192" s="231"/>
      <c r="R192" s="231"/>
      <c r="S192" s="231"/>
      <c r="T192" s="231"/>
      <c r="U192" s="231"/>
      <c r="V192" s="231"/>
      <c r="W192" s="231"/>
      <c r="X192" s="231"/>
      <c r="Y192" s="231"/>
    </row>
    <row r="193" spans="1:25" ht="15.75" hidden="1" customHeight="1" x14ac:dyDescent="0.2">
      <c r="A193" s="231"/>
      <c r="B193" s="224"/>
      <c r="C193" s="225"/>
      <c r="D193" s="225"/>
      <c r="E193" s="225"/>
      <c r="F193" s="177"/>
      <c r="G193" s="177"/>
      <c r="H193" s="177"/>
      <c r="I193" s="177"/>
      <c r="J193" s="223"/>
      <c r="K193" s="231"/>
      <c r="L193" s="231"/>
      <c r="M193" s="231"/>
      <c r="N193" s="231"/>
      <c r="O193" s="231"/>
      <c r="P193" s="231"/>
      <c r="Q193" s="231"/>
      <c r="R193" s="231"/>
      <c r="S193" s="231"/>
      <c r="T193" s="231"/>
      <c r="U193" s="231"/>
      <c r="V193" s="231"/>
      <c r="W193" s="231"/>
      <c r="X193" s="231"/>
      <c r="Y193" s="231"/>
    </row>
    <row r="194" spans="1:25" ht="15.75" hidden="1" customHeight="1" x14ac:dyDescent="0.2">
      <c r="A194" s="231"/>
      <c r="B194" s="224"/>
      <c r="C194" s="225"/>
      <c r="D194" s="225"/>
      <c r="E194" s="225"/>
      <c r="F194" s="177"/>
      <c r="G194" s="177"/>
      <c r="H194" s="177"/>
      <c r="I194" s="177"/>
      <c r="J194" s="223"/>
      <c r="K194" s="231"/>
      <c r="L194" s="231"/>
      <c r="M194" s="231"/>
      <c r="N194" s="231"/>
      <c r="O194" s="231"/>
      <c r="P194" s="231"/>
      <c r="Q194" s="231"/>
      <c r="R194" s="231"/>
      <c r="S194" s="231"/>
      <c r="T194" s="231"/>
      <c r="U194" s="231"/>
      <c r="V194" s="231"/>
      <c r="W194" s="231"/>
      <c r="X194" s="231"/>
      <c r="Y194" s="231"/>
    </row>
    <row r="195" spans="1:25" ht="15.75" hidden="1" customHeight="1" x14ac:dyDescent="0.2">
      <c r="A195" s="231"/>
      <c r="B195" s="224"/>
      <c r="C195" s="225"/>
      <c r="D195" s="225"/>
      <c r="E195" s="225"/>
      <c r="F195" s="177"/>
      <c r="G195" s="177"/>
      <c r="H195" s="177"/>
      <c r="I195" s="177"/>
      <c r="J195" s="223"/>
      <c r="K195" s="231"/>
      <c r="L195" s="231"/>
      <c r="M195" s="231"/>
      <c r="N195" s="231"/>
      <c r="O195" s="231"/>
      <c r="P195" s="231"/>
      <c r="Q195" s="231"/>
      <c r="R195" s="231"/>
      <c r="S195" s="231"/>
      <c r="T195" s="231"/>
      <c r="U195" s="231"/>
      <c r="V195" s="231"/>
      <c r="W195" s="231"/>
      <c r="X195" s="231"/>
      <c r="Y195" s="231"/>
    </row>
    <row r="196" spans="1:25" ht="15.75" hidden="1" customHeight="1" x14ac:dyDescent="0.2">
      <c r="A196" s="231"/>
      <c r="B196" s="224"/>
      <c r="C196" s="225"/>
      <c r="D196" s="225"/>
      <c r="E196" s="225"/>
      <c r="F196" s="177"/>
      <c r="G196" s="177"/>
      <c r="H196" s="177"/>
      <c r="I196" s="177"/>
      <c r="J196" s="223"/>
      <c r="K196" s="231"/>
      <c r="L196" s="231"/>
      <c r="M196" s="231"/>
      <c r="N196" s="231"/>
      <c r="O196" s="231"/>
      <c r="P196" s="231"/>
      <c r="Q196" s="231"/>
      <c r="R196" s="231"/>
      <c r="S196" s="231"/>
      <c r="T196" s="231"/>
      <c r="U196" s="231"/>
      <c r="V196" s="231"/>
      <c r="W196" s="231"/>
      <c r="X196" s="231"/>
      <c r="Y196" s="231"/>
    </row>
    <row r="197" spans="1:25" ht="15.75" hidden="1" customHeight="1" x14ac:dyDescent="0.2">
      <c r="A197" s="231"/>
      <c r="B197" s="224"/>
      <c r="C197" s="225"/>
      <c r="D197" s="225"/>
      <c r="E197" s="225"/>
      <c r="F197" s="177"/>
      <c r="G197" s="177"/>
      <c r="H197" s="177"/>
      <c r="I197" s="177"/>
      <c r="J197" s="223"/>
      <c r="K197" s="231"/>
      <c r="L197" s="231"/>
      <c r="M197" s="231"/>
      <c r="N197" s="231"/>
      <c r="O197" s="231"/>
      <c r="P197" s="231"/>
      <c r="Q197" s="231"/>
      <c r="R197" s="231"/>
      <c r="S197" s="231"/>
      <c r="T197" s="231"/>
      <c r="U197" s="231"/>
      <c r="V197" s="231"/>
      <c r="W197" s="231"/>
      <c r="X197" s="231"/>
      <c r="Y197" s="231"/>
    </row>
    <row r="198" spans="1:25" ht="15.75" hidden="1" customHeight="1" x14ac:dyDescent="0.2">
      <c r="A198" s="231"/>
      <c r="B198" s="224"/>
      <c r="C198" s="225"/>
      <c r="D198" s="225"/>
      <c r="E198" s="225"/>
      <c r="F198" s="177"/>
      <c r="G198" s="177"/>
      <c r="H198" s="177"/>
      <c r="I198" s="177"/>
      <c r="J198" s="223"/>
      <c r="K198" s="231"/>
      <c r="L198" s="231"/>
      <c r="M198" s="231"/>
      <c r="N198" s="231"/>
      <c r="O198" s="231"/>
      <c r="P198" s="231"/>
      <c r="Q198" s="231"/>
      <c r="R198" s="231"/>
      <c r="S198" s="231"/>
      <c r="T198" s="231"/>
      <c r="U198" s="231"/>
      <c r="V198" s="231"/>
      <c r="W198" s="231"/>
      <c r="X198" s="231"/>
      <c r="Y198" s="231"/>
    </row>
    <row r="199" spans="1:25" ht="15.75" hidden="1" customHeight="1" x14ac:dyDescent="0.2">
      <c r="A199" s="231"/>
      <c r="B199" s="224"/>
      <c r="C199" s="225"/>
      <c r="D199" s="225"/>
      <c r="E199" s="225"/>
      <c r="F199" s="177"/>
      <c r="G199" s="177"/>
      <c r="H199" s="177"/>
      <c r="I199" s="177"/>
      <c r="J199" s="223"/>
      <c r="K199" s="231"/>
      <c r="L199" s="231"/>
      <c r="M199" s="231"/>
      <c r="N199" s="231"/>
      <c r="O199" s="231"/>
      <c r="P199" s="231"/>
      <c r="Q199" s="231"/>
      <c r="R199" s="231"/>
      <c r="S199" s="231"/>
      <c r="T199" s="231"/>
      <c r="U199" s="231"/>
      <c r="V199" s="231"/>
      <c r="W199" s="231"/>
      <c r="X199" s="231"/>
      <c r="Y199" s="231"/>
    </row>
    <row r="200" spans="1:25" ht="15.75" hidden="1" customHeight="1" x14ac:dyDescent="0.2">
      <c r="A200" s="231"/>
      <c r="B200" s="224"/>
      <c r="C200" s="225"/>
      <c r="D200" s="225"/>
      <c r="E200" s="225"/>
      <c r="F200" s="177"/>
      <c r="G200" s="177"/>
      <c r="H200" s="177"/>
      <c r="I200" s="177"/>
      <c r="J200" s="223"/>
      <c r="K200" s="231"/>
      <c r="L200" s="231"/>
      <c r="M200" s="231"/>
      <c r="N200" s="231"/>
      <c r="O200" s="231"/>
      <c r="P200" s="231"/>
      <c r="Q200" s="231"/>
      <c r="R200" s="231"/>
      <c r="S200" s="231"/>
      <c r="T200" s="231"/>
      <c r="U200" s="231"/>
      <c r="V200" s="231"/>
      <c r="W200" s="231"/>
      <c r="X200" s="231"/>
      <c r="Y200" s="231"/>
    </row>
    <row r="201" spans="1:25" ht="15.75" hidden="1" customHeight="1" x14ac:dyDescent="0.2">
      <c r="A201" s="231"/>
      <c r="B201" s="224"/>
      <c r="C201" s="225"/>
      <c r="D201" s="225"/>
      <c r="E201" s="225"/>
      <c r="F201" s="177"/>
      <c r="G201" s="177"/>
      <c r="H201" s="177"/>
      <c r="I201" s="177"/>
      <c r="J201" s="223"/>
      <c r="K201" s="231"/>
      <c r="L201" s="231"/>
      <c r="M201" s="231"/>
      <c r="N201" s="231"/>
      <c r="O201" s="231"/>
      <c r="P201" s="231"/>
      <c r="Q201" s="231"/>
      <c r="R201" s="231"/>
      <c r="S201" s="231"/>
      <c r="T201" s="231"/>
      <c r="U201" s="231"/>
      <c r="V201" s="231"/>
      <c r="W201" s="231"/>
      <c r="X201" s="231"/>
      <c r="Y201" s="231"/>
    </row>
    <row r="202" spans="1:25" ht="15.75" hidden="1" customHeight="1" x14ac:dyDescent="0.2">
      <c r="A202" s="231"/>
      <c r="B202" s="224"/>
      <c r="C202" s="225"/>
      <c r="D202" s="225"/>
      <c r="E202" s="225"/>
      <c r="F202" s="177"/>
      <c r="G202" s="177"/>
      <c r="H202" s="177"/>
      <c r="I202" s="177"/>
      <c r="J202" s="223"/>
      <c r="K202" s="231"/>
      <c r="L202" s="231"/>
      <c r="M202" s="231"/>
      <c r="N202" s="231"/>
      <c r="O202" s="231"/>
      <c r="P202" s="231"/>
      <c r="Q202" s="231"/>
      <c r="R202" s="231"/>
      <c r="S202" s="231"/>
      <c r="T202" s="231"/>
      <c r="U202" s="231"/>
      <c r="V202" s="231"/>
      <c r="W202" s="231"/>
      <c r="X202" s="231"/>
      <c r="Y202" s="231"/>
    </row>
    <row r="203" spans="1:25" ht="15.75" hidden="1" customHeight="1" x14ac:dyDescent="0.2">
      <c r="A203" s="231"/>
      <c r="B203" s="224"/>
      <c r="C203" s="225"/>
      <c r="D203" s="225"/>
      <c r="E203" s="225"/>
      <c r="F203" s="177"/>
      <c r="G203" s="177"/>
      <c r="H203" s="177"/>
      <c r="I203" s="177"/>
      <c r="J203" s="223"/>
      <c r="K203" s="231"/>
      <c r="L203" s="231"/>
      <c r="M203" s="231"/>
      <c r="N203" s="231"/>
      <c r="O203" s="231"/>
      <c r="P203" s="231"/>
      <c r="Q203" s="231"/>
      <c r="R203" s="231"/>
      <c r="S203" s="231"/>
      <c r="T203" s="231"/>
      <c r="U203" s="231"/>
      <c r="V203" s="231"/>
      <c r="W203" s="231"/>
      <c r="X203" s="231"/>
      <c r="Y203" s="231"/>
    </row>
    <row r="204" spans="1:25" ht="15.75" hidden="1" customHeight="1" x14ac:dyDescent="0.2">
      <c r="A204" s="231"/>
      <c r="B204" s="224"/>
      <c r="C204" s="225"/>
      <c r="D204" s="225"/>
      <c r="E204" s="225"/>
      <c r="F204" s="177"/>
      <c r="G204" s="177"/>
      <c r="H204" s="177"/>
      <c r="I204" s="177"/>
      <c r="J204" s="223"/>
      <c r="K204" s="231"/>
      <c r="L204" s="231"/>
      <c r="M204" s="231"/>
      <c r="N204" s="231"/>
      <c r="O204" s="231"/>
      <c r="P204" s="231"/>
      <c r="Q204" s="231"/>
      <c r="R204" s="231"/>
      <c r="S204" s="231"/>
      <c r="T204" s="231"/>
      <c r="U204" s="231"/>
      <c r="V204" s="231"/>
      <c r="W204" s="231"/>
      <c r="X204" s="231"/>
      <c r="Y204" s="231"/>
    </row>
    <row r="205" spans="1:25" ht="15.75" hidden="1" customHeight="1" x14ac:dyDescent="0.2">
      <c r="A205" s="231"/>
      <c r="B205" s="224"/>
      <c r="C205" s="225"/>
      <c r="D205" s="225"/>
      <c r="E205" s="225"/>
      <c r="F205" s="177"/>
      <c r="G205" s="177"/>
      <c r="H205" s="177"/>
      <c r="I205" s="177"/>
      <c r="J205" s="223"/>
      <c r="K205" s="231"/>
      <c r="L205" s="231"/>
      <c r="M205" s="231"/>
      <c r="N205" s="231"/>
      <c r="O205" s="231"/>
      <c r="P205" s="231"/>
      <c r="Q205" s="231"/>
      <c r="R205" s="231"/>
      <c r="S205" s="231"/>
      <c r="T205" s="231"/>
      <c r="U205" s="231"/>
      <c r="V205" s="231"/>
      <c r="W205" s="231"/>
      <c r="X205" s="231"/>
      <c r="Y205" s="231"/>
    </row>
    <row r="206" spans="1:25" ht="15.75" hidden="1" customHeight="1" x14ac:dyDescent="0.2">
      <c r="A206" s="231"/>
      <c r="B206" s="224"/>
      <c r="C206" s="225"/>
      <c r="D206" s="225"/>
      <c r="E206" s="225"/>
      <c r="F206" s="177"/>
      <c r="G206" s="177"/>
      <c r="H206" s="177"/>
      <c r="I206" s="177"/>
      <c r="J206" s="223"/>
      <c r="K206" s="231"/>
      <c r="L206" s="231"/>
      <c r="M206" s="231"/>
      <c r="N206" s="231"/>
      <c r="O206" s="231"/>
      <c r="P206" s="231"/>
      <c r="Q206" s="231"/>
      <c r="R206" s="231"/>
      <c r="S206" s="231"/>
      <c r="T206" s="231"/>
      <c r="U206" s="231"/>
      <c r="V206" s="231"/>
      <c r="W206" s="231"/>
      <c r="X206" s="231"/>
      <c r="Y206" s="231"/>
    </row>
    <row r="207" spans="1:25" ht="15.75" hidden="1" customHeight="1" x14ac:dyDescent="0.2">
      <c r="A207" s="231"/>
      <c r="B207" s="224"/>
      <c r="C207" s="225"/>
      <c r="D207" s="225"/>
      <c r="E207" s="225"/>
      <c r="F207" s="177"/>
      <c r="G207" s="177"/>
      <c r="H207" s="177"/>
      <c r="I207" s="177"/>
      <c r="J207" s="223"/>
      <c r="K207" s="231"/>
      <c r="L207" s="231"/>
      <c r="M207" s="231"/>
      <c r="N207" s="231"/>
      <c r="O207" s="231"/>
      <c r="P207" s="231"/>
      <c r="Q207" s="231"/>
      <c r="R207" s="231"/>
      <c r="S207" s="231"/>
      <c r="T207" s="231"/>
      <c r="U207" s="231"/>
      <c r="V207" s="231"/>
      <c r="W207" s="231"/>
      <c r="X207" s="231"/>
      <c r="Y207" s="231"/>
    </row>
    <row r="208" spans="1:25" ht="15.75" hidden="1" customHeight="1" x14ac:dyDescent="0.2">
      <c r="A208" s="231"/>
      <c r="B208" s="224"/>
      <c r="C208" s="225"/>
      <c r="D208" s="225"/>
      <c r="E208" s="225"/>
      <c r="F208" s="177"/>
      <c r="G208" s="177"/>
      <c r="H208" s="177"/>
      <c r="I208" s="177"/>
      <c r="J208" s="223"/>
      <c r="K208" s="231"/>
      <c r="L208" s="231"/>
      <c r="M208" s="231"/>
      <c r="N208" s="231"/>
      <c r="O208" s="231"/>
      <c r="P208" s="231"/>
      <c r="Q208" s="231"/>
      <c r="R208" s="231"/>
      <c r="S208" s="231"/>
      <c r="T208" s="231"/>
      <c r="U208" s="231"/>
      <c r="V208" s="231"/>
      <c r="W208" s="231"/>
      <c r="X208" s="231"/>
      <c r="Y208" s="231"/>
    </row>
    <row r="209" spans="1:25" ht="15.75" hidden="1" customHeight="1" x14ac:dyDescent="0.2">
      <c r="A209" s="231"/>
      <c r="B209" s="224"/>
      <c r="C209" s="225"/>
      <c r="D209" s="225"/>
      <c r="E209" s="225"/>
      <c r="F209" s="177"/>
      <c r="G209" s="177"/>
      <c r="H209" s="177"/>
      <c r="I209" s="177"/>
      <c r="J209" s="223"/>
      <c r="K209" s="231"/>
      <c r="L209" s="231"/>
      <c r="M209" s="231"/>
      <c r="N209" s="231"/>
      <c r="O209" s="231"/>
      <c r="P209" s="231"/>
      <c r="Q209" s="231"/>
      <c r="R209" s="231"/>
      <c r="S209" s="231"/>
      <c r="T209" s="231"/>
      <c r="U209" s="231"/>
      <c r="V209" s="231"/>
      <c r="W209" s="231"/>
      <c r="X209" s="231"/>
      <c r="Y209" s="231"/>
    </row>
    <row r="210" spans="1:25" ht="15.75" hidden="1" customHeight="1" x14ac:dyDescent="0.2">
      <c r="A210" s="231"/>
      <c r="B210" s="224"/>
      <c r="C210" s="225"/>
      <c r="D210" s="225"/>
      <c r="E210" s="225"/>
      <c r="F210" s="177"/>
      <c r="G210" s="177"/>
      <c r="H210" s="177"/>
      <c r="I210" s="177"/>
      <c r="J210" s="223"/>
      <c r="K210" s="231"/>
      <c r="L210" s="231"/>
      <c r="M210" s="231"/>
      <c r="N210" s="231"/>
      <c r="O210" s="231"/>
      <c r="P210" s="231"/>
      <c r="Q210" s="231"/>
      <c r="R210" s="231"/>
      <c r="S210" s="231"/>
      <c r="T210" s="231"/>
      <c r="U210" s="231"/>
      <c r="V210" s="231"/>
      <c r="W210" s="231"/>
      <c r="X210" s="231"/>
      <c r="Y210" s="231"/>
    </row>
    <row r="211" spans="1:25" ht="15.75" hidden="1" customHeight="1" x14ac:dyDescent="0.2">
      <c r="A211" s="231"/>
      <c r="B211" s="224"/>
      <c r="C211" s="225"/>
      <c r="D211" s="225"/>
      <c r="E211" s="225"/>
      <c r="F211" s="177"/>
      <c r="G211" s="177"/>
      <c r="H211" s="177"/>
      <c r="I211" s="177"/>
      <c r="J211" s="223"/>
      <c r="K211" s="231"/>
      <c r="L211" s="231"/>
      <c r="M211" s="231"/>
      <c r="N211" s="231"/>
      <c r="O211" s="231"/>
      <c r="P211" s="231"/>
      <c r="Q211" s="231"/>
      <c r="R211" s="231"/>
      <c r="S211" s="231"/>
      <c r="T211" s="231"/>
      <c r="U211" s="231"/>
      <c r="V211" s="231"/>
      <c r="W211" s="231"/>
      <c r="X211" s="231"/>
      <c r="Y211" s="231"/>
    </row>
    <row r="212" spans="1:25" ht="15.75" hidden="1" customHeight="1" x14ac:dyDescent="0.2">
      <c r="A212" s="231"/>
      <c r="B212" s="224"/>
      <c r="C212" s="225"/>
      <c r="D212" s="225"/>
      <c r="E212" s="225"/>
      <c r="F212" s="177"/>
      <c r="G212" s="177"/>
      <c r="H212" s="177"/>
      <c r="I212" s="177"/>
      <c r="J212" s="223"/>
      <c r="K212" s="231"/>
      <c r="L212" s="231"/>
      <c r="M212" s="231"/>
      <c r="N212" s="231"/>
      <c r="O212" s="231"/>
      <c r="P212" s="231"/>
      <c r="Q212" s="231"/>
      <c r="R212" s="231"/>
      <c r="S212" s="231"/>
      <c r="T212" s="231"/>
      <c r="U212" s="231"/>
      <c r="V212" s="231"/>
      <c r="W212" s="231"/>
      <c r="X212" s="231"/>
      <c r="Y212" s="231"/>
    </row>
    <row r="213" spans="1:25" ht="15.75" hidden="1" customHeight="1" x14ac:dyDescent="0.2">
      <c r="A213" s="231"/>
      <c r="B213" s="224"/>
      <c r="C213" s="225"/>
      <c r="D213" s="225"/>
      <c r="E213" s="225"/>
      <c r="F213" s="177"/>
      <c r="G213" s="177"/>
      <c r="H213" s="177"/>
      <c r="I213" s="177"/>
      <c r="J213" s="223"/>
      <c r="K213" s="231"/>
      <c r="L213" s="231"/>
      <c r="M213" s="231"/>
      <c r="N213" s="231"/>
      <c r="O213" s="231"/>
      <c r="P213" s="231"/>
      <c r="Q213" s="231"/>
      <c r="R213" s="231"/>
      <c r="S213" s="231"/>
      <c r="T213" s="231"/>
      <c r="U213" s="231"/>
      <c r="V213" s="231"/>
      <c r="W213" s="231"/>
      <c r="X213" s="231"/>
      <c r="Y213" s="231"/>
    </row>
    <row r="214" spans="1:25" ht="15.75" hidden="1" customHeight="1" x14ac:dyDescent="0.2">
      <c r="A214" s="231"/>
      <c r="B214" s="224"/>
      <c r="C214" s="225"/>
      <c r="D214" s="225"/>
      <c r="E214" s="225"/>
      <c r="F214" s="177"/>
      <c r="G214" s="177"/>
      <c r="H214" s="177"/>
      <c r="I214" s="177"/>
      <c r="J214" s="223"/>
      <c r="K214" s="231"/>
      <c r="L214" s="231"/>
      <c r="M214" s="231"/>
      <c r="N214" s="231"/>
      <c r="O214" s="231"/>
      <c r="P214" s="231"/>
      <c r="Q214" s="231"/>
      <c r="R214" s="231"/>
      <c r="S214" s="231"/>
      <c r="T214" s="231"/>
      <c r="U214" s="231"/>
      <c r="V214" s="231"/>
      <c r="W214" s="231"/>
      <c r="X214" s="231"/>
      <c r="Y214" s="231"/>
    </row>
    <row r="215" spans="1:25" ht="15.75" hidden="1" customHeight="1" x14ac:dyDescent="0.2">
      <c r="A215" s="231"/>
      <c r="B215" s="224"/>
      <c r="C215" s="225"/>
      <c r="D215" s="225"/>
      <c r="E215" s="225"/>
      <c r="F215" s="177"/>
      <c r="G215" s="177"/>
      <c r="H215" s="177"/>
      <c r="I215" s="177"/>
      <c r="J215" s="223"/>
      <c r="K215" s="231"/>
      <c r="L215" s="231"/>
      <c r="M215" s="231"/>
      <c r="N215" s="231"/>
      <c r="O215" s="231"/>
      <c r="P215" s="231"/>
      <c r="Q215" s="231"/>
      <c r="R215" s="231"/>
      <c r="S215" s="231"/>
      <c r="T215" s="231"/>
      <c r="U215" s="231"/>
      <c r="V215" s="231"/>
      <c r="W215" s="231"/>
      <c r="X215" s="231"/>
      <c r="Y215" s="231"/>
    </row>
    <row r="216" spans="1:25" ht="15.75" hidden="1" customHeight="1" x14ac:dyDescent="0.2">
      <c r="A216" s="231"/>
      <c r="B216" s="224"/>
      <c r="C216" s="225"/>
      <c r="D216" s="225"/>
      <c r="E216" s="225"/>
      <c r="F216" s="177"/>
      <c r="G216" s="177"/>
      <c r="H216" s="177"/>
      <c r="I216" s="177"/>
      <c r="J216" s="223"/>
      <c r="K216" s="231"/>
      <c r="L216" s="231"/>
      <c r="M216" s="231"/>
      <c r="N216" s="231"/>
      <c r="O216" s="231"/>
      <c r="P216" s="231"/>
      <c r="Q216" s="231"/>
      <c r="R216" s="231"/>
      <c r="S216" s="231"/>
      <c r="T216" s="231"/>
      <c r="U216" s="231"/>
      <c r="V216" s="231"/>
      <c r="W216" s="231"/>
      <c r="X216" s="231"/>
      <c r="Y216" s="231"/>
    </row>
    <row r="217" spans="1:25" ht="15.75" hidden="1" customHeight="1" x14ac:dyDescent="0.2">
      <c r="A217" s="231"/>
      <c r="B217" s="224"/>
      <c r="C217" s="225"/>
      <c r="D217" s="225"/>
      <c r="E217" s="225"/>
      <c r="F217" s="177"/>
      <c r="G217" s="177"/>
      <c r="H217" s="177"/>
      <c r="I217" s="177"/>
      <c r="J217" s="223"/>
      <c r="K217" s="231"/>
      <c r="L217" s="231"/>
      <c r="M217" s="231"/>
      <c r="N217" s="231"/>
      <c r="O217" s="231"/>
      <c r="P217" s="231"/>
      <c r="Q217" s="231"/>
      <c r="R217" s="231"/>
      <c r="S217" s="231"/>
      <c r="T217" s="231"/>
      <c r="U217" s="231"/>
      <c r="V217" s="231"/>
      <c r="W217" s="231"/>
      <c r="X217" s="231"/>
      <c r="Y217" s="231"/>
    </row>
    <row r="218" spans="1:25" ht="15.75" hidden="1" customHeight="1" x14ac:dyDescent="0.2">
      <c r="A218" s="231"/>
      <c r="B218" s="224"/>
      <c r="C218" s="225"/>
      <c r="D218" s="225"/>
      <c r="E218" s="225"/>
      <c r="F218" s="177"/>
      <c r="G218" s="177"/>
      <c r="H218" s="177"/>
      <c r="I218" s="177"/>
      <c r="J218" s="223"/>
      <c r="K218" s="231"/>
      <c r="L218" s="231"/>
      <c r="M218" s="231"/>
      <c r="N218" s="231"/>
      <c r="O218" s="231"/>
      <c r="P218" s="231"/>
      <c r="Q218" s="231"/>
      <c r="R218" s="231"/>
      <c r="S218" s="231"/>
      <c r="T218" s="231"/>
      <c r="U218" s="231"/>
      <c r="V218" s="231"/>
      <c r="W218" s="231"/>
      <c r="X218" s="231"/>
      <c r="Y218" s="231"/>
    </row>
    <row r="219" spans="1:25" ht="15.75" hidden="1" customHeight="1" x14ac:dyDescent="0.2">
      <c r="A219" s="231"/>
      <c r="B219" s="224"/>
      <c r="C219" s="225"/>
      <c r="D219" s="225"/>
      <c r="E219" s="225"/>
      <c r="F219" s="177"/>
      <c r="G219" s="177"/>
      <c r="H219" s="177"/>
      <c r="I219" s="177"/>
      <c r="J219" s="223"/>
      <c r="K219" s="231"/>
      <c r="L219" s="231"/>
      <c r="M219" s="231"/>
      <c r="N219" s="231"/>
      <c r="O219" s="231"/>
      <c r="P219" s="231"/>
      <c r="Q219" s="231"/>
      <c r="R219" s="231"/>
      <c r="S219" s="231"/>
      <c r="T219" s="231"/>
      <c r="U219" s="231"/>
      <c r="V219" s="231"/>
      <c r="W219" s="231"/>
      <c r="X219" s="231"/>
      <c r="Y219" s="231"/>
    </row>
    <row r="220" spans="1:25" ht="15.75" hidden="1" customHeight="1" x14ac:dyDescent="0.2">
      <c r="A220" s="231"/>
      <c r="B220" s="224"/>
      <c r="C220" s="225"/>
      <c r="D220" s="225"/>
      <c r="E220" s="225"/>
      <c r="F220" s="177"/>
      <c r="G220" s="177"/>
      <c r="H220" s="177"/>
      <c r="I220" s="177"/>
      <c r="J220" s="223"/>
      <c r="K220" s="231"/>
      <c r="L220" s="231"/>
      <c r="M220" s="231"/>
      <c r="N220" s="231"/>
      <c r="O220" s="231"/>
      <c r="P220" s="231"/>
      <c r="Q220" s="231"/>
      <c r="R220" s="231"/>
      <c r="S220" s="231"/>
      <c r="T220" s="231"/>
      <c r="U220" s="231"/>
      <c r="V220" s="231"/>
      <c r="W220" s="231"/>
      <c r="X220" s="231"/>
      <c r="Y220" s="231"/>
    </row>
    <row r="221" spans="1:25" ht="15.75" hidden="1" customHeight="1" x14ac:dyDescent="0.2">
      <c r="A221" s="231"/>
      <c r="B221" s="224"/>
      <c r="C221" s="225"/>
      <c r="D221" s="225"/>
      <c r="E221" s="225"/>
      <c r="F221" s="177"/>
      <c r="G221" s="177"/>
      <c r="H221" s="177"/>
      <c r="I221" s="177"/>
      <c r="J221" s="223"/>
      <c r="K221" s="231"/>
      <c r="L221" s="231"/>
      <c r="M221" s="231"/>
      <c r="N221" s="231"/>
      <c r="O221" s="231"/>
      <c r="P221" s="231"/>
      <c r="Q221" s="231"/>
      <c r="R221" s="231"/>
      <c r="S221" s="231"/>
      <c r="T221" s="231"/>
      <c r="U221" s="231"/>
      <c r="V221" s="231"/>
      <c r="W221" s="231"/>
      <c r="X221" s="231"/>
      <c r="Y221" s="231"/>
    </row>
    <row r="222" spans="1:25" ht="15.75" hidden="1" customHeight="1" x14ac:dyDescent="0.2">
      <c r="A222" s="231"/>
      <c r="B222" s="224"/>
      <c r="C222" s="225"/>
      <c r="D222" s="225"/>
      <c r="E222" s="225"/>
      <c r="F222" s="177"/>
      <c r="G222" s="177"/>
      <c r="H222" s="177"/>
      <c r="I222" s="177"/>
      <c r="J222" s="223"/>
      <c r="K222" s="231"/>
      <c r="L222" s="231"/>
      <c r="M222" s="231"/>
      <c r="N222" s="231"/>
      <c r="O222" s="231"/>
      <c r="P222" s="231"/>
      <c r="Q222" s="231"/>
      <c r="R222" s="231"/>
      <c r="S222" s="231"/>
      <c r="T222" s="231"/>
      <c r="U222" s="231"/>
      <c r="V222" s="231"/>
      <c r="W222" s="231"/>
      <c r="X222" s="231"/>
      <c r="Y222" s="231"/>
    </row>
    <row r="223" spans="1:25" ht="15.75" hidden="1" customHeight="1" x14ac:dyDescent="0.2">
      <c r="A223" s="231"/>
      <c r="B223" s="224"/>
      <c r="C223" s="225"/>
      <c r="D223" s="225"/>
      <c r="E223" s="225"/>
      <c r="F223" s="177"/>
      <c r="G223" s="177"/>
      <c r="H223" s="177"/>
      <c r="I223" s="177"/>
      <c r="J223" s="223"/>
      <c r="K223" s="231"/>
      <c r="L223" s="231"/>
      <c r="M223" s="231"/>
      <c r="N223" s="231"/>
      <c r="O223" s="231"/>
      <c r="P223" s="231"/>
      <c r="Q223" s="231"/>
      <c r="R223" s="231"/>
      <c r="S223" s="231"/>
      <c r="T223" s="231"/>
      <c r="U223" s="231"/>
      <c r="V223" s="231"/>
      <c r="W223" s="231"/>
      <c r="X223" s="231"/>
      <c r="Y223" s="231"/>
    </row>
    <row r="224" spans="1:25" ht="15.75" hidden="1" customHeight="1" x14ac:dyDescent="0.2">
      <c r="A224" s="231"/>
      <c r="B224" s="224"/>
      <c r="C224" s="225"/>
      <c r="D224" s="225"/>
      <c r="E224" s="225"/>
      <c r="F224" s="177"/>
      <c r="G224" s="177"/>
      <c r="H224" s="177"/>
      <c r="I224" s="177"/>
      <c r="J224" s="223"/>
      <c r="K224" s="231"/>
      <c r="L224" s="231"/>
      <c r="M224" s="231"/>
      <c r="N224" s="231"/>
      <c r="O224" s="231"/>
      <c r="P224" s="231"/>
      <c r="Q224" s="231"/>
      <c r="R224" s="231"/>
      <c r="S224" s="231"/>
      <c r="T224" s="231"/>
      <c r="U224" s="231"/>
      <c r="V224" s="231"/>
      <c r="W224" s="231"/>
      <c r="X224" s="231"/>
      <c r="Y224" s="231"/>
    </row>
    <row r="225" spans="1:25" ht="15.75" hidden="1" customHeight="1" x14ac:dyDescent="0.2">
      <c r="A225" s="231"/>
      <c r="B225" s="224"/>
      <c r="C225" s="225"/>
      <c r="D225" s="225"/>
      <c r="E225" s="225"/>
      <c r="F225" s="177"/>
      <c r="G225" s="177"/>
      <c r="H225" s="177"/>
      <c r="I225" s="177"/>
      <c r="J225" s="223"/>
      <c r="K225" s="231"/>
      <c r="L225" s="231"/>
      <c r="M225" s="231"/>
      <c r="N225" s="231"/>
      <c r="O225" s="231"/>
      <c r="P225" s="231"/>
      <c r="Q225" s="231"/>
      <c r="R225" s="231"/>
      <c r="S225" s="231"/>
      <c r="T225" s="231"/>
      <c r="U225" s="231"/>
      <c r="V225" s="231"/>
      <c r="W225" s="231"/>
      <c r="X225" s="231"/>
      <c r="Y225" s="231"/>
    </row>
    <row r="226" spans="1:25" ht="15.75" hidden="1" customHeight="1" x14ac:dyDescent="0.2">
      <c r="A226" s="231"/>
      <c r="B226" s="224"/>
      <c r="C226" s="225"/>
      <c r="D226" s="225"/>
      <c r="E226" s="225"/>
      <c r="F226" s="177"/>
      <c r="G226" s="177"/>
      <c r="H226" s="177"/>
      <c r="I226" s="177"/>
      <c r="J226" s="223"/>
      <c r="K226" s="231"/>
      <c r="L226" s="231"/>
      <c r="M226" s="231"/>
      <c r="N226" s="231"/>
      <c r="O226" s="231"/>
      <c r="P226" s="231"/>
      <c r="Q226" s="231"/>
      <c r="R226" s="231"/>
      <c r="S226" s="231"/>
      <c r="T226" s="231"/>
      <c r="U226" s="231"/>
      <c r="V226" s="231"/>
      <c r="W226" s="231"/>
      <c r="X226" s="231"/>
      <c r="Y226" s="231"/>
    </row>
    <row r="227" spans="1:25" ht="15.75" hidden="1" customHeight="1" x14ac:dyDescent="0.2">
      <c r="A227" s="231"/>
      <c r="B227" s="224"/>
      <c r="C227" s="225"/>
      <c r="D227" s="225"/>
      <c r="E227" s="225"/>
      <c r="F227" s="177"/>
      <c r="G227" s="177"/>
      <c r="H227" s="177"/>
      <c r="I227" s="177"/>
      <c r="J227" s="223"/>
      <c r="K227" s="231"/>
      <c r="L227" s="231"/>
      <c r="M227" s="231"/>
      <c r="N227" s="231"/>
      <c r="O227" s="231"/>
      <c r="P227" s="231"/>
      <c r="Q227" s="231"/>
      <c r="R227" s="231"/>
      <c r="S227" s="231"/>
      <c r="T227" s="231"/>
      <c r="U227" s="231"/>
      <c r="V227" s="231"/>
      <c r="W227" s="231"/>
      <c r="X227" s="231"/>
      <c r="Y227" s="231"/>
    </row>
    <row r="228" spans="1:25" ht="15.75" hidden="1" customHeight="1" x14ac:dyDescent="0.2">
      <c r="A228" s="231"/>
      <c r="B228" s="224"/>
      <c r="C228" s="225"/>
      <c r="D228" s="225"/>
      <c r="E228" s="225"/>
      <c r="F228" s="177"/>
      <c r="G228" s="177"/>
      <c r="H228" s="177"/>
      <c r="I228" s="177"/>
      <c r="J228" s="223"/>
      <c r="K228" s="231"/>
      <c r="L228" s="231"/>
      <c r="M228" s="231"/>
      <c r="N228" s="231"/>
      <c r="O228" s="231"/>
      <c r="P228" s="231"/>
      <c r="Q228" s="231"/>
      <c r="R228" s="231"/>
      <c r="S228" s="231"/>
      <c r="T228" s="231"/>
      <c r="U228" s="231"/>
      <c r="V228" s="231"/>
      <c r="W228" s="231"/>
      <c r="X228" s="231"/>
      <c r="Y228" s="231"/>
    </row>
    <row r="229" spans="1:25" ht="15.75" hidden="1" customHeight="1" x14ac:dyDescent="0.2">
      <c r="A229" s="231"/>
      <c r="B229" s="224"/>
      <c r="C229" s="225"/>
      <c r="D229" s="225"/>
      <c r="E229" s="225"/>
      <c r="F229" s="177"/>
      <c r="G229" s="177"/>
      <c r="H229" s="177"/>
      <c r="I229" s="177"/>
      <c r="J229" s="223"/>
      <c r="K229" s="231"/>
      <c r="L229" s="231"/>
      <c r="M229" s="231"/>
      <c r="N229" s="231"/>
      <c r="O229" s="231"/>
      <c r="P229" s="231"/>
      <c r="Q229" s="231"/>
      <c r="R229" s="231"/>
      <c r="S229" s="231"/>
      <c r="T229" s="231"/>
      <c r="U229" s="231"/>
      <c r="V229" s="231"/>
      <c r="W229" s="231"/>
      <c r="X229" s="231"/>
      <c r="Y229" s="231"/>
    </row>
    <row r="230" spans="1:25" ht="15.75" hidden="1" customHeight="1" x14ac:dyDescent="0.2">
      <c r="A230" s="231"/>
      <c r="B230" s="224"/>
      <c r="C230" s="225"/>
      <c r="D230" s="225"/>
      <c r="E230" s="225"/>
      <c r="F230" s="177"/>
      <c r="G230" s="177"/>
      <c r="H230" s="177"/>
      <c r="I230" s="177"/>
      <c r="J230" s="223"/>
      <c r="K230" s="231"/>
      <c r="L230" s="231"/>
      <c r="M230" s="231"/>
      <c r="N230" s="231"/>
      <c r="O230" s="231"/>
      <c r="P230" s="231"/>
      <c r="Q230" s="231"/>
      <c r="R230" s="231"/>
      <c r="S230" s="231"/>
      <c r="T230" s="231"/>
      <c r="U230" s="231"/>
      <c r="V230" s="231"/>
      <c r="W230" s="231"/>
      <c r="X230" s="231"/>
      <c r="Y230" s="231"/>
    </row>
    <row r="231" spans="1:25" ht="15.75" hidden="1" customHeight="1" x14ac:dyDescent="0.2">
      <c r="A231" s="231"/>
      <c r="B231" s="224"/>
      <c r="C231" s="225"/>
      <c r="D231" s="225"/>
      <c r="E231" s="225"/>
      <c r="F231" s="177"/>
      <c r="G231" s="177"/>
      <c r="H231" s="177"/>
      <c r="I231" s="177"/>
      <c r="J231" s="223"/>
      <c r="K231" s="231"/>
      <c r="L231" s="231"/>
      <c r="M231" s="231"/>
      <c r="N231" s="231"/>
      <c r="O231" s="231"/>
      <c r="P231" s="231"/>
      <c r="Q231" s="231"/>
      <c r="R231" s="231"/>
      <c r="S231" s="231"/>
      <c r="T231" s="231"/>
      <c r="U231" s="231"/>
      <c r="V231" s="231"/>
      <c r="W231" s="231"/>
      <c r="X231" s="231"/>
      <c r="Y231" s="231"/>
    </row>
    <row r="232" spans="1:25" ht="15.75" hidden="1" customHeight="1" x14ac:dyDescent="0.2">
      <c r="A232" s="231"/>
      <c r="B232" s="224"/>
      <c r="C232" s="225"/>
      <c r="D232" s="225"/>
      <c r="E232" s="225"/>
      <c r="F232" s="177"/>
      <c r="G232" s="177"/>
      <c r="H232" s="177"/>
      <c r="I232" s="177"/>
      <c r="J232" s="223"/>
      <c r="K232" s="231"/>
      <c r="L232" s="231"/>
      <c r="M232" s="231"/>
      <c r="N232" s="231"/>
      <c r="O232" s="231"/>
      <c r="P232" s="231"/>
      <c r="Q232" s="231"/>
      <c r="R232" s="231"/>
      <c r="S232" s="231"/>
      <c r="T232" s="231"/>
      <c r="U232" s="231"/>
      <c r="V232" s="231"/>
      <c r="W232" s="231"/>
      <c r="X232" s="231"/>
      <c r="Y232" s="231"/>
    </row>
    <row r="233" spans="1:25" ht="15.75" hidden="1" customHeight="1" x14ac:dyDescent="0.2">
      <c r="A233" s="231"/>
      <c r="B233" s="224"/>
      <c r="C233" s="225"/>
      <c r="D233" s="225"/>
      <c r="E233" s="225"/>
      <c r="F233" s="177"/>
      <c r="G233" s="177"/>
      <c r="H233" s="177"/>
      <c r="I233" s="177"/>
      <c r="J233" s="223"/>
      <c r="K233" s="231"/>
      <c r="L233" s="231"/>
      <c r="M233" s="231"/>
      <c r="N233" s="231"/>
      <c r="O233" s="231"/>
      <c r="P233" s="231"/>
      <c r="Q233" s="231"/>
      <c r="R233" s="231"/>
      <c r="S233" s="231"/>
      <c r="T233" s="231"/>
      <c r="U233" s="231"/>
      <c r="V233" s="231"/>
      <c r="W233" s="231"/>
      <c r="X233" s="231"/>
      <c r="Y233" s="231"/>
    </row>
    <row r="234" spans="1:25" ht="15.75" hidden="1" customHeight="1" x14ac:dyDescent="0.2">
      <c r="A234" s="231"/>
      <c r="B234" s="224"/>
      <c r="C234" s="225"/>
      <c r="D234" s="225"/>
      <c r="E234" s="225"/>
      <c r="F234" s="177"/>
      <c r="G234" s="177"/>
      <c r="H234" s="177"/>
      <c r="I234" s="177"/>
      <c r="J234" s="223"/>
      <c r="K234" s="231"/>
      <c r="L234" s="231"/>
      <c r="M234" s="231"/>
      <c r="N234" s="231"/>
      <c r="O234" s="231"/>
      <c r="P234" s="231"/>
      <c r="Q234" s="231"/>
      <c r="R234" s="231"/>
      <c r="S234" s="231"/>
      <c r="T234" s="231"/>
      <c r="U234" s="231"/>
      <c r="V234" s="231"/>
      <c r="W234" s="231"/>
      <c r="X234" s="231"/>
      <c r="Y234" s="231"/>
    </row>
    <row r="235" spans="1:25" ht="15.75" hidden="1" customHeight="1" x14ac:dyDescent="0.2">
      <c r="A235" s="231"/>
      <c r="B235" s="224"/>
      <c r="C235" s="225"/>
      <c r="D235" s="225"/>
      <c r="E235" s="225"/>
      <c r="F235" s="177"/>
      <c r="G235" s="177"/>
      <c r="H235" s="177"/>
      <c r="I235" s="177"/>
      <c r="J235" s="223"/>
      <c r="K235" s="231"/>
      <c r="L235" s="231"/>
      <c r="M235" s="231"/>
      <c r="N235" s="231"/>
      <c r="O235" s="231"/>
      <c r="P235" s="231"/>
      <c r="Q235" s="231"/>
      <c r="R235" s="231"/>
      <c r="S235" s="231"/>
      <c r="T235" s="231"/>
      <c r="U235" s="231"/>
      <c r="V235" s="231"/>
      <c r="W235" s="231"/>
      <c r="X235" s="231"/>
      <c r="Y235" s="231"/>
    </row>
    <row r="236" spans="1:25" ht="15.75" hidden="1" customHeight="1" x14ac:dyDescent="0.2">
      <c r="A236" s="231"/>
      <c r="B236" s="224"/>
      <c r="C236" s="225"/>
      <c r="D236" s="225"/>
      <c r="E236" s="225"/>
      <c r="F236" s="177"/>
      <c r="G236" s="177"/>
      <c r="H236" s="177"/>
      <c r="I236" s="177"/>
      <c r="J236" s="223"/>
      <c r="K236" s="231"/>
      <c r="L236" s="231"/>
      <c r="M236" s="231"/>
      <c r="N236" s="231"/>
      <c r="O236" s="231"/>
      <c r="P236" s="231"/>
      <c r="Q236" s="231"/>
      <c r="R236" s="231"/>
      <c r="S236" s="231"/>
      <c r="T236" s="231"/>
      <c r="U236" s="231"/>
      <c r="V236" s="231"/>
      <c r="W236" s="231"/>
      <c r="X236" s="231"/>
      <c r="Y236" s="231"/>
    </row>
    <row r="237" spans="1:25" ht="15.75" hidden="1" customHeight="1" x14ac:dyDescent="0.2">
      <c r="A237" s="231"/>
      <c r="B237" s="224"/>
      <c r="C237" s="225"/>
      <c r="D237" s="225"/>
      <c r="E237" s="225"/>
      <c r="F237" s="177"/>
      <c r="G237" s="177"/>
      <c r="H237" s="177"/>
      <c r="I237" s="177"/>
      <c r="J237" s="223"/>
      <c r="K237" s="231"/>
      <c r="L237" s="231"/>
      <c r="M237" s="231"/>
      <c r="N237" s="231"/>
      <c r="O237" s="231"/>
      <c r="P237" s="231"/>
      <c r="Q237" s="231"/>
      <c r="R237" s="231"/>
      <c r="S237" s="231"/>
      <c r="T237" s="231"/>
      <c r="U237" s="231"/>
      <c r="V237" s="231"/>
      <c r="W237" s="231"/>
      <c r="X237" s="231"/>
      <c r="Y237" s="231"/>
    </row>
    <row r="238" spans="1:25" ht="15.75" hidden="1" customHeight="1" x14ac:dyDescent="0.2">
      <c r="A238" s="231"/>
      <c r="B238" s="224"/>
      <c r="C238" s="225"/>
      <c r="D238" s="225"/>
      <c r="E238" s="225"/>
      <c r="F238" s="177"/>
      <c r="G238" s="177"/>
      <c r="H238" s="177"/>
      <c r="I238" s="177"/>
      <c r="J238" s="223"/>
      <c r="K238" s="231"/>
      <c r="L238" s="231"/>
      <c r="M238" s="231"/>
      <c r="N238" s="231"/>
      <c r="O238" s="231"/>
      <c r="P238" s="231"/>
      <c r="Q238" s="231"/>
      <c r="R238" s="231"/>
      <c r="S238" s="231"/>
      <c r="T238" s="231"/>
      <c r="U238" s="231"/>
      <c r="V238" s="231"/>
      <c r="W238" s="231"/>
      <c r="X238" s="231"/>
      <c r="Y238" s="231"/>
    </row>
    <row r="239" spans="1:25" ht="15.75" hidden="1" customHeight="1" x14ac:dyDescent="0.2">
      <c r="A239" s="231"/>
      <c r="B239" s="224"/>
      <c r="C239" s="225"/>
      <c r="D239" s="225"/>
      <c r="E239" s="225"/>
      <c r="F239" s="177"/>
      <c r="G239" s="177"/>
      <c r="H239" s="177"/>
      <c r="I239" s="177"/>
      <c r="J239" s="223"/>
      <c r="K239" s="231"/>
      <c r="L239" s="231"/>
      <c r="M239" s="231"/>
      <c r="N239" s="231"/>
      <c r="O239" s="231"/>
      <c r="P239" s="231"/>
      <c r="Q239" s="231"/>
      <c r="R239" s="231"/>
      <c r="S239" s="231"/>
      <c r="T239" s="231"/>
      <c r="U239" s="231"/>
      <c r="V239" s="231"/>
      <c r="W239" s="231"/>
      <c r="X239" s="231"/>
      <c r="Y239" s="231"/>
    </row>
    <row r="240" spans="1:25" ht="15.75" hidden="1" customHeight="1" x14ac:dyDescent="0.2">
      <c r="A240" s="231"/>
      <c r="B240" s="224"/>
      <c r="C240" s="225"/>
      <c r="D240" s="225"/>
      <c r="E240" s="225"/>
      <c r="F240" s="177"/>
      <c r="G240" s="177"/>
      <c r="H240" s="177"/>
      <c r="I240" s="177"/>
      <c r="J240" s="223"/>
      <c r="K240" s="231"/>
      <c r="L240" s="231"/>
      <c r="M240" s="231"/>
      <c r="N240" s="231"/>
      <c r="O240" s="231"/>
      <c r="P240" s="231"/>
      <c r="Q240" s="231"/>
      <c r="R240" s="231"/>
      <c r="S240" s="231"/>
      <c r="T240" s="231"/>
      <c r="U240" s="231"/>
      <c r="V240" s="231"/>
      <c r="W240" s="231"/>
      <c r="X240" s="231"/>
      <c r="Y240" s="231"/>
    </row>
    <row r="241" spans="1:25" ht="15.75" hidden="1" customHeight="1" x14ac:dyDescent="0.2">
      <c r="A241" s="231"/>
      <c r="B241" s="224"/>
      <c r="C241" s="225"/>
      <c r="D241" s="225"/>
      <c r="E241" s="225"/>
      <c r="F241" s="177"/>
      <c r="G241" s="177"/>
      <c r="H241" s="177"/>
      <c r="I241" s="177"/>
      <c r="J241" s="223"/>
      <c r="K241" s="231"/>
      <c r="L241" s="231"/>
      <c r="M241" s="231"/>
      <c r="N241" s="231"/>
      <c r="O241" s="231"/>
      <c r="P241" s="231"/>
      <c r="Q241" s="231"/>
      <c r="R241" s="231"/>
      <c r="S241" s="231"/>
      <c r="T241" s="231"/>
      <c r="U241" s="231"/>
      <c r="V241" s="231"/>
      <c r="W241" s="231"/>
      <c r="X241" s="231"/>
      <c r="Y241" s="231"/>
    </row>
    <row r="242" spans="1:25" ht="15.75" hidden="1" customHeight="1" x14ac:dyDescent="0.2">
      <c r="A242" s="231"/>
      <c r="B242" s="224"/>
      <c r="C242" s="225"/>
      <c r="D242" s="225"/>
      <c r="E242" s="225"/>
      <c r="F242" s="177"/>
      <c r="G242" s="177"/>
      <c r="H242" s="177"/>
      <c r="I242" s="177"/>
      <c r="J242" s="223"/>
      <c r="K242" s="231"/>
      <c r="L242" s="231"/>
      <c r="M242" s="231"/>
      <c r="N242" s="231"/>
      <c r="O242" s="231"/>
      <c r="P242" s="231"/>
      <c r="Q242" s="231"/>
      <c r="R242" s="231"/>
      <c r="S242" s="231"/>
      <c r="T242" s="231"/>
      <c r="U242" s="231"/>
      <c r="V242" s="231"/>
      <c r="W242" s="231"/>
      <c r="X242" s="231"/>
      <c r="Y242" s="231"/>
    </row>
    <row r="243" spans="1:25" ht="15.75" hidden="1" customHeight="1" x14ac:dyDescent="0.2">
      <c r="A243" s="231"/>
      <c r="B243" s="224"/>
      <c r="C243" s="225"/>
      <c r="D243" s="225"/>
      <c r="E243" s="225"/>
      <c r="F243" s="177"/>
      <c r="G243" s="177"/>
      <c r="H243" s="177"/>
      <c r="I243" s="177"/>
      <c r="J243" s="223"/>
      <c r="K243" s="231"/>
      <c r="L243" s="231"/>
      <c r="M243" s="231"/>
      <c r="N243" s="231"/>
      <c r="O243" s="231"/>
      <c r="P243" s="231"/>
      <c r="Q243" s="231"/>
      <c r="R243" s="231"/>
      <c r="S243" s="231"/>
      <c r="T243" s="231"/>
      <c r="U243" s="231"/>
      <c r="V243" s="231"/>
      <c r="W243" s="231"/>
      <c r="X243" s="231"/>
      <c r="Y243" s="231"/>
    </row>
    <row r="244" spans="1:25" ht="15.75" hidden="1" customHeight="1" x14ac:dyDescent="0.2">
      <c r="A244" s="231"/>
      <c r="B244" s="224"/>
      <c r="C244" s="225"/>
      <c r="D244" s="225"/>
      <c r="E244" s="225"/>
      <c r="F244" s="177"/>
      <c r="G244" s="177"/>
      <c r="H244" s="177"/>
      <c r="I244" s="177"/>
      <c r="J244" s="223"/>
      <c r="K244" s="231"/>
      <c r="L244" s="231"/>
      <c r="M244" s="231"/>
      <c r="N244" s="231"/>
      <c r="O244" s="231"/>
      <c r="P244" s="231"/>
      <c r="Q244" s="231"/>
      <c r="R244" s="231"/>
      <c r="S244" s="231"/>
      <c r="T244" s="231"/>
      <c r="U244" s="231"/>
      <c r="V244" s="231"/>
      <c r="W244" s="231"/>
      <c r="X244" s="231"/>
      <c r="Y244" s="231"/>
    </row>
    <row r="245" spans="1:25" ht="15.75" hidden="1" customHeight="1" x14ac:dyDescent="0.2">
      <c r="A245" s="231"/>
      <c r="B245" s="224"/>
      <c r="C245" s="225"/>
      <c r="D245" s="225"/>
      <c r="E245" s="225"/>
      <c r="F245" s="177"/>
      <c r="G245" s="177"/>
      <c r="H245" s="177"/>
      <c r="I245" s="177"/>
      <c r="J245" s="223"/>
      <c r="K245" s="231"/>
      <c r="L245" s="231"/>
      <c r="M245" s="231"/>
      <c r="N245" s="231"/>
      <c r="O245" s="231"/>
      <c r="P245" s="231"/>
      <c r="Q245" s="231"/>
      <c r="R245" s="231"/>
      <c r="S245" s="231"/>
      <c r="T245" s="231"/>
      <c r="U245" s="231"/>
      <c r="V245" s="231"/>
      <c r="W245" s="231"/>
      <c r="X245" s="231"/>
      <c r="Y245" s="231"/>
    </row>
    <row r="246" spans="1:25" ht="15.75" hidden="1" customHeight="1" x14ac:dyDescent="0.2">
      <c r="A246" s="231"/>
      <c r="B246" s="224"/>
      <c r="C246" s="225"/>
      <c r="D246" s="225"/>
      <c r="E246" s="225"/>
      <c r="F246" s="177"/>
      <c r="G246" s="177"/>
      <c r="H246" s="177"/>
      <c r="I246" s="177"/>
      <c r="J246" s="223"/>
      <c r="K246" s="231"/>
      <c r="L246" s="231"/>
      <c r="M246" s="231"/>
      <c r="N246" s="231"/>
      <c r="O246" s="231"/>
      <c r="P246" s="231"/>
      <c r="Q246" s="231"/>
      <c r="R246" s="231"/>
      <c r="S246" s="231"/>
      <c r="T246" s="231"/>
      <c r="U246" s="231"/>
      <c r="V246" s="231"/>
      <c r="W246" s="231"/>
      <c r="X246" s="231"/>
      <c r="Y246" s="231"/>
    </row>
    <row r="247" spans="1:25" ht="15.75" hidden="1" customHeight="1" x14ac:dyDescent="0.2">
      <c r="A247" s="231"/>
      <c r="B247" s="224"/>
      <c r="C247" s="225"/>
      <c r="D247" s="225"/>
      <c r="E247" s="225"/>
      <c r="F247" s="177"/>
      <c r="G247" s="177"/>
      <c r="H247" s="177"/>
      <c r="I247" s="177"/>
      <c r="J247" s="223"/>
      <c r="K247" s="231"/>
      <c r="L247" s="231"/>
      <c r="M247" s="231"/>
      <c r="N247" s="231"/>
      <c r="O247" s="231"/>
      <c r="P247" s="231"/>
      <c r="Q247" s="231"/>
      <c r="R247" s="231"/>
      <c r="S247" s="231"/>
      <c r="T247" s="231"/>
      <c r="U247" s="231"/>
      <c r="V247" s="231"/>
      <c r="W247" s="231"/>
      <c r="X247" s="231"/>
      <c r="Y247" s="231"/>
    </row>
    <row r="248" spans="1:25" ht="15.75" hidden="1" customHeight="1" x14ac:dyDescent="0.2">
      <c r="A248" s="231"/>
      <c r="B248" s="224"/>
      <c r="C248" s="225"/>
      <c r="D248" s="225"/>
      <c r="E248" s="225"/>
      <c r="F248" s="177"/>
      <c r="G248" s="177"/>
      <c r="H248" s="177"/>
      <c r="I248" s="177"/>
      <c r="J248" s="223"/>
      <c r="K248" s="231"/>
      <c r="L248" s="231"/>
      <c r="M248" s="231"/>
      <c r="N248" s="231"/>
      <c r="O248" s="231"/>
      <c r="P248" s="231"/>
      <c r="Q248" s="231"/>
      <c r="R248" s="231"/>
      <c r="S248" s="231"/>
      <c r="T248" s="231"/>
      <c r="U248" s="231"/>
      <c r="V248" s="231"/>
      <c r="W248" s="231"/>
      <c r="X248" s="231"/>
      <c r="Y248" s="231"/>
    </row>
    <row r="249" spans="1:25" ht="15.75" hidden="1" customHeight="1" x14ac:dyDescent="0.2">
      <c r="A249" s="231"/>
      <c r="B249" s="224"/>
      <c r="C249" s="225"/>
      <c r="D249" s="225"/>
      <c r="E249" s="225"/>
      <c r="F249" s="177"/>
      <c r="G249" s="177"/>
      <c r="H249" s="177"/>
      <c r="I249" s="177"/>
      <c r="J249" s="223"/>
      <c r="K249" s="231"/>
      <c r="L249" s="231"/>
      <c r="M249" s="231"/>
      <c r="N249" s="231"/>
      <c r="O249" s="231"/>
      <c r="P249" s="231"/>
      <c r="Q249" s="231"/>
      <c r="R249" s="231"/>
      <c r="S249" s="231"/>
      <c r="T249" s="231"/>
      <c r="U249" s="231"/>
      <c r="V249" s="231"/>
      <c r="W249" s="231"/>
      <c r="X249" s="231"/>
      <c r="Y249" s="231"/>
    </row>
    <row r="250" spans="1:25" ht="15.75" hidden="1" customHeight="1" x14ac:dyDescent="0.2">
      <c r="A250" s="231"/>
      <c r="B250" s="224"/>
      <c r="C250" s="225"/>
      <c r="D250" s="225"/>
      <c r="E250" s="225"/>
      <c r="F250" s="177"/>
      <c r="G250" s="177"/>
      <c r="H250" s="177"/>
      <c r="I250" s="177"/>
      <c r="J250" s="223"/>
      <c r="K250" s="231"/>
      <c r="L250" s="231"/>
      <c r="M250" s="231"/>
      <c r="N250" s="231"/>
      <c r="O250" s="231"/>
      <c r="P250" s="231"/>
      <c r="Q250" s="231"/>
      <c r="R250" s="231"/>
      <c r="S250" s="231"/>
      <c r="T250" s="231"/>
      <c r="U250" s="231"/>
      <c r="V250" s="231"/>
      <c r="W250" s="231"/>
      <c r="X250" s="231"/>
      <c r="Y250" s="231"/>
    </row>
    <row r="251" spans="1:25" ht="15.75" hidden="1" customHeight="1" x14ac:dyDescent="0.2">
      <c r="A251" s="231"/>
      <c r="B251" s="224"/>
      <c r="C251" s="225"/>
      <c r="D251" s="225"/>
      <c r="E251" s="225"/>
      <c r="F251" s="177"/>
      <c r="G251" s="177"/>
      <c r="H251" s="177"/>
      <c r="I251" s="177"/>
      <c r="J251" s="223"/>
      <c r="K251" s="231"/>
      <c r="L251" s="231"/>
      <c r="M251" s="231"/>
      <c r="N251" s="231"/>
      <c r="O251" s="231"/>
      <c r="P251" s="231"/>
      <c r="Q251" s="231"/>
      <c r="R251" s="231"/>
      <c r="S251" s="231"/>
      <c r="T251" s="231"/>
      <c r="U251" s="231"/>
      <c r="V251" s="231"/>
      <c r="W251" s="231"/>
      <c r="X251" s="231"/>
      <c r="Y251" s="231"/>
    </row>
    <row r="252" spans="1:25" ht="15.75" hidden="1" customHeight="1" x14ac:dyDescent="0.2">
      <c r="A252" s="231"/>
      <c r="B252" s="224"/>
      <c r="C252" s="225"/>
      <c r="D252" s="225"/>
      <c r="E252" s="225"/>
      <c r="F252" s="177"/>
      <c r="G252" s="177"/>
      <c r="H252" s="177"/>
      <c r="I252" s="177"/>
      <c r="J252" s="223"/>
      <c r="K252" s="231"/>
      <c r="L252" s="231"/>
      <c r="M252" s="231"/>
      <c r="N252" s="231"/>
      <c r="O252" s="231"/>
      <c r="P252" s="231"/>
      <c r="Q252" s="231"/>
      <c r="R252" s="231"/>
      <c r="S252" s="231"/>
      <c r="T252" s="231"/>
      <c r="U252" s="231"/>
      <c r="V252" s="231"/>
      <c r="W252" s="231"/>
      <c r="X252" s="231"/>
      <c r="Y252" s="231"/>
    </row>
    <row r="253" spans="1:25" ht="15.75" hidden="1" customHeight="1" x14ac:dyDescent="0.2">
      <c r="A253" s="231"/>
      <c r="B253" s="224"/>
      <c r="C253" s="225"/>
      <c r="D253" s="225"/>
      <c r="E253" s="225"/>
      <c r="F253" s="177"/>
      <c r="G253" s="177"/>
      <c r="H253" s="177"/>
      <c r="I253" s="177"/>
      <c r="J253" s="223"/>
      <c r="K253" s="231"/>
      <c r="L253" s="231"/>
      <c r="M253" s="231"/>
      <c r="N253" s="231"/>
      <c r="O253" s="231"/>
      <c r="P253" s="231"/>
      <c r="Q253" s="231"/>
      <c r="R253" s="231"/>
      <c r="S253" s="231"/>
      <c r="T253" s="231"/>
      <c r="U253" s="231"/>
      <c r="V253" s="231"/>
      <c r="W253" s="231"/>
      <c r="X253" s="231"/>
      <c r="Y253" s="231"/>
    </row>
    <row r="254" spans="1:25" ht="15.75" hidden="1" customHeight="1" x14ac:dyDescent="0.2">
      <c r="A254" s="231"/>
      <c r="B254" s="224"/>
      <c r="C254" s="225"/>
      <c r="D254" s="225"/>
      <c r="E254" s="225"/>
      <c r="F254" s="177"/>
      <c r="G254" s="177"/>
      <c r="H254" s="177"/>
      <c r="I254" s="177"/>
      <c r="J254" s="223"/>
      <c r="K254" s="231"/>
      <c r="L254" s="231"/>
      <c r="M254" s="231"/>
      <c r="N254" s="231"/>
      <c r="O254" s="231"/>
      <c r="P254" s="231"/>
      <c r="Q254" s="231"/>
      <c r="R254" s="231"/>
      <c r="S254" s="231"/>
      <c r="T254" s="231"/>
      <c r="U254" s="231"/>
      <c r="V254" s="231"/>
      <c r="W254" s="231"/>
      <c r="X254" s="231"/>
      <c r="Y254" s="231"/>
    </row>
    <row r="255" spans="1:25" ht="15.75" hidden="1" customHeight="1" x14ac:dyDescent="0.2">
      <c r="A255" s="231"/>
      <c r="B255" s="224"/>
      <c r="C255" s="225"/>
      <c r="D255" s="225"/>
      <c r="E255" s="225"/>
      <c r="F255" s="177"/>
      <c r="G255" s="177"/>
      <c r="H255" s="177"/>
      <c r="I255" s="177"/>
      <c r="J255" s="223"/>
      <c r="K255" s="231"/>
      <c r="L255" s="231"/>
      <c r="M255" s="231"/>
      <c r="N255" s="231"/>
      <c r="O255" s="231"/>
      <c r="P255" s="231"/>
      <c r="Q255" s="231"/>
      <c r="R255" s="231"/>
      <c r="S255" s="231"/>
      <c r="T255" s="231"/>
      <c r="U255" s="231"/>
      <c r="V255" s="231"/>
      <c r="W255" s="231"/>
      <c r="X255" s="231"/>
      <c r="Y255" s="231"/>
    </row>
    <row r="256" spans="1:25" ht="15.75" hidden="1" customHeight="1" x14ac:dyDescent="0.2">
      <c r="A256" s="231"/>
      <c r="B256" s="224"/>
      <c r="C256" s="225"/>
      <c r="D256" s="225"/>
      <c r="E256" s="225"/>
      <c r="F256" s="177"/>
      <c r="G256" s="177"/>
      <c r="H256" s="177"/>
      <c r="I256" s="177"/>
      <c r="J256" s="223"/>
      <c r="K256" s="231"/>
      <c r="L256" s="231"/>
      <c r="M256" s="231"/>
      <c r="N256" s="231"/>
      <c r="O256" s="231"/>
      <c r="P256" s="231"/>
      <c r="Q256" s="231"/>
      <c r="R256" s="231"/>
      <c r="S256" s="231"/>
      <c r="T256" s="231"/>
      <c r="U256" s="231"/>
      <c r="V256" s="231"/>
      <c r="W256" s="231"/>
      <c r="X256" s="231"/>
      <c r="Y256" s="231"/>
    </row>
    <row r="257" spans="1:25" ht="15.75" hidden="1" customHeight="1" x14ac:dyDescent="0.2">
      <c r="A257" s="231"/>
      <c r="B257" s="224"/>
      <c r="C257" s="225"/>
      <c r="D257" s="225"/>
      <c r="E257" s="225"/>
      <c r="F257" s="177"/>
      <c r="G257" s="177"/>
      <c r="H257" s="177"/>
      <c r="I257" s="177"/>
      <c r="J257" s="223"/>
      <c r="K257" s="231"/>
      <c r="L257" s="231"/>
      <c r="M257" s="231"/>
      <c r="N257" s="231"/>
      <c r="O257" s="231"/>
      <c r="P257" s="231"/>
      <c r="Q257" s="231"/>
      <c r="R257" s="231"/>
      <c r="S257" s="231"/>
      <c r="T257" s="231"/>
      <c r="U257" s="231"/>
      <c r="V257" s="231"/>
      <c r="W257" s="231"/>
      <c r="X257" s="231"/>
      <c r="Y257" s="231"/>
    </row>
    <row r="258" spans="1:25" ht="15.75" hidden="1" customHeight="1" x14ac:dyDescent="0.2">
      <c r="A258" s="231"/>
      <c r="B258" s="224"/>
      <c r="C258" s="225"/>
      <c r="D258" s="225"/>
      <c r="E258" s="225"/>
      <c r="F258" s="177"/>
      <c r="G258" s="177"/>
      <c r="H258" s="177"/>
      <c r="I258" s="177"/>
      <c r="J258" s="223"/>
      <c r="K258" s="231"/>
      <c r="L258" s="231"/>
      <c r="M258" s="231"/>
      <c r="N258" s="231"/>
      <c r="O258" s="231"/>
      <c r="P258" s="231"/>
      <c r="Q258" s="231"/>
      <c r="R258" s="231"/>
      <c r="S258" s="231"/>
      <c r="T258" s="231"/>
      <c r="U258" s="231"/>
      <c r="V258" s="231"/>
      <c r="W258" s="231"/>
      <c r="X258" s="231"/>
      <c r="Y258" s="231"/>
    </row>
    <row r="259" spans="1:25" ht="15.75" hidden="1" customHeight="1" x14ac:dyDescent="0.2">
      <c r="A259" s="231"/>
      <c r="B259" s="224"/>
      <c r="C259" s="225"/>
      <c r="D259" s="225"/>
      <c r="E259" s="225"/>
      <c r="F259" s="177"/>
      <c r="G259" s="177"/>
      <c r="H259" s="177"/>
      <c r="I259" s="177"/>
      <c r="J259" s="223"/>
      <c r="K259" s="231"/>
      <c r="L259" s="231"/>
      <c r="M259" s="231"/>
      <c r="N259" s="231"/>
      <c r="O259" s="231"/>
      <c r="P259" s="231"/>
      <c r="Q259" s="231"/>
      <c r="R259" s="231"/>
      <c r="S259" s="231"/>
      <c r="T259" s="231"/>
      <c r="U259" s="231"/>
      <c r="V259" s="231"/>
      <c r="W259" s="231"/>
      <c r="X259" s="231"/>
      <c r="Y259" s="231"/>
    </row>
    <row r="260" spans="1:25" ht="15.75" hidden="1" customHeight="1" x14ac:dyDescent="0.2">
      <c r="A260" s="231"/>
      <c r="B260" s="224"/>
      <c r="C260" s="225"/>
      <c r="D260" s="225"/>
      <c r="E260" s="225"/>
      <c r="F260" s="177"/>
      <c r="G260" s="177"/>
      <c r="H260" s="177"/>
      <c r="I260" s="177"/>
      <c r="J260" s="223"/>
      <c r="K260" s="231"/>
      <c r="L260" s="231"/>
      <c r="M260" s="231"/>
      <c r="N260" s="231"/>
      <c r="O260" s="231"/>
      <c r="P260" s="231"/>
      <c r="Q260" s="231"/>
      <c r="R260" s="231"/>
      <c r="S260" s="231"/>
      <c r="T260" s="231"/>
      <c r="U260" s="231"/>
      <c r="V260" s="231"/>
      <c r="W260" s="231"/>
      <c r="X260" s="231"/>
      <c r="Y260" s="231"/>
    </row>
    <row r="261" spans="1:25" ht="15.75" hidden="1" customHeight="1" x14ac:dyDescent="0.2">
      <c r="A261" s="231"/>
      <c r="B261" s="224"/>
      <c r="C261" s="225"/>
      <c r="D261" s="225"/>
      <c r="E261" s="225"/>
      <c r="F261" s="177"/>
      <c r="G261" s="177"/>
      <c r="H261" s="177"/>
      <c r="I261" s="177"/>
      <c r="J261" s="223"/>
      <c r="K261" s="231"/>
      <c r="L261" s="231"/>
      <c r="M261" s="231"/>
      <c r="N261" s="231"/>
      <c r="O261" s="231"/>
      <c r="P261" s="231"/>
      <c r="Q261" s="231"/>
      <c r="R261" s="231"/>
      <c r="S261" s="231"/>
      <c r="T261" s="231"/>
      <c r="U261" s="231"/>
      <c r="V261" s="231"/>
      <c r="W261" s="231"/>
      <c r="X261" s="231"/>
      <c r="Y261" s="231"/>
    </row>
    <row r="262" spans="1:25" ht="15.75" hidden="1" customHeight="1" x14ac:dyDescent="0.2">
      <c r="A262" s="231"/>
      <c r="B262" s="224"/>
      <c r="C262" s="225"/>
      <c r="D262" s="225"/>
      <c r="E262" s="225"/>
      <c r="F262" s="177"/>
      <c r="G262" s="177"/>
      <c r="H262" s="177"/>
      <c r="I262" s="177"/>
      <c r="J262" s="223"/>
      <c r="K262" s="231"/>
      <c r="L262" s="231"/>
      <c r="M262" s="231"/>
      <c r="N262" s="231"/>
      <c r="O262" s="231"/>
      <c r="P262" s="231"/>
      <c r="Q262" s="231"/>
      <c r="R262" s="231"/>
      <c r="S262" s="231"/>
      <c r="T262" s="231"/>
      <c r="U262" s="231"/>
      <c r="V262" s="231"/>
      <c r="W262" s="231"/>
      <c r="X262" s="231"/>
      <c r="Y262" s="231"/>
    </row>
    <row r="263" spans="1:25" ht="15.75" hidden="1" customHeight="1" x14ac:dyDescent="0.2">
      <c r="A263" s="231"/>
      <c r="B263" s="224"/>
      <c r="C263" s="225"/>
      <c r="D263" s="225"/>
      <c r="E263" s="225"/>
      <c r="F263" s="177"/>
      <c r="G263" s="177"/>
      <c r="H263" s="177"/>
      <c r="I263" s="177"/>
      <c r="J263" s="223"/>
      <c r="K263" s="231"/>
      <c r="L263" s="231"/>
      <c r="M263" s="231"/>
      <c r="N263" s="231"/>
      <c r="O263" s="231"/>
      <c r="P263" s="231"/>
      <c r="Q263" s="231"/>
      <c r="R263" s="231"/>
      <c r="S263" s="231"/>
      <c r="T263" s="231"/>
      <c r="U263" s="231"/>
      <c r="V263" s="231"/>
      <c r="W263" s="231"/>
      <c r="X263" s="231"/>
      <c r="Y263" s="231"/>
    </row>
    <row r="264" spans="1:25" ht="15.75" hidden="1" customHeight="1" x14ac:dyDescent="0.2">
      <c r="A264" s="231"/>
      <c r="B264" s="224"/>
      <c r="C264" s="225"/>
      <c r="D264" s="225"/>
      <c r="E264" s="225"/>
      <c r="F264" s="177"/>
      <c r="G264" s="177"/>
      <c r="H264" s="177"/>
      <c r="I264" s="177"/>
      <c r="J264" s="223"/>
      <c r="K264" s="231"/>
      <c r="L264" s="231"/>
      <c r="M264" s="231"/>
      <c r="N264" s="231"/>
      <c r="O264" s="231"/>
      <c r="P264" s="231"/>
      <c r="Q264" s="231"/>
      <c r="R264" s="231"/>
      <c r="S264" s="231"/>
      <c r="T264" s="231"/>
      <c r="U264" s="231"/>
      <c r="V264" s="231"/>
      <c r="W264" s="231"/>
      <c r="X264" s="231"/>
      <c r="Y264" s="231"/>
    </row>
    <row r="265" spans="1:25" ht="15.75" hidden="1" customHeight="1" x14ac:dyDescent="0.2">
      <c r="A265" s="231"/>
      <c r="B265" s="224"/>
      <c r="C265" s="225"/>
      <c r="D265" s="225"/>
      <c r="E265" s="225"/>
      <c r="F265" s="177"/>
      <c r="G265" s="177"/>
      <c r="H265" s="177"/>
      <c r="I265" s="177"/>
      <c r="J265" s="223"/>
      <c r="K265" s="231"/>
      <c r="L265" s="231"/>
      <c r="M265" s="231"/>
      <c r="N265" s="231"/>
      <c r="O265" s="231"/>
      <c r="P265" s="231"/>
      <c r="Q265" s="231"/>
      <c r="R265" s="231"/>
      <c r="S265" s="231"/>
      <c r="T265" s="231"/>
      <c r="U265" s="231"/>
      <c r="V265" s="231"/>
      <c r="W265" s="231"/>
      <c r="X265" s="231"/>
      <c r="Y265" s="231"/>
    </row>
    <row r="266" spans="1:25" ht="15.75" hidden="1" customHeight="1" x14ac:dyDescent="0.2">
      <c r="A266" s="231"/>
      <c r="B266" s="224"/>
      <c r="C266" s="225"/>
      <c r="D266" s="225"/>
      <c r="E266" s="225"/>
      <c r="F266" s="177"/>
      <c r="G266" s="177"/>
      <c r="H266" s="177"/>
      <c r="I266" s="177"/>
      <c r="J266" s="223"/>
      <c r="K266" s="231"/>
      <c r="L266" s="231"/>
      <c r="M266" s="231"/>
      <c r="N266" s="231"/>
      <c r="O266" s="231"/>
      <c r="P266" s="231"/>
      <c r="Q266" s="231"/>
      <c r="R266" s="231"/>
      <c r="S266" s="231"/>
      <c r="T266" s="231"/>
      <c r="U266" s="231"/>
      <c r="V266" s="231"/>
      <c r="W266" s="231"/>
      <c r="X266" s="231"/>
      <c r="Y266" s="231"/>
    </row>
    <row r="267" spans="1:25" ht="15.75" hidden="1" customHeight="1" x14ac:dyDescent="0.2">
      <c r="A267" s="231"/>
      <c r="B267" s="224"/>
      <c r="C267" s="225"/>
      <c r="D267" s="225"/>
      <c r="E267" s="225"/>
      <c r="F267" s="177"/>
      <c r="G267" s="177"/>
      <c r="H267" s="177"/>
      <c r="I267" s="177"/>
      <c r="J267" s="223"/>
      <c r="K267" s="231"/>
      <c r="L267" s="231"/>
      <c r="M267" s="231"/>
      <c r="N267" s="231"/>
      <c r="O267" s="231"/>
      <c r="P267" s="231"/>
      <c r="Q267" s="231"/>
      <c r="R267" s="231"/>
      <c r="S267" s="231"/>
      <c r="T267" s="231"/>
      <c r="U267" s="231"/>
      <c r="V267" s="231"/>
      <c r="W267" s="231"/>
      <c r="X267" s="231"/>
      <c r="Y267" s="231"/>
    </row>
    <row r="268" spans="1:25" ht="15.75" hidden="1" customHeight="1" x14ac:dyDescent="0.2">
      <c r="A268" s="231"/>
      <c r="B268" s="224"/>
      <c r="C268" s="225"/>
      <c r="D268" s="225"/>
      <c r="E268" s="225"/>
      <c r="F268" s="177"/>
      <c r="G268" s="177"/>
      <c r="H268" s="177"/>
      <c r="I268" s="177"/>
      <c r="J268" s="223"/>
      <c r="K268" s="231"/>
      <c r="L268" s="231"/>
      <c r="M268" s="231"/>
      <c r="N268" s="231"/>
      <c r="O268" s="231"/>
      <c r="P268" s="231"/>
      <c r="Q268" s="231"/>
      <c r="R268" s="231"/>
      <c r="S268" s="231"/>
      <c r="T268" s="231"/>
      <c r="U268" s="231"/>
      <c r="V268" s="231"/>
      <c r="W268" s="231"/>
      <c r="X268" s="231"/>
      <c r="Y268" s="231"/>
    </row>
    <row r="269" spans="1:25" ht="15.75" hidden="1" customHeight="1" x14ac:dyDescent="0.2">
      <c r="A269" s="231"/>
      <c r="B269" s="224"/>
      <c r="C269" s="225"/>
      <c r="D269" s="225"/>
      <c r="E269" s="225"/>
      <c r="F269" s="177"/>
      <c r="G269" s="177"/>
      <c r="H269" s="177"/>
      <c r="I269" s="177"/>
      <c r="J269" s="223"/>
      <c r="K269" s="231"/>
      <c r="L269" s="231"/>
      <c r="M269" s="231"/>
      <c r="N269" s="231"/>
      <c r="O269" s="231"/>
      <c r="P269" s="231"/>
      <c r="Q269" s="231"/>
      <c r="R269" s="231"/>
      <c r="S269" s="231"/>
      <c r="T269" s="231"/>
      <c r="U269" s="231"/>
      <c r="V269" s="231"/>
      <c r="W269" s="231"/>
      <c r="X269" s="231"/>
      <c r="Y269" s="231"/>
    </row>
    <row r="270" spans="1:25" ht="15.75" hidden="1" customHeight="1" x14ac:dyDescent="0.2">
      <c r="A270" s="231"/>
      <c r="B270" s="224"/>
      <c r="C270" s="225"/>
      <c r="D270" s="225"/>
      <c r="E270" s="225"/>
      <c r="F270" s="177"/>
      <c r="G270" s="177"/>
      <c r="H270" s="177"/>
      <c r="I270" s="177"/>
      <c r="J270" s="223"/>
      <c r="K270" s="231"/>
      <c r="L270" s="231"/>
      <c r="M270" s="231"/>
      <c r="N270" s="231"/>
      <c r="O270" s="231"/>
      <c r="P270" s="231"/>
      <c r="Q270" s="231"/>
      <c r="R270" s="231"/>
      <c r="S270" s="231"/>
      <c r="T270" s="231"/>
      <c r="U270" s="231"/>
      <c r="V270" s="231"/>
      <c r="W270" s="231"/>
      <c r="X270" s="231"/>
      <c r="Y270" s="231"/>
    </row>
    <row r="271" spans="1:25" ht="15.75" hidden="1" customHeight="1" x14ac:dyDescent="0.2">
      <c r="A271" s="231"/>
      <c r="B271" s="224"/>
      <c r="C271" s="225"/>
      <c r="D271" s="225"/>
      <c r="E271" s="225"/>
      <c r="F271" s="177"/>
      <c r="G271" s="177"/>
      <c r="H271" s="177"/>
      <c r="I271" s="177"/>
      <c r="J271" s="223"/>
      <c r="K271" s="231"/>
      <c r="L271" s="231"/>
      <c r="M271" s="231"/>
      <c r="N271" s="231"/>
      <c r="O271" s="231"/>
      <c r="P271" s="231"/>
      <c r="Q271" s="231"/>
      <c r="R271" s="231"/>
      <c r="S271" s="231"/>
      <c r="T271" s="231"/>
      <c r="U271" s="231"/>
      <c r="V271" s="231"/>
      <c r="W271" s="231"/>
      <c r="X271" s="231"/>
      <c r="Y271" s="231"/>
    </row>
    <row r="272" spans="1:25" ht="15.75" hidden="1" customHeight="1" x14ac:dyDescent="0.2">
      <c r="A272" s="231"/>
      <c r="B272" s="224"/>
      <c r="C272" s="225"/>
      <c r="D272" s="225"/>
      <c r="E272" s="225"/>
      <c r="F272" s="177"/>
      <c r="G272" s="177"/>
      <c r="H272" s="177"/>
      <c r="I272" s="177"/>
      <c r="J272" s="223"/>
      <c r="K272" s="231"/>
      <c r="L272" s="231"/>
      <c r="M272" s="231"/>
      <c r="N272" s="231"/>
      <c r="O272" s="231"/>
      <c r="P272" s="231"/>
      <c r="Q272" s="231"/>
      <c r="R272" s="231"/>
      <c r="S272" s="231"/>
      <c r="T272" s="231"/>
      <c r="U272" s="231"/>
      <c r="V272" s="231"/>
      <c r="W272" s="231"/>
      <c r="X272" s="231"/>
      <c r="Y272" s="231"/>
    </row>
    <row r="273" spans="1:25" ht="15.75" hidden="1" customHeight="1" x14ac:dyDescent="0.2">
      <c r="A273" s="231"/>
      <c r="B273" s="224"/>
      <c r="C273" s="225"/>
      <c r="D273" s="225"/>
      <c r="E273" s="225"/>
      <c r="F273" s="177"/>
      <c r="G273" s="177"/>
      <c r="H273" s="177"/>
      <c r="I273" s="177"/>
      <c r="J273" s="223"/>
      <c r="K273" s="231"/>
      <c r="L273" s="231"/>
      <c r="M273" s="231"/>
      <c r="N273" s="231"/>
      <c r="O273" s="231"/>
      <c r="P273" s="231"/>
      <c r="Q273" s="231"/>
      <c r="R273" s="231"/>
      <c r="S273" s="231"/>
      <c r="T273" s="231"/>
      <c r="U273" s="231"/>
      <c r="V273" s="231"/>
      <c r="W273" s="231"/>
      <c r="X273" s="231"/>
      <c r="Y273" s="231"/>
    </row>
    <row r="274" spans="1:25" ht="15.75" hidden="1" customHeight="1" x14ac:dyDescent="0.2">
      <c r="A274" s="231"/>
      <c r="B274" s="224"/>
      <c r="C274" s="225"/>
      <c r="D274" s="225"/>
      <c r="E274" s="225"/>
      <c r="F274" s="177"/>
      <c r="G274" s="177"/>
      <c r="H274" s="177"/>
      <c r="I274" s="177"/>
      <c r="J274" s="223"/>
      <c r="K274" s="231"/>
      <c r="L274" s="231"/>
      <c r="M274" s="231"/>
      <c r="N274" s="231"/>
      <c r="O274" s="231"/>
      <c r="P274" s="231"/>
      <c r="Q274" s="231"/>
      <c r="R274" s="231"/>
      <c r="S274" s="231"/>
      <c r="T274" s="231"/>
      <c r="U274" s="231"/>
      <c r="V274" s="231"/>
      <c r="W274" s="231"/>
      <c r="X274" s="231"/>
      <c r="Y274" s="231"/>
    </row>
    <row r="275" spans="1:25" ht="15.75" hidden="1" customHeight="1" x14ac:dyDescent="0.2">
      <c r="A275" s="231"/>
      <c r="B275" s="224"/>
      <c r="C275" s="225"/>
      <c r="D275" s="225"/>
      <c r="E275" s="225"/>
      <c r="F275" s="177"/>
      <c r="G275" s="177"/>
      <c r="H275" s="177"/>
      <c r="I275" s="177"/>
      <c r="J275" s="223"/>
      <c r="K275" s="231"/>
      <c r="L275" s="231"/>
      <c r="M275" s="231"/>
      <c r="N275" s="231"/>
      <c r="O275" s="231"/>
      <c r="P275" s="231"/>
      <c r="Q275" s="231"/>
      <c r="R275" s="231"/>
      <c r="S275" s="231"/>
      <c r="T275" s="231"/>
      <c r="U275" s="231"/>
      <c r="V275" s="231"/>
      <c r="W275" s="231"/>
      <c r="X275" s="231"/>
      <c r="Y275" s="231"/>
    </row>
    <row r="276" spans="1:25" ht="15.75" hidden="1" customHeight="1" x14ac:dyDescent="0.2">
      <c r="A276" s="231"/>
      <c r="B276" s="224"/>
      <c r="C276" s="225"/>
      <c r="D276" s="225"/>
      <c r="E276" s="225"/>
      <c r="F276" s="177"/>
      <c r="G276" s="177"/>
      <c r="H276" s="177"/>
      <c r="I276" s="177"/>
      <c r="J276" s="223"/>
      <c r="K276" s="231"/>
      <c r="L276" s="231"/>
      <c r="M276" s="231"/>
      <c r="N276" s="231"/>
      <c r="O276" s="231"/>
      <c r="P276" s="231"/>
      <c r="Q276" s="231"/>
      <c r="R276" s="231"/>
      <c r="S276" s="231"/>
      <c r="T276" s="231"/>
      <c r="U276" s="231"/>
      <c r="V276" s="231"/>
      <c r="W276" s="231"/>
      <c r="X276" s="231"/>
      <c r="Y276" s="231"/>
    </row>
    <row r="277" spans="1:25" ht="15.75" hidden="1" customHeight="1" x14ac:dyDescent="0.2">
      <c r="A277" s="231"/>
      <c r="B277" s="224"/>
      <c r="C277" s="225"/>
      <c r="D277" s="225"/>
      <c r="E277" s="225"/>
      <c r="F277" s="177"/>
      <c r="G277" s="177"/>
      <c r="H277" s="177"/>
      <c r="I277" s="177"/>
      <c r="J277" s="223"/>
      <c r="K277" s="231"/>
      <c r="L277" s="231"/>
      <c r="M277" s="231"/>
      <c r="N277" s="231"/>
      <c r="O277" s="231"/>
      <c r="P277" s="231"/>
      <c r="Q277" s="231"/>
      <c r="R277" s="231"/>
      <c r="S277" s="231"/>
      <c r="T277" s="231"/>
      <c r="U277" s="231"/>
      <c r="V277" s="231"/>
      <c r="W277" s="231"/>
      <c r="X277" s="231"/>
      <c r="Y277" s="231"/>
    </row>
    <row r="278" spans="1:25" ht="15.75" hidden="1" customHeight="1" x14ac:dyDescent="0.2">
      <c r="A278" s="231"/>
      <c r="B278" s="224"/>
      <c r="C278" s="225"/>
      <c r="D278" s="225"/>
      <c r="E278" s="225"/>
      <c r="F278" s="177"/>
      <c r="G278" s="177"/>
      <c r="H278" s="177"/>
      <c r="I278" s="177"/>
      <c r="J278" s="223"/>
      <c r="K278" s="231"/>
      <c r="L278" s="231"/>
      <c r="M278" s="231"/>
      <c r="N278" s="231"/>
      <c r="O278" s="231"/>
      <c r="P278" s="231"/>
      <c r="Q278" s="231"/>
      <c r="R278" s="231"/>
      <c r="S278" s="231"/>
      <c r="T278" s="231"/>
      <c r="U278" s="231"/>
      <c r="V278" s="231"/>
      <c r="W278" s="231"/>
      <c r="X278" s="231"/>
      <c r="Y278" s="231"/>
    </row>
    <row r="279" spans="1:25" ht="15.75" hidden="1" customHeight="1" x14ac:dyDescent="0.2">
      <c r="A279" s="231"/>
      <c r="B279" s="224"/>
      <c r="C279" s="225"/>
      <c r="D279" s="225"/>
      <c r="E279" s="225"/>
      <c r="F279" s="177"/>
      <c r="G279" s="177"/>
      <c r="H279" s="177"/>
      <c r="I279" s="177"/>
      <c r="J279" s="223"/>
      <c r="K279" s="231"/>
      <c r="L279" s="231"/>
      <c r="M279" s="231"/>
      <c r="N279" s="231"/>
      <c r="O279" s="231"/>
      <c r="P279" s="231"/>
      <c r="Q279" s="231"/>
      <c r="R279" s="231"/>
      <c r="S279" s="231"/>
      <c r="T279" s="231"/>
      <c r="U279" s="231"/>
      <c r="V279" s="231"/>
      <c r="W279" s="231"/>
      <c r="X279" s="231"/>
      <c r="Y279" s="231"/>
    </row>
    <row r="280" spans="1:25" ht="15.75" hidden="1" customHeight="1" x14ac:dyDescent="0.2">
      <c r="A280" s="231"/>
      <c r="B280" s="224"/>
      <c r="C280" s="225"/>
      <c r="D280" s="225"/>
      <c r="E280" s="225"/>
      <c r="F280" s="177"/>
      <c r="G280" s="177"/>
      <c r="H280" s="177"/>
      <c r="I280" s="177"/>
      <c r="J280" s="223"/>
      <c r="K280" s="231"/>
      <c r="L280" s="231"/>
      <c r="M280" s="231"/>
      <c r="N280" s="231"/>
      <c r="O280" s="231"/>
      <c r="P280" s="231"/>
      <c r="Q280" s="231"/>
      <c r="R280" s="231"/>
      <c r="S280" s="231"/>
      <c r="T280" s="231"/>
      <c r="U280" s="231"/>
      <c r="V280" s="231"/>
      <c r="W280" s="231"/>
      <c r="X280" s="231"/>
      <c r="Y280" s="231"/>
    </row>
    <row r="281" spans="1:25" ht="15.75" hidden="1" customHeight="1" x14ac:dyDescent="0.2">
      <c r="A281" s="231"/>
      <c r="B281" s="224"/>
      <c r="C281" s="225"/>
      <c r="D281" s="225"/>
      <c r="E281" s="225"/>
      <c r="F281" s="177"/>
      <c r="G281" s="177"/>
      <c r="H281" s="177"/>
      <c r="I281" s="177"/>
      <c r="J281" s="223"/>
      <c r="K281" s="231"/>
      <c r="L281" s="231"/>
      <c r="M281" s="231"/>
      <c r="N281" s="231"/>
      <c r="O281" s="231"/>
      <c r="P281" s="231"/>
      <c r="Q281" s="231"/>
      <c r="R281" s="231"/>
      <c r="S281" s="231"/>
      <c r="T281" s="231"/>
      <c r="U281" s="231"/>
      <c r="V281" s="231"/>
      <c r="W281" s="231"/>
      <c r="X281" s="231"/>
      <c r="Y281" s="231"/>
    </row>
    <row r="282" spans="1:25" ht="15.75" hidden="1" customHeight="1" x14ac:dyDescent="0.2">
      <c r="A282" s="231"/>
      <c r="B282" s="224"/>
      <c r="C282" s="225"/>
      <c r="D282" s="225"/>
      <c r="E282" s="225"/>
      <c r="F282" s="177"/>
      <c r="G282" s="177"/>
      <c r="H282" s="177"/>
      <c r="I282" s="177"/>
      <c r="J282" s="223"/>
      <c r="K282" s="231"/>
      <c r="L282" s="231"/>
      <c r="M282" s="231"/>
      <c r="N282" s="231"/>
      <c r="O282" s="231"/>
      <c r="P282" s="231"/>
      <c r="Q282" s="231"/>
      <c r="R282" s="231"/>
      <c r="S282" s="231"/>
      <c r="T282" s="231"/>
      <c r="U282" s="231"/>
      <c r="V282" s="231"/>
      <c r="W282" s="231"/>
      <c r="X282" s="231"/>
      <c r="Y282" s="231"/>
    </row>
    <row r="283" spans="1:25" ht="15.75" hidden="1" customHeight="1" x14ac:dyDescent="0.2">
      <c r="A283" s="231"/>
      <c r="B283" s="224"/>
      <c r="C283" s="225"/>
      <c r="D283" s="225"/>
      <c r="E283" s="225"/>
      <c r="F283" s="177"/>
      <c r="G283" s="177"/>
      <c r="H283" s="177"/>
      <c r="I283" s="177"/>
      <c r="J283" s="223"/>
      <c r="K283" s="231"/>
      <c r="L283" s="231"/>
      <c r="M283" s="231"/>
      <c r="N283" s="231"/>
      <c r="O283" s="231"/>
      <c r="P283" s="231"/>
      <c r="Q283" s="231"/>
      <c r="R283" s="231"/>
      <c r="S283" s="231"/>
      <c r="T283" s="231"/>
      <c r="U283" s="231"/>
      <c r="V283" s="231"/>
      <c r="W283" s="231"/>
      <c r="X283" s="231"/>
      <c r="Y283" s="231"/>
    </row>
    <row r="284" spans="1:25" ht="15.75" hidden="1" customHeight="1" x14ac:dyDescent="0.2">
      <c r="A284" s="231"/>
      <c r="B284" s="224"/>
      <c r="C284" s="225"/>
      <c r="D284" s="225"/>
      <c r="E284" s="225"/>
      <c r="F284" s="177"/>
      <c r="G284" s="177"/>
      <c r="H284" s="177"/>
      <c r="I284" s="177"/>
      <c r="J284" s="223"/>
      <c r="K284" s="231"/>
      <c r="L284" s="231"/>
      <c r="M284" s="231"/>
      <c r="N284" s="231"/>
      <c r="O284" s="231"/>
      <c r="P284" s="231"/>
      <c r="Q284" s="231"/>
      <c r="R284" s="231"/>
      <c r="S284" s="231"/>
      <c r="T284" s="231"/>
      <c r="U284" s="231"/>
      <c r="V284" s="231"/>
      <c r="W284" s="231"/>
      <c r="X284" s="231"/>
      <c r="Y284" s="231"/>
    </row>
    <row r="285" spans="1:25" ht="15.75" hidden="1" customHeight="1" x14ac:dyDescent="0.2">
      <c r="A285" s="231"/>
      <c r="B285" s="224"/>
      <c r="C285" s="225"/>
      <c r="D285" s="225"/>
      <c r="E285" s="225"/>
      <c r="F285" s="177"/>
      <c r="G285" s="177"/>
      <c r="H285" s="177"/>
      <c r="I285" s="177"/>
      <c r="J285" s="223"/>
      <c r="K285" s="231"/>
      <c r="L285" s="231"/>
      <c r="M285" s="231"/>
      <c r="N285" s="231"/>
      <c r="O285" s="231"/>
      <c r="P285" s="231"/>
      <c r="Q285" s="231"/>
      <c r="R285" s="231"/>
      <c r="S285" s="231"/>
      <c r="T285" s="231"/>
      <c r="U285" s="231"/>
      <c r="V285" s="231"/>
      <c r="W285" s="231"/>
      <c r="X285" s="231"/>
      <c r="Y285" s="231"/>
    </row>
    <row r="286" spans="1:25" ht="15.75" hidden="1" customHeight="1" x14ac:dyDescent="0.2">
      <c r="A286" s="231"/>
      <c r="B286" s="224"/>
      <c r="C286" s="225"/>
      <c r="D286" s="225"/>
      <c r="E286" s="225"/>
      <c r="F286" s="177"/>
      <c r="G286" s="177"/>
      <c r="H286" s="177"/>
      <c r="I286" s="177"/>
      <c r="J286" s="223"/>
      <c r="K286" s="231"/>
      <c r="L286" s="231"/>
      <c r="M286" s="231"/>
      <c r="N286" s="231"/>
      <c r="O286" s="231"/>
      <c r="P286" s="231"/>
      <c r="Q286" s="231"/>
      <c r="R286" s="231"/>
      <c r="S286" s="231"/>
      <c r="T286" s="231"/>
      <c r="U286" s="231"/>
      <c r="V286" s="231"/>
      <c r="W286" s="231"/>
      <c r="X286" s="231"/>
      <c r="Y286" s="231"/>
    </row>
    <row r="287" spans="1:25" ht="15.75" hidden="1" customHeight="1" x14ac:dyDescent="0.2">
      <c r="A287" s="231"/>
      <c r="B287" s="224"/>
      <c r="C287" s="225"/>
      <c r="D287" s="225"/>
      <c r="E287" s="225"/>
      <c r="F287" s="177"/>
      <c r="G287" s="177"/>
      <c r="H287" s="177"/>
      <c r="I287" s="177"/>
      <c r="J287" s="223"/>
      <c r="K287" s="231"/>
      <c r="L287" s="231"/>
      <c r="M287" s="231"/>
      <c r="N287" s="231"/>
      <c r="O287" s="231"/>
      <c r="P287" s="231"/>
      <c r="Q287" s="231"/>
      <c r="R287" s="231"/>
      <c r="S287" s="231"/>
      <c r="T287" s="231"/>
      <c r="U287" s="231"/>
      <c r="V287" s="231"/>
      <c r="W287" s="231"/>
      <c r="X287" s="231"/>
      <c r="Y287" s="231"/>
    </row>
    <row r="288" spans="1:25" ht="15.75" hidden="1" customHeight="1" x14ac:dyDescent="0.2">
      <c r="A288" s="231"/>
      <c r="B288" s="224"/>
      <c r="C288" s="225"/>
      <c r="D288" s="225"/>
      <c r="E288" s="225"/>
      <c r="F288" s="177"/>
      <c r="G288" s="177"/>
      <c r="H288" s="177"/>
      <c r="I288" s="177"/>
      <c r="J288" s="223"/>
      <c r="K288" s="231"/>
      <c r="L288" s="231"/>
      <c r="M288" s="231"/>
      <c r="N288" s="231"/>
      <c r="O288" s="231"/>
      <c r="P288" s="231"/>
      <c r="Q288" s="231"/>
      <c r="R288" s="231"/>
      <c r="S288" s="231"/>
      <c r="T288" s="231"/>
      <c r="U288" s="231"/>
      <c r="V288" s="231"/>
      <c r="W288" s="231"/>
      <c r="X288" s="231"/>
      <c r="Y288" s="231"/>
    </row>
    <row r="289" spans="1:25" ht="15.75" hidden="1" customHeight="1" x14ac:dyDescent="0.2">
      <c r="A289" s="231"/>
      <c r="B289" s="224"/>
      <c r="C289" s="225"/>
      <c r="D289" s="225"/>
      <c r="E289" s="225"/>
      <c r="F289" s="177"/>
      <c r="G289" s="177"/>
      <c r="H289" s="177"/>
      <c r="I289" s="177"/>
      <c r="J289" s="223"/>
      <c r="K289" s="231"/>
      <c r="L289" s="231"/>
      <c r="M289" s="231"/>
      <c r="N289" s="231"/>
      <c r="O289" s="231"/>
      <c r="P289" s="231"/>
      <c r="Q289" s="231"/>
      <c r="R289" s="231"/>
      <c r="S289" s="231"/>
      <c r="T289" s="231"/>
      <c r="U289" s="231"/>
      <c r="V289" s="231"/>
      <c r="W289" s="231"/>
      <c r="X289" s="231"/>
      <c r="Y289" s="231"/>
    </row>
    <row r="290" spans="1:25" ht="15.75" hidden="1" customHeight="1" x14ac:dyDescent="0.2">
      <c r="A290" s="231"/>
      <c r="B290" s="224"/>
      <c r="C290" s="225"/>
      <c r="D290" s="225"/>
      <c r="E290" s="225"/>
      <c r="F290" s="177"/>
      <c r="G290" s="177"/>
      <c r="H290" s="177"/>
      <c r="I290" s="177"/>
      <c r="J290" s="223"/>
      <c r="K290" s="231"/>
      <c r="L290" s="231"/>
      <c r="M290" s="231"/>
      <c r="N290" s="231"/>
      <c r="O290" s="231"/>
      <c r="P290" s="231"/>
      <c r="Q290" s="231"/>
      <c r="R290" s="231"/>
      <c r="S290" s="231"/>
      <c r="T290" s="231"/>
      <c r="U290" s="231"/>
      <c r="V290" s="231"/>
      <c r="W290" s="231"/>
      <c r="X290" s="231"/>
      <c r="Y290" s="231"/>
    </row>
    <row r="291" spans="1:25" ht="15.75" hidden="1" customHeight="1" x14ac:dyDescent="0.2">
      <c r="A291" s="231"/>
      <c r="B291" s="224"/>
      <c r="C291" s="225"/>
      <c r="D291" s="225"/>
      <c r="E291" s="225"/>
      <c r="F291" s="177"/>
      <c r="G291" s="177"/>
      <c r="H291" s="177"/>
      <c r="I291" s="177"/>
      <c r="J291" s="223"/>
      <c r="K291" s="231"/>
      <c r="L291" s="231"/>
      <c r="M291" s="231"/>
      <c r="N291" s="231"/>
      <c r="O291" s="231"/>
      <c r="P291" s="231"/>
      <c r="Q291" s="231"/>
      <c r="R291" s="231"/>
      <c r="S291" s="231"/>
      <c r="T291" s="231"/>
      <c r="U291" s="231"/>
      <c r="V291" s="231"/>
      <c r="W291" s="231"/>
      <c r="X291" s="231"/>
      <c r="Y291" s="231"/>
    </row>
    <row r="292" spans="1:25" ht="15.75" hidden="1" customHeight="1" x14ac:dyDescent="0.2">
      <c r="A292" s="231"/>
      <c r="B292" s="224"/>
      <c r="C292" s="225"/>
      <c r="D292" s="225"/>
      <c r="E292" s="225"/>
      <c r="F292" s="177"/>
      <c r="G292" s="177"/>
      <c r="H292" s="177"/>
      <c r="I292" s="177"/>
      <c r="J292" s="223"/>
      <c r="K292" s="231"/>
      <c r="L292" s="231"/>
      <c r="M292" s="231"/>
      <c r="N292" s="231"/>
      <c r="O292" s="231"/>
      <c r="P292" s="231"/>
      <c r="Q292" s="231"/>
      <c r="R292" s="231"/>
      <c r="S292" s="231"/>
      <c r="T292" s="231"/>
      <c r="U292" s="231"/>
      <c r="V292" s="231"/>
      <c r="W292" s="231"/>
      <c r="X292" s="231"/>
      <c r="Y292" s="231"/>
    </row>
    <row r="293" spans="1:25" ht="15.75" hidden="1" customHeight="1" x14ac:dyDescent="0.2">
      <c r="A293" s="231"/>
      <c r="B293" s="224"/>
      <c r="C293" s="225"/>
      <c r="D293" s="225"/>
      <c r="E293" s="225"/>
      <c r="F293" s="177"/>
      <c r="G293" s="177"/>
      <c r="H293" s="177"/>
      <c r="I293" s="177"/>
      <c r="J293" s="223"/>
      <c r="K293" s="231"/>
      <c r="L293" s="231"/>
      <c r="M293" s="231"/>
      <c r="N293" s="231"/>
      <c r="O293" s="231"/>
      <c r="P293" s="231"/>
      <c r="Q293" s="231"/>
      <c r="R293" s="231"/>
      <c r="S293" s="231"/>
      <c r="T293" s="231"/>
      <c r="U293" s="231"/>
      <c r="V293" s="231"/>
      <c r="W293" s="231"/>
      <c r="X293" s="231"/>
      <c r="Y293" s="231"/>
    </row>
    <row r="294" spans="1:25" ht="15.75" hidden="1" customHeight="1" x14ac:dyDescent="0.2">
      <c r="A294" s="231"/>
      <c r="B294" s="224"/>
      <c r="C294" s="225"/>
      <c r="D294" s="225"/>
      <c r="E294" s="225"/>
      <c r="F294" s="177"/>
      <c r="G294" s="177"/>
      <c r="H294" s="177"/>
      <c r="I294" s="177"/>
      <c r="J294" s="223"/>
      <c r="K294" s="231"/>
      <c r="L294" s="231"/>
      <c r="M294" s="231"/>
      <c r="N294" s="231"/>
      <c r="O294" s="231"/>
      <c r="P294" s="231"/>
      <c r="Q294" s="231"/>
      <c r="R294" s="231"/>
      <c r="S294" s="231"/>
      <c r="T294" s="231"/>
      <c r="U294" s="231"/>
      <c r="V294" s="231"/>
      <c r="W294" s="231"/>
      <c r="X294" s="231"/>
      <c r="Y294" s="231"/>
    </row>
    <row r="295" spans="1:25" ht="15.75" hidden="1" customHeight="1" x14ac:dyDescent="0.2">
      <c r="A295" s="231"/>
      <c r="B295" s="224"/>
      <c r="C295" s="225"/>
      <c r="D295" s="225"/>
      <c r="E295" s="225"/>
      <c r="F295" s="177"/>
      <c r="G295" s="177"/>
      <c r="H295" s="177"/>
      <c r="I295" s="177"/>
      <c r="J295" s="223"/>
      <c r="K295" s="231"/>
      <c r="L295" s="231"/>
      <c r="M295" s="231"/>
      <c r="N295" s="231"/>
      <c r="O295" s="231"/>
      <c r="P295" s="231"/>
      <c r="Q295" s="231"/>
      <c r="R295" s="231"/>
      <c r="S295" s="231"/>
      <c r="T295" s="231"/>
      <c r="U295" s="231"/>
      <c r="V295" s="231"/>
      <c r="W295" s="231"/>
      <c r="X295" s="231"/>
      <c r="Y295" s="231"/>
    </row>
    <row r="296" spans="1:25" ht="15.75" hidden="1" customHeight="1" x14ac:dyDescent="0.2">
      <c r="A296" s="231"/>
      <c r="B296" s="224"/>
      <c r="C296" s="225"/>
      <c r="D296" s="225"/>
      <c r="E296" s="225"/>
      <c r="F296" s="177"/>
      <c r="G296" s="177"/>
      <c r="H296" s="177"/>
      <c r="I296" s="177"/>
      <c r="J296" s="223"/>
      <c r="K296" s="231"/>
      <c r="L296" s="231"/>
      <c r="M296" s="231"/>
      <c r="N296" s="231"/>
      <c r="O296" s="231"/>
      <c r="P296" s="231"/>
      <c r="Q296" s="231"/>
      <c r="R296" s="231"/>
      <c r="S296" s="231"/>
      <c r="T296" s="231"/>
      <c r="U296" s="231"/>
      <c r="V296" s="231"/>
      <c r="W296" s="231"/>
      <c r="X296" s="231"/>
      <c r="Y296" s="231"/>
    </row>
    <row r="297" spans="1:25" ht="15.75" hidden="1" customHeight="1" x14ac:dyDescent="0.2">
      <c r="A297" s="231"/>
      <c r="B297" s="224"/>
      <c r="C297" s="225"/>
      <c r="D297" s="225"/>
      <c r="E297" s="225"/>
      <c r="F297" s="177"/>
      <c r="G297" s="177"/>
      <c r="H297" s="177"/>
      <c r="I297" s="177"/>
      <c r="J297" s="223"/>
      <c r="K297" s="231"/>
      <c r="L297" s="231"/>
      <c r="M297" s="231"/>
      <c r="N297" s="231"/>
      <c r="O297" s="231"/>
      <c r="P297" s="231"/>
      <c r="Q297" s="231"/>
      <c r="R297" s="231"/>
      <c r="S297" s="231"/>
      <c r="T297" s="231"/>
      <c r="U297" s="231"/>
      <c r="V297" s="231"/>
      <c r="W297" s="231"/>
      <c r="X297" s="231"/>
      <c r="Y297" s="231"/>
    </row>
    <row r="298" spans="1:25" ht="15.75" hidden="1" customHeight="1" x14ac:dyDescent="0.2">
      <c r="A298" s="231"/>
      <c r="B298" s="224"/>
      <c r="C298" s="225"/>
      <c r="D298" s="225"/>
      <c r="E298" s="225"/>
      <c r="F298" s="177"/>
      <c r="G298" s="177"/>
      <c r="H298" s="177"/>
      <c r="I298" s="177"/>
      <c r="J298" s="223"/>
      <c r="K298" s="231"/>
      <c r="L298" s="231"/>
      <c r="M298" s="231"/>
      <c r="N298" s="231"/>
      <c r="O298" s="231"/>
      <c r="P298" s="231"/>
      <c r="Q298" s="231"/>
      <c r="R298" s="231"/>
      <c r="S298" s="231"/>
      <c r="T298" s="231"/>
      <c r="U298" s="231"/>
      <c r="V298" s="231"/>
      <c r="W298" s="231"/>
      <c r="X298" s="231"/>
      <c r="Y298" s="231"/>
    </row>
    <row r="299" spans="1:25" ht="15.75" hidden="1" customHeight="1" x14ac:dyDescent="0.2">
      <c r="A299" s="231"/>
      <c r="B299" s="224"/>
      <c r="C299" s="225"/>
      <c r="D299" s="225"/>
      <c r="E299" s="225"/>
      <c r="F299" s="177"/>
      <c r="G299" s="177"/>
      <c r="H299" s="177"/>
      <c r="I299" s="177"/>
      <c r="J299" s="223"/>
      <c r="K299" s="231"/>
      <c r="L299" s="231"/>
      <c r="M299" s="231"/>
      <c r="N299" s="231"/>
      <c r="O299" s="231"/>
      <c r="P299" s="231"/>
      <c r="Q299" s="231"/>
      <c r="R299" s="231"/>
      <c r="S299" s="231"/>
      <c r="T299" s="231"/>
      <c r="U299" s="231"/>
      <c r="V299" s="231"/>
      <c r="W299" s="231"/>
      <c r="X299" s="231"/>
      <c r="Y299" s="231"/>
    </row>
    <row r="300" spans="1:25" ht="15.75" hidden="1" customHeight="1" x14ac:dyDescent="0.2">
      <c r="A300" s="231"/>
      <c r="B300" s="224"/>
      <c r="C300" s="225"/>
      <c r="D300" s="225"/>
      <c r="E300" s="225"/>
      <c r="F300" s="177"/>
      <c r="G300" s="177"/>
      <c r="H300" s="177"/>
      <c r="I300" s="177"/>
      <c r="J300" s="223"/>
      <c r="K300" s="231"/>
      <c r="L300" s="231"/>
      <c r="M300" s="231"/>
      <c r="N300" s="231"/>
      <c r="O300" s="231"/>
      <c r="P300" s="231"/>
      <c r="Q300" s="231"/>
      <c r="R300" s="231"/>
      <c r="S300" s="231"/>
      <c r="T300" s="231"/>
      <c r="U300" s="231"/>
      <c r="V300" s="231"/>
      <c r="W300" s="231"/>
      <c r="X300" s="231"/>
      <c r="Y300" s="231"/>
    </row>
    <row r="301" spans="1:25" ht="15.75" hidden="1" customHeight="1" x14ac:dyDescent="0.2">
      <c r="A301" s="231"/>
      <c r="B301" s="224"/>
      <c r="C301" s="225"/>
      <c r="D301" s="225"/>
      <c r="E301" s="225"/>
      <c r="F301" s="177"/>
      <c r="G301" s="177"/>
      <c r="H301" s="177"/>
      <c r="I301" s="177"/>
      <c r="J301" s="223"/>
      <c r="K301" s="231"/>
      <c r="L301" s="231"/>
      <c r="M301" s="231"/>
      <c r="N301" s="231"/>
      <c r="O301" s="231"/>
      <c r="P301" s="231"/>
      <c r="Q301" s="231"/>
      <c r="R301" s="231"/>
      <c r="S301" s="231"/>
      <c r="T301" s="231"/>
      <c r="U301" s="231"/>
      <c r="V301" s="231"/>
      <c r="W301" s="231"/>
      <c r="X301" s="231"/>
      <c r="Y301" s="231"/>
    </row>
    <row r="302" spans="1:25" ht="15.75" hidden="1" customHeight="1" x14ac:dyDescent="0.2">
      <c r="A302" s="231"/>
      <c r="B302" s="224"/>
      <c r="C302" s="225"/>
      <c r="D302" s="225"/>
      <c r="E302" s="225"/>
      <c r="F302" s="177"/>
      <c r="G302" s="177"/>
      <c r="H302" s="177"/>
      <c r="I302" s="177"/>
      <c r="J302" s="223"/>
      <c r="K302" s="231"/>
      <c r="L302" s="231"/>
      <c r="M302" s="231"/>
      <c r="N302" s="231"/>
      <c r="O302" s="231"/>
      <c r="P302" s="231"/>
      <c r="Q302" s="231"/>
      <c r="R302" s="231"/>
      <c r="S302" s="231"/>
      <c r="T302" s="231"/>
      <c r="U302" s="231"/>
      <c r="V302" s="231"/>
      <c r="W302" s="231"/>
      <c r="X302" s="231"/>
      <c r="Y302" s="231"/>
    </row>
    <row r="303" spans="1:25" ht="15.75" hidden="1" customHeight="1" x14ac:dyDescent="0.2">
      <c r="A303" s="231"/>
      <c r="B303" s="224"/>
      <c r="C303" s="225"/>
      <c r="D303" s="225"/>
      <c r="E303" s="225"/>
      <c r="F303" s="177"/>
      <c r="G303" s="177"/>
      <c r="H303" s="177"/>
      <c r="I303" s="177"/>
      <c r="J303" s="223"/>
      <c r="K303" s="231"/>
      <c r="L303" s="231"/>
      <c r="M303" s="231"/>
      <c r="N303" s="231"/>
      <c r="O303" s="231"/>
      <c r="P303" s="231"/>
      <c r="Q303" s="231"/>
      <c r="R303" s="231"/>
      <c r="S303" s="231"/>
      <c r="T303" s="231"/>
      <c r="U303" s="231"/>
      <c r="V303" s="231"/>
      <c r="W303" s="231"/>
      <c r="X303" s="231"/>
      <c r="Y303" s="231"/>
    </row>
    <row r="304" spans="1:25" ht="15.75" hidden="1" customHeight="1" x14ac:dyDescent="0.2">
      <c r="A304" s="231"/>
      <c r="B304" s="224"/>
      <c r="C304" s="225"/>
      <c r="D304" s="225"/>
      <c r="E304" s="225"/>
      <c r="F304" s="177"/>
      <c r="G304" s="177"/>
      <c r="H304" s="177"/>
      <c r="I304" s="177"/>
      <c r="J304" s="223"/>
      <c r="K304" s="231"/>
      <c r="L304" s="231"/>
      <c r="M304" s="231"/>
      <c r="N304" s="231"/>
      <c r="O304" s="231"/>
      <c r="P304" s="231"/>
      <c r="Q304" s="231"/>
      <c r="R304" s="231"/>
      <c r="S304" s="231"/>
      <c r="T304" s="231"/>
      <c r="U304" s="231"/>
      <c r="V304" s="231"/>
      <c r="W304" s="231"/>
      <c r="X304" s="231"/>
      <c r="Y304" s="231"/>
    </row>
    <row r="305" spans="1:25" ht="15.75" hidden="1" customHeight="1" x14ac:dyDescent="0.2">
      <c r="A305" s="231"/>
      <c r="B305" s="224"/>
      <c r="C305" s="225"/>
      <c r="D305" s="225"/>
      <c r="E305" s="225"/>
      <c r="F305" s="177"/>
      <c r="G305" s="177"/>
      <c r="H305" s="177"/>
      <c r="I305" s="177"/>
      <c r="J305" s="223"/>
      <c r="K305" s="231"/>
      <c r="L305" s="231"/>
      <c r="M305" s="231"/>
      <c r="N305" s="231"/>
      <c r="O305" s="231"/>
      <c r="P305" s="231"/>
      <c r="Q305" s="231"/>
      <c r="R305" s="231"/>
      <c r="S305" s="231"/>
      <c r="T305" s="231"/>
      <c r="U305" s="231"/>
      <c r="V305" s="231"/>
      <c r="W305" s="231"/>
      <c r="X305" s="231"/>
      <c r="Y305" s="231"/>
    </row>
    <row r="306" spans="1:25" ht="15.75" hidden="1" customHeight="1" x14ac:dyDescent="0.2">
      <c r="A306" s="231"/>
      <c r="B306" s="224"/>
      <c r="C306" s="225"/>
      <c r="D306" s="225"/>
      <c r="E306" s="225"/>
      <c r="F306" s="177"/>
      <c r="G306" s="177"/>
      <c r="H306" s="177"/>
      <c r="I306" s="177"/>
      <c r="J306" s="223"/>
      <c r="K306" s="231"/>
      <c r="L306" s="231"/>
      <c r="M306" s="231"/>
      <c r="N306" s="231"/>
      <c r="O306" s="231"/>
      <c r="P306" s="231"/>
      <c r="Q306" s="231"/>
      <c r="R306" s="231"/>
      <c r="S306" s="231"/>
      <c r="T306" s="231"/>
      <c r="U306" s="231"/>
      <c r="V306" s="231"/>
      <c r="W306" s="231"/>
      <c r="X306" s="231"/>
      <c r="Y306" s="231"/>
    </row>
    <row r="307" spans="1:25" ht="15.75" hidden="1" customHeight="1" x14ac:dyDescent="0.2">
      <c r="A307" s="231"/>
      <c r="B307" s="224"/>
      <c r="C307" s="225"/>
      <c r="D307" s="225"/>
      <c r="E307" s="225"/>
      <c r="F307" s="177"/>
      <c r="G307" s="177"/>
      <c r="H307" s="177"/>
      <c r="I307" s="177"/>
      <c r="J307" s="223"/>
      <c r="K307" s="231"/>
      <c r="L307" s="231"/>
      <c r="M307" s="231"/>
      <c r="N307" s="231"/>
      <c r="O307" s="231"/>
      <c r="P307" s="231"/>
      <c r="Q307" s="231"/>
      <c r="R307" s="231"/>
      <c r="S307" s="231"/>
      <c r="T307" s="231"/>
      <c r="U307" s="231"/>
      <c r="V307" s="231"/>
      <c r="W307" s="231"/>
      <c r="X307" s="231"/>
      <c r="Y307" s="231"/>
    </row>
    <row r="308" spans="1:25" ht="15.75" hidden="1" customHeight="1" x14ac:dyDescent="0.2">
      <c r="A308" s="231"/>
      <c r="B308" s="224"/>
      <c r="C308" s="225"/>
      <c r="D308" s="225"/>
      <c r="E308" s="225"/>
      <c r="F308" s="177"/>
      <c r="G308" s="177"/>
      <c r="H308" s="177"/>
      <c r="I308" s="177"/>
      <c r="J308" s="223"/>
      <c r="K308" s="231"/>
      <c r="L308" s="231"/>
      <c r="M308" s="231"/>
      <c r="N308" s="231"/>
      <c r="O308" s="231"/>
      <c r="P308" s="231"/>
      <c r="Q308" s="231"/>
      <c r="R308" s="231"/>
      <c r="S308" s="231"/>
      <c r="T308" s="231"/>
      <c r="U308" s="231"/>
      <c r="V308" s="231"/>
      <c r="W308" s="231"/>
      <c r="X308" s="231"/>
      <c r="Y308" s="231"/>
    </row>
    <row r="309" spans="1:25" ht="15.75" hidden="1" customHeight="1" x14ac:dyDescent="0.2">
      <c r="A309" s="231"/>
      <c r="B309" s="224"/>
      <c r="C309" s="225"/>
      <c r="D309" s="225"/>
      <c r="E309" s="225"/>
      <c r="F309" s="177"/>
      <c r="G309" s="177"/>
      <c r="H309" s="177"/>
      <c r="I309" s="177"/>
      <c r="J309" s="223"/>
      <c r="K309" s="231"/>
      <c r="L309" s="231"/>
      <c r="M309" s="231"/>
      <c r="N309" s="231"/>
      <c r="O309" s="231"/>
      <c r="P309" s="231"/>
      <c r="Q309" s="231"/>
      <c r="R309" s="231"/>
      <c r="S309" s="231"/>
      <c r="T309" s="231"/>
      <c r="U309" s="231"/>
      <c r="V309" s="231"/>
      <c r="W309" s="231"/>
      <c r="X309" s="231"/>
      <c r="Y309" s="231"/>
    </row>
    <row r="310" spans="1:25" ht="15.75" hidden="1" customHeight="1" x14ac:dyDescent="0.2">
      <c r="A310" s="231"/>
      <c r="B310" s="224"/>
      <c r="C310" s="225"/>
      <c r="D310" s="225"/>
      <c r="E310" s="225"/>
      <c r="F310" s="177"/>
      <c r="G310" s="177"/>
      <c r="H310" s="177"/>
      <c r="I310" s="177"/>
      <c r="J310" s="223"/>
      <c r="K310" s="231"/>
      <c r="L310" s="231"/>
      <c r="M310" s="231"/>
      <c r="N310" s="231"/>
      <c r="O310" s="231"/>
      <c r="P310" s="231"/>
      <c r="Q310" s="231"/>
      <c r="R310" s="231"/>
      <c r="S310" s="231"/>
      <c r="T310" s="231"/>
      <c r="U310" s="231"/>
      <c r="V310" s="231"/>
      <c r="W310" s="231"/>
      <c r="X310" s="231"/>
      <c r="Y310" s="231"/>
    </row>
    <row r="311" spans="1:25" ht="15.75" hidden="1" customHeight="1" x14ac:dyDescent="0.2">
      <c r="A311" s="231"/>
      <c r="B311" s="224"/>
      <c r="C311" s="225"/>
      <c r="D311" s="225"/>
      <c r="E311" s="225"/>
      <c r="F311" s="177"/>
      <c r="G311" s="177"/>
      <c r="H311" s="177"/>
      <c r="I311" s="177"/>
      <c r="J311" s="223"/>
      <c r="K311" s="231"/>
      <c r="L311" s="231"/>
      <c r="M311" s="231"/>
      <c r="N311" s="231"/>
      <c r="O311" s="231"/>
      <c r="P311" s="231"/>
      <c r="Q311" s="231"/>
      <c r="R311" s="231"/>
      <c r="S311" s="231"/>
      <c r="T311" s="231"/>
      <c r="U311" s="231"/>
      <c r="V311" s="231"/>
      <c r="W311" s="231"/>
      <c r="X311" s="231"/>
      <c r="Y311" s="231"/>
    </row>
    <row r="312" spans="1:25" ht="15.75" hidden="1" customHeight="1" x14ac:dyDescent="0.2">
      <c r="A312" s="231"/>
      <c r="B312" s="224"/>
      <c r="C312" s="225"/>
      <c r="D312" s="225"/>
      <c r="E312" s="225"/>
      <c r="F312" s="177"/>
      <c r="G312" s="177"/>
      <c r="H312" s="177"/>
      <c r="I312" s="177"/>
      <c r="J312" s="223"/>
      <c r="K312" s="231"/>
      <c r="L312" s="231"/>
      <c r="M312" s="231"/>
      <c r="N312" s="231"/>
      <c r="O312" s="231"/>
      <c r="P312" s="231"/>
      <c r="Q312" s="231"/>
      <c r="R312" s="231"/>
      <c r="S312" s="231"/>
      <c r="T312" s="231"/>
      <c r="U312" s="231"/>
      <c r="V312" s="231"/>
      <c r="W312" s="231"/>
      <c r="X312" s="231"/>
      <c r="Y312" s="231"/>
    </row>
    <row r="313" spans="1:25" ht="15.75" hidden="1" customHeight="1" x14ac:dyDescent="0.2">
      <c r="A313" s="231"/>
      <c r="B313" s="224"/>
      <c r="C313" s="225"/>
      <c r="D313" s="225"/>
      <c r="E313" s="225"/>
      <c r="F313" s="177"/>
      <c r="G313" s="177"/>
      <c r="H313" s="177"/>
      <c r="I313" s="177"/>
      <c r="J313" s="223"/>
      <c r="K313" s="231"/>
      <c r="L313" s="231"/>
      <c r="M313" s="231"/>
      <c r="N313" s="231"/>
      <c r="O313" s="231"/>
      <c r="P313" s="231"/>
      <c r="Q313" s="231"/>
      <c r="R313" s="231"/>
      <c r="S313" s="231"/>
      <c r="T313" s="231"/>
      <c r="U313" s="231"/>
      <c r="V313" s="231"/>
      <c r="W313" s="231"/>
      <c r="X313" s="231"/>
      <c r="Y313" s="231"/>
    </row>
    <row r="314" spans="1:25" ht="15.75" hidden="1" customHeight="1" x14ac:dyDescent="0.2">
      <c r="A314" s="231"/>
      <c r="B314" s="224"/>
      <c r="C314" s="225"/>
      <c r="D314" s="225"/>
      <c r="E314" s="225"/>
      <c r="F314" s="177"/>
      <c r="G314" s="177"/>
      <c r="H314" s="177"/>
      <c r="I314" s="177"/>
      <c r="J314" s="223"/>
      <c r="K314" s="231"/>
      <c r="L314" s="231"/>
      <c r="M314" s="231"/>
      <c r="N314" s="231"/>
      <c r="O314" s="231"/>
      <c r="P314" s="231"/>
      <c r="Q314" s="231"/>
      <c r="R314" s="231"/>
      <c r="S314" s="231"/>
      <c r="T314" s="231"/>
      <c r="U314" s="231"/>
      <c r="V314" s="231"/>
      <c r="W314" s="231"/>
      <c r="X314" s="231"/>
      <c r="Y314" s="231"/>
    </row>
    <row r="315" spans="1:25" ht="15.75" hidden="1" customHeight="1" x14ac:dyDescent="0.2">
      <c r="A315" s="231"/>
      <c r="B315" s="224"/>
      <c r="C315" s="225"/>
      <c r="D315" s="225"/>
      <c r="E315" s="225"/>
      <c r="F315" s="177"/>
      <c r="G315" s="177"/>
      <c r="H315" s="177"/>
      <c r="I315" s="177"/>
      <c r="J315" s="223"/>
      <c r="K315" s="231"/>
      <c r="L315" s="231"/>
      <c r="M315" s="231"/>
      <c r="N315" s="231"/>
      <c r="O315" s="231"/>
      <c r="P315" s="231"/>
      <c r="Q315" s="231"/>
      <c r="R315" s="231"/>
      <c r="S315" s="231"/>
      <c r="T315" s="231"/>
      <c r="U315" s="231"/>
      <c r="V315" s="231"/>
      <c r="W315" s="231"/>
      <c r="X315" s="231"/>
      <c r="Y315" s="231"/>
    </row>
    <row r="316" spans="1:25" ht="15.75" hidden="1" customHeight="1" x14ac:dyDescent="0.2">
      <c r="A316" s="231"/>
      <c r="B316" s="224"/>
      <c r="C316" s="225"/>
      <c r="D316" s="225"/>
      <c r="E316" s="225"/>
      <c r="F316" s="177"/>
      <c r="G316" s="177"/>
      <c r="H316" s="177"/>
      <c r="I316" s="177"/>
      <c r="J316" s="223"/>
      <c r="K316" s="231"/>
      <c r="L316" s="231"/>
      <c r="M316" s="231"/>
      <c r="N316" s="231"/>
      <c r="O316" s="231"/>
      <c r="P316" s="231"/>
      <c r="Q316" s="231"/>
      <c r="R316" s="231"/>
      <c r="S316" s="231"/>
      <c r="T316" s="231"/>
      <c r="U316" s="231"/>
      <c r="V316" s="231"/>
      <c r="W316" s="231"/>
      <c r="X316" s="231"/>
      <c r="Y316" s="231"/>
    </row>
    <row r="317" spans="1:25" ht="15.75" hidden="1" customHeight="1" x14ac:dyDescent="0.2">
      <c r="A317" s="231"/>
      <c r="B317" s="224"/>
      <c r="C317" s="225"/>
      <c r="D317" s="225"/>
      <c r="E317" s="225"/>
      <c r="F317" s="177"/>
      <c r="G317" s="177"/>
      <c r="H317" s="177"/>
      <c r="I317" s="177"/>
      <c r="J317" s="223"/>
      <c r="K317" s="231"/>
      <c r="L317" s="231"/>
      <c r="M317" s="231"/>
      <c r="N317" s="231"/>
      <c r="O317" s="231"/>
      <c r="P317" s="231"/>
      <c r="Q317" s="231"/>
      <c r="R317" s="231"/>
      <c r="S317" s="231"/>
      <c r="T317" s="231"/>
      <c r="U317" s="231"/>
      <c r="V317" s="231"/>
      <c r="W317" s="231"/>
      <c r="X317" s="231"/>
      <c r="Y317" s="231"/>
    </row>
    <row r="318" spans="1:25" ht="15.75" hidden="1" customHeight="1" x14ac:dyDescent="0.2">
      <c r="A318" s="231"/>
      <c r="B318" s="224"/>
      <c r="C318" s="225"/>
      <c r="D318" s="225"/>
      <c r="E318" s="225"/>
      <c r="F318" s="177"/>
      <c r="G318" s="177"/>
      <c r="H318" s="177"/>
      <c r="I318" s="177"/>
      <c r="J318" s="223"/>
      <c r="K318" s="231"/>
      <c r="L318" s="231"/>
      <c r="M318" s="231"/>
      <c r="N318" s="231"/>
      <c r="O318" s="231"/>
      <c r="P318" s="231"/>
      <c r="Q318" s="231"/>
      <c r="R318" s="231"/>
      <c r="S318" s="231"/>
      <c r="T318" s="231"/>
      <c r="U318" s="231"/>
      <c r="V318" s="231"/>
      <c r="W318" s="231"/>
      <c r="X318" s="231"/>
      <c r="Y318" s="231"/>
    </row>
    <row r="319" spans="1:25" ht="15.75" hidden="1" customHeight="1" x14ac:dyDescent="0.2">
      <c r="A319" s="231"/>
      <c r="B319" s="224"/>
      <c r="C319" s="225"/>
      <c r="D319" s="225"/>
      <c r="E319" s="225"/>
      <c r="F319" s="177"/>
      <c r="G319" s="177"/>
      <c r="H319" s="177"/>
      <c r="I319" s="177"/>
      <c r="J319" s="223"/>
      <c r="K319" s="231"/>
      <c r="L319" s="231"/>
      <c r="M319" s="231"/>
      <c r="N319" s="231"/>
      <c r="O319" s="231"/>
      <c r="P319" s="231"/>
      <c r="Q319" s="231"/>
      <c r="R319" s="231"/>
      <c r="S319" s="231"/>
      <c r="T319" s="231"/>
      <c r="U319" s="231"/>
      <c r="V319" s="231"/>
      <c r="W319" s="231"/>
      <c r="X319" s="231"/>
      <c r="Y319" s="231"/>
    </row>
    <row r="320" spans="1:25" ht="15.75" hidden="1" customHeight="1" x14ac:dyDescent="0.2">
      <c r="A320" s="231"/>
      <c r="B320" s="224"/>
      <c r="C320" s="225"/>
      <c r="D320" s="225"/>
      <c r="E320" s="225"/>
      <c r="F320" s="177"/>
      <c r="G320" s="177"/>
      <c r="H320" s="177"/>
      <c r="I320" s="177"/>
      <c r="J320" s="223"/>
      <c r="K320" s="231"/>
      <c r="L320" s="231"/>
      <c r="M320" s="231"/>
      <c r="N320" s="231"/>
      <c r="O320" s="231"/>
      <c r="P320" s="231"/>
      <c r="Q320" s="231"/>
      <c r="R320" s="231"/>
      <c r="S320" s="231"/>
      <c r="T320" s="231"/>
      <c r="U320" s="231"/>
      <c r="V320" s="231"/>
      <c r="W320" s="231"/>
      <c r="X320" s="231"/>
      <c r="Y320" s="231"/>
    </row>
    <row r="321" spans="1:25" ht="15.75" hidden="1" customHeight="1" x14ac:dyDescent="0.2">
      <c r="A321" s="231"/>
      <c r="B321" s="224"/>
      <c r="C321" s="225"/>
      <c r="D321" s="225"/>
      <c r="E321" s="225"/>
      <c r="F321" s="177"/>
      <c r="G321" s="177"/>
      <c r="H321" s="177"/>
      <c r="I321" s="177"/>
      <c r="J321" s="223"/>
      <c r="K321" s="231"/>
      <c r="L321" s="231"/>
      <c r="M321" s="231"/>
      <c r="N321" s="231"/>
      <c r="O321" s="231"/>
      <c r="P321" s="231"/>
      <c r="Q321" s="231"/>
      <c r="R321" s="231"/>
      <c r="S321" s="231"/>
      <c r="T321" s="231"/>
      <c r="U321" s="231"/>
      <c r="V321" s="231"/>
      <c r="W321" s="231"/>
      <c r="X321" s="231"/>
      <c r="Y321" s="231"/>
    </row>
    <row r="322" spans="1:25" ht="15.75" hidden="1" customHeight="1" x14ac:dyDescent="0.2">
      <c r="A322" s="231"/>
      <c r="B322" s="224"/>
      <c r="C322" s="225"/>
      <c r="D322" s="225"/>
      <c r="E322" s="225"/>
      <c r="F322" s="177"/>
      <c r="G322" s="177"/>
      <c r="H322" s="177"/>
      <c r="I322" s="177"/>
      <c r="J322" s="223"/>
      <c r="K322" s="231"/>
      <c r="L322" s="231"/>
      <c r="M322" s="231"/>
      <c r="N322" s="231"/>
      <c r="O322" s="231"/>
      <c r="P322" s="231"/>
      <c r="Q322" s="231"/>
      <c r="R322" s="231"/>
      <c r="S322" s="231"/>
      <c r="T322" s="231"/>
      <c r="U322" s="231"/>
      <c r="V322" s="231"/>
      <c r="W322" s="231"/>
      <c r="X322" s="231"/>
      <c r="Y322" s="231"/>
    </row>
    <row r="323" spans="1:25" ht="15.75" hidden="1" customHeight="1" x14ac:dyDescent="0.2">
      <c r="A323" s="231"/>
      <c r="B323" s="224"/>
      <c r="C323" s="225"/>
      <c r="D323" s="225"/>
      <c r="E323" s="225"/>
      <c r="F323" s="177"/>
      <c r="G323" s="177"/>
      <c r="H323" s="177"/>
      <c r="I323" s="177"/>
      <c r="J323" s="223"/>
      <c r="K323" s="231"/>
      <c r="L323" s="231"/>
      <c r="M323" s="231"/>
      <c r="N323" s="231"/>
      <c r="O323" s="231"/>
      <c r="P323" s="231"/>
      <c r="Q323" s="231"/>
      <c r="R323" s="231"/>
      <c r="S323" s="231"/>
      <c r="T323" s="231"/>
      <c r="U323" s="231"/>
      <c r="V323" s="231"/>
      <c r="W323" s="231"/>
      <c r="X323" s="231"/>
      <c r="Y323" s="231"/>
    </row>
    <row r="324" spans="1:25" ht="15.75" hidden="1" customHeight="1" x14ac:dyDescent="0.2">
      <c r="A324" s="231"/>
      <c r="B324" s="224"/>
      <c r="C324" s="225"/>
      <c r="D324" s="225"/>
      <c r="E324" s="225"/>
      <c r="F324" s="177"/>
      <c r="G324" s="177"/>
      <c r="H324" s="177"/>
      <c r="I324" s="177"/>
      <c r="J324" s="223"/>
      <c r="K324" s="231"/>
      <c r="L324" s="231"/>
      <c r="M324" s="231"/>
      <c r="N324" s="231"/>
      <c r="O324" s="231"/>
      <c r="P324" s="231"/>
      <c r="Q324" s="231"/>
      <c r="R324" s="231"/>
      <c r="S324" s="231"/>
      <c r="T324" s="231"/>
      <c r="U324" s="231"/>
      <c r="V324" s="231"/>
      <c r="W324" s="231"/>
      <c r="X324" s="231"/>
      <c r="Y324" s="231"/>
    </row>
    <row r="325" spans="1:25" ht="15.75" hidden="1" customHeight="1" x14ac:dyDescent="0.2">
      <c r="A325" s="231"/>
      <c r="B325" s="224"/>
      <c r="C325" s="225"/>
      <c r="D325" s="225"/>
      <c r="E325" s="225"/>
      <c r="F325" s="177"/>
      <c r="G325" s="177"/>
      <c r="H325" s="177"/>
      <c r="I325" s="177"/>
      <c r="J325" s="223"/>
      <c r="K325" s="231"/>
      <c r="L325" s="231"/>
      <c r="M325" s="231"/>
      <c r="N325" s="231"/>
      <c r="O325" s="231"/>
      <c r="P325" s="231"/>
      <c r="Q325" s="231"/>
      <c r="R325" s="231"/>
      <c r="S325" s="231"/>
      <c r="T325" s="231"/>
      <c r="U325" s="231"/>
      <c r="V325" s="231"/>
      <c r="W325" s="231"/>
      <c r="X325" s="231"/>
      <c r="Y325" s="231"/>
    </row>
    <row r="326" spans="1:25" ht="15.75" hidden="1" customHeight="1" x14ac:dyDescent="0.2">
      <c r="A326" s="231"/>
      <c r="B326" s="224"/>
      <c r="C326" s="225"/>
      <c r="D326" s="225"/>
      <c r="E326" s="225"/>
      <c r="F326" s="177"/>
      <c r="G326" s="177"/>
      <c r="H326" s="177"/>
      <c r="I326" s="177"/>
      <c r="J326" s="223"/>
      <c r="K326" s="231"/>
      <c r="L326" s="231"/>
      <c r="M326" s="231"/>
      <c r="N326" s="231"/>
      <c r="O326" s="231"/>
      <c r="P326" s="231"/>
      <c r="Q326" s="231"/>
      <c r="R326" s="231"/>
      <c r="S326" s="231"/>
      <c r="T326" s="231"/>
      <c r="U326" s="231"/>
      <c r="V326" s="231"/>
      <c r="W326" s="231"/>
      <c r="X326" s="231"/>
      <c r="Y326" s="231"/>
    </row>
    <row r="327" spans="1:25" ht="15.75" hidden="1" customHeight="1" x14ac:dyDescent="0.2">
      <c r="A327" s="231"/>
      <c r="B327" s="224"/>
      <c r="C327" s="225"/>
      <c r="D327" s="225"/>
      <c r="E327" s="225"/>
      <c r="F327" s="177"/>
      <c r="G327" s="177"/>
      <c r="H327" s="177"/>
      <c r="I327" s="177"/>
      <c r="J327" s="223"/>
      <c r="K327" s="231"/>
      <c r="L327" s="231"/>
      <c r="M327" s="231"/>
      <c r="N327" s="231"/>
      <c r="O327" s="231"/>
      <c r="P327" s="231"/>
      <c r="Q327" s="231"/>
      <c r="R327" s="231"/>
      <c r="S327" s="231"/>
      <c r="T327" s="231"/>
      <c r="U327" s="231"/>
      <c r="V327" s="231"/>
      <c r="W327" s="231"/>
      <c r="X327" s="231"/>
      <c r="Y327" s="231"/>
    </row>
    <row r="328" spans="1:25" ht="15.75" hidden="1" customHeight="1" x14ac:dyDescent="0.2">
      <c r="A328" s="231"/>
      <c r="B328" s="224"/>
      <c r="C328" s="225"/>
      <c r="D328" s="225"/>
      <c r="E328" s="225"/>
      <c r="F328" s="177"/>
      <c r="G328" s="177"/>
      <c r="H328" s="177"/>
      <c r="I328" s="177"/>
      <c r="J328" s="223"/>
      <c r="K328" s="231"/>
      <c r="L328" s="231"/>
      <c r="M328" s="231"/>
      <c r="N328" s="231"/>
      <c r="O328" s="231"/>
      <c r="P328" s="231"/>
      <c r="Q328" s="231"/>
      <c r="R328" s="231"/>
      <c r="S328" s="231"/>
      <c r="T328" s="231"/>
      <c r="U328" s="231"/>
      <c r="V328" s="231"/>
      <c r="W328" s="231"/>
      <c r="X328" s="231"/>
      <c r="Y328" s="231"/>
    </row>
    <row r="329" spans="1:25" ht="15.75" hidden="1" customHeight="1" x14ac:dyDescent="0.2">
      <c r="A329" s="231"/>
      <c r="B329" s="224"/>
      <c r="C329" s="225"/>
      <c r="D329" s="225"/>
      <c r="E329" s="225"/>
      <c r="F329" s="177"/>
      <c r="G329" s="177"/>
      <c r="H329" s="177"/>
      <c r="I329" s="177"/>
      <c r="J329" s="223"/>
      <c r="K329" s="231"/>
      <c r="L329" s="231"/>
      <c r="M329" s="231"/>
      <c r="N329" s="231"/>
      <c r="O329" s="231"/>
      <c r="P329" s="231"/>
      <c r="Q329" s="231"/>
      <c r="R329" s="231"/>
      <c r="S329" s="231"/>
      <c r="T329" s="231"/>
      <c r="U329" s="231"/>
      <c r="V329" s="231"/>
      <c r="W329" s="231"/>
      <c r="X329" s="231"/>
      <c r="Y329" s="231"/>
    </row>
    <row r="330" spans="1:25" ht="15.75" hidden="1" customHeight="1" x14ac:dyDescent="0.2">
      <c r="A330" s="231"/>
      <c r="B330" s="224"/>
      <c r="C330" s="225"/>
      <c r="D330" s="225"/>
      <c r="E330" s="225"/>
      <c r="F330" s="177"/>
      <c r="G330" s="177"/>
      <c r="H330" s="177"/>
      <c r="I330" s="177"/>
      <c r="J330" s="223"/>
      <c r="K330" s="231"/>
      <c r="L330" s="231"/>
      <c r="M330" s="231"/>
      <c r="N330" s="231"/>
      <c r="O330" s="231"/>
      <c r="P330" s="231"/>
      <c r="Q330" s="231"/>
      <c r="R330" s="231"/>
      <c r="S330" s="231"/>
      <c r="T330" s="231"/>
      <c r="U330" s="231"/>
      <c r="V330" s="231"/>
      <c r="W330" s="231"/>
      <c r="X330" s="231"/>
      <c r="Y330" s="231"/>
    </row>
    <row r="331" spans="1:25" ht="15.75" hidden="1" customHeight="1" x14ac:dyDescent="0.2">
      <c r="A331" s="231"/>
      <c r="B331" s="224"/>
      <c r="C331" s="225"/>
      <c r="D331" s="225"/>
      <c r="E331" s="225"/>
      <c r="F331" s="177"/>
      <c r="G331" s="177"/>
      <c r="H331" s="177"/>
      <c r="I331" s="177"/>
      <c r="J331" s="223"/>
      <c r="K331" s="231"/>
      <c r="L331" s="231"/>
      <c r="M331" s="231"/>
      <c r="N331" s="231"/>
      <c r="O331" s="231"/>
      <c r="P331" s="231"/>
      <c r="Q331" s="231"/>
      <c r="R331" s="231"/>
      <c r="S331" s="231"/>
      <c r="T331" s="231"/>
      <c r="U331" s="231"/>
      <c r="V331" s="231"/>
      <c r="W331" s="231"/>
      <c r="X331" s="231"/>
      <c r="Y331" s="231"/>
    </row>
    <row r="332" spans="1:25" ht="15.75" hidden="1" customHeight="1" x14ac:dyDescent="0.2">
      <c r="A332" s="231"/>
      <c r="B332" s="224"/>
      <c r="C332" s="225"/>
      <c r="D332" s="225"/>
      <c r="E332" s="225"/>
      <c r="F332" s="177"/>
      <c r="G332" s="177"/>
      <c r="H332" s="177"/>
      <c r="I332" s="177"/>
      <c r="J332" s="223"/>
      <c r="K332" s="231"/>
      <c r="L332" s="231"/>
      <c r="M332" s="231"/>
      <c r="N332" s="231"/>
      <c r="O332" s="231"/>
      <c r="P332" s="231"/>
      <c r="Q332" s="231"/>
      <c r="R332" s="231"/>
      <c r="S332" s="231"/>
      <c r="T332" s="231"/>
      <c r="U332" s="231"/>
      <c r="V332" s="231"/>
      <c r="W332" s="231"/>
      <c r="X332" s="231"/>
      <c r="Y332" s="231"/>
    </row>
    <row r="333" spans="1:25" ht="15.75" hidden="1" customHeight="1" x14ac:dyDescent="0.2">
      <c r="A333" s="231"/>
      <c r="B333" s="224"/>
      <c r="C333" s="225"/>
      <c r="D333" s="225"/>
      <c r="E333" s="225"/>
      <c r="F333" s="177"/>
      <c r="G333" s="177"/>
      <c r="H333" s="177"/>
      <c r="I333" s="177"/>
      <c r="J333" s="223"/>
      <c r="K333" s="231"/>
      <c r="L333" s="231"/>
      <c r="M333" s="231"/>
      <c r="N333" s="231"/>
      <c r="O333" s="231"/>
      <c r="P333" s="231"/>
      <c r="Q333" s="231"/>
      <c r="R333" s="231"/>
      <c r="S333" s="231"/>
      <c r="T333" s="231"/>
      <c r="U333" s="231"/>
      <c r="V333" s="231"/>
      <c r="W333" s="231"/>
      <c r="X333" s="231"/>
      <c r="Y333" s="231"/>
    </row>
    <row r="334" spans="1:25" ht="15.75" hidden="1" customHeight="1" x14ac:dyDescent="0.2">
      <c r="A334" s="231"/>
      <c r="B334" s="224"/>
      <c r="C334" s="225"/>
      <c r="D334" s="225"/>
      <c r="E334" s="225"/>
      <c r="F334" s="177"/>
      <c r="G334" s="177"/>
      <c r="H334" s="177"/>
      <c r="I334" s="177"/>
      <c r="J334" s="223"/>
      <c r="K334" s="231"/>
      <c r="L334" s="231"/>
      <c r="M334" s="231"/>
      <c r="N334" s="231"/>
      <c r="O334" s="231"/>
      <c r="P334" s="231"/>
      <c r="Q334" s="231"/>
      <c r="R334" s="231"/>
      <c r="S334" s="231"/>
      <c r="T334" s="231"/>
      <c r="U334" s="231"/>
      <c r="V334" s="231"/>
      <c r="W334" s="231"/>
      <c r="X334" s="231"/>
      <c r="Y334" s="231"/>
    </row>
    <row r="335" spans="1:25" ht="15.75" hidden="1" customHeight="1" x14ac:dyDescent="0.2">
      <c r="A335" s="231"/>
      <c r="B335" s="224"/>
      <c r="C335" s="225"/>
      <c r="D335" s="225"/>
      <c r="E335" s="225"/>
      <c r="F335" s="177"/>
      <c r="G335" s="177"/>
      <c r="H335" s="177"/>
      <c r="I335" s="177"/>
      <c r="J335" s="223"/>
      <c r="K335" s="231"/>
      <c r="L335" s="231"/>
      <c r="M335" s="231"/>
      <c r="N335" s="231"/>
      <c r="O335" s="231"/>
      <c r="P335" s="231"/>
      <c r="Q335" s="231"/>
      <c r="R335" s="231"/>
      <c r="S335" s="231"/>
      <c r="T335" s="231"/>
      <c r="U335" s="231"/>
      <c r="V335" s="231"/>
      <c r="W335" s="231"/>
      <c r="X335" s="231"/>
      <c r="Y335" s="231"/>
    </row>
    <row r="336" spans="1:25" ht="15.75" hidden="1" customHeight="1" x14ac:dyDescent="0.2">
      <c r="A336" s="231"/>
      <c r="B336" s="224"/>
      <c r="C336" s="225"/>
      <c r="D336" s="225"/>
      <c r="E336" s="225"/>
      <c r="F336" s="177"/>
      <c r="G336" s="177"/>
      <c r="H336" s="177"/>
      <c r="I336" s="177"/>
      <c r="J336" s="223"/>
      <c r="K336" s="231"/>
      <c r="L336" s="231"/>
      <c r="M336" s="231"/>
      <c r="N336" s="231"/>
      <c r="O336" s="231"/>
      <c r="P336" s="231"/>
      <c r="Q336" s="231"/>
      <c r="R336" s="231"/>
      <c r="S336" s="231"/>
      <c r="T336" s="231"/>
      <c r="U336" s="231"/>
      <c r="V336" s="231"/>
      <c r="W336" s="231"/>
      <c r="X336" s="231"/>
      <c r="Y336" s="231"/>
    </row>
    <row r="337" spans="1:25" ht="15.75" hidden="1" customHeight="1" x14ac:dyDescent="0.2">
      <c r="A337" s="231"/>
      <c r="B337" s="224"/>
      <c r="C337" s="225"/>
      <c r="D337" s="225"/>
      <c r="E337" s="225"/>
      <c r="F337" s="177"/>
      <c r="G337" s="177"/>
      <c r="H337" s="177"/>
      <c r="I337" s="177"/>
      <c r="J337" s="223"/>
      <c r="K337" s="231"/>
      <c r="L337" s="231"/>
      <c r="M337" s="231"/>
      <c r="N337" s="231"/>
      <c r="O337" s="231"/>
      <c r="P337" s="231"/>
      <c r="Q337" s="231"/>
      <c r="R337" s="231"/>
      <c r="S337" s="231"/>
      <c r="T337" s="231"/>
      <c r="U337" s="231"/>
      <c r="V337" s="231"/>
      <c r="W337" s="231"/>
      <c r="X337" s="231"/>
      <c r="Y337" s="231"/>
    </row>
    <row r="338" spans="1:25" ht="15.75" hidden="1" customHeight="1" x14ac:dyDescent="0.2">
      <c r="A338" s="231"/>
      <c r="B338" s="224"/>
      <c r="C338" s="225"/>
      <c r="D338" s="225"/>
      <c r="E338" s="225"/>
      <c r="F338" s="177"/>
      <c r="G338" s="177"/>
      <c r="H338" s="177"/>
      <c r="I338" s="177"/>
      <c r="J338" s="223"/>
      <c r="K338" s="231"/>
      <c r="L338" s="231"/>
      <c r="M338" s="231"/>
      <c r="N338" s="231"/>
      <c r="O338" s="231"/>
      <c r="P338" s="231"/>
      <c r="Q338" s="231"/>
      <c r="R338" s="231"/>
      <c r="S338" s="231"/>
      <c r="T338" s="231"/>
      <c r="U338" s="231"/>
      <c r="V338" s="231"/>
      <c r="W338" s="231"/>
      <c r="X338" s="231"/>
      <c r="Y338" s="231"/>
    </row>
    <row r="339" spans="1:25" ht="15.75" hidden="1" customHeight="1" x14ac:dyDescent="0.2">
      <c r="A339" s="231"/>
      <c r="B339" s="224"/>
      <c r="C339" s="225"/>
      <c r="D339" s="225"/>
      <c r="E339" s="225"/>
      <c r="F339" s="177"/>
      <c r="G339" s="177"/>
      <c r="H339" s="177"/>
      <c r="I339" s="177"/>
      <c r="J339" s="223"/>
      <c r="K339" s="231"/>
      <c r="L339" s="231"/>
      <c r="M339" s="231"/>
      <c r="N339" s="231"/>
      <c r="O339" s="231"/>
      <c r="P339" s="231"/>
      <c r="Q339" s="231"/>
      <c r="R339" s="231"/>
      <c r="S339" s="231"/>
      <c r="T339" s="231"/>
      <c r="U339" s="231"/>
      <c r="V339" s="231"/>
      <c r="W339" s="231"/>
      <c r="X339" s="231"/>
      <c r="Y339" s="231"/>
    </row>
    <row r="340" spans="1:25" ht="15.75" hidden="1" customHeight="1" x14ac:dyDescent="0.2">
      <c r="A340" s="231"/>
      <c r="B340" s="224"/>
      <c r="C340" s="225"/>
      <c r="D340" s="225"/>
      <c r="E340" s="225"/>
      <c r="F340" s="177"/>
      <c r="G340" s="177"/>
      <c r="H340" s="177"/>
      <c r="I340" s="177"/>
      <c r="J340" s="223"/>
      <c r="K340" s="231"/>
      <c r="L340" s="231"/>
      <c r="M340" s="231"/>
      <c r="N340" s="231"/>
      <c r="O340" s="231"/>
      <c r="P340" s="231"/>
      <c r="Q340" s="231"/>
      <c r="R340" s="231"/>
      <c r="S340" s="231"/>
      <c r="T340" s="231"/>
      <c r="U340" s="231"/>
      <c r="V340" s="231"/>
      <c r="W340" s="231"/>
      <c r="X340" s="231"/>
      <c r="Y340" s="231"/>
    </row>
    <row r="341" spans="1:25" ht="15.75" hidden="1" customHeight="1" x14ac:dyDescent="0.2">
      <c r="A341" s="231"/>
      <c r="B341" s="224"/>
      <c r="C341" s="225"/>
      <c r="D341" s="225"/>
      <c r="E341" s="225"/>
      <c r="F341" s="177"/>
      <c r="G341" s="177"/>
      <c r="H341" s="177"/>
      <c r="I341" s="177"/>
      <c r="J341" s="223"/>
      <c r="K341" s="231"/>
      <c r="L341" s="231"/>
      <c r="M341" s="231"/>
      <c r="N341" s="231"/>
      <c r="O341" s="231"/>
      <c r="P341" s="231"/>
      <c r="Q341" s="231"/>
      <c r="R341" s="231"/>
      <c r="S341" s="231"/>
      <c r="T341" s="231"/>
      <c r="U341" s="231"/>
      <c r="V341" s="231"/>
      <c r="W341" s="231"/>
      <c r="X341" s="231"/>
      <c r="Y341" s="231"/>
    </row>
    <row r="342" spans="1:25" ht="15.75" hidden="1" customHeight="1" x14ac:dyDescent="0.2">
      <c r="A342" s="231"/>
      <c r="B342" s="224"/>
      <c r="C342" s="225"/>
      <c r="D342" s="225"/>
      <c r="E342" s="225"/>
      <c r="F342" s="177"/>
      <c r="G342" s="177"/>
      <c r="H342" s="177"/>
      <c r="I342" s="177"/>
      <c r="J342" s="223"/>
      <c r="K342" s="231"/>
      <c r="L342" s="231"/>
      <c r="M342" s="231"/>
      <c r="N342" s="231"/>
      <c r="O342" s="231"/>
      <c r="P342" s="231"/>
      <c r="Q342" s="231"/>
      <c r="R342" s="231"/>
      <c r="S342" s="231"/>
      <c r="T342" s="231"/>
      <c r="U342" s="231"/>
      <c r="V342" s="231"/>
      <c r="W342" s="231"/>
      <c r="X342" s="231"/>
      <c r="Y342" s="231"/>
    </row>
    <row r="343" spans="1:25" ht="15.75" hidden="1" customHeight="1" x14ac:dyDescent="0.2">
      <c r="A343" s="231"/>
      <c r="B343" s="224"/>
      <c r="C343" s="225"/>
      <c r="D343" s="225"/>
      <c r="E343" s="225"/>
      <c r="F343" s="177"/>
      <c r="G343" s="177"/>
      <c r="H343" s="177"/>
      <c r="I343" s="177"/>
      <c r="J343" s="223"/>
      <c r="K343" s="231"/>
      <c r="L343" s="231"/>
      <c r="M343" s="231"/>
      <c r="N343" s="231"/>
      <c r="O343" s="231"/>
      <c r="P343" s="231"/>
      <c r="Q343" s="231"/>
      <c r="R343" s="231"/>
      <c r="S343" s="231"/>
      <c r="T343" s="231"/>
      <c r="U343" s="231"/>
      <c r="V343" s="231"/>
      <c r="W343" s="231"/>
      <c r="X343" s="231"/>
      <c r="Y343" s="231"/>
    </row>
    <row r="344" spans="1:25" ht="15.75" hidden="1" customHeight="1" x14ac:dyDescent="0.2">
      <c r="A344" s="231"/>
      <c r="B344" s="224"/>
      <c r="C344" s="225"/>
      <c r="D344" s="225"/>
      <c r="E344" s="225"/>
      <c r="F344" s="177"/>
      <c r="G344" s="177"/>
      <c r="H344" s="177"/>
      <c r="I344" s="177"/>
      <c r="J344" s="223"/>
      <c r="K344" s="231"/>
      <c r="L344" s="231"/>
      <c r="M344" s="231"/>
      <c r="N344" s="231"/>
      <c r="O344" s="231"/>
      <c r="P344" s="231"/>
      <c r="Q344" s="231"/>
      <c r="R344" s="231"/>
      <c r="S344" s="231"/>
      <c r="T344" s="231"/>
      <c r="U344" s="231"/>
      <c r="V344" s="231"/>
      <c r="W344" s="231"/>
      <c r="X344" s="231"/>
      <c r="Y344" s="231"/>
    </row>
    <row r="345" spans="1:25" ht="15.75" hidden="1" customHeight="1" x14ac:dyDescent="0.2">
      <c r="A345" s="231"/>
      <c r="B345" s="224"/>
      <c r="C345" s="225"/>
      <c r="D345" s="225"/>
      <c r="E345" s="225"/>
      <c r="F345" s="177"/>
      <c r="G345" s="177"/>
      <c r="H345" s="177"/>
      <c r="I345" s="177"/>
      <c r="J345" s="223"/>
      <c r="K345" s="231"/>
      <c r="L345" s="231"/>
      <c r="M345" s="231"/>
      <c r="N345" s="231"/>
      <c r="O345" s="231"/>
      <c r="P345" s="231"/>
      <c r="Q345" s="231"/>
      <c r="R345" s="231"/>
      <c r="S345" s="231"/>
      <c r="T345" s="231"/>
      <c r="U345" s="231"/>
      <c r="V345" s="231"/>
      <c r="W345" s="231"/>
      <c r="X345" s="231"/>
      <c r="Y345" s="231"/>
    </row>
    <row r="346" spans="1:25" ht="15.75" hidden="1" customHeight="1" x14ac:dyDescent="0.2">
      <c r="A346" s="231"/>
      <c r="B346" s="224"/>
      <c r="C346" s="225"/>
      <c r="D346" s="225"/>
      <c r="E346" s="225"/>
      <c r="F346" s="177"/>
      <c r="G346" s="177"/>
      <c r="H346" s="177"/>
      <c r="I346" s="177"/>
      <c r="J346" s="223"/>
      <c r="K346" s="231"/>
      <c r="L346" s="231"/>
      <c r="M346" s="231"/>
      <c r="N346" s="231"/>
      <c r="O346" s="231"/>
      <c r="P346" s="231"/>
      <c r="Q346" s="231"/>
      <c r="R346" s="231"/>
      <c r="S346" s="231"/>
      <c r="T346" s="231"/>
      <c r="U346" s="231"/>
      <c r="V346" s="231"/>
      <c r="W346" s="231"/>
      <c r="X346" s="231"/>
      <c r="Y346" s="231"/>
    </row>
    <row r="347" spans="1:25" ht="15.75" hidden="1" customHeight="1" x14ac:dyDescent="0.2">
      <c r="A347" s="231"/>
      <c r="B347" s="224"/>
      <c r="C347" s="225"/>
      <c r="D347" s="225"/>
      <c r="E347" s="225"/>
      <c r="F347" s="177"/>
      <c r="G347" s="177"/>
      <c r="H347" s="177"/>
      <c r="I347" s="177"/>
      <c r="J347" s="223"/>
      <c r="K347" s="231"/>
      <c r="L347" s="231"/>
      <c r="M347" s="231"/>
      <c r="N347" s="231"/>
      <c r="O347" s="231"/>
      <c r="P347" s="231"/>
      <c r="Q347" s="231"/>
      <c r="R347" s="231"/>
      <c r="S347" s="231"/>
      <c r="T347" s="231"/>
      <c r="U347" s="231"/>
      <c r="V347" s="231"/>
      <c r="W347" s="231"/>
      <c r="X347" s="231"/>
      <c r="Y347" s="231"/>
    </row>
    <row r="348" spans="1:25" ht="15.75" hidden="1" customHeight="1" x14ac:dyDescent="0.2">
      <c r="A348" s="231"/>
      <c r="B348" s="224"/>
      <c r="C348" s="225"/>
      <c r="D348" s="225"/>
      <c r="E348" s="225"/>
      <c r="F348" s="177"/>
      <c r="G348" s="177"/>
      <c r="H348" s="177"/>
      <c r="I348" s="177"/>
      <c r="J348" s="223"/>
      <c r="K348" s="231"/>
      <c r="L348" s="231"/>
      <c r="M348" s="231"/>
      <c r="N348" s="231"/>
      <c r="O348" s="231"/>
      <c r="P348" s="231"/>
      <c r="Q348" s="231"/>
      <c r="R348" s="231"/>
      <c r="S348" s="231"/>
      <c r="T348" s="231"/>
      <c r="U348" s="231"/>
      <c r="V348" s="231"/>
      <c r="W348" s="231"/>
      <c r="X348" s="231"/>
      <c r="Y348" s="231"/>
    </row>
    <row r="349" spans="1:25" ht="15.75" hidden="1" customHeight="1" x14ac:dyDescent="0.2">
      <c r="A349" s="231"/>
      <c r="B349" s="224"/>
      <c r="C349" s="225"/>
      <c r="D349" s="225"/>
      <c r="E349" s="225"/>
      <c r="F349" s="177"/>
      <c r="G349" s="177"/>
      <c r="H349" s="177"/>
      <c r="I349" s="177"/>
      <c r="J349" s="223"/>
      <c r="K349" s="231"/>
      <c r="L349" s="231"/>
      <c r="M349" s="231"/>
      <c r="N349" s="231"/>
      <c r="O349" s="231"/>
      <c r="P349" s="231"/>
      <c r="Q349" s="231"/>
      <c r="R349" s="231"/>
      <c r="S349" s="231"/>
      <c r="T349" s="231"/>
      <c r="U349" s="231"/>
      <c r="V349" s="231"/>
      <c r="W349" s="231"/>
      <c r="X349" s="231"/>
      <c r="Y349" s="231"/>
    </row>
    <row r="350" spans="1:25" ht="15.75" hidden="1" customHeight="1" x14ac:dyDescent="0.2">
      <c r="A350" s="231"/>
      <c r="B350" s="224"/>
      <c r="C350" s="225"/>
      <c r="D350" s="225"/>
      <c r="E350" s="225"/>
      <c r="F350" s="177"/>
      <c r="G350" s="177"/>
      <c r="H350" s="177"/>
      <c r="I350" s="177"/>
      <c r="J350" s="223"/>
      <c r="K350" s="231"/>
      <c r="L350" s="231"/>
      <c r="M350" s="231"/>
      <c r="N350" s="231"/>
      <c r="O350" s="231"/>
      <c r="P350" s="231"/>
      <c r="Q350" s="231"/>
      <c r="R350" s="231"/>
      <c r="S350" s="231"/>
      <c r="T350" s="231"/>
      <c r="U350" s="231"/>
      <c r="V350" s="231"/>
      <c r="W350" s="231"/>
      <c r="X350" s="231"/>
      <c r="Y350" s="231"/>
    </row>
    <row r="351" spans="1:25" ht="15.75" hidden="1" customHeight="1" x14ac:dyDescent="0.2">
      <c r="A351" s="231"/>
      <c r="B351" s="224"/>
      <c r="C351" s="225"/>
      <c r="D351" s="225"/>
      <c r="E351" s="225"/>
      <c r="F351" s="177"/>
      <c r="G351" s="177"/>
      <c r="H351" s="177"/>
      <c r="I351" s="177"/>
      <c r="J351" s="223"/>
      <c r="K351" s="231"/>
      <c r="L351" s="231"/>
      <c r="M351" s="231"/>
      <c r="N351" s="231"/>
      <c r="O351" s="231"/>
      <c r="P351" s="231"/>
      <c r="Q351" s="231"/>
      <c r="R351" s="231"/>
      <c r="S351" s="231"/>
      <c r="T351" s="231"/>
      <c r="U351" s="231"/>
      <c r="V351" s="231"/>
      <c r="W351" s="231"/>
      <c r="X351" s="231"/>
      <c r="Y351" s="231"/>
    </row>
    <row r="352" spans="1:25" ht="15.75" hidden="1" customHeight="1" x14ac:dyDescent="0.2">
      <c r="A352" s="231"/>
      <c r="B352" s="224"/>
      <c r="C352" s="225"/>
      <c r="D352" s="225"/>
      <c r="E352" s="225"/>
      <c r="F352" s="177"/>
      <c r="G352" s="177"/>
      <c r="H352" s="177"/>
      <c r="I352" s="177"/>
      <c r="J352" s="223"/>
      <c r="K352" s="231"/>
      <c r="L352" s="231"/>
      <c r="M352" s="231"/>
      <c r="N352" s="231"/>
      <c r="O352" s="231"/>
      <c r="P352" s="231"/>
      <c r="Q352" s="231"/>
      <c r="R352" s="231"/>
      <c r="S352" s="231"/>
      <c r="T352" s="231"/>
      <c r="U352" s="231"/>
      <c r="V352" s="231"/>
      <c r="W352" s="231"/>
      <c r="X352" s="231"/>
      <c r="Y352" s="231"/>
    </row>
    <row r="353" spans="1:25" ht="15.75" hidden="1" customHeight="1" x14ac:dyDescent="0.2">
      <c r="A353" s="231"/>
      <c r="B353" s="224"/>
      <c r="C353" s="225"/>
      <c r="D353" s="225"/>
      <c r="E353" s="225"/>
      <c r="F353" s="177"/>
      <c r="G353" s="177"/>
      <c r="H353" s="177"/>
      <c r="I353" s="177"/>
      <c r="J353" s="223"/>
      <c r="K353" s="231"/>
      <c r="L353" s="231"/>
      <c r="M353" s="231"/>
      <c r="N353" s="231"/>
      <c r="O353" s="231"/>
      <c r="P353" s="231"/>
      <c r="Q353" s="231"/>
      <c r="R353" s="231"/>
      <c r="S353" s="231"/>
      <c r="T353" s="231"/>
      <c r="U353" s="231"/>
      <c r="V353" s="231"/>
      <c r="W353" s="231"/>
      <c r="X353" s="231"/>
      <c r="Y353" s="231"/>
    </row>
    <row r="354" spans="1:25" ht="15.75" hidden="1" customHeight="1" x14ac:dyDescent="0.2">
      <c r="A354" s="231"/>
      <c r="B354" s="224"/>
      <c r="C354" s="225"/>
      <c r="D354" s="225"/>
      <c r="E354" s="225"/>
      <c r="F354" s="177"/>
      <c r="G354" s="177"/>
      <c r="H354" s="177"/>
      <c r="I354" s="177"/>
      <c r="J354" s="223"/>
      <c r="K354" s="231"/>
      <c r="L354" s="231"/>
      <c r="M354" s="231"/>
      <c r="N354" s="231"/>
      <c r="O354" s="231"/>
      <c r="P354" s="231"/>
      <c r="Q354" s="231"/>
      <c r="R354" s="231"/>
      <c r="S354" s="231"/>
      <c r="T354" s="231"/>
      <c r="U354" s="231"/>
      <c r="V354" s="231"/>
      <c r="W354" s="231"/>
      <c r="X354" s="231"/>
      <c r="Y354" s="231"/>
    </row>
    <row r="355" spans="1:25" ht="15.75" hidden="1" customHeight="1" x14ac:dyDescent="0.2">
      <c r="A355" s="231"/>
      <c r="B355" s="224"/>
      <c r="C355" s="225"/>
      <c r="D355" s="225"/>
      <c r="E355" s="225"/>
      <c r="F355" s="177"/>
      <c r="G355" s="177"/>
      <c r="H355" s="177"/>
      <c r="I355" s="177"/>
      <c r="J355" s="223"/>
      <c r="K355" s="231"/>
      <c r="L355" s="231"/>
      <c r="M355" s="231"/>
      <c r="N355" s="231"/>
      <c r="O355" s="231"/>
      <c r="P355" s="231"/>
      <c r="Q355" s="231"/>
      <c r="R355" s="231"/>
      <c r="S355" s="231"/>
      <c r="T355" s="231"/>
      <c r="U355" s="231"/>
      <c r="V355" s="231"/>
      <c r="W355" s="231"/>
      <c r="X355" s="231"/>
      <c r="Y355" s="231"/>
    </row>
    <row r="356" spans="1:25" ht="15.75" hidden="1" customHeight="1" x14ac:dyDescent="0.2">
      <c r="A356" s="231"/>
      <c r="B356" s="224"/>
      <c r="C356" s="225"/>
      <c r="D356" s="225"/>
      <c r="E356" s="225"/>
      <c r="F356" s="177"/>
      <c r="G356" s="177"/>
      <c r="H356" s="177"/>
      <c r="I356" s="177"/>
      <c r="J356" s="223"/>
      <c r="K356" s="231"/>
      <c r="L356" s="231"/>
      <c r="M356" s="231"/>
      <c r="N356" s="231"/>
      <c r="O356" s="231"/>
      <c r="P356" s="231"/>
      <c r="Q356" s="231"/>
      <c r="R356" s="231"/>
      <c r="S356" s="231"/>
      <c r="T356" s="231"/>
      <c r="U356" s="231"/>
      <c r="V356" s="231"/>
      <c r="W356" s="231"/>
      <c r="X356" s="231"/>
      <c r="Y356" s="231"/>
    </row>
    <row r="357" spans="1:25" ht="15.75" hidden="1" customHeight="1" x14ac:dyDescent="0.2">
      <c r="A357" s="231"/>
      <c r="B357" s="224"/>
      <c r="C357" s="225"/>
      <c r="D357" s="225"/>
      <c r="E357" s="225"/>
      <c r="F357" s="177"/>
      <c r="G357" s="177"/>
      <c r="H357" s="177"/>
      <c r="I357" s="177"/>
      <c r="J357" s="223"/>
      <c r="K357" s="231"/>
      <c r="L357" s="231"/>
      <c r="M357" s="231"/>
      <c r="N357" s="231"/>
      <c r="O357" s="231"/>
      <c r="P357" s="231"/>
      <c r="Q357" s="231"/>
      <c r="R357" s="231"/>
      <c r="S357" s="231"/>
      <c r="T357" s="231"/>
      <c r="U357" s="231"/>
      <c r="V357" s="231"/>
      <c r="W357" s="231"/>
      <c r="X357" s="231"/>
      <c r="Y357" s="231"/>
    </row>
    <row r="358" spans="1:25" ht="15.75" hidden="1" customHeight="1" x14ac:dyDescent="0.2">
      <c r="A358" s="231"/>
      <c r="B358" s="224"/>
      <c r="C358" s="225"/>
      <c r="D358" s="225"/>
      <c r="E358" s="225"/>
      <c r="F358" s="177"/>
      <c r="G358" s="177"/>
      <c r="H358" s="177"/>
      <c r="I358" s="177"/>
      <c r="J358" s="223"/>
      <c r="K358" s="231"/>
      <c r="L358" s="231"/>
      <c r="M358" s="231"/>
      <c r="N358" s="231"/>
      <c r="O358" s="231"/>
      <c r="P358" s="231"/>
      <c r="Q358" s="231"/>
      <c r="R358" s="231"/>
      <c r="S358" s="231"/>
      <c r="T358" s="231"/>
      <c r="U358" s="231"/>
      <c r="V358" s="231"/>
      <c r="W358" s="231"/>
      <c r="X358" s="231"/>
      <c r="Y358" s="231"/>
    </row>
    <row r="359" spans="1:25" ht="15.75" hidden="1" customHeight="1" x14ac:dyDescent="0.2">
      <c r="A359" s="231"/>
      <c r="B359" s="224"/>
      <c r="C359" s="225"/>
      <c r="D359" s="225"/>
      <c r="E359" s="225"/>
      <c r="F359" s="177"/>
      <c r="G359" s="177"/>
      <c r="H359" s="177"/>
      <c r="I359" s="177"/>
      <c r="J359" s="223"/>
      <c r="K359" s="231"/>
      <c r="L359" s="231"/>
      <c r="M359" s="231"/>
      <c r="N359" s="231"/>
      <c r="O359" s="231"/>
      <c r="P359" s="231"/>
      <c r="Q359" s="231"/>
      <c r="R359" s="231"/>
      <c r="S359" s="231"/>
      <c r="T359" s="231"/>
      <c r="U359" s="231"/>
      <c r="V359" s="231"/>
      <c r="W359" s="231"/>
      <c r="X359" s="231"/>
      <c r="Y359" s="231"/>
    </row>
    <row r="360" spans="1:25" ht="15.75" hidden="1" customHeight="1" x14ac:dyDescent="0.2">
      <c r="A360" s="231"/>
      <c r="B360" s="224"/>
      <c r="C360" s="225"/>
      <c r="D360" s="225"/>
      <c r="E360" s="225"/>
      <c r="F360" s="177"/>
      <c r="G360" s="177"/>
      <c r="H360" s="177"/>
      <c r="I360" s="177"/>
      <c r="J360" s="223"/>
      <c r="K360" s="231"/>
      <c r="L360" s="231"/>
      <c r="M360" s="231"/>
      <c r="N360" s="231"/>
      <c r="O360" s="231"/>
      <c r="P360" s="231"/>
      <c r="Q360" s="231"/>
      <c r="R360" s="231"/>
      <c r="S360" s="231"/>
      <c r="T360" s="231"/>
      <c r="U360" s="231"/>
      <c r="V360" s="231"/>
      <c r="W360" s="231"/>
      <c r="X360" s="231"/>
      <c r="Y360" s="231"/>
    </row>
    <row r="361" spans="1:25" ht="15.75" hidden="1" customHeight="1" x14ac:dyDescent="0.2">
      <c r="A361" s="231"/>
      <c r="B361" s="224"/>
      <c r="C361" s="225"/>
      <c r="D361" s="225"/>
      <c r="E361" s="225"/>
      <c r="F361" s="177"/>
      <c r="G361" s="177"/>
      <c r="H361" s="177"/>
      <c r="I361" s="177"/>
      <c r="J361" s="223"/>
      <c r="K361" s="231"/>
      <c r="L361" s="231"/>
      <c r="M361" s="231"/>
      <c r="N361" s="231"/>
      <c r="O361" s="231"/>
      <c r="P361" s="231"/>
      <c r="Q361" s="231"/>
      <c r="R361" s="231"/>
      <c r="S361" s="231"/>
      <c r="T361" s="231"/>
      <c r="U361" s="231"/>
      <c r="V361" s="231"/>
      <c r="W361" s="231"/>
      <c r="X361" s="231"/>
      <c r="Y361" s="231"/>
    </row>
    <row r="362" spans="1:25" ht="15.75" hidden="1" customHeight="1" x14ac:dyDescent="0.2">
      <c r="A362" s="231"/>
      <c r="B362" s="224"/>
      <c r="C362" s="225"/>
      <c r="D362" s="225"/>
      <c r="E362" s="225"/>
      <c r="F362" s="177"/>
      <c r="G362" s="177"/>
      <c r="H362" s="177"/>
      <c r="I362" s="177"/>
      <c r="J362" s="223"/>
      <c r="K362" s="231"/>
      <c r="L362" s="231"/>
      <c r="M362" s="231"/>
      <c r="N362" s="231"/>
      <c r="O362" s="231"/>
      <c r="P362" s="231"/>
      <c r="Q362" s="231"/>
      <c r="R362" s="231"/>
      <c r="S362" s="231"/>
      <c r="T362" s="231"/>
      <c r="U362" s="231"/>
      <c r="V362" s="231"/>
      <c r="W362" s="231"/>
      <c r="X362" s="231"/>
      <c r="Y362" s="231"/>
    </row>
    <row r="363" spans="1:25" ht="15.75" hidden="1" customHeight="1" x14ac:dyDescent="0.2">
      <c r="A363" s="231"/>
      <c r="B363" s="224"/>
      <c r="C363" s="225"/>
      <c r="D363" s="225"/>
      <c r="E363" s="225"/>
      <c r="F363" s="177"/>
      <c r="G363" s="177"/>
      <c r="H363" s="177"/>
      <c r="I363" s="177"/>
      <c r="J363" s="223"/>
      <c r="K363" s="231"/>
      <c r="L363" s="231"/>
      <c r="M363" s="231"/>
      <c r="N363" s="231"/>
      <c r="O363" s="231"/>
      <c r="P363" s="231"/>
      <c r="Q363" s="231"/>
      <c r="R363" s="231"/>
      <c r="S363" s="231"/>
      <c r="T363" s="231"/>
      <c r="U363" s="231"/>
      <c r="V363" s="231"/>
      <c r="W363" s="231"/>
      <c r="X363" s="231"/>
      <c r="Y363" s="231"/>
    </row>
    <row r="364" spans="1:25" ht="15.75" hidden="1" customHeight="1" x14ac:dyDescent="0.2">
      <c r="A364" s="231"/>
      <c r="B364" s="224"/>
      <c r="C364" s="225"/>
      <c r="D364" s="225"/>
      <c r="E364" s="225"/>
      <c r="F364" s="177"/>
      <c r="G364" s="177"/>
      <c r="H364" s="177"/>
      <c r="I364" s="177"/>
      <c r="J364" s="223"/>
      <c r="K364" s="231"/>
      <c r="L364" s="231"/>
      <c r="M364" s="231"/>
      <c r="N364" s="231"/>
      <c r="O364" s="231"/>
      <c r="P364" s="231"/>
      <c r="Q364" s="231"/>
      <c r="R364" s="231"/>
      <c r="S364" s="231"/>
      <c r="T364" s="231"/>
      <c r="U364" s="231"/>
      <c r="V364" s="231"/>
      <c r="W364" s="231"/>
      <c r="X364" s="231"/>
      <c r="Y364" s="231"/>
    </row>
    <row r="365" spans="1:25" ht="15.75" hidden="1" customHeight="1" x14ac:dyDescent="0.2">
      <c r="A365" s="231"/>
      <c r="B365" s="224"/>
      <c r="C365" s="225"/>
      <c r="D365" s="225"/>
      <c r="E365" s="225"/>
      <c r="F365" s="177"/>
      <c r="G365" s="177"/>
      <c r="H365" s="177"/>
      <c r="I365" s="177"/>
      <c r="J365" s="223"/>
      <c r="K365" s="231"/>
      <c r="L365" s="231"/>
      <c r="M365" s="231"/>
      <c r="N365" s="231"/>
      <c r="O365" s="231"/>
      <c r="P365" s="231"/>
      <c r="Q365" s="231"/>
      <c r="R365" s="231"/>
      <c r="S365" s="231"/>
      <c r="T365" s="231"/>
      <c r="U365" s="231"/>
      <c r="V365" s="231"/>
      <c r="W365" s="231"/>
      <c r="X365" s="231"/>
      <c r="Y365" s="231"/>
    </row>
    <row r="366" spans="1:25" ht="15.75" hidden="1" customHeight="1" x14ac:dyDescent="0.2">
      <c r="A366" s="231"/>
      <c r="B366" s="224"/>
      <c r="C366" s="225"/>
      <c r="D366" s="225"/>
      <c r="E366" s="225"/>
      <c r="F366" s="177"/>
      <c r="G366" s="177"/>
      <c r="H366" s="177"/>
      <c r="I366" s="177"/>
      <c r="J366" s="223"/>
      <c r="K366" s="231"/>
      <c r="L366" s="231"/>
      <c r="M366" s="231"/>
      <c r="N366" s="231"/>
      <c r="O366" s="231"/>
      <c r="P366" s="231"/>
      <c r="Q366" s="231"/>
      <c r="R366" s="231"/>
      <c r="S366" s="231"/>
      <c r="T366" s="231"/>
      <c r="U366" s="231"/>
      <c r="V366" s="231"/>
      <c r="W366" s="231"/>
      <c r="X366" s="231"/>
      <c r="Y366" s="231"/>
    </row>
    <row r="367" spans="1:25" ht="15.75" hidden="1" customHeight="1" x14ac:dyDescent="0.2">
      <c r="A367" s="231"/>
      <c r="B367" s="224"/>
      <c r="C367" s="225"/>
      <c r="D367" s="225"/>
      <c r="E367" s="225"/>
      <c r="F367" s="177"/>
      <c r="G367" s="177"/>
      <c r="H367" s="177"/>
      <c r="I367" s="177"/>
      <c r="J367" s="223"/>
      <c r="K367" s="231"/>
      <c r="L367" s="231"/>
      <c r="M367" s="231"/>
      <c r="N367" s="231"/>
      <c r="O367" s="231"/>
      <c r="P367" s="231"/>
      <c r="Q367" s="231"/>
      <c r="R367" s="231"/>
      <c r="S367" s="231"/>
      <c r="T367" s="231"/>
      <c r="U367" s="231"/>
      <c r="V367" s="231"/>
      <c r="W367" s="231"/>
      <c r="X367" s="231"/>
      <c r="Y367" s="231"/>
    </row>
    <row r="368" spans="1:25" ht="15.75" hidden="1" customHeight="1" x14ac:dyDescent="0.2">
      <c r="A368" s="231"/>
      <c r="B368" s="224"/>
      <c r="C368" s="225"/>
      <c r="D368" s="225"/>
      <c r="E368" s="225"/>
      <c r="F368" s="177"/>
      <c r="G368" s="177"/>
      <c r="H368" s="177"/>
      <c r="I368" s="177"/>
      <c r="J368" s="223"/>
      <c r="K368" s="231"/>
      <c r="L368" s="231"/>
      <c r="M368" s="231"/>
      <c r="N368" s="231"/>
      <c r="O368" s="231"/>
      <c r="P368" s="231"/>
      <c r="Q368" s="231"/>
      <c r="R368" s="231"/>
      <c r="S368" s="231"/>
      <c r="T368" s="231"/>
      <c r="U368" s="231"/>
      <c r="V368" s="231"/>
      <c r="W368" s="231"/>
      <c r="X368" s="231"/>
      <c r="Y368" s="231"/>
    </row>
    <row r="369" spans="1:25" ht="15.75" hidden="1" customHeight="1" x14ac:dyDescent="0.2">
      <c r="A369" s="231"/>
      <c r="B369" s="224"/>
      <c r="C369" s="225"/>
      <c r="D369" s="225"/>
      <c r="E369" s="225"/>
      <c r="F369" s="177"/>
      <c r="G369" s="177"/>
      <c r="H369" s="177"/>
      <c r="I369" s="177"/>
      <c r="J369" s="223"/>
      <c r="K369" s="231"/>
      <c r="L369" s="231"/>
      <c r="M369" s="231"/>
      <c r="N369" s="231"/>
      <c r="O369" s="231"/>
      <c r="P369" s="231"/>
      <c r="Q369" s="231"/>
      <c r="R369" s="231"/>
      <c r="S369" s="231"/>
      <c r="T369" s="231"/>
      <c r="U369" s="231"/>
      <c r="V369" s="231"/>
      <c r="W369" s="231"/>
      <c r="X369" s="231"/>
      <c r="Y369" s="231"/>
    </row>
    <row r="370" spans="1:25" ht="15.75" hidden="1" customHeight="1" x14ac:dyDescent="0.2">
      <c r="A370" s="231"/>
      <c r="B370" s="224"/>
      <c r="C370" s="225"/>
      <c r="D370" s="225"/>
      <c r="E370" s="225"/>
      <c r="F370" s="177"/>
      <c r="G370" s="177"/>
      <c r="H370" s="177"/>
      <c r="I370" s="177"/>
      <c r="J370" s="223"/>
      <c r="K370" s="231"/>
      <c r="L370" s="231"/>
      <c r="M370" s="231"/>
      <c r="N370" s="231"/>
      <c r="O370" s="231"/>
      <c r="P370" s="231"/>
      <c r="Q370" s="231"/>
      <c r="R370" s="231"/>
      <c r="S370" s="231"/>
      <c r="T370" s="231"/>
      <c r="U370" s="231"/>
      <c r="V370" s="231"/>
      <c r="W370" s="231"/>
      <c r="X370" s="231"/>
      <c r="Y370" s="231"/>
    </row>
    <row r="371" spans="1:25" ht="15.75" hidden="1" customHeight="1" x14ac:dyDescent="0.2">
      <c r="A371" s="231"/>
      <c r="B371" s="224"/>
      <c r="C371" s="225"/>
      <c r="D371" s="225"/>
      <c r="E371" s="225"/>
      <c r="F371" s="177"/>
      <c r="G371" s="177"/>
      <c r="H371" s="177"/>
      <c r="I371" s="177"/>
      <c r="J371" s="223"/>
      <c r="K371" s="231"/>
      <c r="L371" s="231"/>
      <c r="M371" s="231"/>
      <c r="N371" s="231"/>
      <c r="O371" s="231"/>
      <c r="P371" s="231"/>
      <c r="Q371" s="231"/>
      <c r="R371" s="231"/>
      <c r="S371" s="231"/>
      <c r="T371" s="231"/>
      <c r="U371" s="231"/>
      <c r="V371" s="231"/>
      <c r="W371" s="231"/>
      <c r="X371" s="231"/>
      <c r="Y371" s="231"/>
    </row>
    <row r="372" spans="1:25" ht="15.75" hidden="1" customHeight="1" x14ac:dyDescent="0.2">
      <c r="A372" s="231"/>
      <c r="B372" s="224"/>
      <c r="C372" s="225"/>
      <c r="D372" s="225"/>
      <c r="E372" s="225"/>
      <c r="F372" s="177"/>
      <c r="G372" s="177"/>
      <c r="H372" s="177"/>
      <c r="I372" s="177"/>
      <c r="J372" s="223"/>
      <c r="K372" s="231"/>
      <c r="L372" s="231"/>
      <c r="M372" s="231"/>
      <c r="N372" s="231"/>
      <c r="O372" s="231"/>
      <c r="P372" s="231"/>
      <c r="Q372" s="231"/>
      <c r="R372" s="231"/>
      <c r="S372" s="231"/>
      <c r="T372" s="231"/>
      <c r="U372" s="231"/>
      <c r="V372" s="231"/>
      <c r="W372" s="231"/>
      <c r="X372" s="231"/>
      <c r="Y372" s="231"/>
    </row>
    <row r="373" spans="1:25" ht="15.75" hidden="1" customHeight="1" x14ac:dyDescent="0.2">
      <c r="A373" s="231"/>
      <c r="B373" s="224"/>
      <c r="C373" s="225"/>
      <c r="D373" s="225"/>
      <c r="E373" s="225"/>
      <c r="F373" s="177"/>
      <c r="G373" s="177"/>
      <c r="H373" s="177"/>
      <c r="I373" s="177"/>
      <c r="J373" s="223"/>
      <c r="K373" s="231"/>
      <c r="L373" s="231"/>
      <c r="M373" s="231"/>
      <c r="N373" s="231"/>
      <c r="O373" s="231"/>
      <c r="P373" s="231"/>
      <c r="Q373" s="231"/>
      <c r="R373" s="231"/>
      <c r="S373" s="231"/>
      <c r="T373" s="231"/>
      <c r="U373" s="231"/>
      <c r="V373" s="231"/>
      <c r="W373" s="231"/>
      <c r="X373" s="231"/>
      <c r="Y373" s="231"/>
    </row>
    <row r="374" spans="1:25" ht="15.75" hidden="1" customHeight="1" x14ac:dyDescent="0.2">
      <c r="A374" s="231"/>
      <c r="B374" s="224"/>
      <c r="C374" s="225"/>
      <c r="D374" s="225"/>
      <c r="E374" s="225"/>
      <c r="F374" s="177"/>
      <c r="G374" s="177"/>
      <c r="H374" s="177"/>
      <c r="I374" s="177"/>
      <c r="J374" s="223"/>
      <c r="K374" s="231"/>
      <c r="L374" s="231"/>
      <c r="M374" s="231"/>
      <c r="N374" s="231"/>
      <c r="O374" s="231"/>
      <c r="P374" s="231"/>
      <c r="Q374" s="231"/>
      <c r="R374" s="231"/>
      <c r="S374" s="231"/>
      <c r="T374" s="231"/>
      <c r="U374" s="231"/>
      <c r="V374" s="231"/>
      <c r="W374" s="231"/>
      <c r="X374" s="231"/>
      <c r="Y374" s="231"/>
    </row>
    <row r="375" spans="1:25" ht="15.75" hidden="1" customHeight="1" x14ac:dyDescent="0.2">
      <c r="A375" s="231"/>
      <c r="B375" s="224"/>
      <c r="C375" s="225"/>
      <c r="D375" s="225"/>
      <c r="E375" s="225"/>
      <c r="F375" s="177"/>
      <c r="G375" s="177"/>
      <c r="H375" s="177"/>
      <c r="I375" s="177"/>
      <c r="J375" s="223"/>
      <c r="K375" s="231"/>
      <c r="L375" s="231"/>
      <c r="M375" s="231"/>
      <c r="N375" s="231"/>
      <c r="O375" s="231"/>
      <c r="P375" s="231"/>
      <c r="Q375" s="231"/>
      <c r="R375" s="231"/>
      <c r="S375" s="231"/>
      <c r="T375" s="231"/>
      <c r="U375" s="231"/>
      <c r="V375" s="231"/>
      <c r="W375" s="231"/>
      <c r="X375" s="231"/>
      <c r="Y375" s="231"/>
    </row>
    <row r="376" spans="1:25" ht="15.75" hidden="1" customHeight="1" x14ac:dyDescent="0.2">
      <c r="A376" s="231"/>
      <c r="B376" s="224"/>
      <c r="C376" s="225"/>
      <c r="D376" s="225"/>
      <c r="E376" s="225"/>
      <c r="F376" s="177"/>
      <c r="G376" s="177"/>
      <c r="H376" s="177"/>
      <c r="I376" s="177"/>
      <c r="J376" s="223"/>
      <c r="K376" s="231"/>
      <c r="L376" s="231"/>
      <c r="M376" s="231"/>
      <c r="N376" s="231"/>
      <c r="O376" s="231"/>
      <c r="P376" s="231"/>
      <c r="Q376" s="231"/>
      <c r="R376" s="231"/>
      <c r="S376" s="231"/>
      <c r="T376" s="231"/>
      <c r="U376" s="231"/>
      <c r="V376" s="231"/>
      <c r="W376" s="231"/>
      <c r="X376" s="231"/>
      <c r="Y376" s="231"/>
    </row>
    <row r="377" spans="1:25" ht="15.75" hidden="1" customHeight="1" x14ac:dyDescent="0.2">
      <c r="A377" s="231"/>
      <c r="B377" s="224"/>
      <c r="C377" s="225"/>
      <c r="D377" s="225"/>
      <c r="E377" s="225"/>
      <c r="F377" s="177"/>
      <c r="G377" s="177"/>
      <c r="H377" s="177"/>
      <c r="I377" s="177"/>
      <c r="J377" s="223"/>
      <c r="K377" s="231"/>
      <c r="L377" s="231"/>
      <c r="M377" s="231"/>
      <c r="N377" s="231"/>
      <c r="O377" s="231"/>
      <c r="P377" s="231"/>
      <c r="Q377" s="231"/>
      <c r="R377" s="231"/>
      <c r="S377" s="231"/>
      <c r="T377" s="231"/>
      <c r="U377" s="231"/>
      <c r="V377" s="231"/>
      <c r="W377" s="231"/>
      <c r="X377" s="231"/>
      <c r="Y377" s="231"/>
    </row>
    <row r="378" spans="1:25" ht="15.75" hidden="1" customHeight="1" x14ac:dyDescent="0.2">
      <c r="A378" s="231"/>
      <c r="B378" s="224"/>
      <c r="C378" s="225"/>
      <c r="D378" s="225"/>
      <c r="E378" s="225"/>
      <c r="F378" s="177"/>
      <c r="G378" s="177"/>
      <c r="H378" s="177"/>
      <c r="I378" s="177"/>
      <c r="J378" s="223"/>
      <c r="K378" s="231"/>
      <c r="L378" s="231"/>
      <c r="M378" s="231"/>
      <c r="N378" s="231"/>
      <c r="O378" s="231"/>
      <c r="P378" s="231"/>
      <c r="Q378" s="231"/>
      <c r="R378" s="231"/>
      <c r="S378" s="231"/>
      <c r="T378" s="231"/>
      <c r="U378" s="231"/>
      <c r="V378" s="231"/>
      <c r="W378" s="231"/>
      <c r="X378" s="231"/>
      <c r="Y378" s="231"/>
    </row>
    <row r="379" spans="1:25" ht="15.75" hidden="1" customHeight="1" x14ac:dyDescent="0.2">
      <c r="A379" s="231"/>
      <c r="B379" s="224"/>
      <c r="C379" s="225"/>
      <c r="D379" s="225"/>
      <c r="E379" s="225"/>
      <c r="F379" s="177"/>
      <c r="G379" s="177"/>
      <c r="H379" s="177"/>
      <c r="I379" s="177"/>
      <c r="J379" s="223"/>
      <c r="K379" s="231"/>
      <c r="L379" s="231"/>
      <c r="M379" s="231"/>
      <c r="N379" s="231"/>
      <c r="O379" s="231"/>
      <c r="P379" s="231"/>
      <c r="Q379" s="231"/>
      <c r="R379" s="231"/>
      <c r="S379" s="231"/>
      <c r="T379" s="231"/>
      <c r="U379" s="231"/>
      <c r="V379" s="231"/>
      <c r="W379" s="231"/>
      <c r="X379" s="231"/>
      <c r="Y379" s="231"/>
    </row>
    <row r="380" spans="1:25" ht="15.75" hidden="1" customHeight="1" x14ac:dyDescent="0.2">
      <c r="A380" s="231"/>
      <c r="B380" s="224"/>
      <c r="C380" s="225"/>
      <c r="D380" s="225"/>
      <c r="E380" s="225"/>
      <c r="F380" s="177"/>
      <c r="G380" s="177"/>
      <c r="H380" s="177"/>
      <c r="I380" s="177"/>
      <c r="J380" s="223"/>
      <c r="K380" s="231"/>
      <c r="L380" s="231"/>
      <c r="M380" s="231"/>
      <c r="N380" s="231"/>
      <c r="O380" s="231"/>
      <c r="P380" s="231"/>
      <c r="Q380" s="231"/>
      <c r="R380" s="231"/>
      <c r="S380" s="231"/>
      <c r="T380" s="231"/>
      <c r="U380" s="231"/>
      <c r="V380" s="231"/>
      <c r="W380" s="231"/>
      <c r="X380" s="231"/>
      <c r="Y380" s="231"/>
    </row>
    <row r="381" spans="1:25" ht="15.75" hidden="1" customHeight="1" x14ac:dyDescent="0.2">
      <c r="A381" s="231"/>
      <c r="B381" s="224"/>
      <c r="C381" s="225"/>
      <c r="D381" s="225"/>
      <c r="E381" s="225"/>
      <c r="F381" s="177"/>
      <c r="G381" s="177"/>
      <c r="H381" s="177"/>
      <c r="I381" s="177"/>
      <c r="J381" s="223"/>
      <c r="K381" s="231"/>
      <c r="L381" s="231"/>
      <c r="M381" s="231"/>
      <c r="N381" s="231"/>
      <c r="O381" s="231"/>
      <c r="P381" s="231"/>
      <c r="Q381" s="231"/>
      <c r="R381" s="231"/>
      <c r="S381" s="231"/>
      <c r="T381" s="231"/>
      <c r="U381" s="231"/>
      <c r="V381" s="231"/>
      <c r="W381" s="231"/>
      <c r="X381" s="231"/>
      <c r="Y381" s="231"/>
    </row>
    <row r="382" spans="1:25" ht="15.75" hidden="1" customHeight="1" x14ac:dyDescent="0.2">
      <c r="A382" s="231"/>
      <c r="B382" s="224"/>
      <c r="C382" s="225"/>
      <c r="D382" s="225"/>
      <c r="E382" s="225"/>
      <c r="F382" s="177"/>
      <c r="G382" s="177"/>
      <c r="H382" s="177"/>
      <c r="I382" s="177"/>
      <c r="J382" s="223"/>
      <c r="K382" s="231"/>
      <c r="L382" s="231"/>
      <c r="M382" s="231"/>
      <c r="N382" s="231"/>
      <c r="O382" s="231"/>
      <c r="P382" s="231"/>
      <c r="Q382" s="231"/>
      <c r="R382" s="231"/>
      <c r="S382" s="231"/>
      <c r="T382" s="231"/>
      <c r="U382" s="231"/>
      <c r="V382" s="231"/>
      <c r="W382" s="231"/>
      <c r="X382" s="231"/>
      <c r="Y382" s="231"/>
    </row>
    <row r="383" spans="1:25" ht="15.75" hidden="1" customHeight="1" x14ac:dyDescent="0.2">
      <c r="A383" s="231"/>
      <c r="B383" s="224"/>
      <c r="C383" s="225"/>
      <c r="D383" s="225"/>
      <c r="E383" s="225"/>
      <c r="F383" s="177"/>
      <c r="G383" s="177"/>
      <c r="H383" s="177"/>
      <c r="I383" s="177"/>
      <c r="J383" s="223"/>
      <c r="K383" s="231"/>
      <c r="L383" s="231"/>
      <c r="M383" s="231"/>
      <c r="N383" s="231"/>
      <c r="O383" s="231"/>
      <c r="P383" s="231"/>
      <c r="Q383" s="231"/>
      <c r="R383" s="231"/>
      <c r="S383" s="231"/>
      <c r="T383" s="231"/>
      <c r="U383" s="231"/>
      <c r="V383" s="231"/>
      <c r="W383" s="231"/>
      <c r="X383" s="231"/>
      <c r="Y383" s="231"/>
    </row>
    <row r="384" spans="1:25" ht="15.75" hidden="1" customHeight="1" x14ac:dyDescent="0.2">
      <c r="A384" s="231"/>
      <c r="B384" s="224"/>
      <c r="C384" s="225"/>
      <c r="D384" s="225"/>
      <c r="E384" s="225"/>
      <c r="F384" s="177"/>
      <c r="G384" s="177"/>
      <c r="H384" s="177"/>
      <c r="I384" s="177"/>
      <c r="J384" s="223"/>
      <c r="K384" s="231"/>
      <c r="L384" s="231"/>
      <c r="M384" s="231"/>
      <c r="N384" s="231"/>
      <c r="O384" s="231"/>
      <c r="P384" s="231"/>
      <c r="Q384" s="231"/>
      <c r="R384" s="231"/>
      <c r="S384" s="231"/>
      <c r="T384" s="231"/>
      <c r="U384" s="231"/>
      <c r="V384" s="231"/>
      <c r="W384" s="231"/>
      <c r="X384" s="231"/>
      <c r="Y384" s="231"/>
    </row>
    <row r="385" spans="1:25" ht="15.75" hidden="1" customHeight="1" x14ac:dyDescent="0.2">
      <c r="A385" s="231"/>
      <c r="B385" s="224"/>
      <c r="C385" s="225"/>
      <c r="D385" s="225"/>
      <c r="E385" s="225"/>
      <c r="F385" s="177"/>
      <c r="G385" s="177"/>
      <c r="H385" s="177"/>
      <c r="I385" s="177"/>
      <c r="J385" s="223"/>
      <c r="K385" s="231"/>
      <c r="L385" s="231"/>
      <c r="M385" s="231"/>
      <c r="N385" s="231"/>
      <c r="O385" s="231"/>
      <c r="P385" s="231"/>
      <c r="Q385" s="231"/>
      <c r="R385" s="231"/>
      <c r="S385" s="231"/>
      <c r="T385" s="231"/>
      <c r="U385" s="231"/>
      <c r="V385" s="231"/>
      <c r="W385" s="231"/>
      <c r="X385" s="231"/>
      <c r="Y385" s="231"/>
    </row>
    <row r="386" spans="1:25" ht="15.75" hidden="1" customHeight="1" x14ac:dyDescent="0.2">
      <c r="A386" s="231"/>
      <c r="B386" s="224"/>
      <c r="C386" s="225"/>
      <c r="D386" s="225"/>
      <c r="E386" s="225"/>
      <c r="F386" s="177"/>
      <c r="G386" s="177"/>
      <c r="H386" s="177"/>
      <c r="I386" s="177"/>
      <c r="J386" s="223"/>
      <c r="K386" s="231"/>
      <c r="L386" s="231"/>
      <c r="M386" s="231"/>
      <c r="N386" s="231"/>
      <c r="O386" s="231"/>
      <c r="P386" s="231"/>
      <c r="Q386" s="231"/>
      <c r="R386" s="231"/>
      <c r="S386" s="231"/>
      <c r="T386" s="231"/>
      <c r="U386" s="231"/>
      <c r="V386" s="231"/>
      <c r="W386" s="231"/>
      <c r="X386" s="231"/>
      <c r="Y386" s="231"/>
    </row>
    <row r="387" spans="1:25" ht="15.75" hidden="1" customHeight="1" x14ac:dyDescent="0.2">
      <c r="A387" s="231"/>
      <c r="B387" s="224"/>
      <c r="C387" s="225"/>
      <c r="D387" s="225"/>
      <c r="E387" s="225"/>
      <c r="F387" s="177"/>
      <c r="G387" s="177"/>
      <c r="H387" s="177"/>
      <c r="I387" s="177"/>
      <c r="J387" s="223"/>
      <c r="K387" s="231"/>
      <c r="L387" s="231"/>
      <c r="M387" s="231"/>
      <c r="N387" s="231"/>
      <c r="O387" s="231"/>
      <c r="P387" s="231"/>
      <c r="Q387" s="231"/>
      <c r="R387" s="231"/>
      <c r="S387" s="231"/>
      <c r="T387" s="231"/>
      <c r="U387" s="231"/>
      <c r="V387" s="231"/>
      <c r="W387" s="231"/>
      <c r="X387" s="231"/>
      <c r="Y387" s="231"/>
    </row>
    <row r="388" spans="1:25" ht="15.75" hidden="1" customHeight="1" x14ac:dyDescent="0.2">
      <c r="A388" s="231"/>
      <c r="B388" s="224"/>
      <c r="C388" s="225"/>
      <c r="D388" s="225"/>
      <c r="E388" s="225"/>
      <c r="F388" s="177"/>
      <c r="G388" s="177"/>
      <c r="H388" s="177"/>
      <c r="I388" s="177"/>
      <c r="J388" s="223"/>
      <c r="K388" s="231"/>
      <c r="L388" s="231"/>
      <c r="M388" s="231"/>
      <c r="N388" s="231"/>
      <c r="O388" s="231"/>
      <c r="P388" s="231"/>
      <c r="Q388" s="231"/>
      <c r="R388" s="231"/>
      <c r="S388" s="231"/>
      <c r="T388" s="231"/>
      <c r="U388" s="231"/>
      <c r="V388" s="231"/>
      <c r="W388" s="231"/>
      <c r="X388" s="231"/>
      <c r="Y388" s="231"/>
    </row>
    <row r="389" spans="1:25" ht="15.75" hidden="1" customHeight="1" x14ac:dyDescent="0.2">
      <c r="A389" s="231"/>
      <c r="B389" s="224"/>
      <c r="C389" s="225"/>
      <c r="D389" s="225"/>
      <c r="E389" s="225"/>
      <c r="F389" s="177"/>
      <c r="G389" s="177"/>
      <c r="H389" s="177"/>
      <c r="I389" s="177"/>
      <c r="J389" s="223"/>
      <c r="K389" s="231"/>
      <c r="L389" s="231"/>
      <c r="M389" s="231"/>
      <c r="N389" s="231"/>
      <c r="O389" s="231"/>
      <c r="P389" s="231"/>
      <c r="Q389" s="231"/>
      <c r="R389" s="231"/>
      <c r="S389" s="231"/>
      <c r="T389" s="231"/>
      <c r="U389" s="231"/>
      <c r="V389" s="231"/>
      <c r="W389" s="231"/>
      <c r="X389" s="231"/>
      <c r="Y389" s="231"/>
    </row>
    <row r="390" spans="1:25" ht="15.75" hidden="1" customHeight="1" x14ac:dyDescent="0.2">
      <c r="A390" s="231"/>
      <c r="B390" s="224"/>
      <c r="C390" s="225"/>
      <c r="D390" s="225"/>
      <c r="E390" s="225"/>
      <c r="F390" s="177"/>
      <c r="G390" s="177"/>
      <c r="H390" s="177"/>
      <c r="I390" s="177"/>
      <c r="J390" s="223"/>
      <c r="K390" s="231"/>
      <c r="L390" s="231"/>
      <c r="M390" s="231"/>
      <c r="N390" s="231"/>
      <c r="O390" s="231"/>
      <c r="P390" s="231"/>
      <c r="Q390" s="231"/>
      <c r="R390" s="231"/>
      <c r="S390" s="231"/>
      <c r="T390" s="231"/>
      <c r="U390" s="231"/>
      <c r="V390" s="231"/>
      <c r="W390" s="231"/>
      <c r="X390" s="231"/>
      <c r="Y390" s="231"/>
    </row>
    <row r="391" spans="1:25" ht="15.75" hidden="1" customHeight="1" x14ac:dyDescent="0.2">
      <c r="A391" s="231"/>
      <c r="B391" s="224"/>
      <c r="C391" s="225"/>
      <c r="D391" s="225"/>
      <c r="E391" s="225"/>
      <c r="F391" s="177"/>
      <c r="G391" s="177"/>
      <c r="H391" s="177"/>
      <c r="I391" s="177"/>
      <c r="J391" s="223"/>
      <c r="K391" s="231"/>
      <c r="L391" s="231"/>
      <c r="M391" s="231"/>
      <c r="N391" s="231"/>
      <c r="O391" s="231"/>
      <c r="P391" s="231"/>
      <c r="Q391" s="231"/>
      <c r="R391" s="231"/>
      <c r="S391" s="231"/>
      <c r="T391" s="231"/>
      <c r="U391" s="231"/>
      <c r="V391" s="231"/>
      <c r="W391" s="231"/>
      <c r="X391" s="231"/>
      <c r="Y391" s="231"/>
    </row>
    <row r="392" spans="1:25" ht="15.75" hidden="1" customHeight="1" x14ac:dyDescent="0.2">
      <c r="A392" s="231"/>
      <c r="B392" s="224"/>
      <c r="C392" s="225"/>
      <c r="D392" s="225"/>
      <c r="E392" s="225"/>
      <c r="F392" s="177"/>
      <c r="G392" s="177"/>
      <c r="H392" s="177"/>
      <c r="I392" s="177"/>
      <c r="J392" s="223"/>
      <c r="K392" s="231"/>
      <c r="L392" s="231"/>
      <c r="M392" s="231"/>
      <c r="N392" s="231"/>
      <c r="O392" s="231"/>
      <c r="P392" s="231"/>
      <c r="Q392" s="231"/>
      <c r="R392" s="231"/>
      <c r="S392" s="231"/>
      <c r="T392" s="231"/>
      <c r="U392" s="231"/>
      <c r="V392" s="231"/>
      <c r="W392" s="231"/>
      <c r="X392" s="231"/>
      <c r="Y392" s="231"/>
    </row>
    <row r="393" spans="1:25" ht="15.75" hidden="1" customHeight="1" x14ac:dyDescent="0.2">
      <c r="A393" s="231"/>
      <c r="B393" s="224"/>
      <c r="C393" s="225"/>
      <c r="D393" s="225"/>
      <c r="E393" s="225"/>
      <c r="F393" s="177"/>
      <c r="G393" s="177"/>
      <c r="H393" s="177"/>
      <c r="I393" s="177"/>
      <c r="J393" s="223"/>
      <c r="K393" s="231"/>
      <c r="L393" s="231"/>
      <c r="M393" s="231"/>
      <c r="N393" s="231"/>
      <c r="O393" s="231"/>
      <c r="P393" s="231"/>
      <c r="Q393" s="231"/>
      <c r="R393" s="231"/>
      <c r="S393" s="231"/>
      <c r="T393" s="231"/>
      <c r="U393" s="231"/>
      <c r="V393" s="231"/>
      <c r="W393" s="231"/>
      <c r="X393" s="231"/>
      <c r="Y393" s="231"/>
    </row>
    <row r="394" spans="1:25" ht="15.75" hidden="1" customHeight="1" x14ac:dyDescent="0.2">
      <c r="A394" s="231"/>
      <c r="B394" s="224"/>
      <c r="C394" s="225"/>
      <c r="D394" s="225"/>
      <c r="E394" s="225"/>
      <c r="F394" s="177"/>
      <c r="G394" s="177"/>
      <c r="H394" s="177"/>
      <c r="I394" s="177"/>
      <c r="J394" s="223"/>
      <c r="K394" s="231"/>
      <c r="L394" s="231"/>
      <c r="M394" s="231"/>
      <c r="N394" s="231"/>
      <c r="O394" s="231"/>
      <c r="P394" s="231"/>
      <c r="Q394" s="231"/>
      <c r="R394" s="231"/>
      <c r="S394" s="231"/>
      <c r="T394" s="231"/>
      <c r="U394" s="231"/>
      <c r="V394" s="231"/>
      <c r="W394" s="231"/>
      <c r="X394" s="231"/>
      <c r="Y394" s="231"/>
    </row>
    <row r="395" spans="1:25" ht="15.75" hidden="1" customHeight="1" x14ac:dyDescent="0.2">
      <c r="A395" s="231"/>
      <c r="B395" s="224"/>
      <c r="C395" s="225"/>
      <c r="D395" s="225"/>
      <c r="E395" s="225"/>
      <c r="F395" s="177"/>
      <c r="G395" s="177"/>
      <c r="H395" s="177"/>
      <c r="I395" s="177"/>
      <c r="J395" s="223"/>
      <c r="K395" s="231"/>
      <c r="L395" s="231"/>
      <c r="M395" s="231"/>
      <c r="N395" s="231"/>
      <c r="O395" s="231"/>
      <c r="P395" s="231"/>
      <c r="Q395" s="231"/>
      <c r="R395" s="231"/>
      <c r="S395" s="231"/>
      <c r="T395" s="231"/>
      <c r="U395" s="231"/>
      <c r="V395" s="231"/>
      <c r="W395" s="231"/>
      <c r="X395" s="231"/>
      <c r="Y395" s="231"/>
    </row>
    <row r="396" spans="1:25" ht="15.75" hidden="1" customHeight="1" x14ac:dyDescent="0.2">
      <c r="A396" s="231"/>
      <c r="B396" s="224"/>
      <c r="C396" s="225"/>
      <c r="D396" s="225"/>
      <c r="E396" s="225"/>
      <c r="F396" s="177"/>
      <c r="G396" s="177"/>
      <c r="H396" s="177"/>
      <c r="I396" s="177"/>
      <c r="J396" s="223"/>
      <c r="K396" s="231"/>
      <c r="L396" s="231"/>
      <c r="M396" s="231"/>
      <c r="N396" s="231"/>
      <c r="O396" s="231"/>
      <c r="P396" s="231"/>
      <c r="Q396" s="231"/>
      <c r="R396" s="231"/>
      <c r="S396" s="231"/>
      <c r="T396" s="231"/>
      <c r="U396" s="231"/>
      <c r="V396" s="231"/>
      <c r="W396" s="231"/>
      <c r="X396" s="231"/>
      <c r="Y396" s="231"/>
    </row>
    <row r="397" spans="1:25" ht="15.75" hidden="1" customHeight="1" x14ac:dyDescent="0.2">
      <c r="A397" s="231"/>
      <c r="B397" s="224"/>
      <c r="C397" s="225"/>
      <c r="D397" s="225"/>
      <c r="E397" s="225"/>
      <c r="F397" s="177"/>
      <c r="G397" s="177"/>
      <c r="H397" s="177"/>
      <c r="I397" s="177"/>
      <c r="J397" s="223"/>
      <c r="K397" s="231"/>
      <c r="L397" s="231"/>
      <c r="M397" s="231"/>
      <c r="N397" s="231"/>
      <c r="O397" s="231"/>
      <c r="P397" s="231"/>
      <c r="Q397" s="231"/>
      <c r="R397" s="231"/>
      <c r="S397" s="231"/>
      <c r="T397" s="231"/>
      <c r="U397" s="231"/>
      <c r="V397" s="231"/>
      <c r="W397" s="231"/>
      <c r="X397" s="231"/>
      <c r="Y397" s="231"/>
    </row>
    <row r="398" spans="1:25" ht="15.75" hidden="1" customHeight="1" x14ac:dyDescent="0.2">
      <c r="A398" s="231"/>
      <c r="B398" s="224"/>
      <c r="C398" s="225"/>
      <c r="D398" s="225"/>
      <c r="E398" s="225"/>
      <c r="F398" s="177"/>
      <c r="G398" s="177"/>
      <c r="H398" s="177"/>
      <c r="I398" s="177"/>
      <c r="J398" s="223"/>
      <c r="K398" s="231"/>
      <c r="L398" s="231"/>
      <c r="M398" s="231"/>
      <c r="N398" s="231"/>
      <c r="O398" s="231"/>
      <c r="P398" s="231"/>
      <c r="Q398" s="231"/>
      <c r="R398" s="231"/>
      <c r="S398" s="231"/>
      <c r="T398" s="231"/>
      <c r="U398" s="231"/>
      <c r="V398" s="231"/>
      <c r="W398" s="231"/>
      <c r="X398" s="231"/>
      <c r="Y398" s="231"/>
    </row>
    <row r="399" spans="1:25" ht="15.75" hidden="1" customHeight="1" x14ac:dyDescent="0.2">
      <c r="A399" s="231"/>
      <c r="B399" s="224"/>
      <c r="C399" s="225"/>
      <c r="D399" s="225"/>
      <c r="E399" s="225"/>
      <c r="F399" s="177"/>
      <c r="G399" s="177"/>
      <c r="H399" s="177"/>
      <c r="I399" s="177"/>
      <c r="J399" s="223"/>
      <c r="K399" s="231"/>
      <c r="L399" s="231"/>
      <c r="M399" s="231"/>
      <c r="N399" s="231"/>
      <c r="O399" s="231"/>
      <c r="P399" s="231"/>
      <c r="Q399" s="231"/>
      <c r="R399" s="231"/>
      <c r="S399" s="231"/>
      <c r="T399" s="231"/>
      <c r="U399" s="231"/>
      <c r="V399" s="231"/>
      <c r="W399" s="231"/>
      <c r="X399" s="231"/>
      <c r="Y399" s="231"/>
    </row>
    <row r="400" spans="1:25" ht="15.75" hidden="1" customHeight="1" x14ac:dyDescent="0.2">
      <c r="A400" s="231"/>
      <c r="B400" s="224"/>
      <c r="C400" s="225"/>
      <c r="D400" s="225"/>
      <c r="E400" s="225"/>
      <c r="F400" s="177"/>
      <c r="G400" s="177"/>
      <c r="H400" s="177"/>
      <c r="I400" s="177"/>
      <c r="J400" s="223"/>
      <c r="K400" s="231"/>
      <c r="L400" s="231"/>
      <c r="M400" s="231"/>
      <c r="N400" s="231"/>
      <c r="O400" s="231"/>
      <c r="P400" s="231"/>
      <c r="Q400" s="231"/>
      <c r="R400" s="231"/>
      <c r="S400" s="231"/>
      <c r="T400" s="231"/>
      <c r="U400" s="231"/>
      <c r="V400" s="231"/>
      <c r="W400" s="231"/>
      <c r="X400" s="231"/>
      <c r="Y400" s="231"/>
    </row>
    <row r="401" spans="1:25" ht="15.75" hidden="1" customHeight="1" x14ac:dyDescent="0.2">
      <c r="A401" s="231"/>
      <c r="B401" s="224"/>
      <c r="C401" s="225"/>
      <c r="D401" s="225"/>
      <c r="E401" s="225"/>
      <c r="F401" s="177"/>
      <c r="G401" s="177"/>
      <c r="H401" s="177"/>
      <c r="I401" s="177"/>
      <c r="J401" s="223"/>
      <c r="K401" s="231"/>
      <c r="L401" s="231"/>
      <c r="M401" s="231"/>
      <c r="N401" s="231"/>
      <c r="O401" s="231"/>
      <c r="P401" s="231"/>
      <c r="Q401" s="231"/>
      <c r="R401" s="231"/>
      <c r="S401" s="231"/>
      <c r="T401" s="231"/>
      <c r="U401" s="231"/>
      <c r="V401" s="231"/>
      <c r="W401" s="231"/>
      <c r="X401" s="231"/>
      <c r="Y401" s="231"/>
    </row>
    <row r="402" spans="1:25" ht="15.75" hidden="1" customHeight="1" x14ac:dyDescent="0.2">
      <c r="A402" s="231"/>
      <c r="B402" s="224"/>
      <c r="C402" s="225"/>
      <c r="D402" s="225"/>
      <c r="E402" s="225"/>
      <c r="F402" s="177"/>
      <c r="G402" s="177"/>
      <c r="H402" s="177"/>
      <c r="I402" s="177"/>
      <c r="J402" s="223"/>
      <c r="K402" s="231"/>
      <c r="L402" s="231"/>
      <c r="M402" s="231"/>
      <c r="N402" s="231"/>
      <c r="O402" s="231"/>
      <c r="P402" s="231"/>
      <c r="Q402" s="231"/>
      <c r="R402" s="231"/>
      <c r="S402" s="231"/>
      <c r="T402" s="231"/>
      <c r="U402" s="231"/>
      <c r="V402" s="231"/>
      <c r="W402" s="231"/>
      <c r="X402" s="231"/>
      <c r="Y402" s="231"/>
    </row>
    <row r="403" spans="1:25" ht="15.75" hidden="1" customHeight="1" x14ac:dyDescent="0.2">
      <c r="A403" s="231"/>
      <c r="B403" s="224"/>
      <c r="C403" s="225"/>
      <c r="D403" s="225"/>
      <c r="E403" s="225"/>
      <c r="F403" s="177"/>
      <c r="G403" s="177"/>
      <c r="H403" s="177"/>
      <c r="I403" s="177"/>
      <c r="J403" s="223"/>
      <c r="K403" s="231"/>
      <c r="L403" s="231"/>
      <c r="M403" s="231"/>
      <c r="N403" s="231"/>
      <c r="O403" s="231"/>
      <c r="P403" s="231"/>
      <c r="Q403" s="231"/>
      <c r="R403" s="231"/>
      <c r="S403" s="231"/>
      <c r="T403" s="231"/>
      <c r="U403" s="231"/>
      <c r="V403" s="231"/>
      <c r="W403" s="231"/>
      <c r="X403" s="231"/>
      <c r="Y403" s="231"/>
    </row>
    <row r="404" spans="1:25" ht="15.75" hidden="1" customHeight="1" x14ac:dyDescent="0.2">
      <c r="A404" s="231"/>
      <c r="B404" s="224"/>
      <c r="C404" s="225"/>
      <c r="D404" s="225"/>
      <c r="E404" s="225"/>
      <c r="F404" s="177"/>
      <c r="G404" s="177"/>
      <c r="H404" s="177"/>
      <c r="I404" s="177"/>
      <c r="J404" s="223"/>
      <c r="K404" s="231"/>
      <c r="L404" s="231"/>
      <c r="M404" s="231"/>
      <c r="N404" s="231"/>
      <c r="O404" s="231"/>
      <c r="P404" s="231"/>
      <c r="Q404" s="231"/>
      <c r="R404" s="231"/>
      <c r="S404" s="231"/>
      <c r="T404" s="231"/>
      <c r="U404" s="231"/>
      <c r="V404" s="231"/>
      <c r="W404" s="231"/>
      <c r="X404" s="231"/>
      <c r="Y404" s="231"/>
    </row>
    <row r="405" spans="1:25" ht="15.75" hidden="1" customHeight="1" x14ac:dyDescent="0.2">
      <c r="A405" s="231"/>
      <c r="B405" s="224"/>
      <c r="C405" s="225"/>
      <c r="D405" s="225"/>
      <c r="E405" s="225"/>
      <c r="F405" s="177"/>
      <c r="G405" s="177"/>
      <c r="H405" s="177"/>
      <c r="I405" s="177"/>
      <c r="J405" s="223"/>
      <c r="K405" s="231"/>
      <c r="L405" s="231"/>
      <c r="M405" s="231"/>
      <c r="N405" s="231"/>
      <c r="O405" s="231"/>
      <c r="P405" s="231"/>
      <c r="Q405" s="231"/>
      <c r="R405" s="231"/>
      <c r="S405" s="231"/>
      <c r="T405" s="231"/>
      <c r="U405" s="231"/>
      <c r="V405" s="231"/>
      <c r="W405" s="231"/>
      <c r="X405" s="231"/>
      <c r="Y405" s="231"/>
    </row>
    <row r="406" spans="1:25" ht="15.75" hidden="1" customHeight="1" x14ac:dyDescent="0.2">
      <c r="A406" s="231"/>
      <c r="B406" s="224"/>
      <c r="C406" s="225"/>
      <c r="D406" s="225"/>
      <c r="E406" s="225"/>
      <c r="F406" s="177"/>
      <c r="G406" s="177"/>
      <c r="H406" s="177"/>
      <c r="I406" s="177"/>
      <c r="J406" s="223"/>
      <c r="K406" s="231"/>
      <c r="L406" s="231"/>
      <c r="M406" s="231"/>
      <c r="N406" s="231"/>
      <c r="O406" s="231"/>
      <c r="P406" s="231"/>
      <c r="Q406" s="231"/>
      <c r="R406" s="231"/>
      <c r="S406" s="231"/>
      <c r="T406" s="231"/>
      <c r="U406" s="231"/>
      <c r="V406" s="231"/>
      <c r="W406" s="231"/>
      <c r="X406" s="231"/>
      <c r="Y406" s="231"/>
    </row>
    <row r="407" spans="1:25" ht="15.75" hidden="1" customHeight="1" x14ac:dyDescent="0.2">
      <c r="A407" s="231"/>
      <c r="B407" s="224"/>
      <c r="C407" s="225"/>
      <c r="D407" s="225"/>
      <c r="E407" s="225"/>
      <c r="F407" s="177"/>
      <c r="G407" s="177"/>
      <c r="H407" s="177"/>
      <c r="I407" s="177"/>
      <c r="J407" s="223"/>
      <c r="K407" s="231"/>
      <c r="L407" s="231"/>
      <c r="M407" s="231"/>
      <c r="N407" s="231"/>
      <c r="O407" s="231"/>
      <c r="P407" s="231"/>
      <c r="Q407" s="231"/>
      <c r="R407" s="231"/>
      <c r="S407" s="231"/>
      <c r="T407" s="231"/>
      <c r="U407" s="231"/>
      <c r="V407" s="231"/>
      <c r="W407" s="231"/>
      <c r="X407" s="231"/>
      <c r="Y407" s="231"/>
    </row>
    <row r="408" spans="1:25" ht="15.75" hidden="1" customHeight="1" x14ac:dyDescent="0.2">
      <c r="A408" s="231"/>
      <c r="B408" s="224"/>
      <c r="C408" s="225"/>
      <c r="D408" s="225"/>
      <c r="E408" s="225"/>
      <c r="F408" s="177"/>
      <c r="G408" s="177"/>
      <c r="H408" s="177"/>
      <c r="I408" s="177"/>
      <c r="J408" s="223"/>
      <c r="K408" s="231"/>
      <c r="L408" s="231"/>
      <c r="M408" s="231"/>
      <c r="N408" s="231"/>
      <c r="O408" s="231"/>
      <c r="P408" s="231"/>
      <c r="Q408" s="231"/>
      <c r="R408" s="231"/>
      <c r="S408" s="231"/>
      <c r="T408" s="231"/>
      <c r="U408" s="231"/>
      <c r="V408" s="231"/>
      <c r="W408" s="231"/>
      <c r="X408" s="231"/>
      <c r="Y408" s="231"/>
    </row>
    <row r="409" spans="1:25" ht="15.75" hidden="1" customHeight="1" x14ac:dyDescent="0.2">
      <c r="A409" s="231"/>
      <c r="B409" s="224"/>
      <c r="C409" s="225"/>
      <c r="D409" s="225"/>
      <c r="E409" s="225"/>
      <c r="F409" s="177"/>
      <c r="G409" s="177"/>
      <c r="H409" s="177"/>
      <c r="I409" s="177"/>
      <c r="J409" s="223"/>
      <c r="K409" s="231"/>
      <c r="L409" s="231"/>
      <c r="M409" s="231"/>
      <c r="N409" s="231"/>
      <c r="O409" s="231"/>
      <c r="P409" s="231"/>
      <c r="Q409" s="231"/>
      <c r="R409" s="231"/>
      <c r="S409" s="231"/>
      <c r="T409" s="231"/>
      <c r="U409" s="231"/>
      <c r="V409" s="231"/>
      <c r="W409" s="231"/>
      <c r="X409" s="231"/>
      <c r="Y409" s="231"/>
    </row>
    <row r="410" spans="1:25" ht="15.75" hidden="1" customHeight="1" x14ac:dyDescent="0.2">
      <c r="A410" s="231"/>
      <c r="B410" s="224"/>
      <c r="C410" s="225"/>
      <c r="D410" s="225"/>
      <c r="E410" s="225"/>
      <c r="F410" s="177"/>
      <c r="G410" s="177"/>
      <c r="H410" s="177"/>
      <c r="I410" s="177"/>
      <c r="J410" s="223"/>
      <c r="K410" s="231"/>
      <c r="L410" s="231"/>
      <c r="M410" s="231"/>
      <c r="N410" s="231"/>
      <c r="O410" s="231"/>
      <c r="P410" s="231"/>
      <c r="Q410" s="231"/>
      <c r="R410" s="231"/>
      <c r="S410" s="231"/>
      <c r="T410" s="231"/>
      <c r="U410" s="231"/>
      <c r="V410" s="231"/>
      <c r="W410" s="231"/>
      <c r="X410" s="231"/>
      <c r="Y410" s="231"/>
    </row>
    <row r="411" spans="1:25" ht="15.75" hidden="1" customHeight="1" x14ac:dyDescent="0.2">
      <c r="A411" s="231"/>
      <c r="B411" s="224"/>
      <c r="C411" s="225"/>
      <c r="D411" s="225"/>
      <c r="E411" s="225"/>
      <c r="F411" s="177"/>
      <c r="G411" s="177"/>
      <c r="H411" s="177"/>
      <c r="I411" s="177"/>
      <c r="J411" s="223"/>
      <c r="K411" s="231"/>
      <c r="L411" s="231"/>
      <c r="M411" s="231"/>
      <c r="N411" s="231"/>
      <c r="O411" s="231"/>
      <c r="P411" s="231"/>
      <c r="Q411" s="231"/>
      <c r="R411" s="231"/>
      <c r="S411" s="231"/>
      <c r="T411" s="231"/>
      <c r="U411" s="231"/>
      <c r="V411" s="231"/>
      <c r="W411" s="231"/>
      <c r="X411" s="231"/>
      <c r="Y411" s="231"/>
    </row>
    <row r="412" spans="1:25" ht="15.75" hidden="1" customHeight="1" x14ac:dyDescent="0.2">
      <c r="A412" s="231"/>
      <c r="B412" s="224"/>
      <c r="C412" s="225"/>
      <c r="D412" s="225"/>
      <c r="E412" s="225"/>
      <c r="F412" s="177"/>
      <c r="G412" s="177"/>
      <c r="H412" s="177"/>
      <c r="I412" s="177"/>
      <c r="J412" s="223"/>
      <c r="K412" s="231"/>
      <c r="L412" s="231"/>
      <c r="M412" s="231"/>
      <c r="N412" s="231"/>
      <c r="O412" s="231"/>
      <c r="P412" s="231"/>
      <c r="Q412" s="231"/>
      <c r="R412" s="231"/>
      <c r="S412" s="231"/>
      <c r="T412" s="231"/>
      <c r="U412" s="231"/>
      <c r="V412" s="231"/>
      <c r="W412" s="231"/>
      <c r="X412" s="231"/>
      <c r="Y412" s="231"/>
    </row>
    <row r="413" spans="1:25" ht="15.75" hidden="1" customHeight="1" x14ac:dyDescent="0.2">
      <c r="A413" s="231"/>
      <c r="B413" s="224"/>
      <c r="C413" s="225"/>
      <c r="D413" s="225"/>
      <c r="E413" s="225"/>
      <c r="F413" s="177"/>
      <c r="G413" s="177"/>
      <c r="H413" s="177"/>
      <c r="I413" s="177"/>
      <c r="J413" s="223"/>
      <c r="K413" s="231"/>
      <c r="L413" s="231"/>
      <c r="M413" s="231"/>
      <c r="N413" s="231"/>
      <c r="O413" s="231"/>
      <c r="P413" s="231"/>
      <c r="Q413" s="231"/>
      <c r="R413" s="231"/>
      <c r="S413" s="231"/>
      <c r="T413" s="231"/>
      <c r="U413" s="231"/>
      <c r="V413" s="231"/>
      <c r="W413" s="231"/>
      <c r="X413" s="231"/>
      <c r="Y413" s="231"/>
    </row>
    <row r="414" spans="1:25" ht="15.75" hidden="1" customHeight="1" x14ac:dyDescent="0.2">
      <c r="A414" s="231"/>
      <c r="B414" s="224"/>
      <c r="C414" s="225"/>
      <c r="D414" s="225"/>
      <c r="E414" s="225"/>
      <c r="F414" s="177"/>
      <c r="G414" s="177"/>
      <c r="H414" s="177"/>
      <c r="I414" s="177"/>
      <c r="J414" s="223"/>
      <c r="K414" s="231"/>
      <c r="L414" s="231"/>
      <c r="M414" s="231"/>
      <c r="N414" s="231"/>
      <c r="O414" s="231"/>
      <c r="P414" s="231"/>
      <c r="Q414" s="231"/>
      <c r="R414" s="231"/>
      <c r="S414" s="231"/>
      <c r="T414" s="231"/>
      <c r="U414" s="231"/>
      <c r="V414" s="231"/>
      <c r="W414" s="231"/>
      <c r="X414" s="231"/>
      <c r="Y414" s="231"/>
    </row>
    <row r="415" spans="1:25" ht="15.75" hidden="1" customHeight="1" x14ac:dyDescent="0.2">
      <c r="A415" s="231"/>
      <c r="B415" s="224"/>
      <c r="C415" s="225"/>
      <c r="D415" s="225"/>
      <c r="E415" s="225"/>
      <c r="F415" s="177"/>
      <c r="G415" s="177"/>
      <c r="H415" s="177"/>
      <c r="I415" s="177"/>
      <c r="J415" s="223"/>
      <c r="K415" s="231"/>
      <c r="L415" s="231"/>
      <c r="M415" s="231"/>
      <c r="N415" s="231"/>
      <c r="O415" s="231"/>
      <c r="P415" s="231"/>
      <c r="Q415" s="231"/>
      <c r="R415" s="231"/>
      <c r="S415" s="231"/>
      <c r="T415" s="231"/>
      <c r="U415" s="231"/>
      <c r="V415" s="231"/>
      <c r="W415" s="231"/>
      <c r="X415" s="231"/>
      <c r="Y415" s="231"/>
    </row>
    <row r="416" spans="1:25" ht="15.75" hidden="1" customHeight="1" x14ac:dyDescent="0.2">
      <c r="A416" s="231"/>
      <c r="B416" s="224"/>
      <c r="C416" s="225"/>
      <c r="D416" s="225"/>
      <c r="E416" s="225"/>
      <c r="F416" s="177"/>
      <c r="G416" s="177"/>
      <c r="H416" s="177"/>
      <c r="I416" s="177"/>
      <c r="J416" s="223"/>
      <c r="K416" s="231"/>
      <c r="L416" s="231"/>
      <c r="M416" s="231"/>
      <c r="N416" s="231"/>
      <c r="O416" s="231"/>
      <c r="P416" s="231"/>
      <c r="Q416" s="231"/>
      <c r="R416" s="231"/>
      <c r="S416" s="231"/>
      <c r="T416" s="231"/>
      <c r="U416" s="231"/>
      <c r="V416" s="231"/>
      <c r="W416" s="231"/>
      <c r="X416" s="231"/>
      <c r="Y416" s="231"/>
    </row>
    <row r="417" spans="1:25" ht="15.75" hidden="1" customHeight="1" x14ac:dyDescent="0.2">
      <c r="A417" s="231"/>
      <c r="B417" s="224"/>
      <c r="C417" s="225"/>
      <c r="D417" s="225"/>
      <c r="E417" s="225"/>
      <c r="F417" s="177"/>
      <c r="G417" s="177"/>
      <c r="H417" s="177"/>
      <c r="I417" s="177"/>
      <c r="J417" s="223"/>
      <c r="K417" s="231"/>
      <c r="L417" s="231"/>
      <c r="M417" s="231"/>
      <c r="N417" s="231"/>
      <c r="O417" s="231"/>
      <c r="P417" s="231"/>
      <c r="Q417" s="231"/>
      <c r="R417" s="231"/>
      <c r="S417" s="231"/>
      <c r="T417" s="231"/>
      <c r="U417" s="231"/>
      <c r="V417" s="231"/>
      <c r="W417" s="231"/>
      <c r="X417" s="231"/>
      <c r="Y417" s="231"/>
    </row>
    <row r="418" spans="1:25" ht="15.75" hidden="1" customHeight="1" x14ac:dyDescent="0.2">
      <c r="A418" s="231"/>
      <c r="B418" s="224"/>
      <c r="C418" s="225"/>
      <c r="D418" s="225"/>
      <c r="E418" s="225"/>
      <c r="F418" s="177"/>
      <c r="G418" s="177"/>
      <c r="H418" s="177"/>
      <c r="I418" s="177"/>
      <c r="J418" s="223"/>
      <c r="K418" s="231"/>
      <c r="L418" s="231"/>
      <c r="M418" s="231"/>
      <c r="N418" s="231"/>
      <c r="O418" s="231"/>
      <c r="P418" s="231"/>
      <c r="Q418" s="231"/>
      <c r="R418" s="231"/>
      <c r="S418" s="231"/>
      <c r="T418" s="231"/>
      <c r="U418" s="231"/>
      <c r="V418" s="231"/>
      <c r="W418" s="231"/>
      <c r="X418" s="231"/>
      <c r="Y418" s="231"/>
    </row>
    <row r="419" spans="1:25" ht="15.75" hidden="1" customHeight="1" x14ac:dyDescent="0.2">
      <c r="A419" s="231"/>
      <c r="B419" s="224"/>
      <c r="C419" s="225"/>
      <c r="D419" s="225"/>
      <c r="E419" s="225"/>
      <c r="F419" s="177"/>
      <c r="G419" s="177"/>
      <c r="H419" s="177"/>
      <c r="I419" s="177"/>
      <c r="J419" s="223"/>
      <c r="K419" s="231"/>
      <c r="L419" s="231"/>
      <c r="M419" s="231"/>
      <c r="N419" s="231"/>
      <c r="O419" s="231"/>
      <c r="P419" s="231"/>
      <c r="Q419" s="231"/>
      <c r="R419" s="231"/>
      <c r="S419" s="231"/>
      <c r="T419" s="231"/>
      <c r="U419" s="231"/>
      <c r="V419" s="231"/>
      <c r="W419" s="231"/>
      <c r="X419" s="231"/>
      <c r="Y419" s="231"/>
    </row>
    <row r="420" spans="1:25" ht="15.75" hidden="1" customHeight="1" x14ac:dyDescent="0.2">
      <c r="A420" s="231"/>
      <c r="B420" s="224"/>
      <c r="C420" s="225"/>
      <c r="D420" s="225"/>
      <c r="E420" s="225"/>
      <c r="F420" s="177"/>
      <c r="G420" s="177"/>
      <c r="H420" s="177"/>
      <c r="I420" s="177"/>
      <c r="J420" s="223"/>
      <c r="K420" s="231"/>
      <c r="L420" s="231"/>
      <c r="M420" s="231"/>
      <c r="N420" s="231"/>
      <c r="O420" s="231"/>
      <c r="P420" s="231"/>
      <c r="Q420" s="231"/>
      <c r="R420" s="231"/>
      <c r="S420" s="231"/>
      <c r="T420" s="231"/>
      <c r="U420" s="231"/>
      <c r="V420" s="231"/>
      <c r="W420" s="231"/>
      <c r="X420" s="231"/>
      <c r="Y420" s="231"/>
    </row>
    <row r="421" spans="1:25" ht="15.75" hidden="1" customHeight="1" x14ac:dyDescent="0.2">
      <c r="A421" s="231"/>
      <c r="B421" s="224"/>
      <c r="C421" s="225"/>
      <c r="D421" s="225"/>
      <c r="E421" s="225"/>
      <c r="F421" s="177"/>
      <c r="G421" s="177"/>
      <c r="H421" s="177"/>
      <c r="I421" s="177"/>
      <c r="J421" s="223"/>
      <c r="K421" s="231"/>
      <c r="L421" s="231"/>
      <c r="M421" s="231"/>
      <c r="N421" s="231"/>
      <c r="O421" s="231"/>
      <c r="P421" s="231"/>
      <c r="Q421" s="231"/>
      <c r="R421" s="231"/>
      <c r="S421" s="231"/>
      <c r="T421" s="231"/>
      <c r="U421" s="231"/>
      <c r="V421" s="231"/>
      <c r="W421" s="231"/>
      <c r="X421" s="231"/>
      <c r="Y421" s="231"/>
    </row>
    <row r="422" spans="1:25" ht="15.75" hidden="1" customHeight="1" x14ac:dyDescent="0.2">
      <c r="A422" s="231"/>
      <c r="B422" s="224"/>
      <c r="C422" s="225"/>
      <c r="D422" s="225"/>
      <c r="E422" s="225"/>
      <c r="F422" s="177"/>
      <c r="G422" s="177"/>
      <c r="H422" s="177"/>
      <c r="I422" s="177"/>
      <c r="J422" s="223"/>
      <c r="K422" s="231"/>
      <c r="L422" s="231"/>
      <c r="M422" s="231"/>
      <c r="N422" s="231"/>
      <c r="O422" s="231"/>
      <c r="P422" s="231"/>
      <c r="Q422" s="231"/>
      <c r="R422" s="231"/>
      <c r="S422" s="231"/>
      <c r="T422" s="231"/>
      <c r="U422" s="231"/>
      <c r="V422" s="231"/>
      <c r="W422" s="231"/>
      <c r="X422" s="231"/>
      <c r="Y422" s="231"/>
    </row>
    <row r="423" spans="1:25" ht="15.75" hidden="1" customHeight="1" x14ac:dyDescent="0.2">
      <c r="A423" s="231"/>
      <c r="B423" s="224"/>
      <c r="C423" s="225"/>
      <c r="D423" s="225"/>
      <c r="E423" s="225"/>
      <c r="F423" s="177"/>
      <c r="G423" s="177"/>
      <c r="H423" s="177"/>
      <c r="I423" s="177"/>
      <c r="J423" s="223"/>
      <c r="K423" s="231"/>
      <c r="L423" s="231"/>
      <c r="M423" s="231"/>
      <c r="N423" s="231"/>
      <c r="O423" s="231"/>
      <c r="P423" s="231"/>
      <c r="Q423" s="231"/>
      <c r="R423" s="231"/>
      <c r="S423" s="231"/>
      <c r="T423" s="231"/>
      <c r="U423" s="231"/>
      <c r="V423" s="231"/>
      <c r="W423" s="231"/>
      <c r="X423" s="231"/>
      <c r="Y423" s="231"/>
    </row>
    <row r="424" spans="1:25" ht="15.75" hidden="1" customHeight="1" x14ac:dyDescent="0.2">
      <c r="A424" s="231"/>
      <c r="B424" s="224"/>
      <c r="C424" s="225"/>
      <c r="D424" s="225"/>
      <c r="E424" s="225"/>
      <c r="F424" s="177"/>
      <c r="G424" s="177"/>
      <c r="H424" s="177"/>
      <c r="I424" s="177"/>
      <c r="J424" s="223"/>
      <c r="K424" s="231"/>
      <c r="L424" s="231"/>
      <c r="M424" s="231"/>
      <c r="N424" s="231"/>
      <c r="O424" s="231"/>
      <c r="P424" s="231"/>
      <c r="Q424" s="231"/>
      <c r="R424" s="231"/>
      <c r="S424" s="231"/>
      <c r="T424" s="231"/>
      <c r="U424" s="231"/>
      <c r="V424" s="231"/>
      <c r="W424" s="231"/>
      <c r="X424" s="231"/>
      <c r="Y424" s="231"/>
    </row>
    <row r="425" spans="1:25" ht="15.75" hidden="1" customHeight="1" x14ac:dyDescent="0.2">
      <c r="A425" s="231"/>
      <c r="B425" s="224"/>
      <c r="C425" s="225"/>
      <c r="D425" s="225"/>
      <c r="E425" s="225"/>
      <c r="F425" s="177"/>
      <c r="G425" s="177"/>
      <c r="H425" s="177"/>
      <c r="I425" s="177"/>
      <c r="J425" s="223"/>
      <c r="K425" s="231"/>
      <c r="L425" s="231"/>
      <c r="M425" s="231"/>
      <c r="N425" s="231"/>
      <c r="O425" s="231"/>
      <c r="P425" s="231"/>
      <c r="Q425" s="231"/>
      <c r="R425" s="231"/>
      <c r="S425" s="231"/>
      <c r="T425" s="231"/>
      <c r="U425" s="231"/>
      <c r="V425" s="231"/>
      <c r="W425" s="231"/>
      <c r="X425" s="231"/>
      <c r="Y425" s="231"/>
    </row>
    <row r="426" spans="1:25" ht="15.75" hidden="1" customHeight="1" x14ac:dyDescent="0.2">
      <c r="A426" s="231"/>
      <c r="B426" s="224"/>
      <c r="C426" s="225"/>
      <c r="D426" s="225"/>
      <c r="E426" s="225"/>
      <c r="F426" s="177"/>
      <c r="G426" s="177"/>
      <c r="H426" s="177"/>
      <c r="I426" s="177"/>
      <c r="J426" s="223"/>
      <c r="K426" s="231"/>
      <c r="L426" s="231"/>
      <c r="M426" s="231"/>
      <c r="N426" s="231"/>
      <c r="O426" s="231"/>
      <c r="P426" s="231"/>
      <c r="Q426" s="231"/>
      <c r="R426" s="231"/>
      <c r="S426" s="231"/>
      <c r="T426" s="231"/>
      <c r="U426" s="231"/>
      <c r="V426" s="231"/>
      <c r="W426" s="231"/>
      <c r="X426" s="231"/>
      <c r="Y426" s="231"/>
    </row>
    <row r="427" spans="1:25" ht="15.75" hidden="1" customHeight="1" x14ac:dyDescent="0.2">
      <c r="A427" s="231"/>
      <c r="B427" s="224"/>
      <c r="C427" s="225"/>
      <c r="D427" s="225"/>
      <c r="E427" s="225"/>
      <c r="F427" s="177"/>
      <c r="G427" s="177"/>
      <c r="H427" s="177"/>
      <c r="I427" s="177"/>
      <c r="J427" s="223"/>
      <c r="K427" s="231"/>
      <c r="L427" s="231"/>
      <c r="M427" s="231"/>
      <c r="N427" s="231"/>
      <c r="O427" s="231"/>
      <c r="P427" s="231"/>
      <c r="Q427" s="231"/>
      <c r="R427" s="231"/>
      <c r="S427" s="231"/>
      <c r="T427" s="231"/>
      <c r="U427" s="231"/>
      <c r="V427" s="231"/>
      <c r="W427" s="231"/>
      <c r="X427" s="231"/>
      <c r="Y427" s="231"/>
    </row>
    <row r="428" spans="1:25" ht="15.75" hidden="1" customHeight="1" x14ac:dyDescent="0.2">
      <c r="A428" s="231"/>
      <c r="B428" s="224"/>
      <c r="C428" s="225"/>
      <c r="D428" s="225"/>
      <c r="E428" s="225"/>
      <c r="F428" s="177"/>
      <c r="G428" s="177"/>
      <c r="H428" s="177"/>
      <c r="I428" s="177"/>
      <c r="J428" s="223"/>
      <c r="K428" s="231"/>
      <c r="L428" s="231"/>
      <c r="M428" s="231"/>
      <c r="N428" s="231"/>
      <c r="O428" s="231"/>
      <c r="P428" s="231"/>
      <c r="Q428" s="231"/>
      <c r="R428" s="231"/>
      <c r="S428" s="231"/>
      <c r="T428" s="231"/>
      <c r="U428" s="231"/>
      <c r="V428" s="231"/>
      <c r="W428" s="231"/>
      <c r="X428" s="231"/>
      <c r="Y428" s="231"/>
    </row>
    <row r="429" spans="1:25" ht="15.75" hidden="1" customHeight="1" x14ac:dyDescent="0.2">
      <c r="A429" s="231"/>
      <c r="B429" s="224"/>
      <c r="C429" s="225"/>
      <c r="D429" s="225"/>
      <c r="E429" s="225"/>
      <c r="F429" s="177"/>
      <c r="G429" s="177"/>
      <c r="H429" s="177"/>
      <c r="I429" s="177"/>
      <c r="J429" s="223"/>
      <c r="K429" s="231"/>
      <c r="L429" s="231"/>
      <c r="M429" s="231"/>
      <c r="N429" s="231"/>
      <c r="O429" s="231"/>
      <c r="P429" s="231"/>
      <c r="Q429" s="231"/>
      <c r="R429" s="231"/>
      <c r="S429" s="231"/>
      <c r="T429" s="231"/>
      <c r="U429" s="231"/>
      <c r="V429" s="231"/>
      <c r="W429" s="231"/>
      <c r="X429" s="231"/>
      <c r="Y429" s="231"/>
    </row>
    <row r="430" spans="1:25" ht="15.75" hidden="1" customHeight="1" x14ac:dyDescent="0.2">
      <c r="A430" s="231"/>
      <c r="B430" s="224"/>
      <c r="C430" s="225"/>
      <c r="D430" s="225"/>
      <c r="E430" s="225"/>
      <c r="F430" s="177"/>
      <c r="G430" s="177"/>
      <c r="H430" s="177"/>
      <c r="I430" s="177"/>
      <c r="J430" s="223"/>
      <c r="K430" s="231"/>
      <c r="L430" s="231"/>
      <c r="M430" s="231"/>
      <c r="N430" s="231"/>
      <c r="O430" s="231"/>
      <c r="P430" s="231"/>
      <c r="Q430" s="231"/>
      <c r="R430" s="231"/>
      <c r="S430" s="231"/>
      <c r="T430" s="231"/>
      <c r="U430" s="231"/>
      <c r="V430" s="231"/>
      <c r="W430" s="231"/>
      <c r="X430" s="231"/>
      <c r="Y430" s="231"/>
    </row>
    <row r="431" spans="1:25" ht="15.75" hidden="1" customHeight="1" x14ac:dyDescent="0.2">
      <c r="A431" s="231"/>
      <c r="B431" s="224"/>
      <c r="C431" s="225"/>
      <c r="D431" s="225"/>
      <c r="E431" s="225"/>
      <c r="F431" s="177"/>
      <c r="G431" s="177"/>
      <c r="H431" s="177"/>
      <c r="I431" s="177"/>
      <c r="J431" s="223"/>
      <c r="K431" s="231"/>
      <c r="L431" s="231"/>
      <c r="M431" s="231"/>
      <c r="N431" s="231"/>
      <c r="O431" s="231"/>
      <c r="P431" s="231"/>
      <c r="Q431" s="231"/>
      <c r="R431" s="231"/>
      <c r="S431" s="231"/>
      <c r="T431" s="231"/>
      <c r="U431" s="231"/>
      <c r="V431" s="231"/>
      <c r="W431" s="231"/>
      <c r="X431" s="231"/>
      <c r="Y431" s="231"/>
    </row>
    <row r="432" spans="1:25" ht="15.75" hidden="1" customHeight="1" x14ac:dyDescent="0.2">
      <c r="A432" s="231"/>
      <c r="B432" s="224"/>
      <c r="C432" s="225"/>
      <c r="D432" s="225"/>
      <c r="E432" s="225"/>
      <c r="F432" s="177"/>
      <c r="G432" s="177"/>
      <c r="H432" s="177"/>
      <c r="I432" s="177"/>
      <c r="J432" s="223"/>
      <c r="K432" s="231"/>
      <c r="L432" s="231"/>
      <c r="M432" s="231"/>
      <c r="N432" s="231"/>
      <c r="O432" s="231"/>
      <c r="P432" s="231"/>
      <c r="Q432" s="231"/>
      <c r="R432" s="231"/>
      <c r="S432" s="231"/>
      <c r="T432" s="231"/>
      <c r="U432" s="231"/>
      <c r="V432" s="231"/>
      <c r="W432" s="231"/>
      <c r="X432" s="231"/>
      <c r="Y432" s="231"/>
    </row>
    <row r="433" spans="1:25" ht="15.75" hidden="1" customHeight="1" x14ac:dyDescent="0.2">
      <c r="A433" s="231"/>
      <c r="B433" s="224"/>
      <c r="C433" s="225"/>
      <c r="D433" s="225"/>
      <c r="E433" s="225"/>
      <c r="F433" s="177"/>
      <c r="G433" s="177"/>
      <c r="H433" s="177"/>
      <c r="I433" s="177"/>
      <c r="J433" s="223"/>
      <c r="K433" s="231"/>
      <c r="L433" s="231"/>
      <c r="M433" s="231"/>
      <c r="N433" s="231"/>
      <c r="O433" s="231"/>
      <c r="P433" s="231"/>
      <c r="Q433" s="231"/>
      <c r="R433" s="231"/>
      <c r="S433" s="231"/>
      <c r="T433" s="231"/>
      <c r="U433" s="231"/>
      <c r="V433" s="231"/>
      <c r="W433" s="231"/>
      <c r="X433" s="231"/>
      <c r="Y433" s="231"/>
    </row>
    <row r="434" spans="1:25" ht="15.75" hidden="1" customHeight="1" x14ac:dyDescent="0.2">
      <c r="A434" s="231"/>
      <c r="B434" s="224"/>
      <c r="C434" s="225"/>
      <c r="D434" s="225"/>
      <c r="E434" s="225"/>
      <c r="F434" s="177"/>
      <c r="G434" s="177"/>
      <c r="H434" s="177"/>
      <c r="I434" s="177"/>
      <c r="J434" s="223"/>
      <c r="K434" s="231"/>
      <c r="L434" s="231"/>
      <c r="M434" s="231"/>
      <c r="N434" s="231"/>
      <c r="O434" s="231"/>
      <c r="P434" s="231"/>
      <c r="Q434" s="231"/>
      <c r="R434" s="231"/>
      <c r="S434" s="231"/>
      <c r="T434" s="231"/>
      <c r="U434" s="231"/>
      <c r="V434" s="231"/>
      <c r="W434" s="231"/>
      <c r="X434" s="231"/>
      <c r="Y434" s="231"/>
    </row>
    <row r="435" spans="1:25" ht="15.75" hidden="1" customHeight="1" x14ac:dyDescent="0.2">
      <c r="A435" s="231"/>
      <c r="B435" s="224"/>
      <c r="C435" s="225"/>
      <c r="D435" s="225"/>
      <c r="E435" s="225"/>
      <c r="F435" s="177"/>
      <c r="G435" s="177"/>
      <c r="H435" s="177"/>
      <c r="I435" s="177"/>
      <c r="J435" s="223"/>
      <c r="K435" s="231"/>
      <c r="L435" s="231"/>
      <c r="M435" s="231"/>
      <c r="N435" s="231"/>
      <c r="O435" s="231"/>
      <c r="P435" s="231"/>
      <c r="Q435" s="231"/>
      <c r="R435" s="231"/>
      <c r="S435" s="231"/>
      <c r="T435" s="231"/>
      <c r="U435" s="231"/>
      <c r="V435" s="231"/>
      <c r="W435" s="231"/>
      <c r="X435" s="231"/>
      <c r="Y435" s="231"/>
    </row>
    <row r="436" spans="1:25" ht="15.75" hidden="1" customHeight="1" x14ac:dyDescent="0.2">
      <c r="A436" s="231"/>
      <c r="B436" s="224"/>
      <c r="C436" s="225"/>
      <c r="D436" s="225"/>
      <c r="E436" s="225"/>
      <c r="F436" s="177"/>
      <c r="G436" s="177"/>
      <c r="H436" s="177"/>
      <c r="I436" s="177"/>
      <c r="J436" s="223"/>
      <c r="K436" s="231"/>
      <c r="L436" s="231"/>
      <c r="M436" s="231"/>
      <c r="N436" s="231"/>
      <c r="O436" s="231"/>
      <c r="P436" s="231"/>
      <c r="Q436" s="231"/>
      <c r="R436" s="231"/>
      <c r="S436" s="231"/>
      <c r="T436" s="231"/>
      <c r="U436" s="231"/>
      <c r="V436" s="231"/>
      <c r="W436" s="231"/>
      <c r="X436" s="231"/>
      <c r="Y436" s="231"/>
    </row>
    <row r="437" spans="1:25" ht="15.75" hidden="1" customHeight="1" x14ac:dyDescent="0.2">
      <c r="A437" s="231"/>
      <c r="B437" s="224"/>
      <c r="C437" s="225"/>
      <c r="D437" s="225"/>
      <c r="E437" s="225"/>
      <c r="F437" s="177"/>
      <c r="G437" s="177"/>
      <c r="H437" s="177"/>
      <c r="I437" s="177"/>
      <c r="J437" s="223"/>
      <c r="K437" s="231"/>
      <c r="L437" s="231"/>
      <c r="M437" s="231"/>
      <c r="N437" s="231"/>
      <c r="O437" s="231"/>
      <c r="P437" s="231"/>
      <c r="Q437" s="231"/>
      <c r="R437" s="231"/>
      <c r="S437" s="231"/>
      <c r="T437" s="231"/>
      <c r="U437" s="231"/>
      <c r="V437" s="231"/>
      <c r="W437" s="231"/>
      <c r="X437" s="231"/>
      <c r="Y437" s="231"/>
    </row>
    <row r="438" spans="1:25" ht="15.75" hidden="1" customHeight="1" x14ac:dyDescent="0.2">
      <c r="A438" s="231"/>
      <c r="B438" s="224"/>
      <c r="C438" s="225"/>
      <c r="D438" s="225"/>
      <c r="E438" s="225"/>
      <c r="F438" s="177"/>
      <c r="G438" s="177"/>
      <c r="H438" s="177"/>
      <c r="I438" s="177"/>
      <c r="J438" s="223"/>
      <c r="K438" s="231"/>
      <c r="L438" s="231"/>
      <c r="M438" s="231"/>
      <c r="N438" s="231"/>
      <c r="O438" s="231"/>
      <c r="P438" s="231"/>
      <c r="Q438" s="231"/>
      <c r="R438" s="231"/>
      <c r="S438" s="231"/>
      <c r="T438" s="231"/>
      <c r="U438" s="231"/>
      <c r="V438" s="231"/>
      <c r="W438" s="231"/>
      <c r="X438" s="231"/>
      <c r="Y438" s="231"/>
    </row>
    <row r="439" spans="1:25" ht="15.75" hidden="1" customHeight="1" x14ac:dyDescent="0.2">
      <c r="A439" s="231"/>
      <c r="B439" s="224"/>
      <c r="C439" s="225"/>
      <c r="D439" s="225"/>
      <c r="E439" s="225"/>
      <c r="F439" s="177"/>
      <c r="G439" s="177"/>
      <c r="H439" s="177"/>
      <c r="I439" s="177"/>
      <c r="J439" s="223"/>
      <c r="K439" s="231"/>
      <c r="L439" s="231"/>
      <c r="M439" s="231"/>
      <c r="N439" s="231"/>
      <c r="O439" s="231"/>
      <c r="P439" s="231"/>
      <c r="Q439" s="231"/>
      <c r="R439" s="231"/>
      <c r="S439" s="231"/>
      <c r="T439" s="231"/>
      <c r="U439" s="231"/>
      <c r="V439" s="231"/>
      <c r="W439" s="231"/>
      <c r="X439" s="231"/>
      <c r="Y439" s="231"/>
    </row>
    <row r="440" spans="1:25" ht="15.75" hidden="1" customHeight="1" x14ac:dyDescent="0.2">
      <c r="A440" s="231"/>
      <c r="B440" s="224"/>
      <c r="C440" s="225"/>
      <c r="D440" s="225"/>
      <c r="E440" s="225"/>
      <c r="F440" s="177"/>
      <c r="G440" s="177"/>
      <c r="H440" s="177"/>
      <c r="I440" s="177"/>
      <c r="J440" s="223"/>
      <c r="K440" s="231"/>
      <c r="L440" s="231"/>
      <c r="M440" s="231"/>
      <c r="N440" s="231"/>
      <c r="O440" s="231"/>
      <c r="P440" s="231"/>
      <c r="Q440" s="231"/>
      <c r="R440" s="231"/>
      <c r="S440" s="231"/>
      <c r="T440" s="231"/>
      <c r="U440" s="231"/>
      <c r="V440" s="231"/>
      <c r="W440" s="231"/>
      <c r="X440" s="231"/>
      <c r="Y440" s="231"/>
    </row>
    <row r="441" spans="1:25" ht="15.75" hidden="1" customHeight="1" x14ac:dyDescent="0.2">
      <c r="A441" s="231"/>
      <c r="B441" s="224"/>
      <c r="C441" s="225"/>
      <c r="D441" s="225"/>
      <c r="E441" s="225"/>
      <c r="F441" s="177"/>
      <c r="G441" s="177"/>
      <c r="H441" s="177"/>
      <c r="I441" s="177"/>
      <c r="J441" s="223"/>
      <c r="K441" s="231"/>
      <c r="L441" s="231"/>
      <c r="M441" s="231"/>
      <c r="N441" s="231"/>
      <c r="O441" s="231"/>
      <c r="P441" s="231"/>
      <c r="Q441" s="231"/>
      <c r="R441" s="231"/>
      <c r="S441" s="231"/>
      <c r="T441" s="231"/>
      <c r="U441" s="231"/>
      <c r="V441" s="231"/>
      <c r="W441" s="231"/>
      <c r="X441" s="231"/>
      <c r="Y441" s="231"/>
    </row>
    <row r="442" spans="1:25" ht="15.75" hidden="1" customHeight="1" x14ac:dyDescent="0.2">
      <c r="A442" s="231"/>
      <c r="B442" s="224"/>
      <c r="C442" s="225"/>
      <c r="D442" s="225"/>
      <c r="E442" s="225"/>
      <c r="F442" s="177"/>
      <c r="G442" s="177"/>
      <c r="H442" s="177"/>
      <c r="I442" s="177"/>
      <c r="J442" s="223"/>
      <c r="K442" s="231"/>
      <c r="L442" s="231"/>
      <c r="M442" s="231"/>
      <c r="N442" s="231"/>
      <c r="O442" s="231"/>
      <c r="P442" s="231"/>
      <c r="Q442" s="231"/>
      <c r="R442" s="231"/>
      <c r="S442" s="231"/>
      <c r="T442" s="231"/>
      <c r="U442" s="231"/>
      <c r="V442" s="231"/>
      <c r="W442" s="231"/>
      <c r="X442" s="231"/>
      <c r="Y442" s="231"/>
    </row>
    <row r="443" spans="1:25" ht="15.75" hidden="1" customHeight="1" x14ac:dyDescent="0.2">
      <c r="A443" s="231"/>
      <c r="B443" s="224"/>
      <c r="C443" s="225"/>
      <c r="D443" s="225"/>
      <c r="E443" s="225"/>
      <c r="F443" s="177"/>
      <c r="G443" s="177"/>
      <c r="H443" s="177"/>
      <c r="I443" s="177"/>
      <c r="J443" s="223"/>
      <c r="K443" s="231"/>
      <c r="L443" s="231"/>
      <c r="M443" s="231"/>
      <c r="N443" s="231"/>
      <c r="O443" s="231"/>
      <c r="P443" s="231"/>
      <c r="Q443" s="231"/>
      <c r="R443" s="231"/>
      <c r="S443" s="231"/>
      <c r="T443" s="231"/>
      <c r="U443" s="231"/>
      <c r="V443" s="231"/>
      <c r="W443" s="231"/>
      <c r="X443" s="231"/>
      <c r="Y443" s="231"/>
    </row>
    <row r="444" spans="1:25" ht="15.75" hidden="1" customHeight="1" x14ac:dyDescent="0.2">
      <c r="A444" s="231"/>
      <c r="B444" s="224"/>
      <c r="C444" s="225"/>
      <c r="D444" s="225"/>
      <c r="E444" s="225"/>
      <c r="F444" s="177"/>
      <c r="G444" s="177"/>
      <c r="H444" s="177"/>
      <c r="I444" s="177"/>
      <c r="J444" s="223"/>
      <c r="K444" s="231"/>
      <c r="L444" s="231"/>
      <c r="M444" s="231"/>
      <c r="N444" s="231"/>
      <c r="O444" s="231"/>
      <c r="P444" s="231"/>
      <c r="Q444" s="231"/>
      <c r="R444" s="231"/>
      <c r="S444" s="231"/>
      <c r="T444" s="231"/>
      <c r="U444" s="231"/>
      <c r="V444" s="231"/>
      <c r="W444" s="231"/>
      <c r="X444" s="231"/>
      <c r="Y444" s="231"/>
    </row>
    <row r="445" spans="1:25" ht="15.75" hidden="1" customHeight="1" x14ac:dyDescent="0.2">
      <c r="A445" s="231"/>
      <c r="B445" s="224"/>
      <c r="C445" s="225"/>
      <c r="D445" s="225"/>
      <c r="E445" s="225"/>
      <c r="F445" s="177"/>
      <c r="G445" s="177"/>
      <c r="H445" s="177"/>
      <c r="I445" s="177"/>
      <c r="J445" s="223"/>
      <c r="K445" s="231"/>
      <c r="L445" s="231"/>
      <c r="M445" s="231"/>
      <c r="N445" s="231"/>
      <c r="O445" s="231"/>
      <c r="P445" s="231"/>
      <c r="Q445" s="231"/>
      <c r="R445" s="231"/>
      <c r="S445" s="231"/>
      <c r="T445" s="231"/>
      <c r="U445" s="231"/>
      <c r="V445" s="231"/>
      <c r="W445" s="231"/>
      <c r="X445" s="231"/>
      <c r="Y445" s="231"/>
    </row>
    <row r="446" spans="1:25" ht="15.75" hidden="1" customHeight="1" x14ac:dyDescent="0.2">
      <c r="A446" s="231"/>
      <c r="B446" s="224"/>
      <c r="C446" s="225"/>
      <c r="D446" s="225"/>
      <c r="E446" s="225"/>
      <c r="F446" s="177"/>
      <c r="G446" s="177"/>
      <c r="H446" s="177"/>
      <c r="I446" s="177"/>
      <c r="J446" s="223"/>
      <c r="K446" s="231"/>
      <c r="L446" s="231"/>
      <c r="M446" s="231"/>
      <c r="N446" s="231"/>
      <c r="O446" s="231"/>
      <c r="P446" s="231"/>
      <c r="Q446" s="231"/>
      <c r="R446" s="231"/>
      <c r="S446" s="231"/>
      <c r="T446" s="231"/>
      <c r="U446" s="231"/>
      <c r="V446" s="231"/>
      <c r="W446" s="231"/>
      <c r="X446" s="231"/>
      <c r="Y446" s="231"/>
    </row>
    <row r="447" spans="1:25" ht="15.75" hidden="1" customHeight="1" x14ac:dyDescent="0.2">
      <c r="A447" s="231"/>
      <c r="B447" s="224"/>
      <c r="C447" s="225"/>
      <c r="D447" s="225"/>
      <c r="E447" s="225"/>
      <c r="F447" s="177"/>
      <c r="G447" s="177"/>
      <c r="H447" s="177"/>
      <c r="I447" s="177"/>
      <c r="J447" s="223"/>
      <c r="K447" s="231"/>
      <c r="L447" s="231"/>
      <c r="M447" s="231"/>
      <c r="N447" s="231"/>
      <c r="O447" s="231"/>
      <c r="P447" s="231"/>
      <c r="Q447" s="231"/>
      <c r="R447" s="231"/>
      <c r="S447" s="231"/>
      <c r="T447" s="231"/>
      <c r="U447" s="231"/>
      <c r="V447" s="231"/>
      <c r="W447" s="231"/>
      <c r="X447" s="231"/>
      <c r="Y447" s="231"/>
    </row>
    <row r="448" spans="1:25" ht="15.75" hidden="1" customHeight="1" x14ac:dyDescent="0.2">
      <c r="A448" s="231"/>
      <c r="B448" s="224"/>
      <c r="C448" s="225"/>
      <c r="D448" s="225"/>
      <c r="E448" s="225"/>
      <c r="F448" s="177"/>
      <c r="G448" s="177"/>
      <c r="H448" s="177"/>
      <c r="I448" s="177"/>
      <c r="J448" s="223"/>
      <c r="K448" s="231"/>
      <c r="L448" s="231"/>
      <c r="M448" s="231"/>
      <c r="N448" s="231"/>
      <c r="O448" s="231"/>
      <c r="P448" s="231"/>
      <c r="Q448" s="231"/>
      <c r="R448" s="231"/>
      <c r="S448" s="231"/>
      <c r="T448" s="231"/>
      <c r="U448" s="231"/>
      <c r="V448" s="231"/>
      <c r="W448" s="231"/>
      <c r="X448" s="231"/>
      <c r="Y448" s="231"/>
    </row>
    <row r="449" spans="1:25" ht="15.75" hidden="1" customHeight="1" x14ac:dyDescent="0.2">
      <c r="A449" s="231"/>
      <c r="B449" s="224"/>
      <c r="C449" s="225"/>
      <c r="D449" s="225"/>
      <c r="E449" s="225"/>
      <c r="F449" s="177"/>
      <c r="G449" s="177"/>
      <c r="H449" s="177"/>
      <c r="I449" s="177"/>
      <c r="J449" s="223"/>
      <c r="K449" s="231"/>
      <c r="L449" s="231"/>
      <c r="M449" s="231"/>
      <c r="N449" s="231"/>
      <c r="O449" s="231"/>
      <c r="P449" s="231"/>
      <c r="Q449" s="231"/>
      <c r="R449" s="231"/>
      <c r="S449" s="231"/>
      <c r="T449" s="231"/>
      <c r="U449" s="231"/>
      <c r="V449" s="231"/>
      <c r="W449" s="231"/>
      <c r="X449" s="231"/>
      <c r="Y449" s="231"/>
    </row>
    <row r="450" spans="1:25" ht="15.75" hidden="1" customHeight="1" x14ac:dyDescent="0.2">
      <c r="A450" s="231"/>
      <c r="B450" s="224"/>
      <c r="C450" s="225"/>
      <c r="D450" s="225"/>
      <c r="E450" s="225"/>
      <c r="F450" s="177"/>
      <c r="G450" s="177"/>
      <c r="H450" s="177"/>
      <c r="I450" s="177"/>
      <c r="J450" s="223"/>
      <c r="K450" s="231"/>
      <c r="L450" s="231"/>
      <c r="M450" s="231"/>
      <c r="N450" s="231"/>
      <c r="O450" s="231"/>
      <c r="P450" s="231"/>
      <c r="Q450" s="231"/>
      <c r="R450" s="231"/>
      <c r="S450" s="231"/>
      <c r="T450" s="231"/>
      <c r="U450" s="231"/>
      <c r="V450" s="231"/>
      <c r="W450" s="231"/>
      <c r="X450" s="231"/>
      <c r="Y450" s="231"/>
    </row>
    <row r="451" spans="1:25" ht="15.75" hidden="1" customHeight="1" x14ac:dyDescent="0.2">
      <c r="A451" s="231"/>
      <c r="B451" s="224"/>
      <c r="C451" s="225"/>
      <c r="D451" s="225"/>
      <c r="E451" s="225"/>
      <c r="F451" s="177"/>
      <c r="G451" s="177"/>
      <c r="H451" s="177"/>
      <c r="I451" s="177"/>
      <c r="J451" s="223"/>
      <c r="K451" s="231"/>
      <c r="L451" s="231"/>
      <c r="M451" s="231"/>
      <c r="N451" s="231"/>
      <c r="O451" s="231"/>
      <c r="P451" s="231"/>
      <c r="Q451" s="231"/>
      <c r="R451" s="231"/>
      <c r="S451" s="231"/>
      <c r="T451" s="231"/>
      <c r="U451" s="231"/>
      <c r="V451" s="231"/>
      <c r="W451" s="231"/>
      <c r="X451" s="231"/>
      <c r="Y451" s="231"/>
    </row>
    <row r="452" spans="1:25" ht="15.75" hidden="1" customHeight="1" x14ac:dyDescent="0.2">
      <c r="A452" s="231"/>
      <c r="B452" s="224"/>
      <c r="C452" s="225"/>
      <c r="D452" s="225"/>
      <c r="E452" s="225"/>
      <c r="F452" s="177"/>
      <c r="G452" s="177"/>
      <c r="H452" s="177"/>
      <c r="I452" s="177"/>
      <c r="J452" s="223"/>
      <c r="K452" s="231"/>
      <c r="L452" s="231"/>
      <c r="M452" s="231"/>
      <c r="N452" s="231"/>
      <c r="O452" s="231"/>
      <c r="P452" s="231"/>
      <c r="Q452" s="231"/>
      <c r="R452" s="231"/>
      <c r="S452" s="231"/>
      <c r="T452" s="231"/>
      <c r="U452" s="231"/>
      <c r="V452" s="231"/>
      <c r="W452" s="231"/>
      <c r="X452" s="231"/>
      <c r="Y452" s="231"/>
    </row>
    <row r="453" spans="1:25" ht="15.75" hidden="1" customHeight="1" x14ac:dyDescent="0.2">
      <c r="A453" s="231"/>
      <c r="B453" s="224"/>
      <c r="C453" s="225"/>
      <c r="D453" s="225"/>
      <c r="E453" s="225"/>
      <c r="F453" s="177"/>
      <c r="G453" s="177"/>
      <c r="H453" s="177"/>
      <c r="I453" s="177"/>
      <c r="J453" s="223"/>
      <c r="K453" s="231"/>
      <c r="L453" s="231"/>
      <c r="M453" s="231"/>
      <c r="N453" s="231"/>
      <c r="O453" s="231"/>
      <c r="P453" s="231"/>
      <c r="Q453" s="231"/>
      <c r="R453" s="231"/>
      <c r="S453" s="231"/>
      <c r="T453" s="231"/>
      <c r="U453" s="231"/>
      <c r="V453" s="231"/>
      <c r="W453" s="231"/>
      <c r="X453" s="231"/>
      <c r="Y453" s="231"/>
    </row>
    <row r="454" spans="1:25" ht="15.75" hidden="1" customHeight="1" x14ac:dyDescent="0.2">
      <c r="A454" s="231"/>
      <c r="B454" s="224"/>
      <c r="C454" s="225"/>
      <c r="D454" s="225"/>
      <c r="E454" s="225"/>
      <c r="F454" s="177"/>
      <c r="G454" s="177"/>
      <c r="H454" s="177"/>
      <c r="I454" s="177"/>
      <c r="J454" s="223"/>
      <c r="K454" s="231"/>
      <c r="L454" s="231"/>
      <c r="M454" s="231"/>
      <c r="N454" s="231"/>
      <c r="O454" s="231"/>
      <c r="P454" s="231"/>
      <c r="Q454" s="231"/>
      <c r="R454" s="231"/>
      <c r="S454" s="231"/>
      <c r="T454" s="231"/>
      <c r="U454" s="231"/>
      <c r="V454" s="231"/>
      <c r="W454" s="231"/>
      <c r="X454" s="231"/>
      <c r="Y454" s="231"/>
    </row>
    <row r="455" spans="1:25" ht="15.75" hidden="1" customHeight="1" x14ac:dyDescent="0.2">
      <c r="A455" s="231"/>
      <c r="B455" s="224"/>
      <c r="C455" s="225"/>
      <c r="D455" s="225"/>
      <c r="E455" s="225"/>
      <c r="F455" s="177"/>
      <c r="G455" s="177"/>
      <c r="H455" s="177"/>
      <c r="I455" s="177"/>
      <c r="J455" s="223"/>
      <c r="K455" s="231"/>
      <c r="L455" s="231"/>
      <c r="M455" s="231"/>
      <c r="N455" s="231"/>
      <c r="O455" s="231"/>
      <c r="P455" s="231"/>
      <c r="Q455" s="231"/>
      <c r="R455" s="231"/>
      <c r="S455" s="231"/>
      <c r="T455" s="231"/>
      <c r="U455" s="231"/>
      <c r="V455" s="231"/>
      <c r="W455" s="231"/>
      <c r="X455" s="231"/>
      <c r="Y455" s="231"/>
    </row>
    <row r="456" spans="1:25" ht="15.75" hidden="1" customHeight="1" x14ac:dyDescent="0.2">
      <c r="A456" s="231"/>
      <c r="B456" s="224"/>
      <c r="C456" s="225"/>
      <c r="D456" s="225"/>
      <c r="E456" s="225"/>
      <c r="F456" s="177"/>
      <c r="G456" s="177"/>
      <c r="H456" s="177"/>
      <c r="I456" s="177"/>
      <c r="J456" s="223"/>
      <c r="K456" s="231"/>
      <c r="L456" s="231"/>
      <c r="M456" s="231"/>
      <c r="N456" s="231"/>
      <c r="O456" s="231"/>
      <c r="P456" s="231"/>
      <c r="Q456" s="231"/>
      <c r="R456" s="231"/>
      <c r="S456" s="231"/>
      <c r="T456" s="231"/>
      <c r="U456" s="231"/>
      <c r="V456" s="231"/>
      <c r="W456" s="231"/>
      <c r="X456" s="231"/>
      <c r="Y456" s="231"/>
    </row>
    <row r="457" spans="1:25" ht="15.75" hidden="1" customHeight="1" x14ac:dyDescent="0.2">
      <c r="A457" s="231"/>
      <c r="B457" s="224"/>
      <c r="C457" s="225"/>
      <c r="D457" s="225"/>
      <c r="E457" s="225"/>
      <c r="F457" s="177"/>
      <c r="G457" s="177"/>
      <c r="H457" s="177"/>
      <c r="I457" s="177"/>
      <c r="J457" s="223"/>
      <c r="K457" s="231"/>
      <c r="L457" s="231"/>
      <c r="M457" s="231"/>
      <c r="N457" s="231"/>
      <c r="O457" s="231"/>
      <c r="P457" s="231"/>
      <c r="Q457" s="231"/>
      <c r="R457" s="231"/>
      <c r="S457" s="231"/>
      <c r="T457" s="231"/>
      <c r="U457" s="231"/>
      <c r="V457" s="231"/>
      <c r="W457" s="231"/>
      <c r="X457" s="231"/>
      <c r="Y457" s="231"/>
    </row>
    <row r="458" spans="1:25" ht="15.75" hidden="1" customHeight="1" x14ac:dyDescent="0.2">
      <c r="A458" s="231"/>
      <c r="B458" s="224"/>
      <c r="C458" s="225"/>
      <c r="D458" s="225"/>
      <c r="E458" s="225"/>
      <c r="F458" s="177"/>
      <c r="G458" s="177"/>
      <c r="H458" s="177"/>
      <c r="I458" s="177"/>
      <c r="J458" s="223"/>
      <c r="K458" s="231"/>
      <c r="L458" s="231"/>
      <c r="M458" s="231"/>
      <c r="N458" s="231"/>
      <c r="O458" s="231"/>
      <c r="P458" s="231"/>
      <c r="Q458" s="231"/>
      <c r="R458" s="231"/>
      <c r="S458" s="231"/>
      <c r="T458" s="231"/>
      <c r="U458" s="231"/>
      <c r="V458" s="231"/>
      <c r="W458" s="231"/>
      <c r="X458" s="231"/>
      <c r="Y458" s="231"/>
    </row>
    <row r="459" spans="1:25" ht="15.75" hidden="1" customHeight="1" x14ac:dyDescent="0.2">
      <c r="A459" s="231"/>
      <c r="B459" s="224"/>
      <c r="C459" s="225"/>
      <c r="D459" s="225"/>
      <c r="E459" s="225"/>
      <c r="F459" s="177"/>
      <c r="G459" s="177"/>
      <c r="H459" s="177"/>
      <c r="I459" s="177"/>
      <c r="J459" s="223"/>
      <c r="K459" s="231"/>
      <c r="L459" s="231"/>
      <c r="M459" s="231"/>
      <c r="N459" s="231"/>
      <c r="O459" s="231"/>
      <c r="P459" s="231"/>
      <c r="Q459" s="231"/>
      <c r="R459" s="231"/>
      <c r="S459" s="231"/>
      <c r="T459" s="231"/>
      <c r="U459" s="231"/>
      <c r="V459" s="231"/>
      <c r="W459" s="231"/>
      <c r="X459" s="231"/>
      <c r="Y459" s="231"/>
    </row>
    <row r="460" spans="1:25" ht="15.75" hidden="1" customHeight="1" x14ac:dyDescent="0.2">
      <c r="A460" s="231"/>
      <c r="B460" s="224"/>
      <c r="C460" s="225"/>
      <c r="D460" s="225"/>
      <c r="E460" s="225"/>
      <c r="F460" s="177"/>
      <c r="G460" s="177"/>
      <c r="H460" s="177"/>
      <c r="I460" s="177"/>
      <c r="J460" s="223"/>
      <c r="K460" s="231"/>
      <c r="L460" s="231"/>
      <c r="M460" s="231"/>
      <c r="N460" s="231"/>
      <c r="O460" s="231"/>
      <c r="P460" s="231"/>
      <c r="Q460" s="231"/>
      <c r="R460" s="231"/>
      <c r="S460" s="231"/>
      <c r="T460" s="231"/>
      <c r="U460" s="231"/>
      <c r="V460" s="231"/>
      <c r="W460" s="231"/>
      <c r="X460" s="231"/>
      <c r="Y460" s="231"/>
    </row>
    <row r="461" spans="1:25" ht="15.75" hidden="1" customHeight="1" x14ac:dyDescent="0.2">
      <c r="A461" s="231"/>
      <c r="B461" s="224"/>
      <c r="C461" s="225"/>
      <c r="D461" s="225"/>
      <c r="E461" s="225"/>
      <c r="F461" s="177"/>
      <c r="G461" s="177"/>
      <c r="H461" s="177"/>
      <c r="I461" s="177"/>
      <c r="J461" s="223"/>
      <c r="K461" s="231"/>
      <c r="L461" s="231"/>
      <c r="M461" s="231"/>
      <c r="N461" s="231"/>
      <c r="O461" s="231"/>
      <c r="P461" s="231"/>
      <c r="Q461" s="231"/>
      <c r="R461" s="231"/>
      <c r="S461" s="231"/>
      <c r="T461" s="231"/>
      <c r="U461" s="231"/>
      <c r="V461" s="231"/>
      <c r="W461" s="231"/>
      <c r="X461" s="231"/>
      <c r="Y461" s="231"/>
    </row>
    <row r="462" spans="1:25" ht="15.75" hidden="1" customHeight="1" x14ac:dyDescent="0.2">
      <c r="A462" s="231"/>
      <c r="B462" s="224"/>
      <c r="C462" s="225"/>
      <c r="D462" s="225"/>
      <c r="E462" s="225"/>
      <c r="F462" s="177"/>
      <c r="G462" s="177"/>
      <c r="H462" s="177"/>
      <c r="I462" s="177"/>
      <c r="J462" s="223"/>
      <c r="K462" s="231"/>
      <c r="L462" s="231"/>
      <c r="M462" s="231"/>
      <c r="N462" s="231"/>
      <c r="O462" s="231"/>
      <c r="P462" s="231"/>
      <c r="Q462" s="231"/>
      <c r="R462" s="231"/>
      <c r="S462" s="231"/>
      <c r="T462" s="231"/>
      <c r="U462" s="231"/>
      <c r="V462" s="231"/>
      <c r="W462" s="231"/>
      <c r="X462" s="231"/>
      <c r="Y462" s="231"/>
    </row>
    <row r="463" spans="1:25" ht="15.75" hidden="1" customHeight="1" x14ac:dyDescent="0.2">
      <c r="A463" s="231"/>
      <c r="B463" s="224"/>
      <c r="C463" s="225"/>
      <c r="D463" s="225"/>
      <c r="E463" s="225"/>
      <c r="F463" s="177"/>
      <c r="G463" s="177"/>
      <c r="H463" s="177"/>
      <c r="I463" s="177"/>
      <c r="J463" s="223"/>
      <c r="K463" s="231"/>
      <c r="L463" s="231"/>
      <c r="M463" s="231"/>
      <c r="N463" s="231"/>
      <c r="O463" s="231"/>
      <c r="P463" s="231"/>
      <c r="Q463" s="231"/>
      <c r="R463" s="231"/>
      <c r="S463" s="231"/>
      <c r="T463" s="231"/>
      <c r="U463" s="231"/>
      <c r="V463" s="231"/>
      <c r="W463" s="231"/>
      <c r="X463" s="231"/>
      <c r="Y463" s="231"/>
    </row>
    <row r="464" spans="1:25" ht="15.75" hidden="1" customHeight="1" x14ac:dyDescent="0.2">
      <c r="A464" s="231"/>
      <c r="B464" s="224"/>
      <c r="C464" s="225"/>
      <c r="D464" s="225"/>
      <c r="E464" s="225"/>
      <c r="F464" s="177"/>
      <c r="G464" s="177"/>
      <c r="H464" s="177"/>
      <c r="I464" s="177"/>
      <c r="J464" s="223"/>
      <c r="K464" s="231"/>
      <c r="L464" s="231"/>
      <c r="M464" s="231"/>
      <c r="N464" s="231"/>
      <c r="O464" s="231"/>
      <c r="P464" s="231"/>
      <c r="Q464" s="231"/>
      <c r="R464" s="231"/>
      <c r="S464" s="231"/>
      <c r="T464" s="231"/>
      <c r="U464" s="231"/>
      <c r="V464" s="231"/>
      <c r="W464" s="231"/>
      <c r="X464" s="231"/>
      <c r="Y464" s="231"/>
    </row>
    <row r="465" spans="1:25" ht="15.75" hidden="1" customHeight="1" x14ac:dyDescent="0.2">
      <c r="A465" s="231"/>
      <c r="B465" s="224"/>
      <c r="C465" s="225"/>
      <c r="D465" s="225"/>
      <c r="E465" s="225"/>
      <c r="F465" s="177"/>
      <c r="G465" s="177"/>
      <c r="H465" s="177"/>
      <c r="I465" s="177"/>
      <c r="J465" s="223"/>
      <c r="K465" s="231"/>
      <c r="L465" s="231"/>
      <c r="M465" s="231"/>
      <c r="N465" s="231"/>
      <c r="O465" s="231"/>
      <c r="P465" s="231"/>
      <c r="Q465" s="231"/>
      <c r="R465" s="231"/>
      <c r="S465" s="231"/>
      <c r="T465" s="231"/>
      <c r="U465" s="231"/>
      <c r="V465" s="231"/>
      <c r="W465" s="231"/>
      <c r="X465" s="231"/>
      <c r="Y465" s="231"/>
    </row>
    <row r="466" spans="1:25" ht="15.75" hidden="1" customHeight="1" x14ac:dyDescent="0.2">
      <c r="A466" s="231"/>
      <c r="B466" s="224"/>
      <c r="C466" s="225"/>
      <c r="D466" s="225"/>
      <c r="E466" s="225"/>
      <c r="F466" s="177"/>
      <c r="G466" s="177"/>
      <c r="H466" s="177"/>
      <c r="I466" s="177"/>
      <c r="J466" s="223"/>
      <c r="K466" s="231"/>
      <c r="L466" s="231"/>
      <c r="M466" s="231"/>
      <c r="N466" s="231"/>
      <c r="O466" s="231"/>
      <c r="P466" s="231"/>
      <c r="Q466" s="231"/>
      <c r="R466" s="231"/>
      <c r="S466" s="231"/>
      <c r="T466" s="231"/>
      <c r="U466" s="231"/>
      <c r="V466" s="231"/>
      <c r="W466" s="231"/>
      <c r="X466" s="231"/>
      <c r="Y466" s="231"/>
    </row>
    <row r="467" spans="1:25" ht="15.75" hidden="1" customHeight="1" x14ac:dyDescent="0.2">
      <c r="A467" s="231"/>
      <c r="B467" s="224"/>
      <c r="C467" s="225"/>
      <c r="D467" s="225"/>
      <c r="E467" s="225"/>
      <c r="F467" s="177"/>
      <c r="G467" s="177"/>
      <c r="H467" s="177"/>
      <c r="I467" s="177"/>
      <c r="J467" s="223"/>
      <c r="K467" s="231"/>
      <c r="L467" s="231"/>
      <c r="M467" s="231"/>
      <c r="N467" s="231"/>
      <c r="O467" s="231"/>
      <c r="P467" s="231"/>
      <c r="Q467" s="231"/>
      <c r="R467" s="231"/>
      <c r="S467" s="231"/>
      <c r="T467" s="231"/>
      <c r="U467" s="231"/>
      <c r="V467" s="231"/>
      <c r="W467" s="231"/>
      <c r="X467" s="231"/>
      <c r="Y467" s="231"/>
    </row>
    <row r="468" spans="1:25" ht="15.75" hidden="1" customHeight="1" x14ac:dyDescent="0.2">
      <c r="A468" s="231"/>
      <c r="B468" s="224"/>
      <c r="C468" s="225"/>
      <c r="D468" s="225"/>
      <c r="E468" s="225"/>
      <c r="F468" s="177"/>
      <c r="G468" s="177"/>
      <c r="H468" s="177"/>
      <c r="I468" s="177"/>
      <c r="J468" s="223"/>
      <c r="K468" s="231"/>
      <c r="L468" s="231"/>
      <c r="M468" s="231"/>
      <c r="N468" s="231"/>
      <c r="O468" s="231"/>
      <c r="P468" s="231"/>
      <c r="Q468" s="231"/>
      <c r="R468" s="231"/>
      <c r="S468" s="231"/>
      <c r="T468" s="231"/>
      <c r="U468" s="231"/>
      <c r="V468" s="231"/>
      <c r="W468" s="231"/>
      <c r="X468" s="231"/>
      <c r="Y468" s="231"/>
    </row>
    <row r="469" spans="1:25" ht="15.75" hidden="1" customHeight="1" x14ac:dyDescent="0.2">
      <c r="A469" s="231"/>
      <c r="B469" s="224"/>
      <c r="C469" s="225"/>
      <c r="D469" s="225"/>
      <c r="E469" s="225"/>
      <c r="F469" s="177"/>
      <c r="G469" s="177"/>
      <c r="H469" s="177"/>
      <c r="I469" s="177"/>
      <c r="J469" s="223"/>
      <c r="K469" s="231"/>
      <c r="L469" s="231"/>
      <c r="M469" s="231"/>
      <c r="N469" s="231"/>
      <c r="O469" s="231"/>
      <c r="P469" s="231"/>
      <c r="Q469" s="231"/>
      <c r="R469" s="231"/>
      <c r="S469" s="231"/>
      <c r="T469" s="231"/>
      <c r="U469" s="231"/>
      <c r="V469" s="231"/>
      <c r="W469" s="231"/>
      <c r="X469" s="231"/>
      <c r="Y469" s="231"/>
    </row>
    <row r="470" spans="1:25" ht="15.75" hidden="1" customHeight="1" x14ac:dyDescent="0.2">
      <c r="A470" s="231"/>
      <c r="B470" s="224"/>
      <c r="C470" s="225"/>
      <c r="D470" s="225"/>
      <c r="E470" s="225"/>
      <c r="F470" s="177"/>
      <c r="G470" s="177"/>
      <c r="H470" s="177"/>
      <c r="I470" s="177"/>
      <c r="J470" s="223"/>
      <c r="K470" s="231"/>
      <c r="L470" s="231"/>
      <c r="M470" s="231"/>
      <c r="N470" s="231"/>
      <c r="O470" s="231"/>
      <c r="P470" s="231"/>
      <c r="Q470" s="231"/>
      <c r="R470" s="231"/>
      <c r="S470" s="231"/>
      <c r="T470" s="231"/>
      <c r="U470" s="231"/>
      <c r="V470" s="231"/>
      <c r="W470" s="231"/>
      <c r="X470" s="231"/>
      <c r="Y470" s="231"/>
    </row>
    <row r="471" spans="1:25" ht="15.75" hidden="1" customHeight="1" x14ac:dyDescent="0.2">
      <c r="A471" s="231"/>
      <c r="B471" s="224"/>
      <c r="C471" s="225"/>
      <c r="D471" s="225"/>
      <c r="E471" s="225"/>
      <c r="F471" s="177"/>
      <c r="G471" s="177"/>
      <c r="H471" s="177"/>
      <c r="I471" s="177"/>
      <c r="J471" s="223"/>
      <c r="K471" s="231"/>
      <c r="L471" s="231"/>
      <c r="M471" s="231"/>
      <c r="N471" s="231"/>
      <c r="O471" s="231"/>
      <c r="P471" s="231"/>
      <c r="Q471" s="231"/>
      <c r="R471" s="231"/>
      <c r="S471" s="231"/>
      <c r="T471" s="231"/>
      <c r="U471" s="231"/>
      <c r="V471" s="231"/>
      <c r="W471" s="231"/>
      <c r="X471" s="231"/>
      <c r="Y471" s="231"/>
    </row>
    <row r="472" spans="1:25" ht="15.75" hidden="1" customHeight="1" x14ac:dyDescent="0.2">
      <c r="A472" s="231"/>
      <c r="B472" s="224"/>
      <c r="C472" s="225"/>
      <c r="D472" s="225"/>
      <c r="E472" s="225"/>
      <c r="F472" s="177"/>
      <c r="G472" s="177"/>
      <c r="H472" s="177"/>
      <c r="I472" s="177"/>
      <c r="J472" s="223"/>
      <c r="K472" s="231"/>
      <c r="L472" s="231"/>
      <c r="M472" s="231"/>
      <c r="N472" s="231"/>
      <c r="O472" s="231"/>
      <c r="P472" s="231"/>
      <c r="Q472" s="231"/>
      <c r="R472" s="231"/>
      <c r="S472" s="231"/>
      <c r="T472" s="231"/>
      <c r="U472" s="231"/>
      <c r="V472" s="231"/>
      <c r="W472" s="231"/>
      <c r="X472" s="231"/>
      <c r="Y472" s="231"/>
    </row>
    <row r="473" spans="1:25" ht="15.75" hidden="1" customHeight="1" x14ac:dyDescent="0.2">
      <c r="A473" s="231"/>
      <c r="B473" s="224"/>
      <c r="C473" s="225"/>
      <c r="D473" s="225"/>
      <c r="E473" s="225"/>
      <c r="F473" s="177"/>
      <c r="G473" s="177"/>
      <c r="H473" s="177"/>
      <c r="I473" s="177"/>
      <c r="J473" s="223"/>
      <c r="K473" s="231"/>
      <c r="L473" s="231"/>
      <c r="M473" s="231"/>
      <c r="N473" s="231"/>
      <c r="O473" s="231"/>
      <c r="P473" s="231"/>
      <c r="Q473" s="231"/>
      <c r="R473" s="231"/>
      <c r="S473" s="231"/>
      <c r="T473" s="231"/>
      <c r="U473" s="231"/>
      <c r="V473" s="231"/>
      <c r="W473" s="231"/>
      <c r="X473" s="231"/>
      <c r="Y473" s="231"/>
    </row>
    <row r="474" spans="1:25" ht="15.75" hidden="1" customHeight="1" x14ac:dyDescent="0.2">
      <c r="A474" s="231"/>
      <c r="B474" s="224"/>
      <c r="C474" s="225"/>
      <c r="D474" s="225"/>
      <c r="E474" s="225"/>
      <c r="F474" s="177"/>
      <c r="G474" s="177"/>
      <c r="H474" s="177"/>
      <c r="I474" s="177"/>
      <c r="J474" s="223"/>
      <c r="K474" s="231"/>
      <c r="L474" s="231"/>
      <c r="M474" s="231"/>
      <c r="N474" s="231"/>
      <c r="O474" s="231"/>
      <c r="P474" s="231"/>
      <c r="Q474" s="231"/>
      <c r="R474" s="231"/>
      <c r="S474" s="231"/>
      <c r="T474" s="231"/>
      <c r="U474" s="231"/>
      <c r="V474" s="231"/>
      <c r="W474" s="231"/>
      <c r="X474" s="231"/>
      <c r="Y474" s="231"/>
    </row>
    <row r="475" spans="1:25" ht="15.75" hidden="1" customHeight="1" x14ac:dyDescent="0.2">
      <c r="A475" s="231"/>
      <c r="B475" s="224"/>
      <c r="C475" s="225"/>
      <c r="D475" s="225"/>
      <c r="E475" s="225"/>
      <c r="F475" s="177"/>
      <c r="G475" s="177"/>
      <c r="H475" s="177"/>
      <c r="I475" s="177"/>
      <c r="J475" s="223"/>
      <c r="K475" s="231"/>
      <c r="L475" s="231"/>
      <c r="M475" s="231"/>
      <c r="N475" s="231"/>
      <c r="O475" s="231"/>
      <c r="P475" s="231"/>
      <c r="Q475" s="231"/>
      <c r="R475" s="231"/>
      <c r="S475" s="231"/>
      <c r="T475" s="231"/>
      <c r="U475" s="231"/>
      <c r="V475" s="231"/>
      <c r="W475" s="231"/>
      <c r="X475" s="231"/>
      <c r="Y475" s="231"/>
    </row>
    <row r="476" spans="1:25" ht="15.75" hidden="1" customHeight="1" x14ac:dyDescent="0.2">
      <c r="A476" s="231"/>
      <c r="B476" s="224"/>
      <c r="C476" s="225"/>
      <c r="D476" s="225"/>
      <c r="E476" s="225"/>
      <c r="F476" s="177"/>
      <c r="G476" s="177"/>
      <c r="H476" s="177"/>
      <c r="I476" s="177"/>
      <c r="J476" s="223"/>
      <c r="K476" s="231"/>
      <c r="L476" s="231"/>
      <c r="M476" s="231"/>
      <c r="N476" s="231"/>
      <c r="O476" s="231"/>
      <c r="P476" s="231"/>
      <c r="Q476" s="231"/>
      <c r="R476" s="231"/>
      <c r="S476" s="231"/>
      <c r="T476" s="231"/>
      <c r="U476" s="231"/>
      <c r="V476" s="231"/>
      <c r="W476" s="231"/>
      <c r="X476" s="231"/>
      <c r="Y476" s="231"/>
    </row>
    <row r="477" spans="1:25" ht="15.75" hidden="1" customHeight="1" x14ac:dyDescent="0.2">
      <c r="A477" s="231"/>
      <c r="B477" s="224"/>
      <c r="C477" s="225"/>
      <c r="D477" s="225"/>
      <c r="E477" s="225"/>
      <c r="F477" s="177"/>
      <c r="G477" s="177"/>
      <c r="H477" s="177"/>
      <c r="I477" s="177"/>
      <c r="J477" s="223"/>
      <c r="K477" s="231"/>
      <c r="L477" s="231"/>
      <c r="M477" s="231"/>
      <c r="N477" s="231"/>
      <c r="O477" s="231"/>
      <c r="P477" s="231"/>
      <c r="Q477" s="231"/>
      <c r="R477" s="231"/>
      <c r="S477" s="231"/>
      <c r="T477" s="231"/>
      <c r="U477" s="231"/>
      <c r="V477" s="231"/>
      <c r="W477" s="231"/>
      <c r="X477" s="231"/>
      <c r="Y477" s="231"/>
    </row>
    <row r="478" spans="1:25" ht="15.75" hidden="1" customHeight="1" x14ac:dyDescent="0.2">
      <c r="A478" s="231"/>
      <c r="B478" s="224"/>
      <c r="C478" s="225"/>
      <c r="D478" s="225"/>
      <c r="E478" s="225"/>
      <c r="F478" s="177"/>
      <c r="G478" s="177"/>
      <c r="H478" s="177"/>
      <c r="I478" s="177"/>
      <c r="J478" s="223"/>
      <c r="K478" s="231"/>
      <c r="L478" s="231"/>
      <c r="M478" s="231"/>
      <c r="N478" s="231"/>
      <c r="O478" s="231"/>
      <c r="P478" s="231"/>
      <c r="Q478" s="231"/>
      <c r="R478" s="231"/>
      <c r="S478" s="231"/>
      <c r="T478" s="231"/>
      <c r="U478" s="231"/>
      <c r="V478" s="231"/>
      <c r="W478" s="231"/>
      <c r="X478" s="231"/>
      <c r="Y478" s="231"/>
    </row>
    <row r="479" spans="1:25" ht="15.75" hidden="1" customHeight="1" x14ac:dyDescent="0.2">
      <c r="A479" s="231"/>
      <c r="B479" s="224"/>
      <c r="C479" s="225"/>
      <c r="D479" s="225"/>
      <c r="E479" s="225"/>
      <c r="F479" s="177"/>
      <c r="G479" s="177"/>
      <c r="H479" s="177"/>
      <c r="I479" s="177"/>
      <c r="J479" s="223"/>
      <c r="K479" s="231"/>
      <c r="L479" s="231"/>
      <c r="M479" s="231"/>
      <c r="N479" s="231"/>
      <c r="O479" s="231"/>
      <c r="P479" s="231"/>
      <c r="Q479" s="231"/>
      <c r="R479" s="231"/>
      <c r="S479" s="231"/>
      <c r="T479" s="231"/>
      <c r="U479" s="231"/>
      <c r="V479" s="231"/>
      <c r="W479" s="231"/>
      <c r="X479" s="231"/>
      <c r="Y479" s="231"/>
    </row>
    <row r="480" spans="1:25" ht="15.75" hidden="1" customHeight="1" x14ac:dyDescent="0.2">
      <c r="A480" s="231"/>
      <c r="B480" s="224"/>
      <c r="C480" s="225"/>
      <c r="D480" s="225"/>
      <c r="E480" s="225"/>
      <c r="F480" s="177"/>
      <c r="G480" s="177"/>
      <c r="H480" s="177"/>
      <c r="I480" s="177"/>
      <c r="J480" s="223"/>
      <c r="K480" s="231"/>
      <c r="L480" s="231"/>
      <c r="M480" s="231"/>
      <c r="N480" s="231"/>
      <c r="O480" s="231"/>
      <c r="P480" s="231"/>
      <c r="Q480" s="231"/>
      <c r="R480" s="231"/>
      <c r="S480" s="231"/>
      <c r="T480" s="231"/>
      <c r="U480" s="231"/>
      <c r="V480" s="231"/>
      <c r="W480" s="231"/>
      <c r="X480" s="231"/>
      <c r="Y480" s="231"/>
    </row>
    <row r="481" spans="1:25" ht="15.75" hidden="1" customHeight="1" x14ac:dyDescent="0.2">
      <c r="A481" s="231"/>
      <c r="B481" s="224"/>
      <c r="C481" s="225"/>
      <c r="D481" s="225"/>
      <c r="E481" s="225"/>
      <c r="F481" s="177"/>
      <c r="G481" s="177"/>
      <c r="H481" s="177"/>
      <c r="I481" s="177"/>
      <c r="J481" s="223"/>
      <c r="K481" s="231"/>
      <c r="L481" s="231"/>
      <c r="M481" s="231"/>
      <c r="N481" s="231"/>
      <c r="O481" s="231"/>
      <c r="P481" s="231"/>
      <c r="Q481" s="231"/>
      <c r="R481" s="231"/>
      <c r="S481" s="231"/>
      <c r="T481" s="231"/>
      <c r="U481" s="231"/>
      <c r="V481" s="231"/>
      <c r="W481" s="231"/>
      <c r="X481" s="231"/>
      <c r="Y481" s="231"/>
    </row>
    <row r="482" spans="1:25" ht="15.75" hidden="1" customHeight="1" x14ac:dyDescent="0.2">
      <c r="A482" s="231"/>
      <c r="B482" s="224"/>
      <c r="C482" s="225"/>
      <c r="D482" s="225"/>
      <c r="E482" s="225"/>
      <c r="F482" s="177"/>
      <c r="G482" s="177"/>
      <c r="H482" s="177"/>
      <c r="I482" s="177"/>
      <c r="J482" s="223"/>
      <c r="K482" s="231"/>
      <c r="L482" s="231"/>
      <c r="M482" s="231"/>
      <c r="N482" s="231"/>
      <c r="O482" s="231"/>
      <c r="P482" s="231"/>
      <c r="Q482" s="231"/>
      <c r="R482" s="231"/>
      <c r="S482" s="231"/>
      <c r="T482" s="231"/>
      <c r="U482" s="231"/>
      <c r="V482" s="231"/>
      <c r="W482" s="231"/>
      <c r="X482" s="231"/>
      <c r="Y482" s="231"/>
    </row>
    <row r="483" spans="1:25" ht="15.75" hidden="1" customHeight="1" x14ac:dyDescent="0.2">
      <c r="A483" s="231"/>
      <c r="B483" s="224"/>
      <c r="C483" s="225"/>
      <c r="D483" s="225"/>
      <c r="E483" s="225"/>
      <c r="F483" s="177"/>
      <c r="G483" s="177"/>
      <c r="H483" s="177"/>
      <c r="I483" s="177"/>
      <c r="J483" s="223"/>
      <c r="K483" s="231"/>
      <c r="L483" s="231"/>
      <c r="M483" s="231"/>
      <c r="N483" s="231"/>
      <c r="O483" s="231"/>
      <c r="P483" s="231"/>
      <c r="Q483" s="231"/>
      <c r="R483" s="231"/>
      <c r="S483" s="231"/>
      <c r="T483" s="231"/>
      <c r="U483" s="231"/>
      <c r="V483" s="231"/>
      <c r="W483" s="231"/>
      <c r="X483" s="231"/>
      <c r="Y483" s="231"/>
    </row>
    <row r="484" spans="1:25" ht="15.75" hidden="1" customHeight="1" x14ac:dyDescent="0.2">
      <c r="A484" s="231"/>
      <c r="B484" s="224"/>
      <c r="C484" s="225"/>
      <c r="D484" s="225"/>
      <c r="E484" s="225"/>
      <c r="F484" s="177"/>
      <c r="G484" s="177"/>
      <c r="H484" s="177"/>
      <c r="I484" s="177"/>
      <c r="J484" s="223"/>
      <c r="K484" s="231"/>
      <c r="L484" s="231"/>
      <c r="M484" s="231"/>
      <c r="N484" s="231"/>
      <c r="O484" s="231"/>
      <c r="P484" s="231"/>
      <c r="Q484" s="231"/>
      <c r="R484" s="231"/>
      <c r="S484" s="231"/>
      <c r="T484" s="231"/>
      <c r="U484" s="231"/>
      <c r="V484" s="231"/>
      <c r="W484" s="231"/>
      <c r="X484" s="231"/>
      <c r="Y484" s="231"/>
    </row>
    <row r="485" spans="1:25" ht="15.75" hidden="1" customHeight="1" x14ac:dyDescent="0.2">
      <c r="A485" s="231"/>
      <c r="B485" s="224"/>
      <c r="C485" s="225"/>
      <c r="D485" s="225"/>
      <c r="E485" s="225"/>
      <c r="F485" s="177"/>
      <c r="G485" s="177"/>
      <c r="H485" s="177"/>
      <c r="I485" s="177"/>
      <c r="J485" s="223"/>
      <c r="K485" s="231"/>
      <c r="L485" s="231"/>
      <c r="M485" s="231"/>
      <c r="N485" s="231"/>
      <c r="O485" s="231"/>
      <c r="P485" s="231"/>
      <c r="Q485" s="231"/>
      <c r="R485" s="231"/>
      <c r="S485" s="231"/>
      <c r="T485" s="231"/>
      <c r="U485" s="231"/>
      <c r="V485" s="231"/>
      <c r="W485" s="231"/>
      <c r="X485" s="231"/>
      <c r="Y485" s="231"/>
    </row>
    <row r="486" spans="1:25" ht="15.75" hidden="1" customHeight="1" x14ac:dyDescent="0.2">
      <c r="A486" s="231"/>
      <c r="B486" s="224"/>
      <c r="C486" s="225"/>
      <c r="D486" s="225"/>
      <c r="E486" s="225"/>
      <c r="F486" s="177"/>
      <c r="G486" s="177"/>
      <c r="H486" s="177"/>
      <c r="I486" s="177"/>
      <c r="J486" s="223"/>
      <c r="K486" s="231"/>
      <c r="L486" s="231"/>
      <c r="M486" s="231"/>
      <c r="N486" s="231"/>
      <c r="O486" s="231"/>
      <c r="P486" s="231"/>
      <c r="Q486" s="231"/>
      <c r="R486" s="231"/>
      <c r="S486" s="231"/>
      <c r="T486" s="231"/>
      <c r="U486" s="231"/>
      <c r="V486" s="231"/>
      <c r="W486" s="231"/>
      <c r="X486" s="231"/>
      <c r="Y486" s="231"/>
    </row>
    <row r="487" spans="1:25" ht="15.75" hidden="1" customHeight="1" x14ac:dyDescent="0.2">
      <c r="A487" s="231"/>
      <c r="B487" s="224"/>
      <c r="C487" s="225"/>
      <c r="D487" s="225"/>
      <c r="E487" s="225"/>
      <c r="F487" s="177"/>
      <c r="G487" s="177"/>
      <c r="H487" s="177"/>
      <c r="I487" s="177"/>
      <c r="J487" s="223"/>
      <c r="K487" s="231"/>
      <c r="L487" s="231"/>
      <c r="M487" s="231"/>
      <c r="N487" s="231"/>
      <c r="O487" s="231"/>
      <c r="P487" s="231"/>
      <c r="Q487" s="231"/>
      <c r="R487" s="231"/>
      <c r="S487" s="231"/>
      <c r="T487" s="231"/>
      <c r="U487" s="231"/>
      <c r="V487" s="231"/>
      <c r="W487" s="231"/>
      <c r="X487" s="231"/>
      <c r="Y487" s="231"/>
    </row>
    <row r="488" spans="1:25" ht="15.75" hidden="1" customHeight="1" x14ac:dyDescent="0.2">
      <c r="A488" s="231"/>
      <c r="B488" s="224"/>
      <c r="C488" s="225"/>
      <c r="D488" s="225"/>
      <c r="E488" s="225"/>
      <c r="F488" s="177"/>
      <c r="G488" s="177"/>
      <c r="H488" s="177"/>
      <c r="I488" s="177"/>
      <c r="J488" s="223"/>
      <c r="K488" s="231"/>
      <c r="L488" s="231"/>
      <c r="M488" s="231"/>
      <c r="N488" s="231"/>
      <c r="O488" s="231"/>
      <c r="P488" s="231"/>
      <c r="Q488" s="231"/>
      <c r="R488" s="231"/>
      <c r="S488" s="231"/>
      <c r="T488" s="231"/>
      <c r="U488" s="231"/>
      <c r="V488" s="231"/>
      <c r="W488" s="231"/>
      <c r="X488" s="231"/>
      <c r="Y488" s="231"/>
    </row>
    <row r="489" spans="1:25" ht="15.75" hidden="1" customHeight="1" x14ac:dyDescent="0.2">
      <c r="A489" s="231"/>
      <c r="B489" s="224"/>
      <c r="C489" s="225"/>
      <c r="D489" s="225"/>
      <c r="E489" s="225"/>
      <c r="F489" s="177"/>
      <c r="G489" s="177"/>
      <c r="H489" s="177"/>
      <c r="I489" s="177"/>
      <c r="J489" s="223"/>
      <c r="K489" s="231"/>
      <c r="L489" s="231"/>
      <c r="M489" s="231"/>
      <c r="N489" s="231"/>
      <c r="O489" s="231"/>
      <c r="P489" s="231"/>
      <c r="Q489" s="231"/>
      <c r="R489" s="231"/>
      <c r="S489" s="231"/>
      <c r="T489" s="231"/>
      <c r="U489" s="231"/>
      <c r="V489" s="231"/>
      <c r="W489" s="231"/>
      <c r="X489" s="231"/>
      <c r="Y489" s="231"/>
    </row>
    <row r="490" spans="1:25" ht="15.75" hidden="1" customHeight="1" x14ac:dyDescent="0.2">
      <c r="A490" s="231"/>
      <c r="B490" s="224"/>
      <c r="C490" s="225"/>
      <c r="D490" s="225"/>
      <c r="E490" s="225"/>
      <c r="F490" s="177"/>
      <c r="G490" s="177"/>
      <c r="H490" s="177"/>
      <c r="I490" s="177"/>
      <c r="J490" s="223"/>
      <c r="K490" s="231"/>
      <c r="L490" s="231"/>
      <c r="M490" s="231"/>
      <c r="N490" s="231"/>
      <c r="O490" s="231"/>
      <c r="P490" s="231"/>
      <c r="Q490" s="231"/>
      <c r="R490" s="231"/>
      <c r="S490" s="231"/>
      <c r="T490" s="231"/>
      <c r="U490" s="231"/>
      <c r="V490" s="231"/>
      <c r="W490" s="231"/>
      <c r="X490" s="231"/>
      <c r="Y490" s="231"/>
    </row>
    <row r="491" spans="1:25" ht="15.75" hidden="1" customHeight="1" x14ac:dyDescent="0.2">
      <c r="A491" s="231"/>
      <c r="B491" s="224"/>
      <c r="C491" s="225"/>
      <c r="D491" s="225"/>
      <c r="E491" s="225"/>
      <c r="F491" s="177"/>
      <c r="G491" s="177"/>
      <c r="H491" s="177"/>
      <c r="I491" s="177"/>
      <c r="J491" s="223"/>
      <c r="K491" s="231"/>
      <c r="L491" s="231"/>
      <c r="M491" s="231"/>
      <c r="N491" s="231"/>
      <c r="O491" s="231"/>
      <c r="P491" s="231"/>
      <c r="Q491" s="231"/>
      <c r="R491" s="231"/>
      <c r="S491" s="231"/>
      <c r="T491" s="231"/>
      <c r="U491" s="231"/>
      <c r="V491" s="231"/>
      <c r="W491" s="231"/>
      <c r="X491" s="231"/>
      <c r="Y491" s="231"/>
    </row>
    <row r="492" spans="1:25" ht="15.75" hidden="1" customHeight="1" x14ac:dyDescent="0.2">
      <c r="A492" s="231"/>
      <c r="B492" s="224"/>
      <c r="C492" s="225"/>
      <c r="D492" s="225"/>
      <c r="E492" s="225"/>
      <c r="F492" s="177"/>
      <c r="G492" s="177"/>
      <c r="H492" s="177"/>
      <c r="I492" s="177"/>
      <c r="J492" s="223"/>
      <c r="K492" s="231"/>
      <c r="L492" s="231"/>
      <c r="M492" s="231"/>
      <c r="N492" s="231"/>
      <c r="O492" s="231"/>
      <c r="P492" s="231"/>
      <c r="Q492" s="231"/>
      <c r="R492" s="231"/>
      <c r="S492" s="231"/>
      <c r="T492" s="231"/>
      <c r="U492" s="231"/>
      <c r="V492" s="231"/>
      <c r="W492" s="231"/>
      <c r="X492" s="231"/>
      <c r="Y492" s="231"/>
    </row>
    <row r="493" spans="1:25" ht="15.75" hidden="1" customHeight="1" x14ac:dyDescent="0.2">
      <c r="A493" s="231"/>
      <c r="B493" s="224"/>
      <c r="C493" s="225"/>
      <c r="D493" s="225"/>
      <c r="E493" s="225"/>
      <c r="F493" s="177"/>
      <c r="G493" s="177"/>
      <c r="H493" s="177"/>
      <c r="I493" s="177"/>
      <c r="J493" s="223"/>
      <c r="K493" s="231"/>
      <c r="L493" s="231"/>
      <c r="M493" s="231"/>
      <c r="N493" s="231"/>
      <c r="O493" s="231"/>
      <c r="P493" s="231"/>
      <c r="Q493" s="231"/>
      <c r="R493" s="231"/>
      <c r="S493" s="231"/>
      <c r="T493" s="231"/>
      <c r="U493" s="231"/>
      <c r="V493" s="231"/>
      <c r="W493" s="231"/>
      <c r="X493" s="231"/>
      <c r="Y493" s="231"/>
    </row>
    <row r="494" spans="1:25" ht="15.75" hidden="1" customHeight="1" x14ac:dyDescent="0.2">
      <c r="A494" s="231"/>
      <c r="B494" s="224"/>
      <c r="C494" s="225"/>
      <c r="D494" s="225"/>
      <c r="E494" s="225"/>
      <c r="F494" s="177"/>
      <c r="G494" s="177"/>
      <c r="H494" s="177"/>
      <c r="I494" s="177"/>
      <c r="J494" s="223"/>
      <c r="K494" s="231"/>
      <c r="L494" s="231"/>
      <c r="M494" s="231"/>
      <c r="N494" s="231"/>
      <c r="O494" s="231"/>
      <c r="P494" s="231"/>
      <c r="Q494" s="231"/>
      <c r="R494" s="231"/>
      <c r="S494" s="231"/>
      <c r="T494" s="231"/>
      <c r="U494" s="231"/>
      <c r="V494" s="231"/>
      <c r="W494" s="231"/>
      <c r="X494" s="231"/>
      <c r="Y494" s="231"/>
    </row>
    <row r="495" spans="1:25" ht="15.75" hidden="1" customHeight="1" x14ac:dyDescent="0.2">
      <c r="A495" s="231"/>
      <c r="B495" s="224"/>
      <c r="C495" s="225"/>
      <c r="D495" s="225"/>
      <c r="E495" s="225"/>
      <c r="F495" s="177"/>
      <c r="G495" s="177"/>
      <c r="H495" s="177"/>
      <c r="I495" s="177"/>
      <c r="J495" s="223"/>
      <c r="K495" s="231"/>
      <c r="L495" s="231"/>
      <c r="M495" s="231"/>
      <c r="N495" s="231"/>
      <c r="O495" s="231"/>
      <c r="P495" s="231"/>
      <c r="Q495" s="231"/>
      <c r="R495" s="231"/>
      <c r="S495" s="231"/>
      <c r="T495" s="231"/>
      <c r="U495" s="231"/>
      <c r="V495" s="231"/>
      <c r="W495" s="231"/>
      <c r="X495" s="231"/>
      <c r="Y495" s="231"/>
    </row>
    <row r="496" spans="1:25" ht="15.75" hidden="1" customHeight="1" x14ac:dyDescent="0.2">
      <c r="A496" s="231"/>
      <c r="B496" s="224"/>
      <c r="C496" s="225"/>
      <c r="D496" s="225"/>
      <c r="E496" s="225"/>
      <c r="F496" s="177"/>
      <c r="G496" s="177"/>
      <c r="H496" s="177"/>
      <c r="I496" s="177"/>
      <c r="J496" s="223"/>
      <c r="K496" s="231"/>
      <c r="L496" s="231"/>
      <c r="M496" s="231"/>
      <c r="N496" s="231"/>
      <c r="O496" s="231"/>
      <c r="P496" s="231"/>
      <c r="Q496" s="231"/>
      <c r="R496" s="231"/>
      <c r="S496" s="231"/>
      <c r="T496" s="231"/>
      <c r="U496" s="231"/>
      <c r="V496" s="231"/>
      <c r="W496" s="231"/>
      <c r="X496" s="231"/>
      <c r="Y496" s="231"/>
    </row>
    <row r="497" spans="1:25" ht="15.75" hidden="1" customHeight="1" x14ac:dyDescent="0.2">
      <c r="A497" s="231"/>
      <c r="B497" s="224"/>
      <c r="C497" s="225"/>
      <c r="D497" s="225"/>
      <c r="E497" s="225"/>
      <c r="F497" s="177"/>
      <c r="G497" s="177"/>
      <c r="H497" s="177"/>
      <c r="I497" s="177"/>
      <c r="J497" s="223"/>
      <c r="K497" s="231"/>
      <c r="L497" s="231"/>
      <c r="M497" s="231"/>
      <c r="N497" s="231"/>
      <c r="O497" s="231"/>
      <c r="P497" s="231"/>
      <c r="Q497" s="231"/>
      <c r="R497" s="231"/>
      <c r="S497" s="231"/>
      <c r="T497" s="231"/>
      <c r="U497" s="231"/>
      <c r="V497" s="231"/>
      <c r="W497" s="231"/>
      <c r="X497" s="231"/>
      <c r="Y497" s="231"/>
    </row>
    <row r="498" spans="1:25" ht="15.75" hidden="1" customHeight="1" x14ac:dyDescent="0.2">
      <c r="A498" s="231"/>
      <c r="B498" s="224"/>
      <c r="C498" s="225"/>
      <c r="D498" s="225"/>
      <c r="E498" s="225"/>
      <c r="F498" s="177"/>
      <c r="G498" s="177"/>
      <c r="H498" s="177"/>
      <c r="I498" s="177"/>
      <c r="J498" s="223"/>
      <c r="K498" s="231"/>
      <c r="L498" s="231"/>
      <c r="M498" s="231"/>
      <c r="N498" s="231"/>
      <c r="O498" s="231"/>
      <c r="P498" s="231"/>
      <c r="Q498" s="231"/>
      <c r="R498" s="231"/>
      <c r="S498" s="231"/>
      <c r="T498" s="231"/>
      <c r="U498" s="231"/>
      <c r="V498" s="231"/>
      <c r="W498" s="231"/>
      <c r="X498" s="231"/>
      <c r="Y498" s="231"/>
    </row>
    <row r="499" spans="1:25" ht="15.75" hidden="1" customHeight="1" x14ac:dyDescent="0.2">
      <c r="A499" s="231"/>
      <c r="B499" s="224"/>
      <c r="C499" s="225"/>
      <c r="D499" s="225"/>
      <c r="E499" s="225"/>
      <c r="F499" s="177"/>
      <c r="G499" s="177"/>
      <c r="H499" s="177"/>
      <c r="I499" s="177"/>
      <c r="J499" s="223"/>
      <c r="K499" s="231"/>
      <c r="L499" s="231"/>
      <c r="M499" s="231"/>
      <c r="N499" s="231"/>
      <c r="O499" s="231"/>
      <c r="P499" s="231"/>
      <c r="Q499" s="231"/>
      <c r="R499" s="231"/>
      <c r="S499" s="231"/>
      <c r="T499" s="231"/>
      <c r="U499" s="231"/>
      <c r="V499" s="231"/>
      <c r="W499" s="231"/>
      <c r="X499" s="231"/>
      <c r="Y499" s="231"/>
    </row>
    <row r="500" spans="1:25" ht="15.75" hidden="1" customHeight="1" x14ac:dyDescent="0.2">
      <c r="A500" s="231"/>
      <c r="B500" s="224"/>
      <c r="C500" s="225"/>
      <c r="D500" s="225"/>
      <c r="E500" s="225"/>
      <c r="F500" s="177"/>
      <c r="G500" s="177"/>
      <c r="H500" s="177"/>
      <c r="I500" s="177"/>
      <c r="J500" s="223"/>
      <c r="K500" s="231"/>
      <c r="L500" s="231"/>
      <c r="M500" s="231"/>
      <c r="N500" s="231"/>
      <c r="O500" s="231"/>
      <c r="P500" s="231"/>
      <c r="Q500" s="231"/>
      <c r="R500" s="231"/>
      <c r="S500" s="231"/>
      <c r="T500" s="231"/>
      <c r="U500" s="231"/>
      <c r="V500" s="231"/>
      <c r="W500" s="231"/>
      <c r="X500" s="231"/>
      <c r="Y500" s="231"/>
    </row>
    <row r="501" spans="1:25" ht="15.75" hidden="1" customHeight="1" x14ac:dyDescent="0.2">
      <c r="A501" s="231"/>
      <c r="B501" s="224"/>
      <c r="C501" s="225"/>
      <c r="D501" s="225"/>
      <c r="E501" s="225"/>
      <c r="F501" s="177"/>
      <c r="G501" s="177"/>
      <c r="H501" s="177"/>
      <c r="I501" s="177"/>
      <c r="J501" s="223"/>
      <c r="K501" s="231"/>
      <c r="L501" s="231"/>
      <c r="M501" s="231"/>
      <c r="N501" s="231"/>
      <c r="O501" s="231"/>
      <c r="P501" s="231"/>
      <c r="Q501" s="231"/>
      <c r="R501" s="231"/>
      <c r="S501" s="231"/>
      <c r="T501" s="231"/>
      <c r="U501" s="231"/>
      <c r="V501" s="231"/>
      <c r="W501" s="231"/>
      <c r="X501" s="231"/>
      <c r="Y501" s="231"/>
    </row>
    <row r="502" spans="1:25" ht="15.75" hidden="1" customHeight="1" x14ac:dyDescent="0.2">
      <c r="A502" s="231"/>
      <c r="B502" s="224"/>
      <c r="C502" s="225"/>
      <c r="D502" s="225"/>
      <c r="E502" s="225"/>
      <c r="F502" s="177"/>
      <c r="G502" s="177"/>
      <c r="H502" s="177"/>
      <c r="I502" s="177"/>
      <c r="J502" s="223"/>
      <c r="K502" s="231"/>
      <c r="L502" s="231"/>
      <c r="M502" s="231"/>
      <c r="N502" s="231"/>
      <c r="O502" s="231"/>
      <c r="P502" s="231"/>
      <c r="Q502" s="231"/>
      <c r="R502" s="231"/>
      <c r="S502" s="231"/>
      <c r="T502" s="231"/>
      <c r="U502" s="231"/>
      <c r="V502" s="231"/>
      <c r="W502" s="231"/>
      <c r="X502" s="231"/>
      <c r="Y502" s="231"/>
    </row>
    <row r="503" spans="1:25" ht="15.75" hidden="1" customHeight="1" x14ac:dyDescent="0.2">
      <c r="A503" s="231"/>
      <c r="B503" s="224"/>
      <c r="C503" s="225"/>
      <c r="D503" s="225"/>
      <c r="E503" s="225"/>
      <c r="F503" s="177"/>
      <c r="G503" s="177"/>
      <c r="H503" s="177"/>
      <c r="I503" s="177"/>
      <c r="J503" s="223"/>
      <c r="K503" s="231"/>
      <c r="L503" s="231"/>
      <c r="M503" s="231"/>
      <c r="N503" s="231"/>
      <c r="O503" s="231"/>
      <c r="P503" s="231"/>
      <c r="Q503" s="231"/>
      <c r="R503" s="231"/>
      <c r="S503" s="231"/>
      <c r="T503" s="231"/>
      <c r="U503" s="231"/>
      <c r="V503" s="231"/>
      <c r="W503" s="231"/>
      <c r="X503" s="231"/>
      <c r="Y503" s="231"/>
    </row>
    <row r="504" spans="1:25" ht="15.75" hidden="1" customHeight="1" x14ac:dyDescent="0.2">
      <c r="A504" s="231"/>
      <c r="B504" s="224"/>
      <c r="C504" s="225"/>
      <c r="D504" s="225"/>
      <c r="E504" s="225"/>
      <c r="F504" s="177"/>
      <c r="G504" s="177"/>
      <c r="H504" s="177"/>
      <c r="I504" s="177"/>
      <c r="J504" s="223"/>
      <c r="K504" s="231"/>
      <c r="L504" s="231"/>
      <c r="M504" s="231"/>
      <c r="N504" s="231"/>
      <c r="O504" s="231"/>
      <c r="P504" s="231"/>
      <c r="Q504" s="231"/>
      <c r="R504" s="231"/>
      <c r="S504" s="231"/>
      <c r="T504" s="231"/>
      <c r="U504" s="231"/>
      <c r="V504" s="231"/>
      <c r="W504" s="231"/>
      <c r="X504" s="231"/>
      <c r="Y504" s="231"/>
    </row>
    <row r="505" spans="1:25" ht="15.75" hidden="1" customHeight="1" x14ac:dyDescent="0.2">
      <c r="A505" s="231"/>
      <c r="B505" s="224"/>
      <c r="C505" s="225"/>
      <c r="D505" s="225"/>
      <c r="E505" s="225"/>
      <c r="F505" s="177"/>
      <c r="G505" s="177"/>
      <c r="H505" s="177"/>
      <c r="I505" s="177"/>
      <c r="J505" s="223"/>
      <c r="K505" s="231"/>
      <c r="L505" s="231"/>
      <c r="M505" s="231"/>
      <c r="N505" s="231"/>
      <c r="O505" s="231"/>
      <c r="P505" s="231"/>
      <c r="Q505" s="231"/>
      <c r="R505" s="231"/>
      <c r="S505" s="231"/>
      <c r="T505" s="231"/>
      <c r="U505" s="231"/>
      <c r="V505" s="231"/>
      <c r="W505" s="231"/>
      <c r="X505" s="231"/>
      <c r="Y505" s="231"/>
    </row>
    <row r="506" spans="1:25" ht="15.75" hidden="1" customHeight="1" x14ac:dyDescent="0.2">
      <c r="A506" s="231"/>
      <c r="B506" s="224"/>
      <c r="C506" s="225"/>
      <c r="D506" s="225"/>
      <c r="E506" s="225"/>
      <c r="F506" s="177"/>
      <c r="G506" s="177"/>
      <c r="H506" s="177"/>
      <c r="I506" s="177"/>
      <c r="J506" s="223"/>
      <c r="K506" s="231"/>
      <c r="L506" s="231"/>
      <c r="M506" s="231"/>
      <c r="N506" s="231"/>
      <c r="O506" s="231"/>
      <c r="P506" s="231"/>
      <c r="Q506" s="231"/>
      <c r="R506" s="231"/>
      <c r="S506" s="231"/>
      <c r="T506" s="231"/>
      <c r="U506" s="231"/>
      <c r="V506" s="231"/>
      <c r="W506" s="231"/>
      <c r="X506" s="231"/>
      <c r="Y506" s="231"/>
    </row>
    <row r="507" spans="1:25" ht="15.75" hidden="1" customHeight="1" x14ac:dyDescent="0.2">
      <c r="A507" s="231"/>
      <c r="B507" s="224"/>
      <c r="C507" s="225"/>
      <c r="D507" s="225"/>
      <c r="E507" s="225"/>
      <c r="F507" s="177"/>
      <c r="G507" s="177"/>
      <c r="H507" s="177"/>
      <c r="I507" s="177"/>
      <c r="J507" s="223"/>
      <c r="K507" s="231"/>
      <c r="L507" s="231"/>
      <c r="M507" s="231"/>
      <c r="N507" s="231"/>
      <c r="O507" s="231"/>
      <c r="P507" s="231"/>
      <c r="Q507" s="231"/>
      <c r="R507" s="231"/>
      <c r="S507" s="231"/>
      <c r="T507" s="231"/>
      <c r="U507" s="231"/>
      <c r="V507" s="231"/>
      <c r="W507" s="231"/>
      <c r="X507" s="231"/>
      <c r="Y507" s="231"/>
    </row>
    <row r="508" spans="1:25" ht="15.75" hidden="1" customHeight="1" x14ac:dyDescent="0.2">
      <c r="A508" s="231"/>
      <c r="B508" s="224"/>
      <c r="C508" s="225"/>
      <c r="D508" s="225"/>
      <c r="E508" s="225"/>
      <c r="F508" s="177"/>
      <c r="G508" s="177"/>
      <c r="H508" s="177"/>
      <c r="I508" s="177"/>
      <c r="J508" s="223"/>
      <c r="K508" s="231"/>
      <c r="L508" s="231"/>
      <c r="M508" s="231"/>
      <c r="N508" s="231"/>
      <c r="O508" s="231"/>
      <c r="P508" s="231"/>
      <c r="Q508" s="231"/>
      <c r="R508" s="231"/>
      <c r="S508" s="231"/>
      <c r="T508" s="231"/>
      <c r="U508" s="231"/>
      <c r="V508" s="231"/>
      <c r="W508" s="231"/>
      <c r="X508" s="231"/>
      <c r="Y508" s="231"/>
    </row>
    <row r="509" spans="1:25" ht="15.75" hidden="1" customHeight="1" x14ac:dyDescent="0.2">
      <c r="A509" s="231"/>
      <c r="B509" s="224"/>
      <c r="C509" s="225"/>
      <c r="D509" s="225"/>
      <c r="E509" s="225"/>
      <c r="F509" s="177"/>
      <c r="G509" s="177"/>
      <c r="H509" s="177"/>
      <c r="I509" s="177"/>
      <c r="J509" s="223"/>
      <c r="K509" s="231"/>
      <c r="L509" s="231"/>
      <c r="M509" s="231"/>
      <c r="N509" s="231"/>
      <c r="O509" s="231"/>
      <c r="P509" s="231"/>
      <c r="Q509" s="231"/>
      <c r="R509" s="231"/>
      <c r="S509" s="231"/>
      <c r="T509" s="231"/>
      <c r="U509" s="231"/>
      <c r="V509" s="231"/>
      <c r="W509" s="231"/>
      <c r="X509" s="231"/>
      <c r="Y509" s="231"/>
    </row>
    <row r="510" spans="1:25" ht="15.75" hidden="1" customHeight="1" x14ac:dyDescent="0.2">
      <c r="A510" s="231"/>
      <c r="B510" s="224"/>
      <c r="C510" s="225"/>
      <c r="D510" s="225"/>
      <c r="E510" s="225"/>
      <c r="F510" s="177"/>
      <c r="G510" s="177"/>
      <c r="H510" s="177"/>
      <c r="I510" s="177"/>
      <c r="J510" s="223"/>
      <c r="K510" s="231"/>
      <c r="L510" s="231"/>
      <c r="M510" s="231"/>
      <c r="N510" s="231"/>
      <c r="O510" s="231"/>
      <c r="P510" s="231"/>
      <c r="Q510" s="231"/>
      <c r="R510" s="231"/>
      <c r="S510" s="231"/>
      <c r="T510" s="231"/>
      <c r="U510" s="231"/>
      <c r="V510" s="231"/>
      <c r="W510" s="231"/>
      <c r="X510" s="231"/>
      <c r="Y510" s="231"/>
    </row>
    <row r="511" spans="1:25" ht="15.75" hidden="1" customHeight="1" x14ac:dyDescent="0.2">
      <c r="A511" s="231"/>
      <c r="B511" s="224"/>
      <c r="C511" s="225"/>
      <c r="D511" s="225"/>
      <c r="E511" s="225"/>
      <c r="F511" s="177"/>
      <c r="G511" s="177"/>
      <c r="H511" s="177"/>
      <c r="I511" s="177"/>
      <c r="J511" s="223"/>
      <c r="K511" s="231"/>
      <c r="L511" s="231"/>
      <c r="M511" s="231"/>
      <c r="N511" s="231"/>
      <c r="O511" s="231"/>
      <c r="P511" s="231"/>
      <c r="Q511" s="231"/>
      <c r="R511" s="231"/>
      <c r="S511" s="231"/>
      <c r="T511" s="231"/>
      <c r="U511" s="231"/>
      <c r="V511" s="231"/>
      <c r="W511" s="231"/>
      <c r="X511" s="231"/>
      <c r="Y511" s="231"/>
    </row>
    <row r="512" spans="1:25" ht="15.75" hidden="1" customHeight="1" x14ac:dyDescent="0.2">
      <c r="A512" s="231"/>
      <c r="B512" s="224"/>
      <c r="C512" s="225"/>
      <c r="D512" s="225"/>
      <c r="E512" s="225"/>
      <c r="F512" s="177"/>
      <c r="G512" s="177"/>
      <c r="H512" s="177"/>
      <c r="I512" s="177"/>
      <c r="J512" s="223"/>
      <c r="K512" s="231"/>
      <c r="L512" s="231"/>
      <c r="M512" s="231"/>
      <c r="N512" s="231"/>
      <c r="O512" s="231"/>
      <c r="P512" s="231"/>
      <c r="Q512" s="231"/>
      <c r="R512" s="231"/>
      <c r="S512" s="231"/>
      <c r="T512" s="231"/>
      <c r="U512" s="231"/>
      <c r="V512" s="231"/>
      <c r="W512" s="231"/>
      <c r="X512" s="231"/>
      <c r="Y512" s="231"/>
    </row>
    <row r="513" spans="1:25" ht="15.75" hidden="1" customHeight="1" x14ac:dyDescent="0.2">
      <c r="A513" s="231"/>
      <c r="B513" s="224"/>
      <c r="C513" s="225"/>
      <c r="D513" s="225"/>
      <c r="E513" s="225"/>
      <c r="F513" s="177"/>
      <c r="G513" s="177"/>
      <c r="H513" s="177"/>
      <c r="I513" s="177"/>
      <c r="J513" s="223"/>
      <c r="K513" s="231"/>
      <c r="L513" s="231"/>
      <c r="M513" s="231"/>
      <c r="N513" s="231"/>
      <c r="O513" s="231"/>
      <c r="P513" s="231"/>
      <c r="Q513" s="231"/>
      <c r="R513" s="231"/>
      <c r="S513" s="231"/>
      <c r="T513" s="231"/>
      <c r="U513" s="231"/>
      <c r="V513" s="231"/>
      <c r="W513" s="231"/>
      <c r="X513" s="231"/>
      <c r="Y513" s="231"/>
    </row>
    <row r="514" spans="1:25" ht="15.75" hidden="1" customHeight="1" x14ac:dyDescent="0.2">
      <c r="A514" s="231"/>
      <c r="B514" s="224"/>
      <c r="C514" s="225"/>
      <c r="D514" s="225"/>
      <c r="E514" s="225"/>
      <c r="F514" s="177"/>
      <c r="G514" s="177"/>
      <c r="H514" s="177"/>
      <c r="I514" s="177"/>
      <c r="J514" s="223"/>
      <c r="K514" s="231"/>
      <c r="L514" s="231"/>
      <c r="M514" s="231"/>
      <c r="N514" s="231"/>
      <c r="O514" s="231"/>
      <c r="P514" s="231"/>
      <c r="Q514" s="231"/>
      <c r="R514" s="231"/>
      <c r="S514" s="231"/>
      <c r="T514" s="231"/>
      <c r="U514" s="231"/>
      <c r="V514" s="231"/>
      <c r="W514" s="231"/>
      <c r="X514" s="231"/>
      <c r="Y514" s="231"/>
    </row>
    <row r="515" spans="1:25" ht="15.75" hidden="1" customHeight="1" x14ac:dyDescent="0.2">
      <c r="A515" s="231"/>
      <c r="B515" s="224"/>
      <c r="C515" s="225"/>
      <c r="D515" s="225"/>
      <c r="E515" s="225"/>
      <c r="F515" s="177"/>
      <c r="G515" s="177"/>
      <c r="H515" s="177"/>
      <c r="I515" s="177"/>
      <c r="J515" s="223"/>
      <c r="K515" s="231"/>
      <c r="L515" s="231"/>
      <c r="M515" s="231"/>
      <c r="N515" s="231"/>
      <c r="O515" s="231"/>
      <c r="P515" s="231"/>
      <c r="Q515" s="231"/>
      <c r="R515" s="231"/>
      <c r="S515" s="231"/>
      <c r="T515" s="231"/>
      <c r="U515" s="231"/>
      <c r="V515" s="231"/>
      <c r="W515" s="231"/>
      <c r="X515" s="231"/>
      <c r="Y515" s="231"/>
    </row>
    <row r="516" spans="1:25" ht="15.75" hidden="1" customHeight="1" x14ac:dyDescent="0.2">
      <c r="A516" s="231"/>
      <c r="B516" s="224"/>
      <c r="C516" s="225"/>
      <c r="D516" s="225"/>
      <c r="E516" s="225"/>
      <c r="F516" s="177"/>
      <c r="G516" s="177"/>
      <c r="H516" s="177"/>
      <c r="I516" s="177"/>
      <c r="J516" s="223"/>
      <c r="K516" s="231"/>
      <c r="L516" s="231"/>
      <c r="M516" s="231"/>
      <c r="N516" s="231"/>
      <c r="O516" s="231"/>
      <c r="P516" s="231"/>
      <c r="Q516" s="231"/>
      <c r="R516" s="231"/>
      <c r="S516" s="231"/>
      <c r="T516" s="231"/>
      <c r="U516" s="231"/>
      <c r="V516" s="231"/>
      <c r="W516" s="231"/>
      <c r="X516" s="231"/>
      <c r="Y516" s="231"/>
    </row>
    <row r="517" spans="1:25" ht="15.75" hidden="1" customHeight="1" x14ac:dyDescent="0.2">
      <c r="A517" s="231"/>
      <c r="B517" s="224"/>
      <c r="C517" s="225"/>
      <c r="D517" s="225"/>
      <c r="E517" s="225"/>
      <c r="F517" s="177"/>
      <c r="G517" s="177"/>
      <c r="H517" s="177"/>
      <c r="I517" s="177"/>
      <c r="J517" s="223"/>
      <c r="K517" s="231"/>
      <c r="L517" s="231"/>
      <c r="M517" s="231"/>
      <c r="N517" s="231"/>
      <c r="O517" s="231"/>
      <c r="P517" s="231"/>
      <c r="Q517" s="231"/>
      <c r="R517" s="231"/>
      <c r="S517" s="231"/>
      <c r="T517" s="231"/>
      <c r="U517" s="231"/>
      <c r="V517" s="231"/>
      <c r="W517" s="231"/>
      <c r="X517" s="231"/>
      <c r="Y517" s="231"/>
    </row>
    <row r="518" spans="1:25" ht="15.75" hidden="1" customHeight="1" x14ac:dyDescent="0.2">
      <c r="A518" s="231"/>
      <c r="B518" s="224"/>
      <c r="C518" s="225"/>
      <c r="D518" s="225"/>
      <c r="E518" s="225"/>
      <c r="F518" s="177"/>
      <c r="G518" s="177"/>
      <c r="H518" s="177"/>
      <c r="I518" s="177"/>
      <c r="J518" s="223"/>
      <c r="K518" s="231"/>
      <c r="L518" s="231"/>
      <c r="M518" s="231"/>
      <c r="N518" s="231"/>
      <c r="O518" s="231"/>
      <c r="P518" s="231"/>
      <c r="Q518" s="231"/>
      <c r="R518" s="231"/>
      <c r="S518" s="231"/>
      <c r="T518" s="231"/>
      <c r="U518" s="231"/>
      <c r="V518" s="231"/>
      <c r="W518" s="231"/>
      <c r="X518" s="231"/>
      <c r="Y518" s="231"/>
    </row>
    <row r="519" spans="1:25" ht="15.75" hidden="1" customHeight="1" x14ac:dyDescent="0.2">
      <c r="A519" s="231"/>
      <c r="B519" s="224"/>
      <c r="C519" s="225"/>
      <c r="D519" s="225"/>
      <c r="E519" s="225"/>
      <c r="F519" s="177"/>
      <c r="G519" s="177"/>
      <c r="H519" s="177"/>
      <c r="I519" s="177"/>
      <c r="J519" s="223"/>
      <c r="K519" s="231"/>
      <c r="L519" s="231"/>
      <c r="M519" s="231"/>
      <c r="N519" s="231"/>
      <c r="O519" s="231"/>
      <c r="P519" s="231"/>
      <c r="Q519" s="231"/>
      <c r="R519" s="231"/>
      <c r="S519" s="231"/>
      <c r="T519" s="231"/>
      <c r="U519" s="231"/>
      <c r="V519" s="231"/>
      <c r="W519" s="231"/>
      <c r="X519" s="231"/>
      <c r="Y519" s="231"/>
    </row>
    <row r="520" spans="1:25" ht="15.75" hidden="1" customHeight="1" x14ac:dyDescent="0.2">
      <c r="A520" s="231"/>
      <c r="B520" s="224"/>
      <c r="C520" s="225"/>
      <c r="D520" s="225"/>
      <c r="E520" s="225"/>
      <c r="F520" s="177"/>
      <c r="G520" s="177"/>
      <c r="H520" s="177"/>
      <c r="I520" s="177"/>
      <c r="J520" s="223"/>
      <c r="K520" s="231"/>
      <c r="L520" s="231"/>
      <c r="M520" s="231"/>
      <c r="N520" s="231"/>
      <c r="O520" s="231"/>
      <c r="P520" s="231"/>
      <c r="Q520" s="231"/>
      <c r="R520" s="231"/>
      <c r="S520" s="231"/>
      <c r="T520" s="231"/>
      <c r="U520" s="231"/>
      <c r="V520" s="231"/>
      <c r="W520" s="231"/>
      <c r="X520" s="231"/>
      <c r="Y520" s="231"/>
    </row>
    <row r="521" spans="1:25" ht="15.75" hidden="1" customHeight="1" x14ac:dyDescent="0.2">
      <c r="A521" s="231"/>
      <c r="B521" s="224"/>
      <c r="C521" s="225"/>
      <c r="D521" s="225"/>
      <c r="E521" s="225"/>
      <c r="F521" s="177"/>
      <c r="G521" s="177"/>
      <c r="H521" s="177"/>
      <c r="I521" s="177"/>
      <c r="J521" s="223"/>
      <c r="K521" s="231"/>
      <c r="L521" s="231"/>
      <c r="M521" s="231"/>
      <c r="N521" s="231"/>
      <c r="O521" s="231"/>
      <c r="P521" s="231"/>
      <c r="Q521" s="231"/>
      <c r="R521" s="231"/>
      <c r="S521" s="231"/>
      <c r="T521" s="231"/>
      <c r="U521" s="231"/>
      <c r="V521" s="231"/>
      <c r="W521" s="231"/>
      <c r="X521" s="231"/>
      <c r="Y521" s="231"/>
    </row>
    <row r="522" spans="1:25" ht="15.75" hidden="1" customHeight="1" x14ac:dyDescent="0.2">
      <c r="A522" s="231"/>
      <c r="B522" s="224"/>
      <c r="C522" s="225"/>
      <c r="D522" s="225"/>
      <c r="E522" s="225"/>
      <c r="F522" s="177"/>
      <c r="G522" s="177"/>
      <c r="H522" s="177"/>
      <c r="I522" s="177"/>
      <c r="J522" s="223"/>
      <c r="K522" s="231"/>
      <c r="L522" s="231"/>
      <c r="M522" s="231"/>
      <c r="N522" s="231"/>
      <c r="O522" s="231"/>
      <c r="P522" s="231"/>
      <c r="Q522" s="231"/>
      <c r="R522" s="231"/>
      <c r="S522" s="231"/>
      <c r="T522" s="231"/>
      <c r="U522" s="231"/>
      <c r="V522" s="231"/>
      <c r="W522" s="231"/>
      <c r="X522" s="231"/>
      <c r="Y522" s="231"/>
    </row>
    <row r="523" spans="1:25" ht="15.75" hidden="1" customHeight="1" x14ac:dyDescent="0.2">
      <c r="A523" s="231"/>
      <c r="B523" s="224"/>
      <c r="C523" s="225"/>
      <c r="D523" s="225"/>
      <c r="E523" s="225"/>
      <c r="F523" s="177"/>
      <c r="G523" s="177"/>
      <c r="H523" s="177"/>
      <c r="I523" s="177"/>
      <c r="J523" s="223"/>
      <c r="K523" s="231"/>
      <c r="L523" s="231"/>
      <c r="M523" s="231"/>
      <c r="N523" s="231"/>
      <c r="O523" s="231"/>
      <c r="P523" s="231"/>
      <c r="Q523" s="231"/>
      <c r="R523" s="231"/>
      <c r="S523" s="231"/>
      <c r="T523" s="231"/>
      <c r="U523" s="231"/>
      <c r="V523" s="231"/>
      <c r="W523" s="231"/>
      <c r="X523" s="231"/>
      <c r="Y523" s="231"/>
    </row>
    <row r="524" spans="1:25" ht="15.75" hidden="1" customHeight="1" x14ac:dyDescent="0.2">
      <c r="A524" s="231"/>
      <c r="B524" s="224"/>
      <c r="C524" s="225"/>
      <c r="D524" s="225"/>
      <c r="E524" s="225"/>
      <c r="F524" s="177"/>
      <c r="G524" s="177"/>
      <c r="H524" s="177"/>
      <c r="I524" s="177"/>
      <c r="J524" s="223"/>
      <c r="K524" s="231"/>
      <c r="L524" s="231"/>
      <c r="M524" s="231"/>
      <c r="N524" s="231"/>
      <c r="O524" s="231"/>
      <c r="P524" s="231"/>
      <c r="Q524" s="231"/>
      <c r="R524" s="231"/>
      <c r="S524" s="231"/>
      <c r="T524" s="231"/>
      <c r="U524" s="231"/>
      <c r="V524" s="231"/>
      <c r="W524" s="231"/>
      <c r="X524" s="231"/>
      <c r="Y524" s="231"/>
    </row>
    <row r="525" spans="1:25" ht="15.75" hidden="1" customHeight="1" x14ac:dyDescent="0.2">
      <c r="A525" s="231"/>
      <c r="B525" s="224"/>
      <c r="C525" s="225"/>
      <c r="D525" s="225"/>
      <c r="E525" s="225"/>
      <c r="F525" s="177"/>
      <c r="G525" s="177"/>
      <c r="H525" s="177"/>
      <c r="I525" s="177"/>
      <c r="J525" s="223"/>
      <c r="K525" s="231"/>
      <c r="L525" s="231"/>
      <c r="M525" s="231"/>
      <c r="N525" s="231"/>
      <c r="O525" s="231"/>
      <c r="P525" s="231"/>
      <c r="Q525" s="231"/>
      <c r="R525" s="231"/>
      <c r="S525" s="231"/>
      <c r="T525" s="231"/>
      <c r="U525" s="231"/>
      <c r="V525" s="231"/>
      <c r="W525" s="231"/>
      <c r="X525" s="231"/>
      <c r="Y525" s="231"/>
    </row>
    <row r="526" spans="1:25" ht="15.75" hidden="1" customHeight="1" x14ac:dyDescent="0.2">
      <c r="A526" s="231"/>
      <c r="B526" s="224"/>
      <c r="C526" s="225"/>
      <c r="D526" s="225"/>
      <c r="E526" s="225"/>
      <c r="F526" s="177"/>
      <c r="G526" s="177"/>
      <c r="H526" s="177"/>
      <c r="I526" s="177"/>
      <c r="J526" s="223"/>
      <c r="K526" s="231"/>
      <c r="L526" s="231"/>
      <c r="M526" s="231"/>
      <c r="N526" s="231"/>
      <c r="O526" s="231"/>
      <c r="P526" s="231"/>
      <c r="Q526" s="231"/>
      <c r="R526" s="231"/>
      <c r="S526" s="231"/>
      <c r="T526" s="231"/>
      <c r="U526" s="231"/>
      <c r="V526" s="231"/>
      <c r="W526" s="231"/>
      <c r="X526" s="231"/>
      <c r="Y526" s="231"/>
    </row>
    <row r="527" spans="1:25" ht="15.75" hidden="1" customHeight="1" x14ac:dyDescent="0.2">
      <c r="A527" s="231"/>
      <c r="B527" s="224"/>
      <c r="C527" s="225"/>
      <c r="D527" s="225"/>
      <c r="E527" s="225"/>
      <c r="F527" s="177"/>
      <c r="G527" s="177"/>
      <c r="H527" s="177"/>
      <c r="I527" s="177"/>
      <c r="J527" s="223"/>
      <c r="K527" s="231"/>
      <c r="L527" s="231"/>
      <c r="M527" s="231"/>
      <c r="N527" s="231"/>
      <c r="O527" s="231"/>
      <c r="P527" s="231"/>
      <c r="Q527" s="231"/>
      <c r="R527" s="231"/>
      <c r="S527" s="231"/>
      <c r="T527" s="231"/>
      <c r="U527" s="231"/>
      <c r="V527" s="231"/>
      <c r="W527" s="231"/>
      <c r="X527" s="231"/>
      <c r="Y527" s="231"/>
    </row>
    <row r="528" spans="1:25" ht="15.75" hidden="1" customHeight="1" x14ac:dyDescent="0.2">
      <c r="A528" s="231"/>
      <c r="B528" s="224"/>
      <c r="C528" s="225"/>
      <c r="D528" s="225"/>
      <c r="E528" s="225"/>
      <c r="F528" s="177"/>
      <c r="G528" s="177"/>
      <c r="H528" s="177"/>
      <c r="I528" s="177"/>
      <c r="J528" s="223"/>
      <c r="K528" s="231"/>
      <c r="L528" s="231"/>
      <c r="M528" s="231"/>
      <c r="N528" s="231"/>
      <c r="O528" s="231"/>
      <c r="P528" s="231"/>
      <c r="Q528" s="231"/>
      <c r="R528" s="231"/>
      <c r="S528" s="231"/>
      <c r="T528" s="231"/>
      <c r="U528" s="231"/>
      <c r="V528" s="231"/>
      <c r="W528" s="231"/>
      <c r="X528" s="231"/>
      <c r="Y528" s="231"/>
    </row>
    <row r="529" spans="1:25" ht="15.75" hidden="1" customHeight="1" x14ac:dyDescent="0.2">
      <c r="A529" s="231"/>
      <c r="B529" s="224"/>
      <c r="C529" s="225"/>
      <c r="D529" s="225"/>
      <c r="E529" s="225"/>
      <c r="F529" s="177"/>
      <c r="G529" s="177"/>
      <c r="H529" s="177"/>
      <c r="I529" s="177"/>
      <c r="J529" s="223"/>
      <c r="K529" s="231"/>
      <c r="L529" s="231"/>
      <c r="M529" s="231"/>
      <c r="N529" s="231"/>
      <c r="O529" s="231"/>
      <c r="P529" s="231"/>
      <c r="Q529" s="231"/>
      <c r="R529" s="231"/>
      <c r="S529" s="231"/>
      <c r="T529" s="231"/>
      <c r="U529" s="231"/>
      <c r="V529" s="231"/>
      <c r="W529" s="231"/>
      <c r="X529" s="231"/>
      <c r="Y529" s="231"/>
    </row>
    <row r="530" spans="1:25" ht="15.75" hidden="1" customHeight="1" x14ac:dyDescent="0.2">
      <c r="A530" s="231"/>
      <c r="B530" s="224"/>
      <c r="C530" s="225"/>
      <c r="D530" s="225"/>
      <c r="E530" s="225"/>
      <c r="F530" s="177"/>
      <c r="G530" s="177"/>
      <c r="H530" s="177"/>
      <c r="I530" s="177"/>
      <c r="J530" s="223"/>
      <c r="K530" s="231"/>
      <c r="L530" s="231"/>
      <c r="M530" s="231"/>
      <c r="N530" s="231"/>
      <c r="O530" s="231"/>
      <c r="P530" s="231"/>
      <c r="Q530" s="231"/>
      <c r="R530" s="231"/>
      <c r="S530" s="231"/>
      <c r="T530" s="231"/>
      <c r="U530" s="231"/>
      <c r="V530" s="231"/>
      <c r="W530" s="231"/>
      <c r="X530" s="231"/>
      <c r="Y530" s="231"/>
    </row>
    <row r="531" spans="1:25" ht="15.75" hidden="1" customHeight="1" x14ac:dyDescent="0.2">
      <c r="A531" s="231"/>
      <c r="B531" s="224"/>
      <c r="C531" s="225"/>
      <c r="D531" s="225"/>
      <c r="E531" s="225"/>
      <c r="F531" s="177"/>
      <c r="G531" s="177"/>
      <c r="H531" s="177"/>
      <c r="I531" s="177"/>
      <c r="J531" s="223"/>
      <c r="K531" s="231"/>
      <c r="L531" s="231"/>
      <c r="M531" s="231"/>
      <c r="N531" s="231"/>
      <c r="O531" s="231"/>
      <c r="P531" s="231"/>
      <c r="Q531" s="231"/>
      <c r="R531" s="231"/>
      <c r="S531" s="231"/>
      <c r="T531" s="231"/>
      <c r="U531" s="231"/>
      <c r="V531" s="231"/>
      <c r="W531" s="231"/>
      <c r="X531" s="231"/>
      <c r="Y531" s="231"/>
    </row>
    <row r="532" spans="1:25" ht="15.75" hidden="1" customHeight="1" x14ac:dyDescent="0.2">
      <c r="A532" s="231"/>
      <c r="B532" s="224"/>
      <c r="C532" s="225"/>
      <c r="D532" s="225"/>
      <c r="E532" s="225"/>
      <c r="F532" s="177"/>
      <c r="G532" s="177"/>
      <c r="H532" s="177"/>
      <c r="I532" s="177"/>
      <c r="J532" s="223"/>
      <c r="K532" s="231"/>
      <c r="L532" s="231"/>
      <c r="M532" s="231"/>
      <c r="N532" s="231"/>
      <c r="O532" s="231"/>
      <c r="P532" s="231"/>
      <c r="Q532" s="231"/>
      <c r="R532" s="231"/>
      <c r="S532" s="231"/>
      <c r="T532" s="231"/>
      <c r="U532" s="231"/>
      <c r="V532" s="231"/>
      <c r="W532" s="231"/>
      <c r="X532" s="231"/>
      <c r="Y532" s="231"/>
    </row>
    <row r="533" spans="1:25" ht="15.75" hidden="1" customHeight="1" x14ac:dyDescent="0.2">
      <c r="A533" s="231"/>
      <c r="B533" s="224"/>
      <c r="C533" s="225"/>
      <c r="D533" s="225"/>
      <c r="E533" s="225"/>
      <c r="F533" s="177"/>
      <c r="G533" s="177"/>
      <c r="H533" s="177"/>
      <c r="I533" s="177"/>
      <c r="J533" s="223"/>
      <c r="K533" s="231"/>
      <c r="L533" s="231"/>
      <c r="M533" s="231"/>
      <c r="N533" s="231"/>
      <c r="O533" s="231"/>
      <c r="P533" s="231"/>
      <c r="Q533" s="231"/>
      <c r="R533" s="231"/>
      <c r="S533" s="231"/>
      <c r="T533" s="231"/>
      <c r="U533" s="231"/>
      <c r="V533" s="231"/>
      <c r="W533" s="231"/>
      <c r="X533" s="231"/>
      <c r="Y533" s="231"/>
    </row>
    <row r="534" spans="1:25" ht="15.75" hidden="1" customHeight="1" x14ac:dyDescent="0.2">
      <c r="A534" s="231"/>
      <c r="B534" s="224"/>
      <c r="C534" s="225"/>
      <c r="D534" s="225"/>
      <c r="E534" s="225"/>
      <c r="F534" s="177"/>
      <c r="G534" s="177"/>
      <c r="H534" s="177"/>
      <c r="I534" s="177"/>
      <c r="J534" s="223"/>
      <c r="K534" s="231"/>
      <c r="L534" s="231"/>
      <c r="M534" s="231"/>
      <c r="N534" s="231"/>
      <c r="O534" s="231"/>
      <c r="P534" s="231"/>
      <c r="Q534" s="231"/>
      <c r="R534" s="231"/>
      <c r="S534" s="231"/>
      <c r="T534" s="231"/>
      <c r="U534" s="231"/>
      <c r="V534" s="231"/>
      <c r="W534" s="231"/>
      <c r="X534" s="231"/>
      <c r="Y534" s="231"/>
    </row>
    <row r="535" spans="1:25" ht="15.75" hidden="1" customHeight="1" x14ac:dyDescent="0.2">
      <c r="A535" s="231"/>
      <c r="B535" s="224"/>
      <c r="C535" s="225"/>
      <c r="D535" s="225"/>
      <c r="E535" s="225"/>
      <c r="F535" s="177"/>
      <c r="G535" s="177"/>
      <c r="H535" s="177"/>
      <c r="I535" s="177"/>
      <c r="J535" s="223"/>
      <c r="K535" s="231"/>
      <c r="L535" s="231"/>
      <c r="M535" s="231"/>
      <c r="N535" s="231"/>
      <c r="O535" s="231"/>
      <c r="P535" s="231"/>
      <c r="Q535" s="231"/>
      <c r="R535" s="231"/>
      <c r="S535" s="231"/>
      <c r="T535" s="231"/>
      <c r="U535" s="231"/>
      <c r="V535" s="231"/>
      <c r="W535" s="231"/>
      <c r="X535" s="231"/>
      <c r="Y535" s="231"/>
    </row>
    <row r="536" spans="1:25" ht="15.75" hidden="1" customHeight="1" x14ac:dyDescent="0.2">
      <c r="A536" s="231"/>
      <c r="B536" s="224"/>
      <c r="C536" s="225"/>
      <c r="D536" s="225"/>
      <c r="E536" s="225"/>
      <c r="F536" s="177"/>
      <c r="G536" s="177"/>
      <c r="H536" s="177"/>
      <c r="I536" s="177"/>
      <c r="J536" s="223"/>
      <c r="K536" s="231"/>
      <c r="L536" s="231"/>
      <c r="M536" s="231"/>
      <c r="N536" s="231"/>
      <c r="O536" s="231"/>
      <c r="P536" s="231"/>
      <c r="Q536" s="231"/>
      <c r="R536" s="231"/>
      <c r="S536" s="231"/>
      <c r="T536" s="231"/>
      <c r="U536" s="231"/>
      <c r="V536" s="231"/>
      <c r="W536" s="231"/>
      <c r="X536" s="231"/>
      <c r="Y536" s="231"/>
    </row>
    <row r="537" spans="1:25" ht="15.75" hidden="1" customHeight="1" x14ac:dyDescent="0.2">
      <c r="A537" s="231"/>
      <c r="B537" s="224"/>
      <c r="C537" s="225"/>
      <c r="D537" s="225"/>
      <c r="E537" s="225"/>
      <c r="F537" s="177"/>
      <c r="G537" s="177"/>
      <c r="H537" s="177"/>
      <c r="I537" s="177"/>
      <c r="J537" s="223"/>
      <c r="K537" s="231"/>
      <c r="L537" s="231"/>
      <c r="M537" s="231"/>
      <c r="N537" s="231"/>
      <c r="O537" s="231"/>
      <c r="P537" s="231"/>
      <c r="Q537" s="231"/>
      <c r="R537" s="231"/>
      <c r="S537" s="231"/>
      <c r="T537" s="231"/>
      <c r="U537" s="231"/>
      <c r="V537" s="231"/>
      <c r="W537" s="231"/>
      <c r="X537" s="231"/>
      <c r="Y537" s="231"/>
    </row>
    <row r="538" spans="1:25" ht="15.75" hidden="1" customHeight="1" x14ac:dyDescent="0.2">
      <c r="A538" s="231"/>
      <c r="B538" s="224"/>
      <c r="C538" s="225"/>
      <c r="D538" s="225"/>
      <c r="E538" s="225"/>
      <c r="F538" s="177"/>
      <c r="G538" s="177"/>
      <c r="H538" s="177"/>
      <c r="I538" s="177"/>
      <c r="J538" s="223"/>
      <c r="K538" s="231"/>
      <c r="L538" s="231"/>
      <c r="M538" s="231"/>
      <c r="N538" s="231"/>
      <c r="O538" s="231"/>
      <c r="P538" s="231"/>
      <c r="Q538" s="231"/>
      <c r="R538" s="231"/>
      <c r="S538" s="231"/>
      <c r="T538" s="231"/>
      <c r="U538" s="231"/>
      <c r="V538" s="231"/>
      <c r="W538" s="231"/>
      <c r="X538" s="231"/>
      <c r="Y538" s="231"/>
    </row>
    <row r="539" spans="1:25" ht="15.75" hidden="1" customHeight="1" x14ac:dyDescent="0.2">
      <c r="A539" s="231"/>
      <c r="B539" s="224"/>
      <c r="C539" s="225"/>
      <c r="D539" s="225"/>
      <c r="E539" s="225"/>
      <c r="F539" s="177"/>
      <c r="G539" s="177"/>
      <c r="H539" s="177"/>
      <c r="I539" s="177"/>
      <c r="J539" s="223"/>
      <c r="K539" s="231"/>
      <c r="L539" s="231"/>
      <c r="M539" s="231"/>
      <c r="N539" s="231"/>
      <c r="O539" s="231"/>
      <c r="P539" s="231"/>
      <c r="Q539" s="231"/>
      <c r="R539" s="231"/>
      <c r="S539" s="231"/>
      <c r="T539" s="231"/>
      <c r="U539" s="231"/>
      <c r="V539" s="231"/>
      <c r="W539" s="231"/>
      <c r="X539" s="231"/>
      <c r="Y539" s="231"/>
    </row>
    <row r="540" spans="1:25" ht="15.75" hidden="1" customHeight="1" x14ac:dyDescent="0.2">
      <c r="A540" s="231"/>
      <c r="B540" s="224"/>
      <c r="C540" s="225"/>
      <c r="D540" s="225"/>
      <c r="E540" s="225"/>
      <c r="F540" s="177"/>
      <c r="G540" s="177"/>
      <c r="H540" s="177"/>
      <c r="I540" s="177"/>
      <c r="J540" s="223"/>
      <c r="K540" s="231"/>
      <c r="L540" s="231"/>
      <c r="M540" s="231"/>
      <c r="N540" s="231"/>
      <c r="O540" s="231"/>
      <c r="P540" s="231"/>
      <c r="Q540" s="231"/>
      <c r="R540" s="231"/>
      <c r="S540" s="231"/>
      <c r="T540" s="231"/>
      <c r="U540" s="231"/>
      <c r="V540" s="231"/>
      <c r="W540" s="231"/>
      <c r="X540" s="231"/>
      <c r="Y540" s="231"/>
    </row>
    <row r="541" spans="1:25" ht="15.75" hidden="1" customHeight="1" x14ac:dyDescent="0.2">
      <c r="A541" s="231"/>
      <c r="B541" s="224"/>
      <c r="C541" s="225"/>
      <c r="D541" s="225"/>
      <c r="E541" s="225"/>
      <c r="F541" s="177"/>
      <c r="G541" s="177"/>
      <c r="H541" s="177"/>
      <c r="I541" s="177"/>
      <c r="J541" s="223"/>
      <c r="K541" s="231"/>
      <c r="L541" s="231"/>
      <c r="M541" s="231"/>
      <c r="N541" s="231"/>
      <c r="O541" s="231"/>
      <c r="P541" s="231"/>
      <c r="Q541" s="231"/>
      <c r="R541" s="231"/>
      <c r="S541" s="231"/>
      <c r="T541" s="231"/>
      <c r="U541" s="231"/>
      <c r="V541" s="231"/>
      <c r="W541" s="231"/>
      <c r="X541" s="231"/>
      <c r="Y541" s="231"/>
    </row>
    <row r="542" spans="1:25" ht="15.75" hidden="1" customHeight="1" x14ac:dyDescent="0.2">
      <c r="A542" s="231"/>
      <c r="B542" s="224"/>
      <c r="C542" s="225"/>
      <c r="D542" s="225"/>
      <c r="E542" s="225"/>
      <c r="F542" s="177"/>
      <c r="G542" s="177"/>
      <c r="H542" s="177"/>
      <c r="I542" s="177"/>
      <c r="J542" s="223"/>
      <c r="K542" s="231"/>
      <c r="L542" s="231"/>
      <c r="M542" s="231"/>
      <c r="N542" s="231"/>
      <c r="O542" s="231"/>
      <c r="P542" s="231"/>
      <c r="Q542" s="231"/>
      <c r="R542" s="231"/>
      <c r="S542" s="231"/>
      <c r="T542" s="231"/>
      <c r="U542" s="231"/>
      <c r="V542" s="231"/>
      <c r="W542" s="231"/>
      <c r="X542" s="231"/>
      <c r="Y542" s="231"/>
    </row>
    <row r="543" spans="1:25" ht="15.75" hidden="1" customHeight="1" x14ac:dyDescent="0.2">
      <c r="A543" s="231"/>
      <c r="B543" s="224"/>
      <c r="C543" s="225"/>
      <c r="D543" s="225"/>
      <c r="E543" s="225"/>
      <c r="F543" s="177"/>
      <c r="G543" s="177"/>
      <c r="H543" s="177"/>
      <c r="I543" s="177"/>
      <c r="J543" s="223"/>
      <c r="K543" s="231"/>
      <c r="L543" s="231"/>
      <c r="M543" s="231"/>
      <c r="N543" s="231"/>
      <c r="O543" s="231"/>
      <c r="P543" s="231"/>
      <c r="Q543" s="231"/>
      <c r="R543" s="231"/>
      <c r="S543" s="231"/>
      <c r="T543" s="231"/>
      <c r="U543" s="231"/>
      <c r="V543" s="231"/>
      <c r="W543" s="231"/>
      <c r="X543" s="231"/>
      <c r="Y543" s="231"/>
    </row>
    <row r="544" spans="1:25" ht="15.75" hidden="1" customHeight="1" x14ac:dyDescent="0.2">
      <c r="A544" s="231"/>
      <c r="B544" s="224"/>
      <c r="C544" s="225"/>
      <c r="D544" s="225"/>
      <c r="E544" s="225"/>
      <c r="F544" s="177"/>
      <c r="G544" s="177"/>
      <c r="H544" s="177"/>
      <c r="I544" s="177"/>
      <c r="J544" s="223"/>
      <c r="K544" s="231"/>
      <c r="L544" s="231"/>
      <c r="M544" s="231"/>
      <c r="N544" s="231"/>
      <c r="O544" s="231"/>
      <c r="P544" s="231"/>
      <c r="Q544" s="231"/>
      <c r="R544" s="231"/>
      <c r="S544" s="231"/>
      <c r="T544" s="231"/>
      <c r="U544" s="231"/>
      <c r="V544" s="231"/>
      <c r="W544" s="231"/>
      <c r="X544" s="231"/>
      <c r="Y544" s="231"/>
    </row>
    <row r="545" spans="1:25" ht="15.75" hidden="1" customHeight="1" x14ac:dyDescent="0.2">
      <c r="A545" s="231"/>
      <c r="B545" s="224"/>
      <c r="C545" s="225"/>
      <c r="D545" s="225"/>
      <c r="E545" s="225"/>
      <c r="F545" s="177"/>
      <c r="G545" s="177"/>
      <c r="H545" s="177"/>
      <c r="I545" s="177"/>
      <c r="J545" s="223"/>
      <c r="K545" s="231"/>
      <c r="L545" s="231"/>
      <c r="M545" s="231"/>
      <c r="N545" s="231"/>
      <c r="O545" s="231"/>
      <c r="P545" s="231"/>
      <c r="Q545" s="231"/>
      <c r="R545" s="231"/>
      <c r="S545" s="231"/>
      <c r="T545" s="231"/>
      <c r="U545" s="231"/>
      <c r="V545" s="231"/>
      <c r="W545" s="231"/>
      <c r="X545" s="231"/>
      <c r="Y545" s="231"/>
    </row>
    <row r="546" spans="1:25" ht="15.75" hidden="1" customHeight="1" x14ac:dyDescent="0.2">
      <c r="A546" s="231"/>
      <c r="B546" s="224"/>
      <c r="C546" s="225"/>
      <c r="D546" s="225"/>
      <c r="E546" s="225"/>
      <c r="F546" s="177"/>
      <c r="G546" s="177"/>
      <c r="H546" s="177"/>
      <c r="I546" s="177"/>
      <c r="J546" s="223"/>
      <c r="K546" s="231"/>
      <c r="L546" s="231"/>
      <c r="M546" s="231"/>
      <c r="N546" s="231"/>
      <c r="O546" s="231"/>
      <c r="P546" s="231"/>
      <c r="Q546" s="231"/>
      <c r="R546" s="231"/>
      <c r="S546" s="231"/>
      <c r="T546" s="231"/>
      <c r="U546" s="231"/>
      <c r="V546" s="231"/>
      <c r="W546" s="231"/>
      <c r="X546" s="231"/>
      <c r="Y546" s="231"/>
    </row>
    <row r="547" spans="1:25" ht="15.75" hidden="1" customHeight="1" x14ac:dyDescent="0.2">
      <c r="A547" s="231"/>
      <c r="B547" s="224"/>
      <c r="C547" s="225"/>
      <c r="D547" s="225"/>
      <c r="E547" s="225"/>
      <c r="F547" s="177"/>
      <c r="G547" s="177"/>
      <c r="H547" s="177"/>
      <c r="I547" s="177"/>
      <c r="J547" s="223"/>
      <c r="K547" s="231"/>
      <c r="L547" s="231"/>
      <c r="M547" s="231"/>
      <c r="N547" s="231"/>
      <c r="O547" s="231"/>
      <c r="P547" s="231"/>
      <c r="Q547" s="231"/>
      <c r="R547" s="231"/>
      <c r="S547" s="231"/>
      <c r="T547" s="231"/>
      <c r="U547" s="231"/>
      <c r="V547" s="231"/>
      <c r="W547" s="231"/>
      <c r="X547" s="231"/>
      <c r="Y547" s="231"/>
    </row>
    <row r="548" spans="1:25" ht="15.75" hidden="1" customHeight="1" x14ac:dyDescent="0.2">
      <c r="A548" s="231"/>
      <c r="B548" s="224"/>
      <c r="C548" s="225"/>
      <c r="D548" s="225"/>
      <c r="E548" s="225"/>
      <c r="F548" s="177"/>
      <c r="G548" s="177"/>
      <c r="H548" s="177"/>
      <c r="I548" s="177"/>
      <c r="J548" s="223"/>
      <c r="K548" s="231"/>
      <c r="L548" s="231"/>
      <c r="M548" s="231"/>
      <c r="N548" s="231"/>
      <c r="O548" s="231"/>
      <c r="P548" s="231"/>
      <c r="Q548" s="231"/>
      <c r="R548" s="231"/>
      <c r="S548" s="231"/>
      <c r="T548" s="231"/>
      <c r="U548" s="231"/>
      <c r="V548" s="231"/>
      <c r="W548" s="231"/>
      <c r="X548" s="231"/>
      <c r="Y548" s="231"/>
    </row>
    <row r="549" spans="1:25" ht="15.75" hidden="1" customHeight="1" x14ac:dyDescent="0.2">
      <c r="A549" s="231"/>
      <c r="B549" s="224"/>
      <c r="C549" s="225"/>
      <c r="D549" s="225"/>
      <c r="E549" s="225"/>
      <c r="F549" s="177"/>
      <c r="G549" s="177"/>
      <c r="H549" s="177"/>
      <c r="I549" s="177"/>
      <c r="J549" s="223"/>
      <c r="K549" s="231"/>
      <c r="L549" s="231"/>
      <c r="M549" s="231"/>
      <c r="N549" s="231"/>
      <c r="O549" s="231"/>
      <c r="P549" s="231"/>
      <c r="Q549" s="231"/>
      <c r="R549" s="231"/>
      <c r="S549" s="231"/>
      <c r="T549" s="231"/>
      <c r="U549" s="231"/>
      <c r="V549" s="231"/>
      <c r="W549" s="231"/>
      <c r="X549" s="231"/>
      <c r="Y549" s="231"/>
    </row>
    <row r="550" spans="1:25" ht="15.75" hidden="1" customHeight="1" x14ac:dyDescent="0.2">
      <c r="A550" s="231"/>
      <c r="B550" s="224"/>
      <c r="C550" s="225"/>
      <c r="D550" s="225"/>
      <c r="E550" s="225"/>
      <c r="F550" s="177"/>
      <c r="G550" s="177"/>
      <c r="H550" s="177"/>
      <c r="I550" s="177"/>
      <c r="J550" s="223"/>
      <c r="K550" s="231"/>
      <c r="L550" s="231"/>
      <c r="M550" s="231"/>
      <c r="N550" s="231"/>
      <c r="O550" s="231"/>
      <c r="P550" s="231"/>
      <c r="Q550" s="231"/>
      <c r="R550" s="231"/>
      <c r="S550" s="231"/>
      <c r="T550" s="231"/>
      <c r="U550" s="231"/>
      <c r="V550" s="231"/>
      <c r="W550" s="231"/>
      <c r="X550" s="231"/>
      <c r="Y550" s="231"/>
    </row>
    <row r="551" spans="1:25" ht="15.75" hidden="1" customHeight="1" x14ac:dyDescent="0.2">
      <c r="A551" s="231"/>
      <c r="B551" s="224"/>
      <c r="C551" s="225"/>
      <c r="D551" s="225"/>
      <c r="E551" s="225"/>
      <c r="F551" s="177"/>
      <c r="G551" s="177"/>
      <c r="H551" s="177"/>
      <c r="I551" s="177"/>
      <c r="J551" s="223"/>
      <c r="K551" s="231"/>
      <c r="L551" s="231"/>
      <c r="M551" s="231"/>
      <c r="N551" s="231"/>
      <c r="O551" s="231"/>
      <c r="P551" s="231"/>
      <c r="Q551" s="231"/>
      <c r="R551" s="231"/>
      <c r="S551" s="231"/>
      <c r="T551" s="231"/>
      <c r="U551" s="231"/>
      <c r="V551" s="231"/>
      <c r="W551" s="231"/>
      <c r="X551" s="231"/>
      <c r="Y551" s="231"/>
    </row>
    <row r="552" spans="1:25" ht="15.75" hidden="1" customHeight="1" x14ac:dyDescent="0.2">
      <c r="A552" s="231"/>
      <c r="B552" s="224"/>
      <c r="C552" s="225"/>
      <c r="D552" s="225"/>
      <c r="E552" s="225"/>
      <c r="F552" s="177"/>
      <c r="G552" s="177"/>
      <c r="H552" s="177"/>
      <c r="I552" s="177"/>
      <c r="J552" s="223"/>
      <c r="K552" s="231"/>
      <c r="L552" s="231"/>
      <c r="M552" s="231"/>
      <c r="N552" s="231"/>
      <c r="O552" s="231"/>
      <c r="P552" s="231"/>
      <c r="Q552" s="231"/>
      <c r="R552" s="231"/>
      <c r="S552" s="231"/>
      <c r="T552" s="231"/>
      <c r="U552" s="231"/>
      <c r="V552" s="231"/>
      <c r="W552" s="231"/>
      <c r="X552" s="231"/>
      <c r="Y552" s="231"/>
    </row>
    <row r="553" spans="1:25" ht="15.75" hidden="1" customHeight="1" x14ac:dyDescent="0.2">
      <c r="A553" s="231"/>
      <c r="B553" s="224"/>
      <c r="C553" s="225"/>
      <c r="D553" s="225"/>
      <c r="E553" s="225"/>
      <c r="F553" s="177"/>
      <c r="G553" s="177"/>
      <c r="H553" s="177"/>
      <c r="I553" s="177"/>
      <c r="J553" s="223"/>
      <c r="K553" s="231"/>
      <c r="L553" s="231"/>
      <c r="M553" s="231"/>
      <c r="N553" s="231"/>
      <c r="O553" s="231"/>
      <c r="P553" s="231"/>
      <c r="Q553" s="231"/>
      <c r="R553" s="231"/>
      <c r="S553" s="231"/>
      <c r="T553" s="231"/>
      <c r="U553" s="231"/>
      <c r="V553" s="231"/>
      <c r="W553" s="231"/>
      <c r="X553" s="231"/>
      <c r="Y553" s="231"/>
    </row>
    <row r="554" spans="1:25" ht="15.75" hidden="1" customHeight="1" x14ac:dyDescent="0.2">
      <c r="A554" s="231"/>
      <c r="B554" s="224"/>
      <c r="C554" s="225"/>
      <c r="D554" s="225"/>
      <c r="E554" s="225"/>
      <c r="F554" s="177"/>
      <c r="G554" s="177"/>
      <c r="H554" s="177"/>
      <c r="I554" s="177"/>
      <c r="J554" s="223"/>
      <c r="K554" s="231"/>
      <c r="L554" s="231"/>
      <c r="M554" s="231"/>
      <c r="N554" s="231"/>
      <c r="O554" s="231"/>
      <c r="P554" s="231"/>
      <c r="Q554" s="231"/>
      <c r="R554" s="231"/>
      <c r="S554" s="231"/>
      <c r="T554" s="231"/>
      <c r="U554" s="231"/>
      <c r="V554" s="231"/>
      <c r="W554" s="231"/>
      <c r="X554" s="231"/>
      <c r="Y554" s="231"/>
    </row>
    <row r="555" spans="1:25" ht="15.75" hidden="1" customHeight="1" x14ac:dyDescent="0.2">
      <c r="A555" s="231"/>
      <c r="B555" s="224"/>
      <c r="C555" s="225"/>
      <c r="D555" s="225"/>
      <c r="E555" s="225"/>
      <c r="F555" s="177"/>
      <c r="G555" s="177"/>
      <c r="H555" s="177"/>
      <c r="I555" s="177"/>
      <c r="J555" s="223"/>
      <c r="K555" s="231"/>
      <c r="L555" s="231"/>
      <c r="M555" s="231"/>
      <c r="N555" s="231"/>
      <c r="O555" s="231"/>
      <c r="P555" s="231"/>
      <c r="Q555" s="231"/>
      <c r="R555" s="231"/>
      <c r="S555" s="231"/>
      <c r="T555" s="231"/>
      <c r="U555" s="231"/>
      <c r="V555" s="231"/>
      <c r="W555" s="231"/>
      <c r="X555" s="231"/>
      <c r="Y555" s="231"/>
    </row>
    <row r="556" spans="1:25" ht="15.75" hidden="1" customHeight="1" x14ac:dyDescent="0.2">
      <c r="A556" s="231"/>
      <c r="B556" s="224"/>
      <c r="C556" s="225"/>
      <c r="D556" s="225"/>
      <c r="E556" s="225"/>
      <c r="F556" s="177"/>
      <c r="G556" s="177"/>
      <c r="H556" s="177"/>
      <c r="I556" s="177"/>
      <c r="J556" s="223"/>
      <c r="K556" s="231"/>
      <c r="L556" s="231"/>
      <c r="M556" s="231"/>
      <c r="N556" s="231"/>
      <c r="O556" s="231"/>
      <c r="P556" s="231"/>
      <c r="Q556" s="231"/>
      <c r="R556" s="231"/>
      <c r="S556" s="231"/>
      <c r="T556" s="231"/>
      <c r="U556" s="231"/>
      <c r="V556" s="231"/>
      <c r="W556" s="231"/>
      <c r="X556" s="231"/>
      <c r="Y556" s="231"/>
    </row>
    <row r="557" spans="1:25" ht="15.75" hidden="1" customHeight="1" x14ac:dyDescent="0.2">
      <c r="A557" s="231"/>
      <c r="B557" s="224"/>
      <c r="C557" s="225"/>
      <c r="D557" s="225"/>
      <c r="E557" s="225"/>
      <c r="F557" s="177"/>
      <c r="G557" s="177"/>
      <c r="H557" s="177"/>
      <c r="I557" s="177"/>
      <c r="J557" s="223"/>
      <c r="K557" s="231"/>
      <c r="L557" s="231"/>
      <c r="M557" s="231"/>
      <c r="N557" s="231"/>
      <c r="O557" s="231"/>
      <c r="P557" s="231"/>
      <c r="Q557" s="231"/>
      <c r="R557" s="231"/>
      <c r="S557" s="231"/>
      <c r="T557" s="231"/>
      <c r="U557" s="231"/>
      <c r="V557" s="231"/>
      <c r="W557" s="231"/>
      <c r="X557" s="231"/>
      <c r="Y557" s="231"/>
    </row>
    <row r="558" spans="1:25" ht="15.75" hidden="1" customHeight="1" x14ac:dyDescent="0.2">
      <c r="A558" s="231"/>
      <c r="B558" s="224"/>
      <c r="C558" s="225"/>
      <c r="D558" s="225"/>
      <c r="E558" s="225"/>
      <c r="F558" s="177"/>
      <c r="G558" s="177"/>
      <c r="H558" s="177"/>
      <c r="I558" s="177"/>
      <c r="J558" s="223"/>
      <c r="K558" s="231"/>
      <c r="L558" s="231"/>
      <c r="M558" s="231"/>
      <c r="N558" s="231"/>
      <c r="O558" s="231"/>
      <c r="P558" s="231"/>
      <c r="Q558" s="231"/>
      <c r="R558" s="231"/>
      <c r="S558" s="231"/>
      <c r="T558" s="231"/>
      <c r="U558" s="231"/>
      <c r="V558" s="231"/>
      <c r="W558" s="231"/>
      <c r="X558" s="231"/>
      <c r="Y558" s="231"/>
    </row>
    <row r="559" spans="1:25" ht="15.75" hidden="1" customHeight="1" x14ac:dyDescent="0.2">
      <c r="A559" s="231"/>
      <c r="B559" s="224"/>
      <c r="C559" s="225"/>
      <c r="D559" s="225"/>
      <c r="E559" s="225"/>
      <c r="F559" s="177"/>
      <c r="G559" s="177"/>
      <c r="H559" s="177"/>
      <c r="I559" s="177"/>
      <c r="J559" s="223"/>
      <c r="K559" s="231"/>
      <c r="L559" s="231"/>
      <c r="M559" s="231"/>
      <c r="N559" s="231"/>
      <c r="O559" s="231"/>
      <c r="P559" s="231"/>
      <c r="Q559" s="231"/>
      <c r="R559" s="231"/>
      <c r="S559" s="231"/>
      <c r="T559" s="231"/>
      <c r="U559" s="231"/>
      <c r="V559" s="231"/>
      <c r="W559" s="231"/>
      <c r="X559" s="231"/>
      <c r="Y559" s="231"/>
    </row>
    <row r="560" spans="1:25" ht="15.75" hidden="1" customHeight="1" x14ac:dyDescent="0.2">
      <c r="A560" s="231"/>
      <c r="B560" s="224"/>
      <c r="C560" s="225"/>
      <c r="D560" s="225"/>
      <c r="E560" s="225"/>
      <c r="F560" s="177"/>
      <c r="G560" s="177"/>
      <c r="H560" s="177"/>
      <c r="I560" s="177"/>
      <c r="J560" s="223"/>
      <c r="K560" s="231"/>
      <c r="L560" s="231"/>
      <c r="M560" s="231"/>
      <c r="N560" s="231"/>
      <c r="O560" s="231"/>
      <c r="P560" s="231"/>
      <c r="Q560" s="231"/>
      <c r="R560" s="231"/>
      <c r="S560" s="231"/>
      <c r="T560" s="231"/>
      <c r="U560" s="231"/>
      <c r="V560" s="231"/>
      <c r="W560" s="231"/>
      <c r="X560" s="231"/>
      <c r="Y560" s="231"/>
    </row>
    <row r="561" spans="1:25" ht="15.75" hidden="1" customHeight="1" x14ac:dyDescent="0.2">
      <c r="A561" s="231"/>
      <c r="B561" s="224"/>
      <c r="C561" s="225"/>
      <c r="D561" s="225"/>
      <c r="E561" s="225"/>
      <c r="F561" s="177"/>
      <c r="G561" s="177"/>
      <c r="H561" s="177"/>
      <c r="I561" s="177"/>
      <c r="J561" s="223"/>
      <c r="K561" s="231"/>
      <c r="L561" s="231"/>
      <c r="M561" s="231"/>
      <c r="N561" s="231"/>
      <c r="O561" s="231"/>
      <c r="P561" s="231"/>
      <c r="Q561" s="231"/>
      <c r="R561" s="231"/>
      <c r="S561" s="231"/>
      <c r="T561" s="231"/>
      <c r="U561" s="231"/>
      <c r="V561" s="231"/>
      <c r="W561" s="231"/>
      <c r="X561" s="231"/>
      <c r="Y561" s="231"/>
    </row>
    <row r="562" spans="1:25" ht="15.75" hidden="1" customHeight="1" x14ac:dyDescent="0.2">
      <c r="A562" s="231"/>
      <c r="B562" s="224"/>
      <c r="C562" s="225"/>
      <c r="D562" s="225"/>
      <c r="E562" s="225"/>
      <c r="F562" s="177"/>
      <c r="G562" s="177"/>
      <c r="H562" s="177"/>
      <c r="I562" s="177"/>
      <c r="J562" s="223"/>
      <c r="K562" s="231"/>
      <c r="L562" s="231"/>
      <c r="M562" s="231"/>
      <c r="N562" s="231"/>
      <c r="O562" s="231"/>
      <c r="P562" s="231"/>
      <c r="Q562" s="231"/>
      <c r="R562" s="231"/>
      <c r="S562" s="231"/>
      <c r="T562" s="231"/>
      <c r="U562" s="231"/>
      <c r="V562" s="231"/>
      <c r="W562" s="231"/>
      <c r="X562" s="231"/>
      <c r="Y562" s="231"/>
    </row>
    <row r="563" spans="1:25" ht="15.75" hidden="1" customHeight="1" x14ac:dyDescent="0.2">
      <c r="A563" s="231"/>
      <c r="B563" s="224"/>
      <c r="C563" s="225"/>
      <c r="D563" s="225"/>
      <c r="E563" s="225"/>
      <c r="F563" s="177"/>
      <c r="G563" s="177"/>
      <c r="H563" s="177"/>
      <c r="I563" s="177"/>
      <c r="J563" s="223"/>
      <c r="K563" s="231"/>
      <c r="L563" s="231"/>
      <c r="M563" s="231"/>
      <c r="N563" s="231"/>
      <c r="O563" s="231"/>
      <c r="P563" s="231"/>
      <c r="Q563" s="231"/>
      <c r="R563" s="231"/>
      <c r="S563" s="231"/>
      <c r="T563" s="231"/>
      <c r="U563" s="231"/>
      <c r="V563" s="231"/>
      <c r="W563" s="231"/>
      <c r="X563" s="231"/>
      <c r="Y563" s="231"/>
    </row>
    <row r="564" spans="1:25" ht="15.75" hidden="1" customHeight="1" x14ac:dyDescent="0.2">
      <c r="A564" s="231"/>
      <c r="B564" s="224"/>
      <c r="C564" s="225"/>
      <c r="D564" s="225"/>
      <c r="E564" s="225"/>
      <c r="F564" s="177"/>
      <c r="G564" s="177"/>
      <c r="H564" s="177"/>
      <c r="I564" s="177"/>
      <c r="J564" s="223"/>
      <c r="K564" s="231"/>
      <c r="L564" s="231"/>
      <c r="M564" s="231"/>
      <c r="N564" s="231"/>
      <c r="O564" s="231"/>
      <c r="P564" s="231"/>
      <c r="Q564" s="231"/>
      <c r="R564" s="231"/>
      <c r="S564" s="231"/>
      <c r="T564" s="231"/>
      <c r="U564" s="231"/>
      <c r="V564" s="231"/>
      <c r="W564" s="231"/>
      <c r="X564" s="231"/>
      <c r="Y564" s="231"/>
    </row>
    <row r="565" spans="1:25" ht="15.75" hidden="1" customHeight="1" x14ac:dyDescent="0.2">
      <c r="A565" s="231"/>
      <c r="B565" s="224"/>
      <c r="C565" s="225"/>
      <c r="D565" s="225"/>
      <c r="E565" s="225"/>
      <c r="F565" s="177"/>
      <c r="G565" s="177"/>
      <c r="H565" s="177"/>
      <c r="I565" s="177"/>
      <c r="J565" s="223"/>
      <c r="K565" s="231"/>
      <c r="L565" s="231"/>
      <c r="M565" s="231"/>
      <c r="N565" s="231"/>
      <c r="O565" s="231"/>
      <c r="P565" s="231"/>
      <c r="Q565" s="231"/>
      <c r="R565" s="231"/>
      <c r="S565" s="231"/>
      <c r="T565" s="231"/>
      <c r="U565" s="231"/>
      <c r="V565" s="231"/>
      <c r="W565" s="231"/>
      <c r="X565" s="231"/>
      <c r="Y565" s="231"/>
    </row>
    <row r="566" spans="1:25" ht="15.75" hidden="1" customHeight="1" x14ac:dyDescent="0.2">
      <c r="A566" s="231"/>
      <c r="B566" s="224"/>
      <c r="C566" s="225"/>
      <c r="D566" s="225"/>
      <c r="E566" s="225"/>
      <c r="F566" s="177"/>
      <c r="G566" s="177"/>
      <c r="H566" s="177"/>
      <c r="I566" s="177"/>
      <c r="J566" s="223"/>
      <c r="K566" s="231"/>
      <c r="L566" s="231"/>
      <c r="M566" s="231"/>
      <c r="N566" s="231"/>
      <c r="O566" s="231"/>
      <c r="P566" s="231"/>
      <c r="Q566" s="231"/>
      <c r="R566" s="231"/>
      <c r="S566" s="231"/>
      <c r="T566" s="231"/>
      <c r="U566" s="231"/>
      <c r="V566" s="231"/>
      <c r="W566" s="231"/>
      <c r="X566" s="231"/>
      <c r="Y566" s="231"/>
    </row>
    <row r="567" spans="1:25" ht="15.75" hidden="1" customHeight="1" x14ac:dyDescent="0.2">
      <c r="A567" s="231"/>
      <c r="B567" s="224"/>
      <c r="C567" s="225"/>
      <c r="D567" s="225"/>
      <c r="E567" s="225"/>
      <c r="F567" s="177"/>
      <c r="G567" s="177"/>
      <c r="H567" s="177"/>
      <c r="I567" s="177"/>
      <c r="J567" s="223"/>
      <c r="K567" s="231"/>
      <c r="L567" s="231"/>
      <c r="M567" s="231"/>
      <c r="N567" s="231"/>
      <c r="O567" s="231"/>
      <c r="P567" s="231"/>
      <c r="Q567" s="231"/>
      <c r="R567" s="231"/>
      <c r="S567" s="231"/>
      <c r="T567" s="231"/>
      <c r="U567" s="231"/>
      <c r="V567" s="231"/>
      <c r="W567" s="231"/>
      <c r="X567" s="231"/>
      <c r="Y567" s="231"/>
    </row>
    <row r="568" spans="1:25" ht="15.75" hidden="1" customHeight="1" x14ac:dyDescent="0.2">
      <c r="A568" s="231"/>
      <c r="B568" s="224"/>
      <c r="C568" s="225"/>
      <c r="D568" s="225"/>
      <c r="E568" s="225"/>
      <c r="F568" s="177"/>
      <c r="G568" s="177"/>
      <c r="H568" s="177"/>
      <c r="I568" s="177"/>
      <c r="J568" s="223"/>
      <c r="K568" s="231"/>
      <c r="L568" s="231"/>
      <c r="M568" s="231"/>
      <c r="N568" s="231"/>
      <c r="O568" s="231"/>
      <c r="P568" s="231"/>
      <c r="Q568" s="231"/>
      <c r="R568" s="231"/>
      <c r="S568" s="231"/>
      <c r="T568" s="231"/>
      <c r="U568" s="231"/>
      <c r="V568" s="231"/>
      <c r="W568" s="231"/>
      <c r="X568" s="231"/>
      <c r="Y568" s="231"/>
    </row>
    <row r="569" spans="1:25" ht="15.75" hidden="1" customHeight="1" x14ac:dyDescent="0.2">
      <c r="A569" s="231"/>
      <c r="B569" s="224"/>
      <c r="C569" s="225"/>
      <c r="D569" s="225"/>
      <c r="E569" s="225"/>
      <c r="F569" s="177"/>
      <c r="G569" s="177"/>
      <c r="H569" s="177"/>
      <c r="I569" s="177"/>
      <c r="J569" s="223"/>
      <c r="K569" s="231"/>
      <c r="L569" s="231"/>
      <c r="M569" s="231"/>
      <c r="N569" s="231"/>
      <c r="O569" s="231"/>
      <c r="P569" s="231"/>
      <c r="Q569" s="231"/>
      <c r="R569" s="231"/>
      <c r="S569" s="231"/>
      <c r="T569" s="231"/>
      <c r="U569" s="231"/>
      <c r="V569" s="231"/>
      <c r="W569" s="231"/>
      <c r="X569" s="231"/>
      <c r="Y569" s="231"/>
    </row>
    <row r="570" spans="1:25" ht="15.75" hidden="1" customHeight="1" x14ac:dyDescent="0.2">
      <c r="A570" s="231"/>
      <c r="B570" s="224"/>
      <c r="C570" s="225"/>
      <c r="D570" s="225"/>
      <c r="E570" s="225"/>
      <c r="F570" s="177"/>
      <c r="G570" s="177"/>
      <c r="H570" s="177"/>
      <c r="I570" s="177"/>
      <c r="J570" s="223"/>
      <c r="K570" s="231"/>
      <c r="L570" s="231"/>
      <c r="M570" s="231"/>
      <c r="N570" s="231"/>
      <c r="O570" s="231"/>
      <c r="P570" s="231"/>
      <c r="Q570" s="231"/>
      <c r="R570" s="231"/>
      <c r="S570" s="231"/>
      <c r="T570" s="231"/>
      <c r="U570" s="231"/>
      <c r="V570" s="231"/>
      <c r="W570" s="231"/>
      <c r="X570" s="231"/>
      <c r="Y570" s="231"/>
    </row>
    <row r="571" spans="1:25" ht="15.75" hidden="1" customHeight="1" x14ac:dyDescent="0.2">
      <c r="A571" s="231"/>
      <c r="B571" s="224"/>
      <c r="C571" s="225"/>
      <c r="D571" s="225"/>
      <c r="E571" s="225"/>
      <c r="F571" s="177"/>
      <c r="G571" s="177"/>
      <c r="H571" s="177"/>
      <c r="I571" s="177"/>
      <c r="J571" s="223"/>
      <c r="K571" s="231"/>
      <c r="L571" s="231"/>
      <c r="M571" s="231"/>
      <c r="N571" s="231"/>
      <c r="O571" s="231"/>
      <c r="P571" s="231"/>
      <c r="Q571" s="231"/>
      <c r="R571" s="231"/>
      <c r="S571" s="231"/>
      <c r="T571" s="231"/>
      <c r="U571" s="231"/>
      <c r="V571" s="231"/>
      <c r="W571" s="231"/>
      <c r="X571" s="231"/>
      <c r="Y571" s="231"/>
    </row>
    <row r="572" spans="1:25" ht="15.75" hidden="1" customHeight="1" x14ac:dyDescent="0.2">
      <c r="A572" s="231"/>
      <c r="B572" s="224"/>
      <c r="C572" s="225"/>
      <c r="D572" s="225"/>
      <c r="E572" s="225"/>
      <c r="F572" s="177"/>
      <c r="G572" s="177"/>
      <c r="H572" s="177"/>
      <c r="I572" s="177"/>
      <c r="J572" s="223"/>
      <c r="K572" s="231"/>
      <c r="L572" s="231"/>
      <c r="M572" s="231"/>
      <c r="N572" s="231"/>
      <c r="O572" s="231"/>
      <c r="P572" s="231"/>
      <c r="Q572" s="231"/>
      <c r="R572" s="231"/>
      <c r="S572" s="231"/>
      <c r="T572" s="231"/>
      <c r="U572" s="231"/>
      <c r="V572" s="231"/>
      <c r="W572" s="231"/>
      <c r="X572" s="231"/>
      <c r="Y572" s="231"/>
    </row>
    <row r="573" spans="1:25" ht="15.75" hidden="1" customHeight="1" x14ac:dyDescent="0.2">
      <c r="A573" s="231"/>
      <c r="B573" s="224"/>
      <c r="C573" s="225"/>
      <c r="D573" s="225"/>
      <c r="E573" s="225"/>
      <c r="F573" s="177"/>
      <c r="G573" s="177"/>
      <c r="H573" s="177"/>
      <c r="I573" s="177"/>
      <c r="J573" s="223"/>
      <c r="K573" s="231"/>
      <c r="L573" s="231"/>
      <c r="M573" s="231"/>
      <c r="N573" s="231"/>
      <c r="O573" s="231"/>
      <c r="P573" s="231"/>
      <c r="Q573" s="231"/>
      <c r="R573" s="231"/>
      <c r="S573" s="231"/>
      <c r="T573" s="231"/>
      <c r="U573" s="231"/>
      <c r="V573" s="231"/>
      <c r="W573" s="231"/>
      <c r="X573" s="231"/>
      <c r="Y573" s="231"/>
    </row>
    <row r="574" spans="1:25" ht="15.75" hidden="1" customHeight="1" x14ac:dyDescent="0.2">
      <c r="A574" s="231"/>
      <c r="B574" s="224"/>
      <c r="C574" s="225"/>
      <c r="D574" s="225"/>
      <c r="E574" s="225"/>
      <c r="F574" s="177"/>
      <c r="G574" s="177"/>
      <c r="H574" s="177"/>
      <c r="I574" s="177"/>
      <c r="J574" s="223"/>
      <c r="K574" s="231"/>
      <c r="L574" s="231"/>
      <c r="M574" s="231"/>
      <c r="N574" s="231"/>
      <c r="O574" s="231"/>
      <c r="P574" s="231"/>
      <c r="Q574" s="231"/>
      <c r="R574" s="231"/>
      <c r="S574" s="231"/>
      <c r="T574" s="231"/>
      <c r="U574" s="231"/>
      <c r="V574" s="231"/>
      <c r="W574" s="231"/>
      <c r="X574" s="231"/>
      <c r="Y574" s="231"/>
    </row>
    <row r="575" spans="1:25" ht="15.75" hidden="1" customHeight="1" x14ac:dyDescent="0.2">
      <c r="A575" s="231"/>
      <c r="B575" s="224"/>
      <c r="C575" s="225"/>
      <c r="D575" s="225"/>
      <c r="E575" s="225"/>
      <c r="F575" s="177"/>
      <c r="G575" s="177"/>
      <c r="H575" s="177"/>
      <c r="I575" s="177"/>
      <c r="J575" s="223"/>
      <c r="K575" s="231"/>
      <c r="L575" s="231"/>
      <c r="M575" s="231"/>
      <c r="N575" s="231"/>
      <c r="O575" s="231"/>
      <c r="P575" s="231"/>
      <c r="Q575" s="231"/>
      <c r="R575" s="231"/>
      <c r="S575" s="231"/>
      <c r="T575" s="231"/>
      <c r="U575" s="231"/>
      <c r="V575" s="231"/>
      <c r="W575" s="231"/>
      <c r="X575" s="231"/>
      <c r="Y575" s="231"/>
    </row>
    <row r="576" spans="1:25" ht="15.75" hidden="1" customHeight="1" x14ac:dyDescent="0.2">
      <c r="A576" s="231"/>
      <c r="B576" s="224"/>
      <c r="C576" s="225"/>
      <c r="D576" s="225"/>
      <c r="E576" s="225"/>
      <c r="F576" s="177"/>
      <c r="G576" s="177"/>
      <c r="H576" s="177"/>
      <c r="I576" s="177"/>
      <c r="J576" s="223"/>
      <c r="K576" s="231"/>
      <c r="L576" s="231"/>
      <c r="M576" s="231"/>
      <c r="N576" s="231"/>
      <c r="O576" s="231"/>
      <c r="P576" s="231"/>
      <c r="Q576" s="231"/>
      <c r="R576" s="231"/>
      <c r="S576" s="231"/>
      <c r="T576" s="231"/>
      <c r="U576" s="231"/>
      <c r="V576" s="231"/>
      <c r="W576" s="231"/>
      <c r="X576" s="231"/>
      <c r="Y576" s="231"/>
    </row>
    <row r="577" spans="1:25" ht="15.75" hidden="1" customHeight="1" x14ac:dyDescent="0.2">
      <c r="A577" s="231"/>
      <c r="B577" s="224"/>
      <c r="C577" s="225"/>
      <c r="D577" s="225"/>
      <c r="E577" s="225"/>
      <c r="F577" s="177"/>
      <c r="G577" s="177"/>
      <c r="H577" s="177"/>
      <c r="I577" s="177"/>
      <c r="J577" s="223"/>
      <c r="K577" s="231"/>
      <c r="L577" s="231"/>
      <c r="M577" s="231"/>
      <c r="N577" s="231"/>
      <c r="O577" s="231"/>
      <c r="P577" s="231"/>
      <c r="Q577" s="231"/>
      <c r="R577" s="231"/>
      <c r="S577" s="231"/>
      <c r="T577" s="231"/>
      <c r="U577" s="231"/>
      <c r="V577" s="231"/>
      <c r="W577" s="231"/>
      <c r="X577" s="231"/>
      <c r="Y577" s="231"/>
    </row>
    <row r="578" spans="1:25" ht="15.75" hidden="1" customHeight="1" x14ac:dyDescent="0.2">
      <c r="A578" s="231"/>
      <c r="B578" s="224"/>
      <c r="C578" s="225"/>
      <c r="D578" s="225"/>
      <c r="E578" s="225"/>
      <c r="F578" s="177"/>
      <c r="G578" s="177"/>
      <c r="H578" s="177"/>
      <c r="I578" s="177"/>
      <c r="J578" s="223"/>
      <c r="K578" s="231"/>
      <c r="L578" s="231"/>
      <c r="M578" s="231"/>
      <c r="N578" s="231"/>
      <c r="O578" s="231"/>
      <c r="P578" s="231"/>
      <c r="Q578" s="231"/>
      <c r="R578" s="231"/>
      <c r="S578" s="231"/>
      <c r="T578" s="231"/>
      <c r="U578" s="231"/>
      <c r="V578" s="231"/>
      <c r="W578" s="231"/>
      <c r="X578" s="231"/>
      <c r="Y578" s="231"/>
    </row>
    <row r="579" spans="1:25" ht="15.75" hidden="1" customHeight="1" x14ac:dyDescent="0.2">
      <c r="A579" s="231"/>
      <c r="B579" s="224"/>
      <c r="C579" s="225"/>
      <c r="D579" s="225"/>
      <c r="E579" s="225"/>
      <c r="F579" s="177"/>
      <c r="G579" s="177"/>
      <c r="H579" s="177"/>
      <c r="I579" s="177"/>
      <c r="J579" s="223"/>
      <c r="K579" s="231"/>
      <c r="L579" s="231"/>
      <c r="M579" s="231"/>
      <c r="N579" s="231"/>
      <c r="O579" s="231"/>
      <c r="P579" s="231"/>
      <c r="Q579" s="231"/>
      <c r="R579" s="231"/>
      <c r="S579" s="231"/>
      <c r="T579" s="231"/>
      <c r="U579" s="231"/>
      <c r="V579" s="231"/>
      <c r="W579" s="231"/>
      <c r="X579" s="231"/>
      <c r="Y579" s="231"/>
    </row>
    <row r="580" spans="1:25" ht="15.75" hidden="1" customHeight="1" x14ac:dyDescent="0.2">
      <c r="A580" s="231"/>
      <c r="B580" s="224"/>
      <c r="C580" s="225"/>
      <c r="D580" s="225"/>
      <c r="E580" s="225"/>
      <c r="F580" s="177"/>
      <c r="G580" s="177"/>
      <c r="H580" s="177"/>
      <c r="I580" s="177"/>
      <c r="J580" s="223"/>
      <c r="K580" s="231"/>
      <c r="L580" s="231"/>
      <c r="M580" s="231"/>
      <c r="N580" s="231"/>
      <c r="O580" s="231"/>
      <c r="P580" s="231"/>
      <c r="Q580" s="231"/>
      <c r="R580" s="231"/>
      <c r="S580" s="231"/>
      <c r="T580" s="231"/>
      <c r="U580" s="231"/>
      <c r="V580" s="231"/>
      <c r="W580" s="231"/>
      <c r="X580" s="231"/>
      <c r="Y580" s="231"/>
    </row>
    <row r="581" spans="1:25" ht="15.75" hidden="1" customHeight="1" x14ac:dyDescent="0.2">
      <c r="A581" s="231"/>
      <c r="B581" s="224"/>
      <c r="C581" s="225"/>
      <c r="D581" s="225"/>
      <c r="E581" s="225"/>
      <c r="F581" s="177"/>
      <c r="G581" s="177"/>
      <c r="H581" s="177"/>
      <c r="I581" s="177"/>
      <c r="J581" s="223"/>
      <c r="K581" s="231"/>
      <c r="L581" s="231"/>
      <c r="M581" s="231"/>
      <c r="N581" s="231"/>
      <c r="O581" s="231"/>
      <c r="P581" s="231"/>
      <c r="Q581" s="231"/>
      <c r="R581" s="231"/>
      <c r="S581" s="231"/>
      <c r="T581" s="231"/>
      <c r="U581" s="231"/>
      <c r="V581" s="231"/>
      <c r="W581" s="231"/>
      <c r="X581" s="231"/>
      <c r="Y581" s="231"/>
    </row>
    <row r="582" spans="1:25" ht="15.75" hidden="1" customHeight="1" x14ac:dyDescent="0.2">
      <c r="A582" s="231"/>
      <c r="B582" s="224"/>
      <c r="C582" s="225"/>
      <c r="D582" s="225"/>
      <c r="E582" s="225"/>
      <c r="F582" s="177"/>
      <c r="G582" s="177"/>
      <c r="H582" s="177"/>
      <c r="I582" s="177"/>
      <c r="J582" s="223"/>
      <c r="K582" s="231"/>
      <c r="L582" s="231"/>
      <c r="M582" s="231"/>
      <c r="N582" s="231"/>
      <c r="O582" s="231"/>
      <c r="P582" s="231"/>
      <c r="Q582" s="231"/>
      <c r="R582" s="231"/>
      <c r="S582" s="231"/>
      <c r="T582" s="231"/>
      <c r="U582" s="231"/>
      <c r="V582" s="231"/>
      <c r="W582" s="231"/>
      <c r="X582" s="231"/>
      <c r="Y582" s="231"/>
    </row>
    <row r="583" spans="1:25" ht="15.75" hidden="1" customHeight="1" x14ac:dyDescent="0.2">
      <c r="A583" s="231"/>
      <c r="B583" s="224"/>
      <c r="C583" s="225"/>
      <c r="D583" s="225"/>
      <c r="E583" s="225"/>
      <c r="F583" s="177"/>
      <c r="G583" s="177"/>
      <c r="H583" s="177"/>
      <c r="I583" s="177"/>
      <c r="J583" s="223"/>
      <c r="K583" s="231"/>
      <c r="L583" s="231"/>
      <c r="M583" s="231"/>
      <c r="N583" s="231"/>
      <c r="O583" s="231"/>
      <c r="P583" s="231"/>
      <c r="Q583" s="231"/>
      <c r="R583" s="231"/>
      <c r="S583" s="231"/>
      <c r="T583" s="231"/>
      <c r="U583" s="231"/>
      <c r="V583" s="231"/>
      <c r="W583" s="231"/>
      <c r="X583" s="231"/>
      <c r="Y583" s="231"/>
    </row>
    <row r="584" spans="1:25" ht="15.75" hidden="1" customHeight="1" x14ac:dyDescent="0.2">
      <c r="A584" s="231"/>
      <c r="B584" s="224"/>
      <c r="C584" s="225"/>
      <c r="D584" s="225"/>
      <c r="E584" s="225"/>
      <c r="F584" s="177"/>
      <c r="G584" s="177"/>
      <c r="H584" s="177"/>
      <c r="I584" s="177"/>
      <c r="J584" s="223"/>
      <c r="K584" s="231"/>
      <c r="L584" s="231"/>
      <c r="M584" s="231"/>
      <c r="N584" s="231"/>
      <c r="O584" s="231"/>
      <c r="P584" s="231"/>
      <c r="Q584" s="231"/>
      <c r="R584" s="231"/>
      <c r="S584" s="231"/>
      <c r="T584" s="231"/>
      <c r="U584" s="231"/>
      <c r="V584" s="231"/>
      <c r="W584" s="231"/>
      <c r="X584" s="231"/>
      <c r="Y584" s="231"/>
    </row>
    <row r="585" spans="1:25" ht="15.75" hidden="1" customHeight="1" x14ac:dyDescent="0.2">
      <c r="A585" s="231"/>
      <c r="B585" s="224"/>
      <c r="C585" s="225"/>
      <c r="D585" s="225"/>
      <c r="E585" s="225"/>
      <c r="F585" s="177"/>
      <c r="G585" s="177"/>
      <c r="H585" s="177"/>
      <c r="I585" s="177"/>
      <c r="J585" s="223"/>
      <c r="K585" s="231"/>
      <c r="L585" s="231"/>
      <c r="M585" s="231"/>
      <c r="N585" s="231"/>
      <c r="O585" s="231"/>
      <c r="P585" s="231"/>
      <c r="Q585" s="231"/>
      <c r="R585" s="231"/>
      <c r="S585" s="231"/>
      <c r="T585" s="231"/>
      <c r="U585" s="231"/>
      <c r="V585" s="231"/>
      <c r="W585" s="231"/>
      <c r="X585" s="231"/>
      <c r="Y585" s="231"/>
    </row>
    <row r="586" spans="1:25" ht="15.75" hidden="1" customHeight="1" x14ac:dyDescent="0.2">
      <c r="A586" s="231"/>
      <c r="B586" s="224"/>
      <c r="C586" s="225"/>
      <c r="D586" s="225"/>
      <c r="E586" s="225"/>
      <c r="F586" s="177"/>
      <c r="G586" s="177"/>
      <c r="H586" s="177"/>
      <c r="I586" s="177"/>
      <c r="J586" s="223"/>
      <c r="K586" s="231"/>
      <c r="L586" s="231"/>
      <c r="M586" s="231"/>
      <c r="N586" s="231"/>
      <c r="O586" s="231"/>
      <c r="P586" s="231"/>
      <c r="Q586" s="231"/>
      <c r="R586" s="231"/>
      <c r="S586" s="231"/>
      <c r="T586" s="231"/>
      <c r="U586" s="231"/>
      <c r="V586" s="231"/>
      <c r="W586" s="231"/>
      <c r="X586" s="231"/>
      <c r="Y586" s="231"/>
    </row>
    <row r="587" spans="1:25" ht="15.75" hidden="1" customHeight="1" x14ac:dyDescent="0.2">
      <c r="A587" s="231"/>
      <c r="B587" s="224"/>
      <c r="C587" s="225"/>
      <c r="D587" s="225"/>
      <c r="E587" s="225"/>
      <c r="F587" s="177"/>
      <c r="G587" s="177"/>
      <c r="H587" s="177"/>
      <c r="I587" s="177"/>
      <c r="J587" s="223"/>
      <c r="K587" s="231"/>
      <c r="L587" s="231"/>
      <c r="M587" s="231"/>
      <c r="N587" s="231"/>
      <c r="O587" s="231"/>
      <c r="P587" s="231"/>
      <c r="Q587" s="231"/>
      <c r="R587" s="231"/>
      <c r="S587" s="231"/>
      <c r="T587" s="231"/>
      <c r="U587" s="231"/>
      <c r="V587" s="231"/>
      <c r="W587" s="231"/>
      <c r="X587" s="231"/>
      <c r="Y587" s="231"/>
    </row>
    <row r="588" spans="1:25" ht="15.75" hidden="1" customHeight="1" x14ac:dyDescent="0.2">
      <c r="A588" s="231"/>
      <c r="B588" s="224"/>
      <c r="C588" s="225"/>
      <c r="D588" s="225"/>
      <c r="E588" s="225"/>
      <c r="F588" s="177"/>
      <c r="G588" s="177"/>
      <c r="H588" s="177"/>
      <c r="I588" s="177"/>
      <c r="J588" s="223"/>
      <c r="K588" s="231"/>
      <c r="L588" s="231"/>
      <c r="M588" s="231"/>
      <c r="N588" s="231"/>
      <c r="O588" s="231"/>
      <c r="P588" s="231"/>
      <c r="Q588" s="231"/>
      <c r="R588" s="231"/>
      <c r="S588" s="231"/>
      <c r="T588" s="231"/>
      <c r="U588" s="231"/>
      <c r="V588" s="231"/>
      <c r="W588" s="231"/>
      <c r="X588" s="231"/>
      <c r="Y588" s="231"/>
    </row>
    <row r="589" spans="1:25" ht="15.75" hidden="1" customHeight="1" x14ac:dyDescent="0.2">
      <c r="A589" s="231"/>
      <c r="B589" s="224"/>
      <c r="C589" s="225"/>
      <c r="D589" s="225"/>
      <c r="E589" s="225"/>
      <c r="F589" s="177"/>
      <c r="G589" s="177"/>
      <c r="H589" s="177"/>
      <c r="I589" s="177"/>
      <c r="J589" s="223"/>
      <c r="K589" s="231"/>
      <c r="L589" s="231"/>
      <c r="M589" s="231"/>
      <c r="N589" s="231"/>
      <c r="O589" s="231"/>
      <c r="P589" s="231"/>
      <c r="Q589" s="231"/>
      <c r="R589" s="231"/>
      <c r="S589" s="231"/>
      <c r="T589" s="231"/>
      <c r="U589" s="231"/>
      <c r="V589" s="231"/>
      <c r="W589" s="231"/>
      <c r="X589" s="231"/>
      <c r="Y589" s="231"/>
    </row>
    <row r="590" spans="1:25" ht="15.75" hidden="1" customHeight="1" x14ac:dyDescent="0.2">
      <c r="A590" s="231"/>
      <c r="B590" s="224"/>
      <c r="C590" s="225"/>
      <c r="D590" s="225"/>
      <c r="E590" s="225"/>
      <c r="F590" s="177"/>
      <c r="G590" s="177"/>
      <c r="H590" s="177"/>
      <c r="I590" s="177"/>
      <c r="J590" s="223"/>
      <c r="K590" s="231"/>
      <c r="L590" s="231"/>
      <c r="M590" s="231"/>
      <c r="N590" s="231"/>
      <c r="O590" s="231"/>
      <c r="P590" s="231"/>
      <c r="Q590" s="231"/>
      <c r="R590" s="231"/>
      <c r="S590" s="231"/>
      <c r="T590" s="231"/>
      <c r="U590" s="231"/>
      <c r="V590" s="231"/>
      <c r="W590" s="231"/>
      <c r="X590" s="231"/>
      <c r="Y590" s="231"/>
    </row>
    <row r="591" spans="1:25" ht="15.75" hidden="1" customHeight="1" x14ac:dyDescent="0.2">
      <c r="A591" s="231"/>
      <c r="B591" s="224"/>
      <c r="C591" s="225"/>
      <c r="D591" s="225"/>
      <c r="E591" s="225"/>
      <c r="F591" s="177"/>
      <c r="G591" s="177"/>
      <c r="H591" s="177"/>
      <c r="I591" s="177"/>
      <c r="J591" s="223"/>
      <c r="K591" s="231"/>
      <c r="L591" s="231"/>
      <c r="M591" s="231"/>
      <c r="N591" s="231"/>
      <c r="O591" s="231"/>
      <c r="P591" s="231"/>
      <c r="Q591" s="231"/>
      <c r="R591" s="231"/>
      <c r="S591" s="231"/>
      <c r="T591" s="231"/>
      <c r="U591" s="231"/>
      <c r="V591" s="231"/>
      <c r="W591" s="231"/>
      <c r="X591" s="231"/>
      <c r="Y591" s="231"/>
    </row>
    <row r="592" spans="1:25" ht="15.75" hidden="1" customHeight="1" x14ac:dyDescent="0.2">
      <c r="A592" s="231"/>
      <c r="B592" s="224"/>
      <c r="C592" s="225"/>
      <c r="D592" s="225"/>
      <c r="E592" s="225"/>
      <c r="F592" s="177"/>
      <c r="G592" s="177"/>
      <c r="H592" s="177"/>
      <c r="I592" s="177"/>
      <c r="J592" s="223"/>
      <c r="K592" s="231"/>
      <c r="L592" s="231"/>
      <c r="M592" s="231"/>
      <c r="N592" s="231"/>
      <c r="O592" s="231"/>
      <c r="P592" s="231"/>
      <c r="Q592" s="231"/>
      <c r="R592" s="231"/>
      <c r="S592" s="231"/>
      <c r="T592" s="231"/>
      <c r="U592" s="231"/>
      <c r="V592" s="231"/>
      <c r="W592" s="231"/>
      <c r="X592" s="231"/>
      <c r="Y592" s="231"/>
    </row>
    <row r="593" spans="1:25" ht="15.75" hidden="1" customHeight="1" x14ac:dyDescent="0.2">
      <c r="A593" s="231"/>
      <c r="B593" s="224"/>
      <c r="C593" s="225"/>
      <c r="D593" s="225"/>
      <c r="E593" s="225"/>
      <c r="F593" s="177"/>
      <c r="G593" s="177"/>
      <c r="H593" s="177"/>
      <c r="I593" s="177"/>
      <c r="J593" s="223"/>
      <c r="K593" s="231"/>
      <c r="L593" s="231"/>
      <c r="M593" s="231"/>
      <c r="N593" s="231"/>
      <c r="O593" s="231"/>
      <c r="P593" s="231"/>
      <c r="Q593" s="231"/>
      <c r="R593" s="231"/>
      <c r="S593" s="231"/>
      <c r="T593" s="231"/>
      <c r="U593" s="231"/>
      <c r="V593" s="231"/>
      <c r="W593" s="231"/>
      <c r="X593" s="231"/>
      <c r="Y593" s="231"/>
    </row>
    <row r="594" spans="1:25" ht="15.75" hidden="1" customHeight="1" x14ac:dyDescent="0.2">
      <c r="A594" s="231"/>
      <c r="B594" s="224"/>
      <c r="C594" s="225"/>
      <c r="D594" s="225"/>
      <c r="E594" s="225"/>
      <c r="F594" s="177"/>
      <c r="G594" s="177"/>
      <c r="H594" s="177"/>
      <c r="I594" s="177"/>
      <c r="J594" s="223"/>
      <c r="K594" s="231"/>
      <c r="L594" s="231"/>
      <c r="M594" s="231"/>
      <c r="N594" s="231"/>
      <c r="O594" s="231"/>
      <c r="P594" s="231"/>
      <c r="Q594" s="231"/>
      <c r="R594" s="231"/>
      <c r="S594" s="231"/>
      <c r="T594" s="231"/>
      <c r="U594" s="231"/>
      <c r="V594" s="231"/>
      <c r="W594" s="231"/>
      <c r="X594" s="231"/>
      <c r="Y594" s="231"/>
    </row>
    <row r="595" spans="1:25" ht="15.75" hidden="1" customHeight="1" x14ac:dyDescent="0.2">
      <c r="A595" s="231"/>
      <c r="B595" s="224"/>
      <c r="C595" s="225"/>
      <c r="D595" s="225"/>
      <c r="E595" s="225"/>
      <c r="F595" s="177"/>
      <c r="G595" s="177"/>
      <c r="H595" s="177"/>
      <c r="I595" s="177"/>
      <c r="J595" s="223"/>
      <c r="K595" s="231"/>
      <c r="L595" s="231"/>
      <c r="M595" s="231"/>
      <c r="N595" s="231"/>
      <c r="O595" s="231"/>
      <c r="P595" s="231"/>
      <c r="Q595" s="231"/>
      <c r="R595" s="231"/>
      <c r="S595" s="231"/>
      <c r="T595" s="231"/>
      <c r="U595" s="231"/>
      <c r="V595" s="231"/>
      <c r="W595" s="231"/>
      <c r="X595" s="231"/>
      <c r="Y595" s="231"/>
    </row>
    <row r="596" spans="1:25" ht="15.75" hidden="1" customHeight="1" x14ac:dyDescent="0.2">
      <c r="A596" s="231"/>
      <c r="B596" s="224"/>
      <c r="C596" s="225"/>
      <c r="D596" s="225"/>
      <c r="E596" s="225"/>
      <c r="F596" s="177"/>
      <c r="G596" s="177"/>
      <c r="H596" s="177"/>
      <c r="I596" s="177"/>
      <c r="J596" s="223"/>
      <c r="K596" s="231"/>
      <c r="L596" s="231"/>
      <c r="M596" s="231"/>
      <c r="N596" s="231"/>
      <c r="O596" s="231"/>
      <c r="P596" s="231"/>
      <c r="Q596" s="231"/>
      <c r="R596" s="231"/>
      <c r="S596" s="231"/>
      <c r="T596" s="231"/>
      <c r="U596" s="231"/>
      <c r="V596" s="231"/>
      <c r="W596" s="231"/>
      <c r="X596" s="231"/>
      <c r="Y596" s="231"/>
    </row>
    <row r="597" spans="1:25" ht="15.75" hidden="1" customHeight="1" x14ac:dyDescent="0.2">
      <c r="A597" s="231"/>
      <c r="B597" s="224"/>
      <c r="C597" s="225"/>
      <c r="D597" s="225"/>
      <c r="E597" s="225"/>
      <c r="F597" s="177"/>
      <c r="G597" s="177"/>
      <c r="H597" s="177"/>
      <c r="I597" s="177"/>
      <c r="J597" s="223"/>
      <c r="K597" s="231"/>
      <c r="L597" s="231"/>
      <c r="M597" s="231"/>
      <c r="N597" s="231"/>
      <c r="O597" s="231"/>
      <c r="P597" s="231"/>
      <c r="Q597" s="231"/>
      <c r="R597" s="231"/>
      <c r="S597" s="231"/>
      <c r="T597" s="231"/>
      <c r="U597" s="231"/>
      <c r="V597" s="231"/>
      <c r="W597" s="231"/>
      <c r="X597" s="231"/>
      <c r="Y597" s="231"/>
    </row>
    <row r="598" spans="1:25" ht="15.75" hidden="1" customHeight="1" x14ac:dyDescent="0.2">
      <c r="A598" s="231"/>
      <c r="B598" s="224"/>
      <c r="C598" s="225"/>
      <c r="D598" s="225"/>
      <c r="E598" s="225"/>
      <c r="F598" s="177"/>
      <c r="G598" s="177"/>
      <c r="H598" s="177"/>
      <c r="I598" s="177"/>
      <c r="J598" s="223"/>
      <c r="K598" s="231"/>
      <c r="L598" s="231"/>
      <c r="M598" s="231"/>
      <c r="N598" s="231"/>
      <c r="O598" s="231"/>
      <c r="P598" s="231"/>
      <c r="Q598" s="231"/>
      <c r="R598" s="231"/>
      <c r="S598" s="231"/>
      <c r="T598" s="231"/>
      <c r="U598" s="231"/>
      <c r="V598" s="231"/>
      <c r="W598" s="231"/>
      <c r="X598" s="231"/>
      <c r="Y598" s="231"/>
    </row>
    <row r="599" spans="1:25" ht="15.75" hidden="1" customHeight="1" x14ac:dyDescent="0.2">
      <c r="A599" s="231"/>
      <c r="B599" s="224"/>
      <c r="C599" s="225"/>
      <c r="D599" s="225"/>
      <c r="E599" s="225"/>
      <c r="F599" s="177"/>
      <c r="G599" s="177"/>
      <c r="H599" s="177"/>
      <c r="I599" s="177"/>
      <c r="J599" s="223"/>
      <c r="K599" s="231"/>
      <c r="L599" s="231"/>
      <c r="M599" s="231"/>
      <c r="N599" s="231"/>
      <c r="O599" s="231"/>
      <c r="P599" s="231"/>
      <c r="Q599" s="231"/>
      <c r="R599" s="231"/>
      <c r="S599" s="231"/>
      <c r="T599" s="231"/>
      <c r="U599" s="231"/>
      <c r="V599" s="231"/>
      <c r="W599" s="231"/>
      <c r="X599" s="231"/>
      <c r="Y599" s="231"/>
    </row>
    <row r="600" spans="1:25" ht="15.75" hidden="1" customHeight="1" x14ac:dyDescent="0.2">
      <c r="A600" s="231"/>
      <c r="B600" s="224"/>
      <c r="C600" s="225"/>
      <c r="D600" s="225"/>
      <c r="E600" s="225"/>
      <c r="F600" s="177"/>
      <c r="G600" s="177"/>
      <c r="H600" s="177"/>
      <c r="I600" s="177"/>
      <c r="J600" s="223"/>
      <c r="K600" s="231"/>
      <c r="L600" s="231"/>
      <c r="M600" s="231"/>
      <c r="N600" s="231"/>
      <c r="O600" s="231"/>
      <c r="P600" s="231"/>
      <c r="Q600" s="231"/>
      <c r="R600" s="231"/>
      <c r="S600" s="231"/>
      <c r="T600" s="231"/>
      <c r="U600" s="231"/>
      <c r="V600" s="231"/>
      <c r="W600" s="231"/>
      <c r="X600" s="231"/>
      <c r="Y600" s="231"/>
    </row>
    <row r="601" spans="1:25" ht="15.75" hidden="1" customHeight="1" x14ac:dyDescent="0.2">
      <c r="A601" s="231"/>
      <c r="B601" s="224"/>
      <c r="C601" s="225"/>
      <c r="D601" s="225"/>
      <c r="E601" s="225"/>
      <c r="F601" s="177"/>
      <c r="G601" s="177"/>
      <c r="H601" s="177"/>
      <c r="I601" s="177"/>
      <c r="J601" s="223"/>
      <c r="K601" s="231"/>
      <c r="L601" s="231"/>
      <c r="M601" s="231"/>
      <c r="N601" s="231"/>
      <c r="O601" s="231"/>
      <c r="P601" s="231"/>
      <c r="Q601" s="231"/>
      <c r="R601" s="231"/>
      <c r="S601" s="231"/>
      <c r="T601" s="231"/>
      <c r="U601" s="231"/>
      <c r="V601" s="231"/>
      <c r="W601" s="231"/>
      <c r="X601" s="231"/>
      <c r="Y601" s="231"/>
    </row>
    <row r="602" spans="1:25" ht="15.75" hidden="1" customHeight="1" x14ac:dyDescent="0.2">
      <c r="A602" s="231"/>
      <c r="B602" s="224"/>
      <c r="C602" s="225"/>
      <c r="D602" s="225"/>
      <c r="E602" s="225"/>
      <c r="F602" s="177"/>
      <c r="G602" s="177"/>
      <c r="H602" s="177"/>
      <c r="I602" s="177"/>
      <c r="J602" s="223"/>
      <c r="K602" s="231"/>
      <c r="L602" s="231"/>
      <c r="M602" s="231"/>
      <c r="N602" s="231"/>
      <c r="O602" s="231"/>
      <c r="P602" s="231"/>
      <c r="Q602" s="231"/>
      <c r="R602" s="231"/>
      <c r="S602" s="231"/>
      <c r="T602" s="231"/>
      <c r="U602" s="231"/>
      <c r="V602" s="231"/>
      <c r="W602" s="231"/>
      <c r="X602" s="231"/>
      <c r="Y602" s="231"/>
    </row>
    <row r="603" spans="1:25" ht="15.75" hidden="1" customHeight="1" x14ac:dyDescent="0.2">
      <c r="A603" s="231"/>
      <c r="B603" s="224"/>
      <c r="C603" s="225"/>
      <c r="D603" s="225"/>
      <c r="E603" s="225"/>
      <c r="F603" s="177"/>
      <c r="G603" s="177"/>
      <c r="H603" s="177"/>
      <c r="I603" s="177"/>
      <c r="J603" s="223"/>
      <c r="K603" s="231"/>
      <c r="L603" s="231"/>
      <c r="M603" s="231"/>
      <c r="N603" s="231"/>
      <c r="O603" s="231"/>
      <c r="P603" s="231"/>
      <c r="Q603" s="231"/>
      <c r="R603" s="231"/>
      <c r="S603" s="231"/>
      <c r="T603" s="231"/>
      <c r="U603" s="231"/>
      <c r="V603" s="231"/>
      <c r="W603" s="231"/>
      <c r="X603" s="231"/>
      <c r="Y603" s="231"/>
    </row>
    <row r="604" spans="1:25" ht="15.75" hidden="1" customHeight="1" x14ac:dyDescent="0.2">
      <c r="A604" s="231"/>
      <c r="B604" s="224"/>
      <c r="C604" s="225"/>
      <c r="D604" s="225"/>
      <c r="E604" s="225"/>
      <c r="F604" s="177"/>
      <c r="G604" s="177"/>
      <c r="H604" s="177"/>
      <c r="I604" s="177"/>
      <c r="J604" s="223"/>
      <c r="K604" s="231"/>
      <c r="L604" s="231"/>
      <c r="M604" s="231"/>
      <c r="N604" s="231"/>
      <c r="O604" s="231"/>
      <c r="P604" s="231"/>
      <c r="Q604" s="231"/>
      <c r="R604" s="231"/>
      <c r="S604" s="231"/>
      <c r="T604" s="231"/>
      <c r="U604" s="231"/>
      <c r="V604" s="231"/>
      <c r="W604" s="231"/>
      <c r="X604" s="231"/>
      <c r="Y604" s="231"/>
    </row>
    <row r="605" spans="1:25" ht="15.75" hidden="1" customHeight="1" x14ac:dyDescent="0.2">
      <c r="A605" s="231"/>
      <c r="B605" s="224"/>
      <c r="C605" s="225"/>
      <c r="D605" s="225"/>
      <c r="E605" s="225"/>
      <c r="F605" s="177"/>
      <c r="G605" s="177"/>
      <c r="H605" s="177"/>
      <c r="I605" s="177"/>
      <c r="J605" s="223"/>
      <c r="K605" s="231"/>
      <c r="L605" s="231"/>
      <c r="M605" s="231"/>
      <c r="N605" s="231"/>
      <c r="O605" s="231"/>
      <c r="P605" s="231"/>
      <c r="Q605" s="231"/>
      <c r="R605" s="231"/>
      <c r="S605" s="231"/>
      <c r="T605" s="231"/>
      <c r="U605" s="231"/>
      <c r="V605" s="231"/>
      <c r="W605" s="231"/>
      <c r="X605" s="231"/>
      <c r="Y605" s="231"/>
    </row>
    <row r="606" spans="1:25" ht="15.75" hidden="1" customHeight="1" x14ac:dyDescent="0.2">
      <c r="A606" s="231"/>
      <c r="B606" s="224"/>
      <c r="C606" s="225"/>
      <c r="D606" s="225"/>
      <c r="E606" s="225"/>
      <c r="F606" s="177"/>
      <c r="G606" s="177"/>
      <c r="H606" s="177"/>
      <c r="I606" s="177"/>
      <c r="J606" s="223"/>
      <c r="K606" s="231"/>
      <c r="L606" s="231"/>
      <c r="M606" s="231"/>
      <c r="N606" s="231"/>
      <c r="O606" s="231"/>
      <c r="P606" s="231"/>
      <c r="Q606" s="231"/>
      <c r="R606" s="231"/>
      <c r="S606" s="231"/>
      <c r="T606" s="231"/>
      <c r="U606" s="231"/>
      <c r="V606" s="231"/>
      <c r="W606" s="231"/>
      <c r="X606" s="231"/>
      <c r="Y606" s="231"/>
    </row>
    <row r="607" spans="1:25" ht="15.75" hidden="1" customHeight="1" x14ac:dyDescent="0.2">
      <c r="A607" s="231"/>
      <c r="B607" s="224"/>
      <c r="C607" s="225"/>
      <c r="D607" s="225"/>
      <c r="E607" s="225"/>
      <c r="F607" s="177"/>
      <c r="G607" s="177"/>
      <c r="H607" s="177"/>
      <c r="I607" s="177"/>
      <c r="J607" s="223"/>
      <c r="K607" s="231"/>
      <c r="L607" s="231"/>
      <c r="M607" s="231"/>
      <c r="N607" s="231"/>
      <c r="O607" s="231"/>
      <c r="P607" s="231"/>
      <c r="Q607" s="231"/>
      <c r="R607" s="231"/>
      <c r="S607" s="231"/>
      <c r="T607" s="231"/>
      <c r="U607" s="231"/>
      <c r="V607" s="231"/>
      <c r="W607" s="231"/>
      <c r="X607" s="231"/>
      <c r="Y607" s="231"/>
    </row>
    <row r="608" spans="1:25" ht="15.75" hidden="1" customHeight="1" x14ac:dyDescent="0.2">
      <c r="A608" s="231"/>
      <c r="B608" s="224"/>
      <c r="C608" s="225"/>
      <c r="D608" s="225"/>
      <c r="E608" s="225"/>
      <c r="F608" s="177"/>
      <c r="G608" s="177"/>
      <c r="H608" s="177"/>
      <c r="I608" s="177"/>
      <c r="J608" s="223"/>
      <c r="K608" s="231"/>
      <c r="L608" s="231"/>
      <c r="M608" s="231"/>
      <c r="N608" s="231"/>
      <c r="O608" s="231"/>
      <c r="P608" s="231"/>
      <c r="Q608" s="231"/>
      <c r="R608" s="231"/>
      <c r="S608" s="231"/>
      <c r="T608" s="231"/>
      <c r="U608" s="231"/>
      <c r="V608" s="231"/>
      <c r="W608" s="231"/>
      <c r="X608" s="231"/>
      <c r="Y608" s="231"/>
    </row>
    <row r="609" spans="1:25" ht="15.75" hidden="1" customHeight="1" x14ac:dyDescent="0.2">
      <c r="A609" s="231"/>
      <c r="B609" s="224"/>
      <c r="C609" s="225"/>
      <c r="D609" s="225"/>
      <c r="E609" s="225"/>
      <c r="F609" s="177"/>
      <c r="G609" s="177"/>
      <c r="H609" s="177"/>
      <c r="I609" s="177"/>
      <c r="J609" s="223"/>
      <c r="K609" s="231"/>
      <c r="L609" s="231"/>
      <c r="M609" s="231"/>
      <c r="N609" s="231"/>
      <c r="O609" s="231"/>
      <c r="P609" s="231"/>
      <c r="Q609" s="231"/>
      <c r="R609" s="231"/>
      <c r="S609" s="231"/>
      <c r="T609" s="231"/>
      <c r="U609" s="231"/>
      <c r="V609" s="231"/>
      <c r="W609" s="231"/>
      <c r="X609" s="231"/>
      <c r="Y609" s="231"/>
    </row>
    <row r="610" spans="1:25" ht="15.75" hidden="1" customHeight="1" x14ac:dyDescent="0.2">
      <c r="A610" s="231"/>
      <c r="B610" s="224"/>
      <c r="C610" s="225"/>
      <c r="D610" s="225"/>
      <c r="E610" s="225"/>
      <c r="F610" s="177"/>
      <c r="G610" s="177"/>
      <c r="H610" s="177"/>
      <c r="I610" s="177"/>
      <c r="J610" s="223"/>
      <c r="K610" s="231"/>
      <c r="L610" s="231"/>
      <c r="M610" s="231"/>
      <c r="N610" s="231"/>
      <c r="O610" s="231"/>
      <c r="P610" s="231"/>
      <c r="Q610" s="231"/>
      <c r="R610" s="231"/>
      <c r="S610" s="231"/>
      <c r="T610" s="231"/>
      <c r="U610" s="231"/>
      <c r="V610" s="231"/>
      <c r="W610" s="231"/>
      <c r="X610" s="231"/>
      <c r="Y610" s="231"/>
    </row>
    <row r="611" spans="1:25" ht="15.75" hidden="1" customHeight="1" x14ac:dyDescent="0.2">
      <c r="A611" s="231"/>
      <c r="B611" s="224"/>
      <c r="C611" s="225"/>
      <c r="D611" s="225"/>
      <c r="E611" s="225"/>
      <c r="F611" s="177"/>
      <c r="G611" s="177"/>
      <c r="H611" s="177"/>
      <c r="I611" s="177"/>
      <c r="J611" s="223"/>
      <c r="K611" s="231"/>
      <c r="L611" s="231"/>
      <c r="M611" s="231"/>
      <c r="N611" s="231"/>
      <c r="O611" s="231"/>
      <c r="P611" s="231"/>
      <c r="Q611" s="231"/>
      <c r="R611" s="231"/>
      <c r="S611" s="231"/>
      <c r="T611" s="231"/>
      <c r="U611" s="231"/>
      <c r="V611" s="231"/>
      <c r="W611" s="231"/>
      <c r="X611" s="231"/>
      <c r="Y611" s="231"/>
    </row>
    <row r="612" spans="1:25" ht="15.75" hidden="1" customHeight="1" x14ac:dyDescent="0.2">
      <c r="A612" s="231"/>
      <c r="B612" s="224"/>
      <c r="C612" s="225"/>
      <c r="D612" s="225"/>
      <c r="E612" s="225"/>
      <c r="F612" s="177"/>
      <c r="G612" s="177"/>
      <c r="H612" s="177"/>
      <c r="I612" s="177"/>
      <c r="J612" s="223"/>
      <c r="K612" s="231"/>
      <c r="L612" s="231"/>
      <c r="M612" s="231"/>
      <c r="N612" s="231"/>
      <c r="O612" s="231"/>
      <c r="P612" s="231"/>
      <c r="Q612" s="231"/>
      <c r="R612" s="231"/>
      <c r="S612" s="231"/>
      <c r="T612" s="231"/>
      <c r="U612" s="231"/>
      <c r="V612" s="231"/>
      <c r="W612" s="231"/>
      <c r="X612" s="231"/>
      <c r="Y612" s="231"/>
    </row>
    <row r="613" spans="1:25" ht="15.75" hidden="1" customHeight="1" x14ac:dyDescent="0.2">
      <c r="A613" s="231"/>
      <c r="B613" s="224"/>
      <c r="C613" s="225"/>
      <c r="D613" s="225"/>
      <c r="E613" s="225"/>
      <c r="F613" s="177"/>
      <c r="G613" s="177"/>
      <c r="H613" s="177"/>
      <c r="I613" s="177"/>
      <c r="J613" s="223"/>
      <c r="K613" s="231"/>
      <c r="L613" s="231"/>
      <c r="M613" s="231"/>
      <c r="N613" s="231"/>
      <c r="O613" s="231"/>
      <c r="P613" s="231"/>
      <c r="Q613" s="231"/>
      <c r="R613" s="231"/>
      <c r="S613" s="231"/>
      <c r="T613" s="231"/>
      <c r="U613" s="231"/>
      <c r="V613" s="231"/>
      <c r="W613" s="231"/>
      <c r="X613" s="231"/>
      <c r="Y613" s="231"/>
    </row>
    <row r="614" spans="1:25" ht="15.75" hidden="1" customHeight="1" x14ac:dyDescent="0.2">
      <c r="A614" s="231"/>
      <c r="B614" s="224"/>
      <c r="C614" s="225"/>
      <c r="D614" s="225"/>
      <c r="E614" s="225"/>
      <c r="F614" s="177"/>
      <c r="G614" s="177"/>
      <c r="H614" s="177"/>
      <c r="I614" s="177"/>
      <c r="J614" s="223"/>
      <c r="K614" s="231"/>
      <c r="L614" s="231"/>
      <c r="M614" s="231"/>
      <c r="N614" s="231"/>
      <c r="O614" s="231"/>
      <c r="P614" s="231"/>
      <c r="Q614" s="231"/>
      <c r="R614" s="231"/>
      <c r="S614" s="231"/>
      <c r="T614" s="231"/>
      <c r="U614" s="231"/>
      <c r="V614" s="231"/>
      <c r="W614" s="231"/>
      <c r="X614" s="231"/>
      <c r="Y614" s="231"/>
    </row>
    <row r="615" spans="1:25" ht="15.75" hidden="1" customHeight="1" x14ac:dyDescent="0.2">
      <c r="A615" s="231"/>
      <c r="B615" s="224"/>
      <c r="C615" s="225"/>
      <c r="D615" s="225"/>
      <c r="E615" s="225"/>
      <c r="F615" s="177"/>
      <c r="G615" s="177"/>
      <c r="H615" s="177"/>
      <c r="I615" s="177"/>
      <c r="J615" s="223"/>
      <c r="K615" s="231"/>
      <c r="L615" s="231"/>
      <c r="M615" s="231"/>
      <c r="N615" s="231"/>
      <c r="O615" s="231"/>
      <c r="P615" s="231"/>
      <c r="Q615" s="231"/>
      <c r="R615" s="231"/>
      <c r="S615" s="231"/>
      <c r="T615" s="231"/>
      <c r="U615" s="231"/>
      <c r="V615" s="231"/>
      <c r="W615" s="231"/>
      <c r="X615" s="231"/>
      <c r="Y615" s="231"/>
    </row>
    <row r="616" spans="1:25" ht="15.75" hidden="1" customHeight="1" x14ac:dyDescent="0.2">
      <c r="A616" s="231"/>
      <c r="B616" s="224"/>
      <c r="C616" s="225"/>
      <c r="D616" s="225"/>
      <c r="E616" s="225"/>
      <c r="F616" s="177"/>
      <c r="G616" s="177"/>
      <c r="H616" s="177"/>
      <c r="I616" s="177"/>
      <c r="J616" s="223"/>
      <c r="K616" s="231"/>
      <c r="L616" s="231"/>
      <c r="M616" s="231"/>
      <c r="N616" s="231"/>
      <c r="O616" s="231"/>
      <c r="P616" s="231"/>
      <c r="Q616" s="231"/>
      <c r="R616" s="231"/>
      <c r="S616" s="231"/>
      <c r="T616" s="231"/>
      <c r="U616" s="231"/>
      <c r="V616" s="231"/>
      <c r="W616" s="231"/>
      <c r="X616" s="231"/>
      <c r="Y616" s="231"/>
    </row>
    <row r="617" spans="1:25" ht="15.75" hidden="1" customHeight="1" x14ac:dyDescent="0.2">
      <c r="A617" s="231"/>
      <c r="B617" s="224"/>
      <c r="C617" s="225"/>
      <c r="D617" s="225"/>
      <c r="E617" s="225"/>
      <c r="F617" s="177"/>
      <c r="G617" s="177"/>
      <c r="H617" s="177"/>
      <c r="I617" s="177"/>
      <c r="J617" s="223"/>
      <c r="K617" s="231"/>
      <c r="L617" s="231"/>
      <c r="M617" s="231"/>
      <c r="N617" s="231"/>
      <c r="O617" s="231"/>
      <c r="P617" s="231"/>
      <c r="Q617" s="231"/>
      <c r="R617" s="231"/>
      <c r="S617" s="231"/>
      <c r="T617" s="231"/>
      <c r="U617" s="231"/>
      <c r="V617" s="231"/>
      <c r="W617" s="231"/>
      <c r="X617" s="231"/>
      <c r="Y617" s="231"/>
    </row>
    <row r="618" spans="1:25" ht="15.75" hidden="1" customHeight="1" x14ac:dyDescent="0.2">
      <c r="A618" s="231"/>
      <c r="B618" s="224"/>
      <c r="C618" s="225"/>
      <c r="D618" s="225"/>
      <c r="E618" s="225"/>
      <c r="F618" s="177"/>
      <c r="G618" s="177"/>
      <c r="H618" s="177"/>
      <c r="I618" s="177"/>
      <c r="J618" s="223"/>
      <c r="K618" s="231"/>
      <c r="L618" s="231"/>
      <c r="M618" s="231"/>
      <c r="N618" s="231"/>
      <c r="O618" s="231"/>
      <c r="P618" s="231"/>
      <c r="Q618" s="231"/>
      <c r="R618" s="231"/>
      <c r="S618" s="231"/>
      <c r="T618" s="231"/>
      <c r="U618" s="231"/>
      <c r="V618" s="231"/>
      <c r="W618" s="231"/>
      <c r="X618" s="231"/>
      <c r="Y618" s="231"/>
    </row>
    <row r="619" spans="1:25" ht="15.75" hidden="1" customHeight="1" x14ac:dyDescent="0.2">
      <c r="A619" s="231"/>
      <c r="B619" s="224"/>
      <c r="C619" s="225"/>
      <c r="D619" s="225"/>
      <c r="E619" s="225"/>
      <c r="F619" s="177"/>
      <c r="G619" s="177"/>
      <c r="H619" s="177"/>
      <c r="I619" s="177"/>
      <c r="J619" s="223"/>
      <c r="K619" s="231"/>
      <c r="L619" s="231"/>
      <c r="M619" s="231"/>
      <c r="N619" s="231"/>
      <c r="O619" s="231"/>
      <c r="P619" s="231"/>
      <c r="Q619" s="231"/>
      <c r="R619" s="231"/>
      <c r="S619" s="231"/>
      <c r="T619" s="231"/>
      <c r="U619" s="231"/>
      <c r="V619" s="231"/>
      <c r="W619" s="231"/>
      <c r="X619" s="231"/>
      <c r="Y619" s="231"/>
    </row>
    <row r="620" spans="1:25" ht="15.75" hidden="1" customHeight="1" x14ac:dyDescent="0.2">
      <c r="A620" s="231"/>
      <c r="B620" s="224"/>
      <c r="C620" s="225"/>
      <c r="D620" s="225"/>
      <c r="E620" s="225"/>
      <c r="F620" s="177"/>
      <c r="G620" s="177"/>
      <c r="H620" s="177"/>
      <c r="I620" s="177"/>
      <c r="J620" s="223"/>
      <c r="K620" s="231"/>
      <c r="L620" s="231"/>
      <c r="M620" s="231"/>
      <c r="N620" s="231"/>
      <c r="O620" s="231"/>
      <c r="P620" s="231"/>
      <c r="Q620" s="231"/>
      <c r="R620" s="231"/>
      <c r="S620" s="231"/>
      <c r="T620" s="231"/>
      <c r="U620" s="231"/>
      <c r="V620" s="231"/>
      <c r="W620" s="231"/>
      <c r="X620" s="231"/>
      <c r="Y620" s="231"/>
    </row>
    <row r="621" spans="1:25" ht="15.75" hidden="1" customHeight="1" x14ac:dyDescent="0.2">
      <c r="A621" s="231"/>
      <c r="B621" s="224"/>
      <c r="C621" s="225"/>
      <c r="D621" s="225"/>
      <c r="E621" s="225"/>
      <c r="F621" s="177"/>
      <c r="G621" s="177"/>
      <c r="H621" s="177"/>
      <c r="I621" s="177"/>
      <c r="J621" s="223"/>
      <c r="K621" s="231"/>
      <c r="L621" s="231"/>
      <c r="M621" s="231"/>
      <c r="N621" s="231"/>
      <c r="O621" s="231"/>
      <c r="P621" s="231"/>
      <c r="Q621" s="231"/>
      <c r="R621" s="231"/>
      <c r="S621" s="231"/>
      <c r="T621" s="231"/>
      <c r="U621" s="231"/>
      <c r="V621" s="231"/>
      <c r="W621" s="231"/>
      <c r="X621" s="231"/>
      <c r="Y621" s="231"/>
    </row>
    <row r="622" spans="1:25" ht="15.75" hidden="1" customHeight="1" x14ac:dyDescent="0.2">
      <c r="A622" s="231"/>
      <c r="B622" s="224"/>
      <c r="C622" s="225"/>
      <c r="D622" s="225"/>
      <c r="E622" s="225"/>
      <c r="F622" s="177"/>
      <c r="G622" s="177"/>
      <c r="H622" s="177"/>
      <c r="I622" s="177"/>
      <c r="J622" s="223"/>
      <c r="K622" s="231"/>
      <c r="L622" s="231"/>
      <c r="M622" s="231"/>
      <c r="N622" s="231"/>
      <c r="O622" s="231"/>
      <c r="P622" s="231"/>
      <c r="Q622" s="231"/>
      <c r="R622" s="231"/>
      <c r="S622" s="231"/>
      <c r="T622" s="231"/>
      <c r="U622" s="231"/>
      <c r="V622" s="231"/>
      <c r="W622" s="231"/>
      <c r="X622" s="231"/>
      <c r="Y622" s="231"/>
    </row>
    <row r="623" spans="1:25" ht="15.75" hidden="1" customHeight="1" x14ac:dyDescent="0.2">
      <c r="A623" s="231"/>
      <c r="B623" s="224"/>
      <c r="C623" s="225"/>
      <c r="D623" s="225"/>
      <c r="E623" s="225"/>
      <c r="F623" s="177"/>
      <c r="G623" s="177"/>
      <c r="H623" s="177"/>
      <c r="I623" s="177"/>
      <c r="J623" s="223"/>
      <c r="K623" s="231"/>
      <c r="L623" s="231"/>
      <c r="M623" s="231"/>
      <c r="N623" s="231"/>
      <c r="O623" s="231"/>
      <c r="P623" s="231"/>
      <c r="Q623" s="231"/>
      <c r="R623" s="231"/>
      <c r="S623" s="231"/>
      <c r="T623" s="231"/>
      <c r="U623" s="231"/>
      <c r="V623" s="231"/>
      <c r="W623" s="231"/>
      <c r="X623" s="231"/>
      <c r="Y623" s="231"/>
    </row>
    <row r="624" spans="1:25" ht="15.75" hidden="1" customHeight="1" x14ac:dyDescent="0.2">
      <c r="A624" s="231"/>
      <c r="B624" s="224"/>
      <c r="C624" s="225"/>
      <c r="D624" s="225"/>
      <c r="E624" s="225"/>
      <c r="F624" s="177"/>
      <c r="G624" s="177"/>
      <c r="H624" s="177"/>
      <c r="I624" s="177"/>
      <c r="J624" s="223"/>
      <c r="K624" s="231"/>
      <c r="L624" s="231"/>
      <c r="M624" s="231"/>
      <c r="N624" s="231"/>
      <c r="O624" s="231"/>
      <c r="P624" s="231"/>
      <c r="Q624" s="231"/>
      <c r="R624" s="231"/>
      <c r="S624" s="231"/>
      <c r="T624" s="231"/>
      <c r="U624" s="231"/>
      <c r="V624" s="231"/>
      <c r="W624" s="231"/>
      <c r="X624" s="231"/>
      <c r="Y624" s="231"/>
    </row>
    <row r="625" spans="1:25" ht="15.75" hidden="1" customHeight="1" x14ac:dyDescent="0.2">
      <c r="A625" s="231"/>
      <c r="B625" s="224"/>
      <c r="C625" s="225"/>
      <c r="D625" s="225"/>
      <c r="E625" s="225"/>
      <c r="F625" s="177"/>
      <c r="G625" s="177"/>
      <c r="H625" s="177"/>
      <c r="I625" s="177"/>
      <c r="J625" s="223"/>
      <c r="K625" s="231"/>
      <c r="L625" s="231"/>
      <c r="M625" s="231"/>
      <c r="N625" s="231"/>
      <c r="O625" s="231"/>
      <c r="P625" s="231"/>
      <c r="Q625" s="231"/>
      <c r="R625" s="231"/>
      <c r="S625" s="231"/>
      <c r="T625" s="231"/>
      <c r="U625" s="231"/>
      <c r="V625" s="231"/>
      <c r="W625" s="231"/>
      <c r="X625" s="231"/>
      <c r="Y625" s="231"/>
    </row>
    <row r="626" spans="1:25" ht="15.75" hidden="1" customHeight="1" x14ac:dyDescent="0.2">
      <c r="A626" s="231"/>
      <c r="B626" s="224"/>
      <c r="C626" s="225"/>
      <c r="D626" s="225"/>
      <c r="E626" s="225"/>
      <c r="F626" s="177"/>
      <c r="G626" s="177"/>
      <c r="H626" s="177"/>
      <c r="I626" s="177"/>
      <c r="J626" s="223"/>
      <c r="K626" s="231"/>
      <c r="L626" s="231"/>
      <c r="M626" s="231"/>
      <c r="N626" s="231"/>
      <c r="O626" s="231"/>
      <c r="P626" s="231"/>
      <c r="Q626" s="231"/>
      <c r="R626" s="231"/>
      <c r="S626" s="231"/>
      <c r="T626" s="231"/>
      <c r="U626" s="231"/>
      <c r="V626" s="231"/>
      <c r="W626" s="231"/>
      <c r="X626" s="231"/>
      <c r="Y626" s="231"/>
    </row>
    <row r="627" spans="1:25" ht="15.75" hidden="1" customHeight="1" x14ac:dyDescent="0.2">
      <c r="A627" s="231"/>
      <c r="B627" s="224"/>
      <c r="C627" s="225"/>
      <c r="D627" s="225"/>
      <c r="E627" s="225"/>
      <c r="F627" s="177"/>
      <c r="G627" s="177"/>
      <c r="H627" s="177"/>
      <c r="I627" s="177"/>
      <c r="J627" s="223"/>
      <c r="K627" s="231"/>
      <c r="L627" s="231"/>
      <c r="M627" s="231"/>
      <c r="N627" s="231"/>
      <c r="O627" s="231"/>
      <c r="P627" s="231"/>
      <c r="Q627" s="231"/>
      <c r="R627" s="231"/>
      <c r="S627" s="231"/>
      <c r="T627" s="231"/>
      <c r="U627" s="231"/>
      <c r="V627" s="231"/>
      <c r="W627" s="231"/>
      <c r="X627" s="231"/>
      <c r="Y627" s="231"/>
    </row>
    <row r="628" spans="1:25" ht="15.75" hidden="1" customHeight="1" x14ac:dyDescent="0.2">
      <c r="A628" s="231"/>
      <c r="B628" s="224"/>
      <c r="C628" s="225"/>
      <c r="D628" s="225"/>
      <c r="E628" s="225"/>
      <c r="F628" s="177"/>
      <c r="G628" s="177"/>
      <c r="H628" s="177"/>
      <c r="I628" s="177"/>
      <c r="J628" s="223"/>
      <c r="K628" s="231"/>
      <c r="L628" s="231"/>
      <c r="M628" s="231"/>
      <c r="N628" s="231"/>
      <c r="O628" s="231"/>
      <c r="P628" s="231"/>
      <c r="Q628" s="231"/>
      <c r="R628" s="231"/>
      <c r="S628" s="231"/>
      <c r="T628" s="231"/>
      <c r="U628" s="231"/>
      <c r="V628" s="231"/>
      <c r="W628" s="231"/>
      <c r="X628" s="231"/>
      <c r="Y628" s="231"/>
    </row>
    <row r="629" spans="1:25" ht="15.75" hidden="1" customHeight="1" x14ac:dyDescent="0.2">
      <c r="A629" s="231"/>
      <c r="B629" s="224"/>
      <c r="C629" s="225"/>
      <c r="D629" s="225"/>
      <c r="E629" s="225"/>
      <c r="F629" s="177"/>
      <c r="G629" s="177"/>
      <c r="H629" s="177"/>
      <c r="I629" s="177"/>
      <c r="J629" s="223"/>
      <c r="K629" s="231"/>
      <c r="L629" s="231"/>
      <c r="M629" s="231"/>
      <c r="N629" s="231"/>
      <c r="O629" s="231"/>
      <c r="P629" s="231"/>
      <c r="Q629" s="231"/>
      <c r="R629" s="231"/>
      <c r="S629" s="231"/>
      <c r="T629" s="231"/>
      <c r="U629" s="231"/>
      <c r="V629" s="231"/>
      <c r="W629" s="231"/>
      <c r="X629" s="231"/>
      <c r="Y629" s="231"/>
    </row>
    <row r="630" spans="1:25" ht="15.75" hidden="1" customHeight="1" x14ac:dyDescent="0.2">
      <c r="A630" s="231"/>
      <c r="B630" s="224"/>
      <c r="C630" s="225"/>
      <c r="D630" s="225"/>
      <c r="E630" s="225"/>
      <c r="F630" s="177"/>
      <c r="G630" s="177"/>
      <c r="H630" s="177"/>
      <c r="I630" s="177"/>
      <c r="J630" s="223"/>
      <c r="K630" s="231"/>
      <c r="L630" s="231"/>
      <c r="M630" s="231"/>
      <c r="N630" s="231"/>
      <c r="O630" s="231"/>
      <c r="P630" s="231"/>
      <c r="Q630" s="231"/>
      <c r="R630" s="231"/>
      <c r="S630" s="231"/>
      <c r="T630" s="231"/>
      <c r="U630" s="231"/>
      <c r="V630" s="231"/>
      <c r="W630" s="231"/>
      <c r="X630" s="231"/>
      <c r="Y630" s="231"/>
    </row>
    <row r="631" spans="1:25" ht="15.75" hidden="1" customHeight="1" x14ac:dyDescent="0.2">
      <c r="A631" s="231"/>
      <c r="B631" s="224"/>
      <c r="C631" s="225"/>
      <c r="D631" s="225"/>
      <c r="E631" s="225"/>
      <c r="F631" s="177"/>
      <c r="G631" s="177"/>
      <c r="H631" s="177"/>
      <c r="I631" s="177"/>
      <c r="J631" s="223"/>
      <c r="K631" s="231"/>
      <c r="L631" s="231"/>
      <c r="M631" s="231"/>
      <c r="N631" s="231"/>
      <c r="O631" s="231"/>
      <c r="P631" s="231"/>
      <c r="Q631" s="231"/>
      <c r="R631" s="231"/>
      <c r="S631" s="231"/>
      <c r="T631" s="231"/>
      <c r="U631" s="231"/>
      <c r="V631" s="231"/>
      <c r="W631" s="231"/>
      <c r="X631" s="231"/>
      <c r="Y631" s="231"/>
    </row>
    <row r="632" spans="1:25" ht="15.75" hidden="1" customHeight="1" x14ac:dyDescent="0.2">
      <c r="A632" s="231"/>
      <c r="B632" s="224"/>
      <c r="C632" s="225"/>
      <c r="D632" s="225"/>
      <c r="E632" s="225"/>
      <c r="F632" s="177"/>
      <c r="G632" s="177"/>
      <c r="H632" s="177"/>
      <c r="I632" s="177"/>
      <c r="J632" s="223"/>
      <c r="K632" s="231"/>
      <c r="L632" s="231"/>
      <c r="M632" s="231"/>
      <c r="N632" s="231"/>
      <c r="O632" s="231"/>
      <c r="P632" s="231"/>
      <c r="Q632" s="231"/>
      <c r="R632" s="231"/>
      <c r="S632" s="231"/>
      <c r="T632" s="231"/>
      <c r="U632" s="231"/>
      <c r="V632" s="231"/>
      <c r="W632" s="231"/>
      <c r="X632" s="231"/>
      <c r="Y632" s="231"/>
    </row>
    <row r="633" spans="1:25" ht="15.75" hidden="1" customHeight="1" x14ac:dyDescent="0.2">
      <c r="A633" s="231"/>
      <c r="B633" s="224"/>
      <c r="C633" s="225"/>
      <c r="D633" s="225"/>
      <c r="E633" s="225"/>
      <c r="F633" s="177"/>
      <c r="G633" s="177"/>
      <c r="H633" s="177"/>
      <c r="I633" s="177"/>
      <c r="J633" s="223"/>
      <c r="K633" s="231"/>
      <c r="L633" s="231"/>
      <c r="M633" s="231"/>
      <c r="N633" s="231"/>
      <c r="O633" s="231"/>
      <c r="P633" s="231"/>
      <c r="Q633" s="231"/>
      <c r="R633" s="231"/>
      <c r="S633" s="231"/>
      <c r="T633" s="231"/>
      <c r="U633" s="231"/>
      <c r="V633" s="231"/>
      <c r="W633" s="231"/>
      <c r="X633" s="231"/>
      <c r="Y633" s="231"/>
    </row>
    <row r="634" spans="1:25" ht="15.75" hidden="1" customHeight="1" x14ac:dyDescent="0.2">
      <c r="A634" s="231"/>
      <c r="B634" s="224"/>
      <c r="C634" s="225"/>
      <c r="D634" s="225"/>
      <c r="E634" s="225"/>
      <c r="F634" s="177"/>
      <c r="G634" s="177"/>
      <c r="H634" s="177"/>
      <c r="I634" s="177"/>
      <c r="J634" s="223"/>
      <c r="K634" s="231"/>
      <c r="L634" s="231"/>
      <c r="M634" s="231"/>
      <c r="N634" s="231"/>
      <c r="O634" s="231"/>
      <c r="P634" s="231"/>
      <c r="Q634" s="231"/>
      <c r="R634" s="231"/>
      <c r="S634" s="231"/>
      <c r="T634" s="231"/>
      <c r="U634" s="231"/>
      <c r="V634" s="231"/>
      <c r="W634" s="231"/>
      <c r="X634" s="231"/>
      <c r="Y634" s="231"/>
    </row>
    <row r="635" spans="1:25" ht="15.75" hidden="1" customHeight="1" x14ac:dyDescent="0.2">
      <c r="A635" s="231"/>
      <c r="B635" s="224"/>
      <c r="C635" s="225"/>
      <c r="D635" s="225"/>
      <c r="E635" s="225"/>
      <c r="F635" s="177"/>
      <c r="G635" s="177"/>
      <c r="H635" s="177"/>
      <c r="I635" s="177"/>
      <c r="J635" s="223"/>
      <c r="K635" s="231"/>
      <c r="L635" s="231"/>
      <c r="M635" s="231"/>
      <c r="N635" s="231"/>
      <c r="O635" s="231"/>
      <c r="P635" s="231"/>
      <c r="Q635" s="231"/>
      <c r="R635" s="231"/>
      <c r="S635" s="231"/>
      <c r="T635" s="231"/>
      <c r="U635" s="231"/>
      <c r="V635" s="231"/>
      <c r="W635" s="231"/>
      <c r="X635" s="231"/>
      <c r="Y635" s="231"/>
    </row>
    <row r="636" spans="1:25" ht="15.75" hidden="1" customHeight="1" x14ac:dyDescent="0.2">
      <c r="A636" s="231"/>
      <c r="B636" s="224"/>
      <c r="C636" s="225"/>
      <c r="D636" s="225"/>
      <c r="E636" s="225"/>
      <c r="F636" s="177"/>
      <c r="G636" s="177"/>
      <c r="H636" s="177"/>
      <c r="I636" s="177"/>
      <c r="J636" s="223"/>
      <c r="K636" s="231"/>
      <c r="L636" s="231"/>
      <c r="M636" s="231"/>
      <c r="N636" s="231"/>
      <c r="O636" s="231"/>
      <c r="P636" s="231"/>
      <c r="Q636" s="231"/>
      <c r="R636" s="231"/>
      <c r="S636" s="231"/>
      <c r="T636" s="231"/>
      <c r="U636" s="231"/>
      <c r="V636" s="231"/>
      <c r="W636" s="231"/>
      <c r="X636" s="231"/>
      <c r="Y636" s="231"/>
    </row>
    <row r="637" spans="1:25" ht="15.75" hidden="1" customHeight="1" x14ac:dyDescent="0.2">
      <c r="A637" s="231"/>
      <c r="B637" s="224"/>
      <c r="C637" s="225"/>
      <c r="D637" s="225"/>
      <c r="E637" s="225"/>
      <c r="F637" s="177"/>
      <c r="G637" s="177"/>
      <c r="H637" s="177"/>
      <c r="I637" s="177"/>
      <c r="J637" s="223"/>
      <c r="K637" s="231"/>
      <c r="L637" s="231"/>
      <c r="M637" s="231"/>
      <c r="N637" s="231"/>
      <c r="O637" s="231"/>
      <c r="P637" s="231"/>
      <c r="Q637" s="231"/>
      <c r="R637" s="231"/>
      <c r="S637" s="231"/>
      <c r="T637" s="231"/>
      <c r="U637" s="231"/>
      <c r="V637" s="231"/>
      <c r="W637" s="231"/>
      <c r="X637" s="231"/>
      <c r="Y637" s="231"/>
    </row>
    <row r="638" spans="1:25" ht="15.75" hidden="1" customHeight="1" x14ac:dyDescent="0.2">
      <c r="A638" s="231"/>
      <c r="B638" s="224"/>
      <c r="C638" s="225"/>
      <c r="D638" s="225"/>
      <c r="E638" s="225"/>
      <c r="F638" s="177"/>
      <c r="G638" s="177"/>
      <c r="H638" s="177"/>
      <c r="I638" s="177"/>
      <c r="J638" s="223"/>
      <c r="K638" s="231"/>
      <c r="L638" s="231"/>
      <c r="M638" s="231"/>
      <c r="N638" s="231"/>
      <c r="O638" s="231"/>
      <c r="P638" s="231"/>
      <c r="Q638" s="231"/>
      <c r="R638" s="231"/>
      <c r="S638" s="231"/>
      <c r="T638" s="231"/>
      <c r="U638" s="231"/>
      <c r="V638" s="231"/>
      <c r="W638" s="231"/>
      <c r="X638" s="231"/>
      <c r="Y638" s="231"/>
    </row>
    <row r="639" spans="1:25" ht="15.75" hidden="1" customHeight="1" x14ac:dyDescent="0.2">
      <c r="A639" s="231"/>
      <c r="B639" s="224"/>
      <c r="C639" s="225"/>
      <c r="D639" s="225"/>
      <c r="E639" s="225"/>
      <c r="F639" s="177"/>
      <c r="G639" s="177"/>
      <c r="H639" s="177"/>
      <c r="I639" s="177"/>
      <c r="J639" s="223"/>
      <c r="K639" s="231"/>
      <c r="L639" s="231"/>
      <c r="M639" s="231"/>
      <c r="N639" s="231"/>
      <c r="O639" s="231"/>
      <c r="P639" s="231"/>
      <c r="Q639" s="231"/>
      <c r="R639" s="231"/>
      <c r="S639" s="231"/>
      <c r="T639" s="231"/>
      <c r="U639" s="231"/>
      <c r="V639" s="231"/>
      <c r="W639" s="231"/>
      <c r="X639" s="231"/>
      <c r="Y639" s="231"/>
    </row>
    <row r="640" spans="1:25" ht="15.75" hidden="1" customHeight="1" x14ac:dyDescent="0.2">
      <c r="A640" s="231"/>
      <c r="B640" s="224"/>
      <c r="C640" s="225"/>
      <c r="D640" s="225"/>
      <c r="E640" s="225"/>
      <c r="F640" s="177"/>
      <c r="G640" s="177"/>
      <c r="H640" s="177"/>
      <c r="I640" s="177"/>
      <c r="J640" s="223"/>
      <c r="K640" s="231"/>
      <c r="L640" s="231"/>
      <c r="M640" s="231"/>
      <c r="N640" s="231"/>
      <c r="O640" s="231"/>
      <c r="P640" s="231"/>
      <c r="Q640" s="231"/>
      <c r="R640" s="231"/>
      <c r="S640" s="231"/>
      <c r="T640" s="231"/>
      <c r="U640" s="231"/>
      <c r="V640" s="231"/>
      <c r="W640" s="231"/>
      <c r="X640" s="231"/>
      <c r="Y640" s="231"/>
    </row>
    <row r="641" spans="1:25" ht="15.75" hidden="1" customHeight="1" x14ac:dyDescent="0.2">
      <c r="A641" s="231"/>
      <c r="B641" s="224"/>
      <c r="C641" s="225"/>
      <c r="D641" s="225"/>
      <c r="E641" s="225"/>
      <c r="F641" s="177"/>
      <c r="G641" s="177"/>
      <c r="H641" s="177"/>
      <c r="I641" s="177"/>
      <c r="J641" s="223"/>
      <c r="K641" s="231"/>
      <c r="L641" s="231"/>
      <c r="M641" s="231"/>
      <c r="N641" s="231"/>
      <c r="O641" s="231"/>
      <c r="P641" s="231"/>
      <c r="Q641" s="231"/>
      <c r="R641" s="231"/>
      <c r="S641" s="231"/>
      <c r="T641" s="231"/>
      <c r="U641" s="231"/>
      <c r="V641" s="231"/>
      <c r="W641" s="231"/>
      <c r="X641" s="231"/>
      <c r="Y641" s="231"/>
    </row>
    <row r="642" spans="1:25" ht="15.75" hidden="1" customHeight="1" x14ac:dyDescent="0.2">
      <c r="A642" s="231"/>
      <c r="B642" s="224"/>
      <c r="C642" s="225"/>
      <c r="D642" s="225"/>
      <c r="E642" s="225"/>
      <c r="F642" s="177"/>
      <c r="G642" s="177"/>
      <c r="H642" s="177"/>
      <c r="I642" s="177"/>
      <c r="J642" s="223"/>
      <c r="K642" s="231"/>
      <c r="L642" s="231"/>
      <c r="M642" s="231"/>
      <c r="N642" s="231"/>
      <c r="O642" s="231"/>
      <c r="P642" s="231"/>
      <c r="Q642" s="231"/>
      <c r="R642" s="231"/>
      <c r="S642" s="231"/>
      <c r="T642" s="231"/>
      <c r="U642" s="231"/>
      <c r="V642" s="231"/>
      <c r="W642" s="231"/>
      <c r="X642" s="231"/>
      <c r="Y642" s="231"/>
    </row>
    <row r="643" spans="1:25" ht="15.75" hidden="1" customHeight="1" x14ac:dyDescent="0.2">
      <c r="A643" s="231"/>
      <c r="B643" s="224"/>
      <c r="C643" s="225"/>
      <c r="D643" s="225"/>
      <c r="E643" s="225"/>
      <c r="F643" s="177"/>
      <c r="G643" s="177"/>
      <c r="H643" s="177"/>
      <c r="I643" s="177"/>
      <c r="J643" s="223"/>
      <c r="K643" s="231"/>
      <c r="L643" s="231"/>
      <c r="M643" s="231"/>
      <c r="N643" s="231"/>
      <c r="O643" s="231"/>
      <c r="P643" s="231"/>
      <c r="Q643" s="231"/>
      <c r="R643" s="231"/>
      <c r="S643" s="231"/>
      <c r="T643" s="231"/>
      <c r="U643" s="231"/>
      <c r="V643" s="231"/>
      <c r="W643" s="231"/>
      <c r="X643" s="231"/>
      <c r="Y643" s="231"/>
    </row>
    <row r="644" spans="1:25" ht="15.75" hidden="1" customHeight="1" x14ac:dyDescent="0.2">
      <c r="A644" s="231"/>
      <c r="B644" s="224"/>
      <c r="C644" s="225"/>
      <c r="D644" s="225"/>
      <c r="E644" s="225"/>
      <c r="F644" s="177"/>
      <c r="G644" s="177"/>
      <c r="H644" s="177"/>
      <c r="I644" s="177"/>
      <c r="J644" s="223"/>
      <c r="K644" s="231"/>
      <c r="L644" s="231"/>
      <c r="M644" s="231"/>
      <c r="N644" s="231"/>
      <c r="O644" s="231"/>
      <c r="P644" s="231"/>
      <c r="Q644" s="231"/>
      <c r="R644" s="231"/>
      <c r="S644" s="231"/>
      <c r="T644" s="231"/>
      <c r="U644" s="231"/>
      <c r="V644" s="231"/>
      <c r="W644" s="231"/>
      <c r="X644" s="231"/>
      <c r="Y644" s="231"/>
    </row>
    <row r="645" spans="1:25" ht="15.75" hidden="1" customHeight="1" x14ac:dyDescent="0.2">
      <c r="A645" s="231"/>
      <c r="B645" s="224"/>
      <c r="C645" s="225"/>
      <c r="D645" s="225"/>
      <c r="E645" s="225"/>
      <c r="F645" s="177"/>
      <c r="G645" s="177"/>
      <c r="H645" s="177"/>
      <c r="I645" s="177"/>
      <c r="J645" s="223"/>
      <c r="K645" s="231"/>
      <c r="L645" s="231"/>
      <c r="M645" s="231"/>
      <c r="N645" s="231"/>
      <c r="O645" s="231"/>
      <c r="P645" s="231"/>
      <c r="Q645" s="231"/>
      <c r="R645" s="231"/>
      <c r="S645" s="231"/>
      <c r="T645" s="231"/>
      <c r="U645" s="231"/>
      <c r="V645" s="231"/>
      <c r="W645" s="231"/>
      <c r="X645" s="231"/>
      <c r="Y645" s="231"/>
    </row>
    <row r="646" spans="1:25" ht="15.75" hidden="1" customHeight="1" x14ac:dyDescent="0.2">
      <c r="A646" s="231"/>
      <c r="B646" s="224"/>
      <c r="C646" s="225"/>
      <c r="D646" s="225"/>
      <c r="E646" s="225"/>
      <c r="F646" s="177"/>
      <c r="G646" s="177"/>
      <c r="H646" s="177"/>
      <c r="I646" s="177"/>
      <c r="J646" s="223"/>
      <c r="K646" s="231"/>
      <c r="L646" s="231"/>
      <c r="M646" s="231"/>
      <c r="N646" s="231"/>
      <c r="O646" s="231"/>
      <c r="P646" s="231"/>
      <c r="Q646" s="231"/>
      <c r="R646" s="231"/>
      <c r="S646" s="231"/>
      <c r="T646" s="231"/>
      <c r="U646" s="231"/>
      <c r="V646" s="231"/>
      <c r="W646" s="231"/>
      <c r="X646" s="231"/>
      <c r="Y646" s="231"/>
    </row>
    <row r="647" spans="1:25" ht="15.75" hidden="1" customHeight="1" x14ac:dyDescent="0.2">
      <c r="A647" s="231"/>
      <c r="B647" s="224"/>
      <c r="C647" s="225"/>
      <c r="D647" s="225"/>
      <c r="E647" s="225"/>
      <c r="F647" s="177"/>
      <c r="G647" s="177"/>
      <c r="H647" s="177"/>
      <c r="I647" s="177"/>
      <c r="J647" s="223"/>
      <c r="K647" s="231"/>
      <c r="L647" s="231"/>
      <c r="M647" s="231"/>
      <c r="N647" s="231"/>
      <c r="O647" s="231"/>
      <c r="P647" s="231"/>
      <c r="Q647" s="231"/>
      <c r="R647" s="231"/>
      <c r="S647" s="231"/>
      <c r="T647" s="231"/>
      <c r="U647" s="231"/>
      <c r="V647" s="231"/>
      <c r="W647" s="231"/>
      <c r="X647" s="231"/>
      <c r="Y647" s="231"/>
    </row>
    <row r="648" spans="1:25" ht="15.75" hidden="1" customHeight="1" x14ac:dyDescent="0.2">
      <c r="A648" s="231"/>
      <c r="B648" s="224"/>
      <c r="C648" s="225"/>
      <c r="D648" s="225"/>
      <c r="E648" s="225"/>
      <c r="F648" s="177"/>
      <c r="G648" s="177"/>
      <c r="H648" s="177"/>
      <c r="I648" s="177"/>
      <c r="J648" s="223"/>
      <c r="K648" s="231"/>
      <c r="L648" s="231"/>
      <c r="M648" s="231"/>
      <c r="N648" s="231"/>
      <c r="O648" s="231"/>
      <c r="P648" s="231"/>
      <c r="Q648" s="231"/>
      <c r="R648" s="231"/>
      <c r="S648" s="231"/>
      <c r="T648" s="231"/>
      <c r="U648" s="231"/>
      <c r="V648" s="231"/>
      <c r="W648" s="231"/>
      <c r="X648" s="231"/>
      <c r="Y648" s="231"/>
    </row>
    <row r="649" spans="1:25" ht="15.75" hidden="1" customHeight="1" x14ac:dyDescent="0.2">
      <c r="A649" s="231"/>
      <c r="B649" s="224"/>
      <c r="C649" s="225"/>
      <c r="D649" s="225"/>
      <c r="E649" s="225"/>
      <c r="F649" s="177"/>
      <c r="G649" s="177"/>
      <c r="H649" s="177"/>
      <c r="I649" s="177"/>
      <c r="J649" s="223"/>
      <c r="K649" s="231"/>
      <c r="L649" s="231"/>
      <c r="M649" s="231"/>
      <c r="N649" s="231"/>
      <c r="O649" s="231"/>
      <c r="P649" s="231"/>
      <c r="Q649" s="231"/>
      <c r="R649" s="231"/>
      <c r="S649" s="231"/>
      <c r="T649" s="231"/>
      <c r="U649" s="231"/>
      <c r="V649" s="231"/>
      <c r="W649" s="231"/>
      <c r="X649" s="231"/>
      <c r="Y649" s="231"/>
    </row>
    <row r="650" spans="1:25" ht="15.75" hidden="1" customHeight="1" x14ac:dyDescent="0.2">
      <c r="A650" s="231"/>
      <c r="B650" s="224"/>
      <c r="C650" s="225"/>
      <c r="D650" s="225"/>
      <c r="E650" s="225"/>
      <c r="F650" s="177"/>
      <c r="G650" s="177"/>
      <c r="H650" s="177"/>
      <c r="I650" s="177"/>
      <c r="J650" s="223"/>
      <c r="K650" s="231"/>
      <c r="L650" s="231"/>
      <c r="M650" s="231"/>
      <c r="N650" s="231"/>
      <c r="O650" s="231"/>
      <c r="P650" s="231"/>
      <c r="Q650" s="231"/>
      <c r="R650" s="231"/>
      <c r="S650" s="231"/>
      <c r="T650" s="231"/>
      <c r="U650" s="231"/>
      <c r="V650" s="231"/>
      <c r="W650" s="231"/>
      <c r="X650" s="231"/>
      <c r="Y650" s="231"/>
    </row>
    <row r="651" spans="1:25" ht="15.75" hidden="1" customHeight="1" x14ac:dyDescent="0.2">
      <c r="A651" s="231"/>
      <c r="B651" s="224"/>
      <c r="C651" s="225"/>
      <c r="D651" s="225"/>
      <c r="E651" s="225"/>
      <c r="F651" s="177"/>
      <c r="G651" s="177"/>
      <c r="H651" s="177"/>
      <c r="I651" s="177"/>
      <c r="J651" s="223"/>
      <c r="K651" s="231"/>
      <c r="L651" s="231"/>
      <c r="M651" s="231"/>
      <c r="N651" s="231"/>
      <c r="O651" s="231"/>
      <c r="P651" s="231"/>
      <c r="Q651" s="231"/>
      <c r="R651" s="231"/>
      <c r="S651" s="231"/>
      <c r="T651" s="231"/>
      <c r="U651" s="231"/>
      <c r="V651" s="231"/>
      <c r="W651" s="231"/>
      <c r="X651" s="231"/>
      <c r="Y651" s="231"/>
    </row>
    <row r="652" spans="1:25" ht="15.75" hidden="1" customHeight="1" x14ac:dyDescent="0.2">
      <c r="A652" s="231"/>
      <c r="B652" s="224"/>
      <c r="C652" s="225"/>
      <c r="D652" s="225"/>
      <c r="E652" s="225"/>
      <c r="F652" s="177"/>
      <c r="G652" s="177"/>
      <c r="H652" s="177"/>
      <c r="I652" s="177"/>
      <c r="J652" s="223"/>
      <c r="K652" s="231"/>
      <c r="L652" s="231"/>
      <c r="M652" s="231"/>
      <c r="N652" s="231"/>
      <c r="O652" s="231"/>
      <c r="P652" s="231"/>
      <c r="Q652" s="231"/>
      <c r="R652" s="231"/>
      <c r="S652" s="231"/>
      <c r="T652" s="231"/>
      <c r="U652" s="231"/>
      <c r="V652" s="231"/>
      <c r="W652" s="231"/>
      <c r="X652" s="231"/>
      <c r="Y652" s="231"/>
    </row>
    <row r="653" spans="1:25" ht="15.75" hidden="1" customHeight="1" x14ac:dyDescent="0.2">
      <c r="A653" s="231"/>
      <c r="B653" s="224"/>
      <c r="C653" s="225"/>
      <c r="D653" s="225"/>
      <c r="E653" s="225"/>
      <c r="F653" s="177"/>
      <c r="G653" s="177"/>
      <c r="H653" s="177"/>
      <c r="I653" s="177"/>
      <c r="J653" s="223"/>
      <c r="K653" s="231"/>
      <c r="L653" s="231"/>
      <c r="M653" s="231"/>
      <c r="N653" s="231"/>
      <c r="O653" s="231"/>
      <c r="P653" s="231"/>
      <c r="Q653" s="231"/>
      <c r="R653" s="231"/>
      <c r="S653" s="231"/>
      <c r="T653" s="231"/>
      <c r="U653" s="231"/>
      <c r="V653" s="231"/>
      <c r="W653" s="231"/>
      <c r="X653" s="231"/>
      <c r="Y653" s="231"/>
    </row>
    <row r="654" spans="1:25" ht="15.75" hidden="1" customHeight="1" x14ac:dyDescent="0.2">
      <c r="A654" s="231"/>
      <c r="B654" s="224"/>
      <c r="C654" s="225"/>
      <c r="D654" s="225"/>
      <c r="E654" s="225"/>
      <c r="F654" s="177"/>
      <c r="G654" s="177"/>
      <c r="H654" s="177"/>
      <c r="I654" s="177"/>
      <c r="J654" s="223"/>
      <c r="K654" s="231"/>
      <c r="L654" s="231"/>
      <c r="M654" s="231"/>
      <c r="N654" s="231"/>
      <c r="O654" s="231"/>
      <c r="P654" s="231"/>
      <c r="Q654" s="231"/>
      <c r="R654" s="231"/>
      <c r="S654" s="231"/>
      <c r="T654" s="231"/>
      <c r="U654" s="231"/>
      <c r="V654" s="231"/>
      <c r="W654" s="231"/>
      <c r="X654" s="231"/>
      <c r="Y654" s="231"/>
    </row>
    <row r="655" spans="1:25" ht="15.75" hidden="1" customHeight="1" x14ac:dyDescent="0.2">
      <c r="A655" s="231"/>
      <c r="B655" s="224"/>
      <c r="C655" s="225"/>
      <c r="D655" s="225"/>
      <c r="E655" s="225"/>
      <c r="F655" s="177"/>
      <c r="G655" s="177"/>
      <c r="H655" s="177"/>
      <c r="I655" s="177"/>
      <c r="J655" s="223"/>
      <c r="K655" s="231"/>
      <c r="L655" s="231"/>
      <c r="M655" s="231"/>
      <c r="N655" s="231"/>
      <c r="O655" s="231"/>
      <c r="P655" s="231"/>
      <c r="Q655" s="231"/>
      <c r="R655" s="231"/>
      <c r="S655" s="231"/>
      <c r="T655" s="231"/>
      <c r="U655" s="231"/>
      <c r="V655" s="231"/>
      <c r="W655" s="231"/>
      <c r="X655" s="231"/>
      <c r="Y655" s="231"/>
    </row>
    <row r="656" spans="1:25" ht="15.75" hidden="1" customHeight="1" x14ac:dyDescent="0.2">
      <c r="A656" s="231"/>
      <c r="B656" s="224"/>
      <c r="C656" s="225"/>
      <c r="D656" s="225"/>
      <c r="E656" s="225"/>
      <c r="F656" s="177"/>
      <c r="G656" s="177"/>
      <c r="H656" s="177"/>
      <c r="I656" s="177"/>
      <c r="J656" s="223"/>
      <c r="K656" s="231"/>
      <c r="L656" s="231"/>
      <c r="M656" s="231"/>
      <c r="N656" s="231"/>
      <c r="O656" s="231"/>
      <c r="P656" s="231"/>
      <c r="Q656" s="231"/>
      <c r="R656" s="231"/>
      <c r="S656" s="231"/>
      <c r="T656" s="231"/>
      <c r="U656" s="231"/>
      <c r="V656" s="231"/>
      <c r="W656" s="231"/>
      <c r="X656" s="231"/>
      <c r="Y656" s="231"/>
    </row>
    <row r="657" spans="1:25" ht="15.75" hidden="1" customHeight="1" x14ac:dyDescent="0.2">
      <c r="A657" s="231"/>
      <c r="B657" s="224"/>
      <c r="C657" s="225"/>
      <c r="D657" s="225"/>
      <c r="E657" s="225"/>
      <c r="F657" s="177"/>
      <c r="G657" s="177"/>
      <c r="H657" s="177"/>
      <c r="I657" s="177"/>
      <c r="J657" s="223"/>
      <c r="K657" s="231"/>
      <c r="L657" s="231"/>
      <c r="M657" s="231"/>
      <c r="N657" s="231"/>
      <c r="O657" s="231"/>
      <c r="P657" s="231"/>
      <c r="Q657" s="231"/>
      <c r="R657" s="231"/>
      <c r="S657" s="231"/>
      <c r="T657" s="231"/>
      <c r="U657" s="231"/>
      <c r="V657" s="231"/>
      <c r="W657" s="231"/>
      <c r="X657" s="231"/>
      <c r="Y657" s="231"/>
    </row>
    <row r="658" spans="1:25" ht="15.75" hidden="1" customHeight="1" x14ac:dyDescent="0.2">
      <c r="A658" s="231"/>
      <c r="B658" s="224"/>
      <c r="C658" s="225"/>
      <c r="D658" s="225"/>
      <c r="E658" s="225"/>
      <c r="F658" s="177"/>
      <c r="G658" s="177"/>
      <c r="H658" s="177"/>
      <c r="I658" s="177"/>
      <c r="J658" s="223"/>
      <c r="K658" s="231"/>
      <c r="L658" s="231"/>
      <c r="M658" s="231"/>
      <c r="N658" s="231"/>
      <c r="O658" s="231"/>
      <c r="P658" s="231"/>
      <c r="Q658" s="231"/>
      <c r="R658" s="231"/>
      <c r="S658" s="231"/>
      <c r="T658" s="231"/>
      <c r="U658" s="231"/>
      <c r="V658" s="231"/>
      <c r="W658" s="231"/>
      <c r="X658" s="231"/>
      <c r="Y658" s="231"/>
    </row>
    <row r="659" spans="1:25" ht="15.75" hidden="1" customHeight="1" x14ac:dyDescent="0.2">
      <c r="A659" s="231"/>
      <c r="B659" s="224"/>
      <c r="C659" s="225"/>
      <c r="D659" s="225"/>
      <c r="E659" s="225"/>
      <c r="F659" s="177"/>
      <c r="G659" s="177"/>
      <c r="H659" s="177"/>
      <c r="I659" s="177"/>
      <c r="J659" s="223"/>
      <c r="K659" s="231"/>
      <c r="L659" s="231"/>
      <c r="M659" s="231"/>
      <c r="N659" s="231"/>
      <c r="O659" s="231"/>
      <c r="P659" s="231"/>
      <c r="Q659" s="231"/>
      <c r="R659" s="231"/>
      <c r="S659" s="231"/>
      <c r="T659" s="231"/>
      <c r="U659" s="231"/>
      <c r="V659" s="231"/>
      <c r="W659" s="231"/>
      <c r="X659" s="231"/>
      <c r="Y659" s="231"/>
    </row>
    <row r="660" spans="1:25" ht="15.75" hidden="1" customHeight="1" x14ac:dyDescent="0.2">
      <c r="A660" s="231"/>
      <c r="B660" s="224"/>
      <c r="C660" s="225"/>
      <c r="D660" s="225"/>
      <c r="E660" s="225"/>
      <c r="F660" s="177"/>
      <c r="G660" s="177"/>
      <c r="H660" s="177"/>
      <c r="I660" s="177"/>
      <c r="J660" s="223"/>
      <c r="K660" s="231"/>
      <c r="L660" s="231"/>
      <c r="M660" s="231"/>
      <c r="N660" s="231"/>
      <c r="O660" s="231"/>
      <c r="P660" s="231"/>
      <c r="Q660" s="231"/>
      <c r="R660" s="231"/>
      <c r="S660" s="231"/>
      <c r="T660" s="231"/>
      <c r="U660" s="231"/>
      <c r="V660" s="231"/>
      <c r="W660" s="231"/>
      <c r="X660" s="231"/>
      <c r="Y660" s="231"/>
    </row>
    <row r="661" spans="1:25" ht="15.75" hidden="1" customHeight="1" x14ac:dyDescent="0.2">
      <c r="A661" s="231"/>
      <c r="B661" s="224"/>
      <c r="C661" s="225"/>
      <c r="D661" s="225"/>
      <c r="E661" s="225"/>
      <c r="F661" s="177"/>
      <c r="G661" s="177"/>
      <c r="H661" s="177"/>
      <c r="I661" s="177"/>
      <c r="J661" s="223"/>
      <c r="K661" s="231"/>
      <c r="L661" s="231"/>
      <c r="M661" s="231"/>
      <c r="N661" s="231"/>
      <c r="O661" s="231"/>
      <c r="P661" s="231"/>
      <c r="Q661" s="231"/>
      <c r="R661" s="231"/>
      <c r="S661" s="231"/>
      <c r="T661" s="231"/>
      <c r="U661" s="231"/>
      <c r="V661" s="231"/>
      <c r="W661" s="231"/>
      <c r="X661" s="231"/>
      <c r="Y661" s="231"/>
    </row>
    <row r="662" spans="1:25" ht="15.75" hidden="1" customHeight="1" x14ac:dyDescent="0.2">
      <c r="A662" s="231"/>
      <c r="B662" s="224"/>
      <c r="C662" s="225"/>
      <c r="D662" s="225"/>
      <c r="E662" s="225"/>
      <c r="F662" s="177"/>
      <c r="G662" s="177"/>
      <c r="H662" s="177"/>
      <c r="I662" s="177"/>
      <c r="J662" s="223"/>
      <c r="K662" s="231"/>
      <c r="L662" s="231"/>
      <c r="M662" s="231"/>
      <c r="N662" s="231"/>
      <c r="O662" s="231"/>
      <c r="P662" s="231"/>
      <c r="Q662" s="231"/>
      <c r="R662" s="231"/>
      <c r="S662" s="231"/>
      <c r="T662" s="231"/>
      <c r="U662" s="231"/>
      <c r="V662" s="231"/>
      <c r="W662" s="231"/>
      <c r="X662" s="231"/>
      <c r="Y662" s="231"/>
    </row>
    <row r="663" spans="1:25" ht="15.75" hidden="1" customHeight="1" x14ac:dyDescent="0.2">
      <c r="A663" s="231"/>
      <c r="B663" s="224"/>
      <c r="C663" s="225"/>
      <c r="D663" s="225"/>
      <c r="E663" s="225"/>
      <c r="F663" s="177"/>
      <c r="G663" s="177"/>
      <c r="H663" s="177"/>
      <c r="I663" s="177"/>
      <c r="J663" s="223"/>
      <c r="K663" s="231"/>
      <c r="L663" s="231"/>
      <c r="M663" s="231"/>
      <c r="N663" s="231"/>
      <c r="O663" s="231"/>
      <c r="P663" s="231"/>
      <c r="Q663" s="231"/>
      <c r="R663" s="231"/>
      <c r="S663" s="231"/>
      <c r="T663" s="231"/>
      <c r="U663" s="231"/>
      <c r="V663" s="231"/>
      <c r="W663" s="231"/>
      <c r="X663" s="231"/>
      <c r="Y663" s="231"/>
    </row>
    <row r="664" spans="1:25" ht="15.75" hidden="1" customHeight="1" x14ac:dyDescent="0.2">
      <c r="A664" s="231"/>
      <c r="B664" s="224"/>
      <c r="C664" s="225"/>
      <c r="D664" s="225"/>
      <c r="E664" s="225"/>
      <c r="F664" s="177"/>
      <c r="G664" s="177"/>
      <c r="H664" s="177"/>
      <c r="I664" s="177"/>
      <c r="J664" s="223"/>
      <c r="K664" s="231"/>
      <c r="L664" s="231"/>
      <c r="M664" s="231"/>
      <c r="N664" s="231"/>
      <c r="O664" s="231"/>
      <c r="P664" s="231"/>
      <c r="Q664" s="231"/>
      <c r="R664" s="231"/>
      <c r="S664" s="231"/>
      <c r="T664" s="231"/>
      <c r="U664" s="231"/>
      <c r="V664" s="231"/>
      <c r="W664" s="231"/>
      <c r="X664" s="231"/>
      <c r="Y664" s="231"/>
    </row>
    <row r="665" spans="1:25" ht="15.75" hidden="1" customHeight="1" x14ac:dyDescent="0.2">
      <c r="A665" s="231"/>
      <c r="B665" s="224"/>
      <c r="C665" s="225"/>
      <c r="D665" s="225"/>
      <c r="E665" s="225"/>
      <c r="F665" s="177"/>
      <c r="G665" s="177"/>
      <c r="H665" s="177"/>
      <c r="I665" s="177"/>
      <c r="J665" s="223"/>
      <c r="K665" s="231"/>
      <c r="L665" s="231"/>
      <c r="M665" s="231"/>
      <c r="N665" s="231"/>
      <c r="O665" s="231"/>
      <c r="P665" s="231"/>
      <c r="Q665" s="231"/>
      <c r="R665" s="231"/>
      <c r="S665" s="231"/>
      <c r="T665" s="231"/>
      <c r="U665" s="231"/>
      <c r="V665" s="231"/>
      <c r="W665" s="231"/>
      <c r="X665" s="231"/>
      <c r="Y665" s="231"/>
    </row>
    <row r="666" spans="1:25" ht="15.75" hidden="1" customHeight="1" x14ac:dyDescent="0.2">
      <c r="A666" s="231"/>
      <c r="B666" s="224"/>
      <c r="C666" s="225"/>
      <c r="D666" s="225"/>
      <c r="E666" s="225"/>
      <c r="F666" s="177"/>
      <c r="G666" s="177"/>
      <c r="H666" s="177"/>
      <c r="I666" s="177"/>
      <c r="J666" s="223"/>
      <c r="K666" s="231"/>
      <c r="L666" s="231"/>
      <c r="M666" s="231"/>
      <c r="N666" s="231"/>
      <c r="O666" s="231"/>
      <c r="P666" s="231"/>
      <c r="Q666" s="231"/>
      <c r="R666" s="231"/>
      <c r="S666" s="231"/>
      <c r="T666" s="231"/>
      <c r="U666" s="231"/>
      <c r="V666" s="231"/>
      <c r="W666" s="231"/>
      <c r="X666" s="231"/>
      <c r="Y666" s="231"/>
    </row>
    <row r="667" spans="1:25" ht="15.75" hidden="1" customHeight="1" x14ac:dyDescent="0.2">
      <c r="A667" s="231"/>
      <c r="B667" s="224"/>
      <c r="C667" s="225"/>
      <c r="D667" s="225"/>
      <c r="E667" s="225"/>
      <c r="F667" s="177"/>
      <c r="G667" s="177"/>
      <c r="H667" s="177"/>
      <c r="I667" s="177"/>
      <c r="J667" s="223"/>
      <c r="K667" s="231"/>
      <c r="L667" s="231"/>
      <c r="M667" s="231"/>
      <c r="N667" s="231"/>
      <c r="O667" s="231"/>
      <c r="P667" s="231"/>
      <c r="Q667" s="231"/>
      <c r="R667" s="231"/>
      <c r="S667" s="231"/>
      <c r="T667" s="231"/>
      <c r="U667" s="231"/>
      <c r="V667" s="231"/>
      <c r="W667" s="231"/>
      <c r="X667" s="231"/>
      <c r="Y667" s="231"/>
    </row>
    <row r="668" spans="1:25" ht="15.75" hidden="1" customHeight="1" x14ac:dyDescent="0.2">
      <c r="A668" s="231"/>
      <c r="B668" s="224"/>
      <c r="C668" s="225"/>
      <c r="D668" s="225"/>
      <c r="E668" s="225"/>
      <c r="F668" s="177"/>
      <c r="G668" s="177"/>
      <c r="H668" s="177"/>
      <c r="I668" s="177"/>
      <c r="J668" s="223"/>
      <c r="K668" s="231"/>
      <c r="L668" s="231"/>
      <c r="M668" s="231"/>
      <c r="N668" s="231"/>
      <c r="O668" s="231"/>
      <c r="P668" s="231"/>
      <c r="Q668" s="231"/>
      <c r="R668" s="231"/>
      <c r="S668" s="231"/>
      <c r="T668" s="231"/>
      <c r="U668" s="231"/>
      <c r="V668" s="231"/>
      <c r="W668" s="231"/>
      <c r="X668" s="231"/>
      <c r="Y668" s="231"/>
    </row>
    <row r="669" spans="1:25" ht="15.75" hidden="1" customHeight="1" x14ac:dyDescent="0.2">
      <c r="A669" s="231"/>
      <c r="B669" s="224"/>
      <c r="C669" s="225"/>
      <c r="D669" s="225"/>
      <c r="E669" s="225"/>
      <c r="F669" s="177"/>
      <c r="G669" s="177"/>
      <c r="H669" s="177"/>
      <c r="I669" s="177"/>
      <c r="J669" s="223"/>
      <c r="K669" s="231"/>
      <c r="L669" s="231"/>
      <c r="M669" s="231"/>
      <c r="N669" s="231"/>
      <c r="O669" s="231"/>
      <c r="P669" s="231"/>
      <c r="Q669" s="231"/>
      <c r="R669" s="231"/>
      <c r="S669" s="231"/>
      <c r="T669" s="231"/>
      <c r="U669" s="231"/>
      <c r="V669" s="231"/>
      <c r="W669" s="231"/>
      <c r="X669" s="231"/>
      <c r="Y669" s="231"/>
    </row>
    <row r="670" spans="1:25" ht="15.75" hidden="1" customHeight="1" x14ac:dyDescent="0.2">
      <c r="A670" s="231"/>
      <c r="B670" s="224"/>
      <c r="C670" s="225"/>
      <c r="D670" s="225"/>
      <c r="E670" s="225"/>
      <c r="F670" s="177"/>
      <c r="G670" s="177"/>
      <c r="H670" s="177"/>
      <c r="I670" s="177"/>
      <c r="J670" s="223"/>
      <c r="K670" s="231"/>
      <c r="L670" s="231"/>
      <c r="M670" s="231"/>
      <c r="N670" s="231"/>
      <c r="O670" s="231"/>
      <c r="P670" s="231"/>
      <c r="Q670" s="231"/>
      <c r="R670" s="231"/>
      <c r="S670" s="231"/>
      <c r="T670" s="231"/>
      <c r="U670" s="231"/>
      <c r="V670" s="231"/>
      <c r="W670" s="231"/>
      <c r="X670" s="231"/>
      <c r="Y670" s="231"/>
    </row>
    <row r="671" spans="1:25" ht="15.75" hidden="1" customHeight="1" x14ac:dyDescent="0.2">
      <c r="A671" s="231"/>
      <c r="B671" s="224"/>
      <c r="C671" s="225"/>
      <c r="D671" s="225"/>
      <c r="E671" s="225"/>
      <c r="F671" s="177"/>
      <c r="G671" s="177"/>
      <c r="H671" s="177"/>
      <c r="I671" s="177"/>
      <c r="J671" s="223"/>
      <c r="K671" s="231"/>
      <c r="L671" s="231"/>
      <c r="M671" s="231"/>
      <c r="N671" s="231"/>
      <c r="O671" s="231"/>
      <c r="P671" s="231"/>
      <c r="Q671" s="231"/>
      <c r="R671" s="231"/>
      <c r="S671" s="231"/>
      <c r="T671" s="231"/>
      <c r="U671" s="231"/>
      <c r="V671" s="231"/>
      <c r="W671" s="231"/>
      <c r="X671" s="231"/>
      <c r="Y671" s="231"/>
    </row>
    <row r="672" spans="1:25" ht="15.75" hidden="1" customHeight="1" x14ac:dyDescent="0.2">
      <c r="A672" s="231"/>
      <c r="B672" s="224"/>
      <c r="C672" s="225"/>
      <c r="D672" s="225"/>
      <c r="E672" s="225"/>
      <c r="F672" s="177"/>
      <c r="G672" s="177"/>
      <c r="H672" s="177"/>
      <c r="I672" s="177"/>
      <c r="J672" s="223"/>
      <c r="K672" s="231"/>
      <c r="L672" s="231"/>
      <c r="M672" s="231"/>
      <c r="N672" s="231"/>
      <c r="O672" s="231"/>
      <c r="P672" s="231"/>
      <c r="Q672" s="231"/>
      <c r="R672" s="231"/>
      <c r="S672" s="231"/>
      <c r="T672" s="231"/>
      <c r="U672" s="231"/>
      <c r="V672" s="231"/>
      <c r="W672" s="231"/>
      <c r="X672" s="231"/>
      <c r="Y672" s="231"/>
    </row>
    <row r="673" spans="1:25" ht="15.75" hidden="1" customHeight="1" x14ac:dyDescent="0.2">
      <c r="A673" s="231"/>
      <c r="B673" s="224"/>
      <c r="C673" s="225"/>
      <c r="D673" s="225"/>
      <c r="E673" s="225"/>
      <c r="F673" s="177"/>
      <c r="G673" s="177"/>
      <c r="H673" s="177"/>
      <c r="I673" s="177"/>
      <c r="J673" s="223"/>
      <c r="K673" s="231"/>
      <c r="L673" s="231"/>
      <c r="M673" s="231"/>
      <c r="N673" s="231"/>
      <c r="O673" s="231"/>
      <c r="P673" s="231"/>
      <c r="Q673" s="231"/>
      <c r="R673" s="231"/>
      <c r="S673" s="231"/>
      <c r="T673" s="231"/>
      <c r="U673" s="231"/>
      <c r="V673" s="231"/>
      <c r="W673" s="231"/>
      <c r="X673" s="231"/>
      <c r="Y673" s="231"/>
    </row>
    <row r="674" spans="1:25" ht="15.75" hidden="1" customHeight="1" x14ac:dyDescent="0.2">
      <c r="A674" s="231"/>
      <c r="B674" s="224"/>
      <c r="C674" s="225"/>
      <c r="D674" s="225"/>
      <c r="E674" s="225"/>
      <c r="F674" s="177"/>
      <c r="G674" s="177"/>
      <c r="H674" s="177"/>
      <c r="I674" s="177"/>
      <c r="J674" s="223"/>
      <c r="K674" s="231"/>
      <c r="L674" s="231"/>
      <c r="M674" s="231"/>
      <c r="N674" s="231"/>
      <c r="O674" s="231"/>
      <c r="P674" s="231"/>
      <c r="Q674" s="231"/>
      <c r="R674" s="231"/>
      <c r="S674" s="231"/>
      <c r="T674" s="231"/>
      <c r="U674" s="231"/>
      <c r="V674" s="231"/>
      <c r="W674" s="231"/>
      <c r="X674" s="231"/>
      <c r="Y674" s="231"/>
    </row>
    <row r="675" spans="1:25" ht="15.75" hidden="1" customHeight="1" x14ac:dyDescent="0.2">
      <c r="A675" s="231"/>
      <c r="B675" s="224"/>
      <c r="C675" s="225"/>
      <c r="D675" s="225"/>
      <c r="E675" s="225"/>
      <c r="F675" s="177"/>
      <c r="G675" s="177"/>
      <c r="H675" s="177"/>
      <c r="I675" s="177"/>
      <c r="J675" s="223"/>
      <c r="K675" s="231"/>
      <c r="L675" s="231"/>
      <c r="M675" s="231"/>
      <c r="N675" s="231"/>
      <c r="O675" s="231"/>
      <c r="P675" s="231"/>
      <c r="Q675" s="231"/>
      <c r="R675" s="231"/>
      <c r="S675" s="231"/>
      <c r="T675" s="231"/>
      <c r="U675" s="231"/>
      <c r="V675" s="231"/>
      <c r="W675" s="231"/>
      <c r="X675" s="231"/>
      <c r="Y675" s="231"/>
    </row>
    <row r="676" spans="1:25" ht="15.75" hidden="1" customHeight="1" x14ac:dyDescent="0.2">
      <c r="A676" s="231"/>
      <c r="B676" s="224"/>
      <c r="C676" s="225"/>
      <c r="D676" s="225"/>
      <c r="E676" s="225"/>
      <c r="F676" s="177"/>
      <c r="G676" s="177"/>
      <c r="H676" s="177"/>
      <c r="I676" s="177"/>
      <c r="J676" s="223"/>
      <c r="K676" s="231"/>
      <c r="L676" s="231"/>
      <c r="M676" s="231"/>
      <c r="N676" s="231"/>
      <c r="O676" s="231"/>
      <c r="P676" s="231"/>
      <c r="Q676" s="231"/>
      <c r="R676" s="231"/>
      <c r="S676" s="231"/>
      <c r="T676" s="231"/>
      <c r="U676" s="231"/>
      <c r="V676" s="231"/>
      <c r="W676" s="231"/>
      <c r="X676" s="231"/>
      <c r="Y676" s="231"/>
    </row>
    <row r="677" spans="1:25" ht="15.75" hidden="1" customHeight="1" x14ac:dyDescent="0.2">
      <c r="A677" s="231"/>
      <c r="B677" s="224"/>
      <c r="C677" s="225"/>
      <c r="D677" s="225"/>
      <c r="E677" s="225"/>
      <c r="F677" s="177"/>
      <c r="G677" s="177"/>
      <c r="H677" s="177"/>
      <c r="I677" s="177"/>
      <c r="J677" s="223"/>
      <c r="K677" s="231"/>
      <c r="L677" s="231"/>
      <c r="M677" s="231"/>
      <c r="N677" s="231"/>
      <c r="O677" s="231"/>
      <c r="P677" s="231"/>
      <c r="Q677" s="231"/>
      <c r="R677" s="231"/>
      <c r="S677" s="231"/>
      <c r="T677" s="231"/>
      <c r="U677" s="231"/>
      <c r="V677" s="231"/>
      <c r="W677" s="231"/>
      <c r="X677" s="231"/>
      <c r="Y677" s="231"/>
    </row>
    <row r="678" spans="1:25" ht="15.75" hidden="1" customHeight="1" x14ac:dyDescent="0.2">
      <c r="A678" s="231"/>
      <c r="B678" s="224"/>
      <c r="C678" s="225"/>
      <c r="D678" s="225"/>
      <c r="E678" s="225"/>
      <c r="F678" s="177"/>
      <c r="G678" s="177"/>
      <c r="H678" s="177"/>
      <c r="I678" s="177"/>
      <c r="J678" s="223"/>
      <c r="K678" s="231"/>
      <c r="L678" s="231"/>
      <c r="M678" s="231"/>
      <c r="N678" s="231"/>
      <c r="O678" s="231"/>
      <c r="P678" s="231"/>
      <c r="Q678" s="231"/>
      <c r="R678" s="231"/>
      <c r="S678" s="231"/>
      <c r="T678" s="231"/>
      <c r="U678" s="231"/>
      <c r="V678" s="231"/>
      <c r="W678" s="231"/>
      <c r="X678" s="231"/>
      <c r="Y678" s="231"/>
    </row>
    <row r="679" spans="1:25" ht="15.75" hidden="1" customHeight="1" x14ac:dyDescent="0.2">
      <c r="A679" s="231"/>
      <c r="B679" s="224"/>
      <c r="C679" s="225"/>
      <c r="D679" s="225"/>
      <c r="E679" s="225"/>
      <c r="F679" s="177"/>
      <c r="G679" s="177"/>
      <c r="H679" s="177"/>
      <c r="I679" s="177"/>
      <c r="J679" s="223"/>
      <c r="K679" s="231"/>
      <c r="L679" s="231"/>
      <c r="M679" s="231"/>
      <c r="N679" s="231"/>
      <c r="O679" s="231"/>
      <c r="P679" s="231"/>
      <c r="Q679" s="231"/>
      <c r="R679" s="231"/>
      <c r="S679" s="231"/>
      <c r="T679" s="231"/>
      <c r="U679" s="231"/>
      <c r="V679" s="231"/>
      <c r="W679" s="231"/>
      <c r="X679" s="231"/>
      <c r="Y679" s="231"/>
    </row>
    <row r="680" spans="1:25" ht="15.75" hidden="1" customHeight="1" x14ac:dyDescent="0.2">
      <c r="A680" s="231"/>
      <c r="B680" s="224"/>
      <c r="C680" s="225"/>
      <c r="D680" s="225"/>
      <c r="E680" s="225"/>
      <c r="F680" s="177"/>
      <c r="G680" s="177"/>
      <c r="H680" s="177"/>
      <c r="I680" s="177"/>
      <c r="J680" s="223"/>
      <c r="K680" s="231"/>
      <c r="L680" s="231"/>
      <c r="M680" s="231"/>
      <c r="N680" s="231"/>
      <c r="O680" s="231"/>
      <c r="P680" s="231"/>
      <c r="Q680" s="231"/>
      <c r="R680" s="231"/>
      <c r="S680" s="231"/>
      <c r="T680" s="231"/>
      <c r="U680" s="231"/>
      <c r="V680" s="231"/>
      <c r="W680" s="231"/>
      <c r="X680" s="231"/>
      <c r="Y680" s="231"/>
    </row>
    <row r="681" spans="1:25" ht="15.75" hidden="1" customHeight="1" x14ac:dyDescent="0.2">
      <c r="A681" s="231"/>
      <c r="B681" s="224"/>
      <c r="C681" s="225"/>
      <c r="D681" s="225"/>
      <c r="E681" s="225"/>
      <c r="F681" s="177"/>
      <c r="G681" s="177"/>
      <c r="H681" s="177"/>
      <c r="I681" s="177"/>
      <c r="J681" s="223"/>
      <c r="K681" s="231"/>
      <c r="L681" s="231"/>
      <c r="M681" s="231"/>
      <c r="N681" s="231"/>
      <c r="O681" s="231"/>
      <c r="P681" s="231"/>
      <c r="Q681" s="231"/>
      <c r="R681" s="231"/>
      <c r="S681" s="231"/>
      <c r="T681" s="231"/>
      <c r="U681" s="231"/>
      <c r="V681" s="231"/>
      <c r="W681" s="231"/>
      <c r="X681" s="231"/>
      <c r="Y681" s="231"/>
    </row>
    <row r="682" spans="1:25" ht="15.75" hidden="1" customHeight="1" x14ac:dyDescent="0.2">
      <c r="A682" s="231"/>
      <c r="B682" s="224"/>
      <c r="C682" s="225"/>
      <c r="D682" s="225"/>
      <c r="E682" s="225"/>
      <c r="F682" s="177"/>
      <c r="G682" s="177"/>
      <c r="H682" s="177"/>
      <c r="I682" s="177"/>
      <c r="J682" s="223"/>
      <c r="K682" s="231"/>
      <c r="L682" s="231"/>
      <c r="M682" s="231"/>
      <c r="N682" s="231"/>
      <c r="O682" s="231"/>
      <c r="P682" s="231"/>
      <c r="Q682" s="231"/>
      <c r="R682" s="231"/>
      <c r="S682" s="231"/>
      <c r="T682" s="231"/>
      <c r="U682" s="231"/>
      <c r="V682" s="231"/>
      <c r="W682" s="231"/>
      <c r="X682" s="231"/>
      <c r="Y682" s="231"/>
    </row>
    <row r="683" spans="1:25" ht="15.75" hidden="1" customHeight="1" x14ac:dyDescent="0.2">
      <c r="A683" s="231"/>
      <c r="B683" s="224"/>
      <c r="C683" s="225"/>
      <c r="D683" s="225"/>
      <c r="E683" s="225"/>
      <c r="F683" s="177"/>
      <c r="G683" s="177"/>
      <c r="H683" s="177"/>
      <c r="I683" s="177"/>
      <c r="J683" s="223"/>
      <c r="K683" s="231"/>
      <c r="L683" s="231"/>
      <c r="M683" s="231"/>
      <c r="N683" s="231"/>
      <c r="O683" s="231"/>
      <c r="P683" s="231"/>
      <c r="Q683" s="231"/>
      <c r="R683" s="231"/>
      <c r="S683" s="231"/>
      <c r="T683" s="231"/>
      <c r="U683" s="231"/>
      <c r="V683" s="231"/>
      <c r="W683" s="231"/>
      <c r="X683" s="231"/>
      <c r="Y683" s="231"/>
    </row>
    <row r="684" spans="1:25" ht="15.75" hidden="1" customHeight="1" x14ac:dyDescent="0.2">
      <c r="A684" s="231"/>
      <c r="B684" s="224"/>
      <c r="C684" s="225"/>
      <c r="D684" s="225"/>
      <c r="E684" s="225"/>
      <c r="F684" s="177"/>
      <c r="G684" s="177"/>
      <c r="H684" s="177"/>
      <c r="I684" s="177"/>
      <c r="J684" s="223"/>
      <c r="K684" s="231"/>
      <c r="L684" s="231"/>
      <c r="M684" s="231"/>
      <c r="N684" s="231"/>
      <c r="O684" s="231"/>
      <c r="P684" s="231"/>
      <c r="Q684" s="231"/>
      <c r="R684" s="231"/>
      <c r="S684" s="231"/>
      <c r="T684" s="231"/>
      <c r="U684" s="231"/>
      <c r="V684" s="231"/>
      <c r="W684" s="231"/>
      <c r="X684" s="231"/>
      <c r="Y684" s="231"/>
    </row>
    <row r="685" spans="1:25" ht="15.75" hidden="1" customHeight="1" x14ac:dyDescent="0.2">
      <c r="A685" s="231"/>
      <c r="B685" s="224"/>
      <c r="C685" s="225"/>
      <c r="D685" s="225"/>
      <c r="E685" s="225"/>
      <c r="F685" s="177"/>
      <c r="G685" s="177"/>
      <c r="H685" s="177"/>
      <c r="I685" s="177"/>
      <c r="J685" s="223"/>
      <c r="K685" s="231"/>
      <c r="L685" s="231"/>
      <c r="M685" s="231"/>
      <c r="N685" s="231"/>
      <c r="O685" s="231"/>
      <c r="P685" s="231"/>
      <c r="Q685" s="231"/>
      <c r="R685" s="231"/>
      <c r="S685" s="231"/>
      <c r="T685" s="231"/>
      <c r="U685" s="231"/>
      <c r="V685" s="231"/>
      <c r="W685" s="231"/>
      <c r="X685" s="231"/>
      <c r="Y685" s="231"/>
    </row>
    <row r="686" spans="1:25" ht="15.75" hidden="1" customHeight="1" x14ac:dyDescent="0.2">
      <c r="A686" s="231"/>
      <c r="B686" s="224"/>
      <c r="C686" s="225"/>
      <c r="D686" s="225"/>
      <c r="E686" s="225"/>
      <c r="F686" s="177"/>
      <c r="G686" s="177"/>
      <c r="H686" s="177"/>
      <c r="I686" s="177"/>
      <c r="J686" s="223"/>
      <c r="K686" s="231"/>
      <c r="L686" s="231"/>
      <c r="M686" s="231"/>
      <c r="N686" s="231"/>
      <c r="O686" s="231"/>
      <c r="P686" s="231"/>
      <c r="Q686" s="231"/>
      <c r="R686" s="231"/>
      <c r="S686" s="231"/>
      <c r="T686" s="231"/>
      <c r="U686" s="231"/>
      <c r="V686" s="231"/>
      <c r="W686" s="231"/>
      <c r="X686" s="231"/>
      <c r="Y686" s="231"/>
    </row>
    <row r="687" spans="1:25" ht="15.75" hidden="1" customHeight="1" x14ac:dyDescent="0.2">
      <c r="A687" s="231"/>
      <c r="B687" s="224"/>
      <c r="C687" s="225"/>
      <c r="D687" s="225"/>
      <c r="E687" s="225"/>
      <c r="F687" s="177"/>
      <c r="G687" s="177"/>
      <c r="H687" s="177"/>
      <c r="I687" s="177"/>
      <c r="J687" s="223"/>
      <c r="K687" s="231"/>
      <c r="L687" s="231"/>
      <c r="M687" s="231"/>
      <c r="N687" s="231"/>
      <c r="O687" s="231"/>
      <c r="P687" s="231"/>
      <c r="Q687" s="231"/>
      <c r="R687" s="231"/>
      <c r="S687" s="231"/>
      <c r="T687" s="231"/>
      <c r="U687" s="231"/>
      <c r="V687" s="231"/>
      <c r="W687" s="231"/>
      <c r="X687" s="231"/>
      <c r="Y687" s="231"/>
    </row>
    <row r="688" spans="1:25" ht="15.75" hidden="1" customHeight="1" x14ac:dyDescent="0.2">
      <c r="A688" s="231"/>
      <c r="B688" s="224"/>
      <c r="C688" s="225"/>
      <c r="D688" s="225"/>
      <c r="E688" s="225"/>
      <c r="F688" s="177"/>
      <c r="G688" s="177"/>
      <c r="H688" s="177"/>
      <c r="I688" s="177"/>
      <c r="J688" s="223"/>
      <c r="K688" s="231"/>
      <c r="L688" s="231"/>
      <c r="M688" s="231"/>
      <c r="N688" s="231"/>
      <c r="O688" s="231"/>
      <c r="P688" s="231"/>
      <c r="Q688" s="231"/>
      <c r="R688" s="231"/>
      <c r="S688" s="231"/>
      <c r="T688" s="231"/>
      <c r="U688" s="231"/>
      <c r="V688" s="231"/>
      <c r="W688" s="231"/>
      <c r="X688" s="231"/>
      <c r="Y688" s="231"/>
    </row>
    <row r="689" spans="1:25" ht="15.75" hidden="1" customHeight="1" x14ac:dyDescent="0.2">
      <c r="A689" s="231"/>
      <c r="B689" s="224"/>
      <c r="C689" s="225"/>
      <c r="D689" s="225"/>
      <c r="E689" s="225"/>
      <c r="F689" s="177"/>
      <c r="G689" s="177"/>
      <c r="H689" s="177"/>
      <c r="I689" s="177"/>
      <c r="J689" s="223"/>
      <c r="K689" s="231"/>
      <c r="L689" s="231"/>
      <c r="M689" s="231"/>
      <c r="N689" s="231"/>
      <c r="O689" s="231"/>
      <c r="P689" s="231"/>
      <c r="Q689" s="231"/>
      <c r="R689" s="231"/>
      <c r="S689" s="231"/>
      <c r="T689" s="231"/>
      <c r="U689" s="231"/>
      <c r="V689" s="231"/>
      <c r="W689" s="231"/>
      <c r="X689" s="231"/>
      <c r="Y689" s="231"/>
    </row>
    <row r="690" spans="1:25" ht="15.75" hidden="1" customHeight="1" x14ac:dyDescent="0.2">
      <c r="A690" s="231"/>
      <c r="B690" s="224"/>
      <c r="C690" s="225"/>
      <c r="D690" s="225"/>
      <c r="E690" s="225"/>
      <c r="F690" s="177"/>
      <c r="G690" s="177"/>
      <c r="H690" s="177"/>
      <c r="I690" s="177"/>
      <c r="J690" s="223"/>
      <c r="K690" s="231"/>
      <c r="L690" s="231"/>
      <c r="M690" s="231"/>
      <c r="N690" s="231"/>
      <c r="O690" s="231"/>
      <c r="P690" s="231"/>
      <c r="Q690" s="231"/>
      <c r="R690" s="231"/>
      <c r="S690" s="231"/>
      <c r="T690" s="231"/>
      <c r="U690" s="231"/>
      <c r="V690" s="231"/>
      <c r="W690" s="231"/>
      <c r="X690" s="231"/>
      <c r="Y690" s="231"/>
    </row>
    <row r="691" spans="1:25" ht="15.75" hidden="1" customHeight="1" x14ac:dyDescent="0.2">
      <c r="A691" s="231"/>
      <c r="B691" s="224"/>
      <c r="C691" s="225"/>
      <c r="D691" s="225"/>
      <c r="E691" s="225"/>
      <c r="F691" s="177"/>
      <c r="G691" s="177"/>
      <c r="H691" s="177"/>
      <c r="I691" s="177"/>
      <c r="J691" s="223"/>
      <c r="K691" s="231"/>
      <c r="L691" s="231"/>
      <c r="M691" s="231"/>
      <c r="N691" s="231"/>
      <c r="O691" s="231"/>
      <c r="P691" s="231"/>
      <c r="Q691" s="231"/>
      <c r="R691" s="231"/>
      <c r="S691" s="231"/>
      <c r="T691" s="231"/>
      <c r="U691" s="231"/>
      <c r="V691" s="231"/>
      <c r="W691" s="231"/>
      <c r="X691" s="231"/>
      <c r="Y691" s="231"/>
    </row>
    <row r="692" spans="1:25" ht="15.75" hidden="1" customHeight="1" x14ac:dyDescent="0.2">
      <c r="A692" s="231"/>
      <c r="B692" s="224"/>
      <c r="C692" s="225"/>
      <c r="D692" s="225"/>
      <c r="E692" s="225"/>
      <c r="F692" s="177"/>
      <c r="G692" s="177"/>
      <c r="H692" s="177"/>
      <c r="I692" s="177"/>
      <c r="J692" s="223"/>
      <c r="K692" s="231"/>
      <c r="L692" s="231"/>
      <c r="M692" s="231"/>
      <c r="N692" s="231"/>
      <c r="O692" s="231"/>
      <c r="P692" s="231"/>
      <c r="Q692" s="231"/>
      <c r="R692" s="231"/>
      <c r="S692" s="231"/>
      <c r="T692" s="231"/>
      <c r="U692" s="231"/>
      <c r="V692" s="231"/>
      <c r="W692" s="231"/>
      <c r="X692" s="231"/>
      <c r="Y692" s="231"/>
    </row>
    <row r="693" spans="1:25" ht="15.75" hidden="1" customHeight="1" x14ac:dyDescent="0.2">
      <c r="A693" s="231"/>
      <c r="B693" s="224"/>
      <c r="C693" s="225"/>
      <c r="D693" s="225"/>
      <c r="E693" s="225"/>
      <c r="F693" s="177"/>
      <c r="G693" s="177"/>
      <c r="H693" s="177"/>
      <c r="I693" s="177"/>
      <c r="J693" s="223"/>
      <c r="K693" s="231"/>
      <c r="L693" s="231"/>
      <c r="M693" s="231"/>
      <c r="N693" s="231"/>
      <c r="O693" s="231"/>
      <c r="P693" s="231"/>
      <c r="Q693" s="231"/>
      <c r="R693" s="231"/>
      <c r="S693" s="231"/>
      <c r="T693" s="231"/>
      <c r="U693" s="231"/>
      <c r="V693" s="231"/>
      <c r="W693" s="231"/>
      <c r="X693" s="231"/>
      <c r="Y693" s="231"/>
    </row>
    <row r="694" spans="1:25" ht="15.75" hidden="1" customHeight="1" x14ac:dyDescent="0.2">
      <c r="A694" s="231"/>
      <c r="B694" s="224"/>
      <c r="C694" s="225"/>
      <c r="D694" s="225"/>
      <c r="E694" s="225"/>
      <c r="F694" s="177"/>
      <c r="G694" s="177"/>
      <c r="H694" s="177"/>
      <c r="I694" s="177"/>
      <c r="J694" s="223"/>
      <c r="K694" s="231"/>
      <c r="L694" s="231"/>
      <c r="M694" s="231"/>
      <c r="N694" s="231"/>
      <c r="O694" s="231"/>
      <c r="P694" s="231"/>
      <c r="Q694" s="231"/>
      <c r="R694" s="231"/>
      <c r="S694" s="231"/>
      <c r="T694" s="231"/>
      <c r="U694" s="231"/>
      <c r="V694" s="231"/>
      <c r="W694" s="231"/>
      <c r="X694" s="231"/>
      <c r="Y694" s="231"/>
    </row>
    <row r="695" spans="1:25" ht="15.75" hidden="1" customHeight="1" x14ac:dyDescent="0.2">
      <c r="A695" s="231"/>
      <c r="B695" s="224"/>
      <c r="C695" s="225"/>
      <c r="D695" s="225"/>
      <c r="E695" s="225"/>
      <c r="F695" s="177"/>
      <c r="G695" s="177"/>
      <c r="H695" s="177"/>
      <c r="I695" s="177"/>
      <c r="J695" s="223"/>
      <c r="K695" s="231"/>
      <c r="L695" s="231"/>
      <c r="M695" s="231"/>
      <c r="N695" s="231"/>
      <c r="O695" s="231"/>
      <c r="P695" s="231"/>
      <c r="Q695" s="231"/>
      <c r="R695" s="231"/>
      <c r="S695" s="231"/>
      <c r="T695" s="231"/>
      <c r="U695" s="231"/>
      <c r="V695" s="231"/>
      <c r="W695" s="231"/>
      <c r="X695" s="231"/>
      <c r="Y695" s="231"/>
    </row>
    <row r="696" spans="1:25" ht="15.75" hidden="1" customHeight="1" x14ac:dyDescent="0.2">
      <c r="A696" s="231"/>
      <c r="B696" s="224"/>
      <c r="C696" s="225"/>
      <c r="D696" s="225"/>
      <c r="E696" s="225"/>
      <c r="F696" s="177"/>
      <c r="G696" s="177"/>
      <c r="H696" s="177"/>
      <c r="I696" s="177"/>
      <c r="J696" s="223"/>
      <c r="K696" s="231"/>
      <c r="L696" s="231"/>
      <c r="M696" s="231"/>
      <c r="N696" s="231"/>
      <c r="O696" s="231"/>
      <c r="P696" s="231"/>
      <c r="Q696" s="231"/>
      <c r="R696" s="231"/>
      <c r="S696" s="231"/>
      <c r="T696" s="231"/>
      <c r="U696" s="231"/>
      <c r="V696" s="231"/>
      <c r="W696" s="231"/>
      <c r="X696" s="231"/>
      <c r="Y696" s="231"/>
    </row>
    <row r="697" spans="1:25" ht="15.75" hidden="1" customHeight="1" x14ac:dyDescent="0.2">
      <c r="A697" s="231"/>
      <c r="B697" s="224"/>
      <c r="C697" s="225"/>
      <c r="D697" s="225"/>
      <c r="E697" s="225"/>
      <c r="F697" s="177"/>
      <c r="G697" s="177"/>
      <c r="H697" s="177"/>
      <c r="I697" s="177"/>
      <c r="J697" s="223"/>
      <c r="K697" s="231"/>
      <c r="L697" s="231"/>
      <c r="M697" s="231"/>
      <c r="N697" s="231"/>
      <c r="O697" s="231"/>
      <c r="P697" s="231"/>
      <c r="Q697" s="231"/>
      <c r="R697" s="231"/>
      <c r="S697" s="231"/>
      <c r="T697" s="231"/>
      <c r="U697" s="231"/>
      <c r="V697" s="231"/>
      <c r="W697" s="231"/>
      <c r="X697" s="231"/>
      <c r="Y697" s="231"/>
    </row>
    <row r="698" spans="1:25" ht="15.75" hidden="1" customHeight="1" x14ac:dyDescent="0.2">
      <c r="A698" s="231"/>
      <c r="B698" s="224"/>
      <c r="C698" s="225"/>
      <c r="D698" s="225"/>
      <c r="E698" s="225"/>
      <c r="F698" s="177"/>
      <c r="G698" s="177"/>
      <c r="H698" s="177"/>
      <c r="I698" s="177"/>
      <c r="J698" s="223"/>
      <c r="K698" s="231"/>
      <c r="L698" s="231"/>
      <c r="M698" s="231"/>
      <c r="N698" s="231"/>
      <c r="O698" s="231"/>
      <c r="P698" s="231"/>
      <c r="Q698" s="231"/>
      <c r="R698" s="231"/>
      <c r="S698" s="231"/>
      <c r="T698" s="231"/>
      <c r="U698" s="231"/>
      <c r="V698" s="231"/>
      <c r="W698" s="231"/>
      <c r="X698" s="231"/>
      <c r="Y698" s="231"/>
    </row>
    <row r="699" spans="1:25" ht="15.75" hidden="1" customHeight="1" x14ac:dyDescent="0.2">
      <c r="A699" s="231"/>
      <c r="B699" s="224"/>
      <c r="C699" s="225"/>
      <c r="D699" s="225"/>
      <c r="E699" s="225"/>
      <c r="F699" s="177"/>
      <c r="G699" s="177"/>
      <c r="H699" s="177"/>
      <c r="I699" s="177"/>
      <c r="J699" s="223"/>
      <c r="K699" s="231"/>
      <c r="L699" s="231"/>
      <c r="M699" s="231"/>
      <c r="N699" s="231"/>
      <c r="O699" s="231"/>
      <c r="P699" s="231"/>
      <c r="Q699" s="231"/>
      <c r="R699" s="231"/>
      <c r="S699" s="231"/>
      <c r="T699" s="231"/>
      <c r="U699" s="231"/>
      <c r="V699" s="231"/>
      <c r="W699" s="231"/>
      <c r="X699" s="231"/>
      <c r="Y699" s="231"/>
    </row>
    <row r="700" spans="1:25" ht="15.75" hidden="1" customHeight="1" x14ac:dyDescent="0.2">
      <c r="A700" s="231"/>
      <c r="B700" s="224"/>
      <c r="C700" s="225"/>
      <c r="D700" s="225"/>
      <c r="E700" s="225"/>
      <c r="F700" s="177"/>
      <c r="G700" s="177"/>
      <c r="H700" s="177"/>
      <c r="I700" s="177"/>
      <c r="J700" s="223"/>
      <c r="K700" s="231"/>
      <c r="L700" s="231"/>
      <c r="M700" s="231"/>
      <c r="N700" s="231"/>
      <c r="O700" s="231"/>
      <c r="P700" s="231"/>
      <c r="Q700" s="231"/>
      <c r="R700" s="231"/>
      <c r="S700" s="231"/>
      <c r="T700" s="231"/>
      <c r="U700" s="231"/>
      <c r="V700" s="231"/>
      <c r="W700" s="231"/>
      <c r="X700" s="231"/>
      <c r="Y700" s="231"/>
    </row>
    <row r="701" spans="1:25" ht="15.75" hidden="1" customHeight="1" x14ac:dyDescent="0.2">
      <c r="A701" s="231"/>
      <c r="B701" s="224"/>
      <c r="C701" s="225"/>
      <c r="D701" s="225"/>
      <c r="E701" s="225"/>
      <c r="F701" s="177"/>
      <c r="G701" s="177"/>
      <c r="H701" s="177"/>
      <c r="I701" s="177"/>
      <c r="J701" s="223"/>
      <c r="K701" s="231"/>
      <c r="L701" s="231"/>
      <c r="M701" s="231"/>
      <c r="N701" s="231"/>
      <c r="O701" s="231"/>
      <c r="P701" s="231"/>
      <c r="Q701" s="231"/>
      <c r="R701" s="231"/>
      <c r="S701" s="231"/>
      <c r="T701" s="231"/>
      <c r="U701" s="231"/>
      <c r="V701" s="231"/>
      <c r="W701" s="231"/>
      <c r="X701" s="231"/>
      <c r="Y701" s="231"/>
    </row>
    <row r="702" spans="1:25" ht="15.75" hidden="1" customHeight="1" x14ac:dyDescent="0.2">
      <c r="A702" s="231"/>
      <c r="B702" s="224"/>
      <c r="C702" s="225"/>
      <c r="D702" s="225"/>
      <c r="E702" s="225"/>
      <c r="F702" s="177"/>
      <c r="G702" s="177"/>
      <c r="H702" s="177"/>
      <c r="I702" s="177"/>
      <c r="J702" s="223"/>
      <c r="K702" s="231"/>
      <c r="L702" s="231"/>
      <c r="M702" s="231"/>
      <c r="N702" s="231"/>
      <c r="O702" s="231"/>
      <c r="P702" s="231"/>
      <c r="Q702" s="231"/>
      <c r="R702" s="231"/>
      <c r="S702" s="231"/>
      <c r="T702" s="231"/>
      <c r="U702" s="231"/>
      <c r="V702" s="231"/>
      <c r="W702" s="231"/>
      <c r="X702" s="231"/>
      <c r="Y702" s="231"/>
    </row>
    <row r="703" spans="1:25" ht="15.75" hidden="1" customHeight="1" x14ac:dyDescent="0.2">
      <c r="A703" s="231"/>
      <c r="B703" s="224"/>
      <c r="C703" s="225"/>
      <c r="D703" s="225"/>
      <c r="E703" s="225"/>
      <c r="F703" s="177"/>
      <c r="G703" s="177"/>
      <c r="H703" s="177"/>
      <c r="I703" s="177"/>
      <c r="J703" s="223"/>
      <c r="K703" s="231"/>
      <c r="L703" s="231"/>
      <c r="M703" s="231"/>
      <c r="N703" s="231"/>
      <c r="O703" s="231"/>
      <c r="P703" s="231"/>
      <c r="Q703" s="231"/>
      <c r="R703" s="231"/>
      <c r="S703" s="231"/>
      <c r="T703" s="231"/>
      <c r="U703" s="231"/>
      <c r="V703" s="231"/>
      <c r="W703" s="231"/>
      <c r="X703" s="231"/>
      <c r="Y703" s="231"/>
    </row>
    <row r="704" spans="1:25" ht="15.75" hidden="1" customHeight="1" x14ac:dyDescent="0.2">
      <c r="A704" s="231"/>
      <c r="B704" s="224"/>
      <c r="C704" s="225"/>
      <c r="D704" s="225"/>
      <c r="E704" s="225"/>
      <c r="F704" s="177"/>
      <c r="G704" s="177"/>
      <c r="H704" s="177"/>
      <c r="I704" s="177"/>
      <c r="J704" s="223"/>
      <c r="K704" s="231"/>
      <c r="L704" s="231"/>
      <c r="M704" s="231"/>
      <c r="N704" s="231"/>
      <c r="O704" s="231"/>
      <c r="P704" s="231"/>
      <c r="Q704" s="231"/>
      <c r="R704" s="231"/>
      <c r="S704" s="231"/>
      <c r="T704" s="231"/>
      <c r="U704" s="231"/>
      <c r="V704" s="231"/>
      <c r="W704" s="231"/>
      <c r="X704" s="231"/>
      <c r="Y704" s="231"/>
    </row>
    <row r="705" spans="1:25" ht="15.75" hidden="1" customHeight="1" x14ac:dyDescent="0.2">
      <c r="A705" s="231"/>
      <c r="B705" s="224"/>
      <c r="C705" s="225"/>
      <c r="D705" s="225"/>
      <c r="E705" s="225"/>
      <c r="F705" s="177"/>
      <c r="G705" s="177"/>
      <c r="H705" s="177"/>
      <c r="I705" s="177"/>
      <c r="J705" s="223"/>
      <c r="K705" s="231"/>
      <c r="L705" s="231"/>
      <c r="M705" s="231"/>
      <c r="N705" s="231"/>
      <c r="O705" s="231"/>
      <c r="P705" s="231"/>
      <c r="Q705" s="231"/>
      <c r="R705" s="231"/>
      <c r="S705" s="231"/>
      <c r="T705" s="231"/>
      <c r="U705" s="231"/>
      <c r="V705" s="231"/>
      <c r="W705" s="231"/>
      <c r="X705" s="231"/>
      <c r="Y705" s="231"/>
    </row>
    <row r="706" spans="1:25" ht="15.75" hidden="1" customHeight="1" x14ac:dyDescent="0.2">
      <c r="A706" s="231"/>
      <c r="B706" s="224"/>
      <c r="C706" s="225"/>
      <c r="D706" s="225"/>
      <c r="E706" s="225"/>
      <c r="F706" s="177"/>
      <c r="G706" s="177"/>
      <c r="H706" s="177"/>
      <c r="I706" s="177"/>
      <c r="J706" s="223"/>
      <c r="K706" s="231"/>
      <c r="L706" s="231"/>
      <c r="M706" s="231"/>
      <c r="N706" s="231"/>
      <c r="O706" s="231"/>
      <c r="P706" s="231"/>
      <c r="Q706" s="231"/>
      <c r="R706" s="231"/>
      <c r="S706" s="231"/>
      <c r="T706" s="231"/>
      <c r="U706" s="231"/>
      <c r="V706" s="231"/>
      <c r="W706" s="231"/>
      <c r="X706" s="231"/>
      <c r="Y706" s="231"/>
    </row>
    <row r="707" spans="1:25" ht="15.75" hidden="1" customHeight="1" x14ac:dyDescent="0.2">
      <c r="A707" s="231"/>
      <c r="B707" s="224"/>
      <c r="C707" s="225"/>
      <c r="D707" s="225"/>
      <c r="E707" s="225"/>
      <c r="F707" s="177"/>
      <c r="G707" s="177"/>
      <c r="H707" s="177"/>
      <c r="I707" s="177"/>
      <c r="J707" s="223"/>
      <c r="K707" s="231"/>
      <c r="L707" s="231"/>
      <c r="M707" s="231"/>
      <c r="N707" s="231"/>
      <c r="O707" s="231"/>
      <c r="P707" s="231"/>
      <c r="Q707" s="231"/>
      <c r="R707" s="231"/>
      <c r="S707" s="231"/>
      <c r="T707" s="231"/>
      <c r="U707" s="231"/>
      <c r="V707" s="231"/>
      <c r="W707" s="231"/>
      <c r="X707" s="231"/>
      <c r="Y707" s="231"/>
    </row>
    <row r="708" spans="1:25" ht="15.75" hidden="1" customHeight="1" x14ac:dyDescent="0.2">
      <c r="A708" s="231"/>
      <c r="B708" s="224"/>
      <c r="C708" s="225"/>
      <c r="D708" s="225"/>
      <c r="E708" s="225"/>
      <c r="F708" s="177"/>
      <c r="G708" s="177"/>
      <c r="H708" s="177"/>
      <c r="I708" s="177"/>
      <c r="J708" s="223"/>
      <c r="K708" s="231"/>
      <c r="L708" s="231"/>
      <c r="M708" s="231"/>
      <c r="N708" s="231"/>
      <c r="O708" s="231"/>
      <c r="P708" s="231"/>
      <c r="Q708" s="231"/>
      <c r="R708" s="231"/>
      <c r="S708" s="231"/>
      <c r="T708" s="231"/>
      <c r="U708" s="231"/>
      <c r="V708" s="231"/>
      <c r="W708" s="231"/>
      <c r="X708" s="231"/>
      <c r="Y708" s="231"/>
    </row>
    <row r="709" spans="1:25" ht="15.75" hidden="1" customHeight="1" x14ac:dyDescent="0.2">
      <c r="A709" s="231"/>
      <c r="B709" s="224"/>
      <c r="C709" s="225"/>
      <c r="D709" s="225"/>
      <c r="E709" s="225"/>
      <c r="F709" s="177"/>
      <c r="G709" s="177"/>
      <c r="H709" s="177"/>
      <c r="I709" s="177"/>
      <c r="J709" s="223"/>
      <c r="K709" s="231"/>
      <c r="L709" s="231"/>
      <c r="M709" s="231"/>
      <c r="N709" s="231"/>
      <c r="O709" s="231"/>
      <c r="P709" s="231"/>
      <c r="Q709" s="231"/>
      <c r="R709" s="231"/>
      <c r="S709" s="231"/>
      <c r="T709" s="231"/>
      <c r="U709" s="231"/>
      <c r="V709" s="231"/>
      <c r="W709" s="231"/>
      <c r="X709" s="231"/>
      <c r="Y709" s="231"/>
    </row>
    <row r="710" spans="1:25" ht="15.75" hidden="1" customHeight="1" x14ac:dyDescent="0.2">
      <c r="A710" s="231"/>
      <c r="B710" s="224"/>
      <c r="C710" s="225"/>
      <c r="D710" s="225"/>
      <c r="E710" s="225"/>
      <c r="F710" s="177"/>
      <c r="G710" s="177"/>
      <c r="H710" s="177"/>
      <c r="I710" s="177"/>
      <c r="J710" s="223"/>
      <c r="K710" s="231"/>
      <c r="L710" s="231"/>
      <c r="M710" s="231"/>
      <c r="N710" s="231"/>
      <c r="O710" s="231"/>
      <c r="P710" s="231"/>
      <c r="Q710" s="231"/>
      <c r="R710" s="231"/>
      <c r="S710" s="231"/>
      <c r="T710" s="231"/>
      <c r="U710" s="231"/>
      <c r="V710" s="231"/>
      <c r="W710" s="231"/>
      <c r="X710" s="231"/>
      <c r="Y710" s="231"/>
    </row>
    <row r="711" spans="1:25" ht="15.75" hidden="1" customHeight="1" x14ac:dyDescent="0.2">
      <c r="A711" s="231"/>
      <c r="B711" s="224"/>
      <c r="C711" s="225"/>
      <c r="D711" s="225"/>
      <c r="E711" s="225"/>
      <c r="F711" s="177"/>
      <c r="G711" s="177"/>
      <c r="H711" s="177"/>
      <c r="I711" s="177"/>
      <c r="J711" s="223"/>
      <c r="K711" s="231"/>
      <c r="L711" s="231"/>
      <c r="M711" s="231"/>
      <c r="N711" s="231"/>
      <c r="O711" s="231"/>
      <c r="P711" s="231"/>
      <c r="Q711" s="231"/>
      <c r="R711" s="231"/>
      <c r="S711" s="231"/>
      <c r="T711" s="231"/>
      <c r="U711" s="231"/>
      <c r="V711" s="231"/>
      <c r="W711" s="231"/>
      <c r="X711" s="231"/>
      <c r="Y711" s="231"/>
    </row>
    <row r="712" spans="1:25" ht="15.75" hidden="1" customHeight="1" x14ac:dyDescent="0.2">
      <c r="A712" s="231"/>
      <c r="B712" s="224"/>
      <c r="C712" s="225"/>
      <c r="D712" s="225"/>
      <c r="E712" s="225"/>
      <c r="F712" s="177"/>
      <c r="G712" s="177"/>
      <c r="H712" s="177"/>
      <c r="I712" s="177"/>
      <c r="J712" s="223"/>
      <c r="K712" s="231"/>
      <c r="L712" s="231"/>
      <c r="M712" s="231"/>
      <c r="N712" s="231"/>
      <c r="O712" s="231"/>
      <c r="P712" s="231"/>
      <c r="Q712" s="231"/>
      <c r="R712" s="231"/>
      <c r="S712" s="231"/>
      <c r="T712" s="231"/>
      <c r="U712" s="231"/>
      <c r="V712" s="231"/>
      <c r="W712" s="231"/>
      <c r="X712" s="231"/>
      <c r="Y712" s="231"/>
    </row>
    <row r="713" spans="1:25" ht="15.75" hidden="1" customHeight="1" x14ac:dyDescent="0.2">
      <c r="A713" s="231"/>
      <c r="B713" s="224"/>
      <c r="C713" s="225"/>
      <c r="D713" s="225"/>
      <c r="E713" s="225"/>
      <c r="F713" s="177"/>
      <c r="G713" s="177"/>
      <c r="H713" s="177"/>
      <c r="I713" s="177"/>
      <c r="J713" s="223"/>
      <c r="K713" s="231"/>
      <c r="L713" s="231"/>
      <c r="M713" s="231"/>
      <c r="N713" s="231"/>
      <c r="O713" s="231"/>
      <c r="P713" s="231"/>
      <c r="Q713" s="231"/>
      <c r="R713" s="231"/>
      <c r="S713" s="231"/>
      <c r="T713" s="231"/>
      <c r="U713" s="231"/>
      <c r="V713" s="231"/>
      <c r="W713" s="231"/>
      <c r="X713" s="231"/>
      <c r="Y713" s="231"/>
    </row>
    <row r="714" spans="1:25" ht="15.75" hidden="1" customHeight="1" x14ac:dyDescent="0.2">
      <c r="A714" s="231"/>
      <c r="B714" s="224"/>
      <c r="C714" s="225"/>
      <c r="D714" s="225"/>
      <c r="E714" s="225"/>
      <c r="F714" s="177"/>
      <c r="G714" s="177"/>
      <c r="H714" s="177"/>
      <c r="I714" s="177"/>
      <c r="J714" s="223"/>
      <c r="K714" s="231"/>
      <c r="L714" s="231"/>
      <c r="M714" s="231"/>
      <c r="N714" s="231"/>
      <c r="O714" s="231"/>
      <c r="P714" s="231"/>
      <c r="Q714" s="231"/>
      <c r="R714" s="231"/>
      <c r="S714" s="231"/>
      <c r="T714" s="231"/>
      <c r="U714" s="231"/>
      <c r="V714" s="231"/>
      <c r="W714" s="231"/>
      <c r="X714" s="231"/>
      <c r="Y714" s="231"/>
    </row>
    <row r="715" spans="1:25" ht="15.75" hidden="1" customHeight="1" x14ac:dyDescent="0.2">
      <c r="A715" s="231"/>
      <c r="B715" s="224"/>
      <c r="C715" s="225"/>
      <c r="D715" s="225"/>
      <c r="E715" s="225"/>
      <c r="F715" s="177"/>
      <c r="G715" s="177"/>
      <c r="H715" s="177"/>
      <c r="I715" s="177"/>
      <c r="J715" s="223"/>
      <c r="K715" s="231"/>
      <c r="L715" s="231"/>
      <c r="M715" s="231"/>
      <c r="N715" s="231"/>
      <c r="O715" s="231"/>
      <c r="P715" s="231"/>
      <c r="Q715" s="231"/>
      <c r="R715" s="231"/>
      <c r="S715" s="231"/>
      <c r="T715" s="231"/>
      <c r="U715" s="231"/>
      <c r="V715" s="231"/>
      <c r="W715" s="231"/>
      <c r="X715" s="231"/>
      <c r="Y715" s="231"/>
    </row>
    <row r="716" spans="1:25" ht="15.75" hidden="1" customHeight="1" x14ac:dyDescent="0.2">
      <c r="A716" s="231"/>
      <c r="B716" s="224"/>
      <c r="C716" s="225"/>
      <c r="D716" s="225"/>
      <c r="E716" s="225"/>
      <c r="F716" s="177"/>
      <c r="G716" s="177"/>
      <c r="H716" s="177"/>
      <c r="I716" s="177"/>
      <c r="J716" s="223"/>
      <c r="K716" s="231"/>
      <c r="L716" s="231"/>
      <c r="M716" s="231"/>
      <c r="N716" s="231"/>
      <c r="O716" s="231"/>
      <c r="P716" s="231"/>
      <c r="Q716" s="231"/>
      <c r="R716" s="231"/>
      <c r="S716" s="231"/>
      <c r="T716" s="231"/>
      <c r="U716" s="231"/>
      <c r="V716" s="231"/>
      <c r="W716" s="231"/>
      <c r="X716" s="231"/>
      <c r="Y716" s="231"/>
    </row>
    <row r="717" spans="1:25" ht="15.75" hidden="1" customHeight="1" x14ac:dyDescent="0.2">
      <c r="A717" s="231"/>
      <c r="B717" s="224"/>
      <c r="C717" s="225"/>
      <c r="D717" s="225"/>
      <c r="E717" s="225"/>
      <c r="F717" s="177"/>
      <c r="G717" s="177"/>
      <c r="H717" s="177"/>
      <c r="I717" s="177"/>
      <c r="J717" s="223"/>
      <c r="K717" s="231"/>
      <c r="L717" s="231"/>
      <c r="M717" s="231"/>
      <c r="N717" s="231"/>
      <c r="O717" s="231"/>
      <c r="P717" s="231"/>
      <c r="Q717" s="231"/>
      <c r="R717" s="231"/>
      <c r="S717" s="231"/>
      <c r="T717" s="231"/>
      <c r="U717" s="231"/>
      <c r="V717" s="231"/>
      <c r="W717" s="231"/>
      <c r="X717" s="231"/>
      <c r="Y717" s="231"/>
    </row>
    <row r="718" spans="1:25" ht="15.75" hidden="1" customHeight="1" x14ac:dyDescent="0.2">
      <c r="A718" s="231"/>
      <c r="B718" s="224"/>
      <c r="C718" s="225"/>
      <c r="D718" s="225"/>
      <c r="E718" s="225"/>
      <c r="F718" s="177"/>
      <c r="G718" s="177"/>
      <c r="H718" s="177"/>
      <c r="I718" s="177"/>
      <c r="J718" s="223"/>
      <c r="K718" s="231"/>
      <c r="L718" s="231"/>
      <c r="M718" s="231"/>
      <c r="N718" s="231"/>
      <c r="O718" s="231"/>
      <c r="P718" s="231"/>
      <c r="Q718" s="231"/>
      <c r="R718" s="231"/>
      <c r="S718" s="231"/>
      <c r="T718" s="231"/>
      <c r="U718" s="231"/>
      <c r="V718" s="231"/>
      <c r="W718" s="231"/>
      <c r="X718" s="231"/>
      <c r="Y718" s="231"/>
    </row>
    <row r="719" spans="1:25" ht="15.75" hidden="1" customHeight="1" x14ac:dyDescent="0.2">
      <c r="A719" s="231"/>
      <c r="B719" s="224"/>
      <c r="C719" s="225"/>
      <c r="D719" s="225"/>
      <c r="E719" s="225"/>
      <c r="F719" s="177"/>
      <c r="G719" s="177"/>
      <c r="H719" s="177"/>
      <c r="I719" s="177"/>
      <c r="J719" s="223"/>
      <c r="K719" s="231"/>
      <c r="L719" s="231"/>
      <c r="M719" s="231"/>
      <c r="N719" s="231"/>
      <c r="O719" s="231"/>
      <c r="P719" s="231"/>
      <c r="Q719" s="231"/>
      <c r="R719" s="231"/>
      <c r="S719" s="231"/>
      <c r="T719" s="231"/>
      <c r="U719" s="231"/>
      <c r="V719" s="231"/>
      <c r="W719" s="231"/>
      <c r="X719" s="231"/>
      <c r="Y719" s="231"/>
    </row>
    <row r="720" spans="1:25" ht="15.75" hidden="1" customHeight="1" x14ac:dyDescent="0.2">
      <c r="A720" s="231"/>
      <c r="B720" s="224"/>
      <c r="C720" s="225"/>
      <c r="D720" s="225"/>
      <c r="E720" s="225"/>
      <c r="F720" s="177"/>
      <c r="G720" s="177"/>
      <c r="H720" s="177"/>
      <c r="I720" s="177"/>
      <c r="J720" s="223"/>
      <c r="K720" s="231"/>
      <c r="L720" s="231"/>
      <c r="M720" s="231"/>
      <c r="N720" s="231"/>
      <c r="O720" s="231"/>
      <c r="P720" s="231"/>
      <c r="Q720" s="231"/>
      <c r="R720" s="231"/>
      <c r="S720" s="231"/>
      <c r="T720" s="231"/>
      <c r="U720" s="231"/>
      <c r="V720" s="231"/>
      <c r="W720" s="231"/>
      <c r="X720" s="231"/>
      <c r="Y720" s="231"/>
    </row>
    <row r="721" spans="1:25" ht="15.75" hidden="1" customHeight="1" x14ac:dyDescent="0.2">
      <c r="A721" s="231"/>
      <c r="B721" s="224"/>
      <c r="C721" s="225"/>
      <c r="D721" s="225"/>
      <c r="E721" s="225"/>
      <c r="F721" s="177"/>
      <c r="G721" s="177"/>
      <c r="H721" s="177"/>
      <c r="I721" s="177"/>
      <c r="J721" s="223"/>
      <c r="K721" s="231"/>
      <c r="L721" s="231"/>
      <c r="M721" s="231"/>
      <c r="N721" s="231"/>
      <c r="O721" s="231"/>
      <c r="P721" s="231"/>
      <c r="Q721" s="231"/>
      <c r="R721" s="231"/>
      <c r="S721" s="231"/>
      <c r="T721" s="231"/>
      <c r="U721" s="231"/>
      <c r="V721" s="231"/>
      <c r="W721" s="231"/>
      <c r="X721" s="231"/>
      <c r="Y721" s="231"/>
    </row>
    <row r="722" spans="1:25" ht="15.75" hidden="1" customHeight="1" x14ac:dyDescent="0.2">
      <c r="A722" s="231"/>
      <c r="B722" s="224"/>
      <c r="C722" s="225"/>
      <c r="D722" s="225"/>
      <c r="E722" s="225"/>
      <c r="F722" s="177"/>
      <c r="G722" s="177"/>
      <c r="H722" s="177"/>
      <c r="I722" s="177"/>
      <c r="J722" s="223"/>
      <c r="K722" s="231"/>
      <c r="L722" s="231"/>
      <c r="M722" s="231"/>
      <c r="N722" s="231"/>
      <c r="O722" s="231"/>
      <c r="P722" s="231"/>
      <c r="Q722" s="231"/>
      <c r="R722" s="231"/>
      <c r="S722" s="231"/>
      <c r="T722" s="231"/>
      <c r="U722" s="231"/>
      <c r="V722" s="231"/>
      <c r="W722" s="231"/>
      <c r="X722" s="231"/>
      <c r="Y722" s="231"/>
    </row>
    <row r="723" spans="1:25" ht="15.75" hidden="1" customHeight="1" x14ac:dyDescent="0.2">
      <c r="A723" s="231"/>
      <c r="B723" s="224"/>
      <c r="C723" s="225"/>
      <c r="D723" s="225"/>
      <c r="E723" s="225"/>
      <c r="F723" s="177"/>
      <c r="G723" s="177"/>
      <c r="H723" s="177"/>
      <c r="I723" s="177"/>
      <c r="J723" s="223"/>
      <c r="K723" s="231"/>
      <c r="L723" s="231"/>
      <c r="M723" s="231"/>
      <c r="N723" s="231"/>
      <c r="O723" s="231"/>
      <c r="P723" s="231"/>
      <c r="Q723" s="231"/>
      <c r="R723" s="231"/>
      <c r="S723" s="231"/>
      <c r="T723" s="231"/>
      <c r="U723" s="231"/>
      <c r="V723" s="231"/>
      <c r="W723" s="231"/>
      <c r="X723" s="231"/>
      <c r="Y723" s="231"/>
    </row>
    <row r="724" spans="1:25" ht="15.75" hidden="1" customHeight="1" x14ac:dyDescent="0.2">
      <c r="A724" s="231"/>
      <c r="B724" s="224"/>
      <c r="C724" s="225"/>
      <c r="D724" s="225"/>
      <c r="E724" s="225"/>
      <c r="F724" s="177"/>
      <c r="G724" s="177"/>
      <c r="H724" s="177"/>
      <c r="I724" s="177"/>
      <c r="J724" s="223"/>
      <c r="K724" s="231"/>
      <c r="L724" s="231"/>
      <c r="M724" s="231"/>
      <c r="N724" s="231"/>
      <c r="O724" s="231"/>
      <c r="P724" s="231"/>
      <c r="Q724" s="231"/>
      <c r="R724" s="231"/>
      <c r="S724" s="231"/>
      <c r="T724" s="231"/>
      <c r="U724" s="231"/>
      <c r="V724" s="231"/>
      <c r="W724" s="231"/>
      <c r="X724" s="231"/>
      <c r="Y724" s="231"/>
    </row>
    <row r="725" spans="1:25" ht="15.75" hidden="1" customHeight="1" x14ac:dyDescent="0.2">
      <c r="A725" s="231"/>
      <c r="B725" s="224"/>
      <c r="C725" s="225"/>
      <c r="D725" s="225"/>
      <c r="E725" s="225"/>
      <c r="F725" s="177"/>
      <c r="G725" s="177"/>
      <c r="H725" s="177"/>
      <c r="I725" s="177"/>
      <c r="J725" s="223"/>
      <c r="K725" s="231"/>
      <c r="L725" s="231"/>
      <c r="M725" s="231"/>
      <c r="N725" s="231"/>
      <c r="O725" s="231"/>
      <c r="P725" s="231"/>
      <c r="Q725" s="231"/>
      <c r="R725" s="231"/>
      <c r="S725" s="231"/>
      <c r="T725" s="231"/>
      <c r="U725" s="231"/>
      <c r="V725" s="231"/>
      <c r="W725" s="231"/>
      <c r="X725" s="231"/>
      <c r="Y725" s="231"/>
    </row>
    <row r="726" spans="1:25" ht="15.75" hidden="1" customHeight="1" x14ac:dyDescent="0.2">
      <c r="A726" s="231"/>
      <c r="B726" s="224"/>
      <c r="C726" s="225"/>
      <c r="D726" s="225"/>
      <c r="E726" s="225"/>
      <c r="F726" s="177"/>
      <c r="G726" s="177"/>
      <c r="H726" s="177"/>
      <c r="I726" s="177"/>
      <c r="J726" s="223"/>
      <c r="K726" s="231"/>
      <c r="L726" s="231"/>
      <c r="M726" s="231"/>
      <c r="N726" s="231"/>
      <c r="O726" s="231"/>
      <c r="P726" s="231"/>
      <c r="Q726" s="231"/>
      <c r="R726" s="231"/>
      <c r="S726" s="231"/>
      <c r="T726" s="231"/>
      <c r="U726" s="231"/>
      <c r="V726" s="231"/>
      <c r="W726" s="231"/>
      <c r="X726" s="231"/>
      <c r="Y726" s="231"/>
    </row>
    <row r="727" spans="1:25" ht="15.75" hidden="1" customHeight="1" x14ac:dyDescent="0.2">
      <c r="A727" s="231"/>
      <c r="B727" s="224"/>
      <c r="C727" s="225"/>
      <c r="D727" s="225"/>
      <c r="E727" s="225"/>
      <c r="F727" s="177"/>
      <c r="G727" s="177"/>
      <c r="H727" s="177"/>
      <c r="I727" s="177"/>
      <c r="J727" s="223"/>
      <c r="K727" s="231"/>
      <c r="L727" s="231"/>
      <c r="M727" s="231"/>
      <c r="N727" s="231"/>
      <c r="O727" s="231"/>
      <c r="P727" s="231"/>
      <c r="Q727" s="231"/>
      <c r="R727" s="231"/>
      <c r="S727" s="231"/>
      <c r="T727" s="231"/>
      <c r="U727" s="231"/>
      <c r="V727" s="231"/>
      <c r="W727" s="231"/>
      <c r="X727" s="231"/>
      <c r="Y727" s="231"/>
    </row>
    <row r="728" spans="1:25" ht="15.75" hidden="1" customHeight="1" x14ac:dyDescent="0.2">
      <c r="A728" s="231"/>
      <c r="B728" s="224"/>
      <c r="C728" s="225"/>
      <c r="D728" s="225"/>
      <c r="E728" s="225"/>
      <c r="F728" s="177"/>
      <c r="G728" s="177"/>
      <c r="H728" s="177"/>
      <c r="I728" s="177"/>
      <c r="J728" s="223"/>
      <c r="K728" s="231"/>
      <c r="L728" s="231"/>
      <c r="M728" s="231"/>
      <c r="N728" s="231"/>
      <c r="O728" s="231"/>
      <c r="P728" s="231"/>
      <c r="Q728" s="231"/>
      <c r="R728" s="231"/>
      <c r="S728" s="231"/>
      <c r="T728" s="231"/>
      <c r="U728" s="231"/>
      <c r="V728" s="231"/>
      <c r="W728" s="231"/>
      <c r="X728" s="231"/>
      <c r="Y728" s="231"/>
    </row>
    <row r="729" spans="1:25" ht="15.75" hidden="1" customHeight="1" x14ac:dyDescent="0.2">
      <c r="A729" s="231"/>
      <c r="B729" s="224"/>
      <c r="C729" s="225"/>
      <c r="D729" s="225"/>
      <c r="E729" s="225"/>
      <c r="F729" s="177"/>
      <c r="G729" s="177"/>
      <c r="H729" s="177"/>
      <c r="I729" s="177"/>
      <c r="J729" s="223"/>
      <c r="K729" s="231"/>
      <c r="L729" s="231"/>
      <c r="M729" s="231"/>
      <c r="N729" s="231"/>
      <c r="O729" s="231"/>
      <c r="P729" s="231"/>
      <c r="Q729" s="231"/>
      <c r="R729" s="231"/>
      <c r="S729" s="231"/>
      <c r="T729" s="231"/>
      <c r="U729" s="231"/>
      <c r="V729" s="231"/>
      <c r="W729" s="231"/>
      <c r="X729" s="231"/>
      <c r="Y729" s="231"/>
    </row>
    <row r="730" spans="1:25" ht="15.75" hidden="1" customHeight="1" x14ac:dyDescent="0.2">
      <c r="A730" s="231"/>
      <c r="B730" s="224"/>
      <c r="C730" s="225"/>
      <c r="D730" s="225"/>
      <c r="E730" s="225"/>
      <c r="F730" s="177"/>
      <c r="G730" s="177"/>
      <c r="H730" s="177"/>
      <c r="I730" s="177"/>
      <c r="J730" s="223"/>
      <c r="K730" s="231"/>
      <c r="L730" s="231"/>
      <c r="M730" s="231"/>
      <c r="N730" s="231"/>
      <c r="O730" s="231"/>
      <c r="P730" s="231"/>
      <c r="Q730" s="231"/>
      <c r="R730" s="231"/>
      <c r="S730" s="231"/>
      <c r="T730" s="231"/>
      <c r="U730" s="231"/>
      <c r="V730" s="231"/>
      <c r="W730" s="231"/>
      <c r="X730" s="231"/>
      <c r="Y730" s="231"/>
    </row>
    <row r="731" spans="1:25" ht="15.75" hidden="1" customHeight="1" x14ac:dyDescent="0.2">
      <c r="A731" s="231"/>
      <c r="B731" s="224"/>
      <c r="C731" s="225"/>
      <c r="D731" s="225"/>
      <c r="E731" s="225"/>
      <c r="F731" s="177"/>
      <c r="G731" s="177"/>
      <c r="H731" s="177"/>
      <c r="I731" s="177"/>
      <c r="J731" s="223"/>
      <c r="K731" s="231"/>
      <c r="L731" s="231"/>
      <c r="M731" s="231"/>
      <c r="N731" s="231"/>
      <c r="O731" s="231"/>
      <c r="P731" s="231"/>
      <c r="Q731" s="231"/>
      <c r="R731" s="231"/>
      <c r="S731" s="231"/>
      <c r="T731" s="231"/>
      <c r="U731" s="231"/>
      <c r="V731" s="231"/>
      <c r="W731" s="231"/>
      <c r="X731" s="231"/>
      <c r="Y731" s="231"/>
    </row>
    <row r="732" spans="1:25" ht="15.75" hidden="1" customHeight="1" x14ac:dyDescent="0.2">
      <c r="A732" s="231"/>
      <c r="B732" s="224"/>
      <c r="C732" s="225"/>
      <c r="D732" s="225"/>
      <c r="E732" s="225"/>
      <c r="F732" s="177"/>
      <c r="G732" s="177"/>
      <c r="H732" s="177"/>
      <c r="I732" s="177"/>
      <c r="J732" s="223"/>
      <c r="K732" s="231"/>
      <c r="L732" s="231"/>
      <c r="M732" s="231"/>
      <c r="N732" s="231"/>
      <c r="O732" s="231"/>
      <c r="P732" s="231"/>
      <c r="Q732" s="231"/>
      <c r="R732" s="231"/>
      <c r="S732" s="231"/>
      <c r="T732" s="231"/>
      <c r="U732" s="231"/>
      <c r="V732" s="231"/>
      <c r="W732" s="231"/>
      <c r="X732" s="231"/>
      <c r="Y732" s="231"/>
    </row>
    <row r="733" spans="1:25" ht="15.75" hidden="1" customHeight="1" x14ac:dyDescent="0.2">
      <c r="A733" s="231"/>
      <c r="B733" s="224"/>
      <c r="C733" s="225"/>
      <c r="D733" s="225"/>
      <c r="E733" s="225"/>
      <c r="F733" s="177"/>
      <c r="G733" s="177"/>
      <c r="H733" s="177"/>
      <c r="I733" s="177"/>
      <c r="J733" s="223"/>
      <c r="K733" s="231"/>
      <c r="L733" s="231"/>
      <c r="M733" s="231"/>
      <c r="N733" s="231"/>
      <c r="O733" s="231"/>
      <c r="P733" s="231"/>
      <c r="Q733" s="231"/>
      <c r="R733" s="231"/>
      <c r="S733" s="231"/>
      <c r="T733" s="231"/>
      <c r="U733" s="231"/>
      <c r="V733" s="231"/>
      <c r="W733" s="231"/>
      <c r="X733" s="231"/>
      <c r="Y733" s="231"/>
    </row>
    <row r="734" spans="1:25" ht="15.75" hidden="1" customHeight="1" x14ac:dyDescent="0.2">
      <c r="A734" s="231"/>
      <c r="B734" s="224"/>
      <c r="C734" s="225"/>
      <c r="D734" s="225"/>
      <c r="E734" s="225"/>
      <c r="F734" s="177"/>
      <c r="G734" s="177"/>
      <c r="H734" s="177"/>
      <c r="I734" s="177"/>
      <c r="J734" s="223"/>
      <c r="K734" s="231"/>
      <c r="L734" s="231"/>
      <c r="M734" s="231"/>
      <c r="N734" s="231"/>
      <c r="O734" s="231"/>
      <c r="P734" s="231"/>
      <c r="Q734" s="231"/>
      <c r="R734" s="231"/>
      <c r="S734" s="231"/>
      <c r="T734" s="231"/>
      <c r="U734" s="231"/>
      <c r="V734" s="231"/>
      <c r="W734" s="231"/>
      <c r="X734" s="231"/>
      <c r="Y734" s="231"/>
    </row>
    <row r="735" spans="1:25" ht="15.75" hidden="1" customHeight="1" x14ac:dyDescent="0.2">
      <c r="A735" s="231"/>
      <c r="B735" s="224"/>
      <c r="C735" s="225"/>
      <c r="D735" s="225"/>
      <c r="E735" s="225"/>
      <c r="F735" s="177"/>
      <c r="G735" s="177"/>
      <c r="H735" s="177"/>
      <c r="I735" s="177"/>
      <c r="J735" s="223"/>
      <c r="K735" s="231"/>
      <c r="L735" s="231"/>
      <c r="M735" s="231"/>
      <c r="N735" s="231"/>
      <c r="O735" s="231"/>
      <c r="P735" s="231"/>
      <c r="Q735" s="231"/>
      <c r="R735" s="231"/>
      <c r="S735" s="231"/>
      <c r="T735" s="231"/>
      <c r="U735" s="231"/>
      <c r="V735" s="231"/>
      <c r="W735" s="231"/>
      <c r="X735" s="231"/>
      <c r="Y735" s="231"/>
    </row>
    <row r="736" spans="1:25" ht="15.75" hidden="1" customHeight="1" x14ac:dyDescent="0.2">
      <c r="A736" s="231"/>
      <c r="B736" s="224"/>
      <c r="C736" s="225"/>
      <c r="D736" s="225"/>
      <c r="E736" s="225"/>
      <c r="F736" s="177"/>
      <c r="G736" s="177"/>
      <c r="H736" s="177"/>
      <c r="I736" s="177"/>
      <c r="J736" s="223"/>
      <c r="K736" s="231"/>
      <c r="L736" s="231"/>
      <c r="M736" s="231"/>
      <c r="N736" s="231"/>
      <c r="O736" s="231"/>
      <c r="P736" s="231"/>
      <c r="Q736" s="231"/>
      <c r="R736" s="231"/>
      <c r="S736" s="231"/>
      <c r="T736" s="231"/>
      <c r="U736" s="231"/>
      <c r="V736" s="231"/>
      <c r="W736" s="231"/>
      <c r="X736" s="231"/>
      <c r="Y736" s="231"/>
    </row>
    <row r="737" spans="1:25" ht="15.75" hidden="1" customHeight="1" x14ac:dyDescent="0.2">
      <c r="A737" s="231"/>
      <c r="B737" s="224"/>
      <c r="C737" s="225"/>
      <c r="D737" s="225"/>
      <c r="E737" s="225"/>
      <c r="F737" s="177"/>
      <c r="G737" s="177"/>
      <c r="H737" s="177"/>
      <c r="I737" s="177"/>
      <c r="J737" s="223"/>
      <c r="K737" s="231"/>
      <c r="L737" s="231"/>
      <c r="M737" s="231"/>
      <c r="N737" s="231"/>
      <c r="O737" s="231"/>
      <c r="P737" s="231"/>
      <c r="Q737" s="231"/>
      <c r="R737" s="231"/>
      <c r="S737" s="231"/>
      <c r="T737" s="231"/>
      <c r="U737" s="231"/>
      <c r="V737" s="231"/>
      <c r="W737" s="231"/>
      <c r="X737" s="231"/>
      <c r="Y737" s="231"/>
    </row>
    <row r="738" spans="1:25" ht="15.75" hidden="1" customHeight="1" x14ac:dyDescent="0.2">
      <c r="A738" s="231"/>
      <c r="B738" s="224"/>
      <c r="C738" s="225"/>
      <c r="D738" s="225"/>
      <c r="E738" s="225"/>
      <c r="F738" s="177"/>
      <c r="G738" s="177"/>
      <c r="H738" s="177"/>
      <c r="I738" s="177"/>
      <c r="J738" s="223"/>
      <c r="K738" s="231"/>
      <c r="L738" s="231"/>
      <c r="M738" s="231"/>
      <c r="N738" s="231"/>
      <c r="O738" s="231"/>
      <c r="P738" s="231"/>
      <c r="Q738" s="231"/>
      <c r="R738" s="231"/>
      <c r="S738" s="231"/>
      <c r="T738" s="231"/>
      <c r="U738" s="231"/>
      <c r="V738" s="231"/>
      <c r="W738" s="231"/>
      <c r="X738" s="231"/>
      <c r="Y738" s="231"/>
    </row>
    <row r="739" spans="1:25" ht="15.75" hidden="1" customHeight="1" x14ac:dyDescent="0.2">
      <c r="A739" s="231"/>
      <c r="B739" s="224"/>
      <c r="C739" s="225"/>
      <c r="D739" s="225"/>
      <c r="E739" s="225"/>
      <c r="F739" s="177"/>
      <c r="G739" s="177"/>
      <c r="H739" s="177"/>
      <c r="I739" s="177"/>
      <c r="J739" s="223"/>
      <c r="K739" s="231"/>
      <c r="L739" s="231"/>
      <c r="M739" s="231"/>
      <c r="N739" s="231"/>
      <c r="O739" s="231"/>
      <c r="P739" s="231"/>
      <c r="Q739" s="231"/>
      <c r="R739" s="231"/>
      <c r="S739" s="231"/>
      <c r="T739" s="231"/>
      <c r="U739" s="231"/>
      <c r="V739" s="231"/>
      <c r="W739" s="231"/>
      <c r="X739" s="231"/>
      <c r="Y739" s="231"/>
    </row>
    <row r="740" spans="1:25" ht="15.75" hidden="1" customHeight="1" x14ac:dyDescent="0.2">
      <c r="A740" s="231"/>
      <c r="B740" s="224"/>
      <c r="C740" s="225"/>
      <c r="D740" s="225"/>
      <c r="E740" s="225"/>
      <c r="F740" s="177"/>
      <c r="G740" s="177"/>
      <c r="H740" s="177"/>
      <c r="I740" s="177"/>
      <c r="J740" s="223"/>
      <c r="K740" s="231"/>
      <c r="L740" s="231"/>
      <c r="M740" s="231"/>
      <c r="N740" s="231"/>
      <c r="O740" s="231"/>
      <c r="P740" s="231"/>
      <c r="Q740" s="231"/>
      <c r="R740" s="231"/>
      <c r="S740" s="231"/>
      <c r="T740" s="231"/>
      <c r="U740" s="231"/>
      <c r="V740" s="231"/>
      <c r="W740" s="231"/>
      <c r="X740" s="231"/>
      <c r="Y740" s="231"/>
    </row>
    <row r="741" spans="1:25" ht="15.75" hidden="1" customHeight="1" x14ac:dyDescent="0.2">
      <c r="A741" s="231"/>
      <c r="B741" s="224"/>
      <c r="C741" s="225"/>
      <c r="D741" s="225"/>
      <c r="E741" s="225"/>
      <c r="F741" s="177"/>
      <c r="G741" s="177"/>
      <c r="H741" s="177"/>
      <c r="I741" s="177"/>
      <c r="J741" s="223"/>
      <c r="K741" s="231"/>
      <c r="L741" s="231"/>
      <c r="M741" s="231"/>
      <c r="N741" s="231"/>
      <c r="O741" s="231"/>
      <c r="P741" s="231"/>
      <c r="Q741" s="231"/>
      <c r="R741" s="231"/>
      <c r="S741" s="231"/>
      <c r="T741" s="231"/>
      <c r="U741" s="231"/>
      <c r="V741" s="231"/>
      <c r="W741" s="231"/>
      <c r="X741" s="231"/>
      <c r="Y741" s="231"/>
    </row>
    <row r="742" spans="1:25" ht="15.75" hidden="1" customHeight="1" x14ac:dyDescent="0.2">
      <c r="A742" s="231"/>
      <c r="B742" s="224"/>
      <c r="C742" s="225"/>
      <c r="D742" s="225"/>
      <c r="E742" s="225"/>
      <c r="F742" s="177"/>
      <c r="G742" s="177"/>
      <c r="H742" s="177"/>
      <c r="I742" s="177"/>
      <c r="J742" s="223"/>
      <c r="K742" s="231"/>
      <c r="L742" s="231"/>
      <c r="M742" s="231"/>
      <c r="N742" s="231"/>
      <c r="O742" s="231"/>
      <c r="P742" s="231"/>
      <c r="Q742" s="231"/>
      <c r="R742" s="231"/>
      <c r="S742" s="231"/>
      <c r="T742" s="231"/>
      <c r="U742" s="231"/>
      <c r="V742" s="231"/>
      <c r="W742" s="231"/>
      <c r="X742" s="231"/>
      <c r="Y742" s="231"/>
    </row>
    <row r="743" spans="1:25" ht="15.75" hidden="1" customHeight="1" x14ac:dyDescent="0.2">
      <c r="A743" s="231"/>
      <c r="B743" s="224"/>
      <c r="C743" s="225"/>
      <c r="D743" s="225"/>
      <c r="E743" s="225"/>
      <c r="F743" s="177"/>
      <c r="G743" s="177"/>
      <c r="H743" s="177"/>
      <c r="I743" s="177"/>
      <c r="J743" s="223"/>
      <c r="K743" s="231"/>
      <c r="L743" s="231"/>
      <c r="M743" s="231"/>
      <c r="N743" s="231"/>
      <c r="O743" s="231"/>
      <c r="P743" s="231"/>
      <c r="Q743" s="231"/>
      <c r="R743" s="231"/>
      <c r="S743" s="231"/>
      <c r="T743" s="231"/>
      <c r="U743" s="231"/>
      <c r="V743" s="231"/>
      <c r="W743" s="231"/>
      <c r="X743" s="231"/>
      <c r="Y743" s="231"/>
    </row>
    <row r="744" spans="1:25" ht="15.75" hidden="1" customHeight="1" x14ac:dyDescent="0.2">
      <c r="A744" s="231"/>
      <c r="B744" s="224"/>
      <c r="C744" s="225"/>
      <c r="D744" s="225"/>
      <c r="E744" s="225"/>
      <c r="F744" s="177"/>
      <c r="G744" s="177"/>
      <c r="H744" s="177"/>
      <c r="I744" s="177"/>
      <c r="J744" s="223"/>
      <c r="K744" s="231"/>
      <c r="L744" s="231"/>
      <c r="M744" s="231"/>
      <c r="N744" s="231"/>
      <c r="O744" s="231"/>
      <c r="P744" s="231"/>
      <c r="Q744" s="231"/>
      <c r="R744" s="231"/>
      <c r="S744" s="231"/>
      <c r="T744" s="231"/>
      <c r="U744" s="231"/>
      <c r="V744" s="231"/>
      <c r="W744" s="231"/>
      <c r="X744" s="231"/>
      <c r="Y744" s="231"/>
    </row>
    <row r="745" spans="1:25" ht="15.75" hidden="1" customHeight="1" x14ac:dyDescent="0.2">
      <c r="A745" s="231"/>
      <c r="B745" s="224"/>
      <c r="C745" s="225"/>
      <c r="D745" s="225"/>
      <c r="E745" s="225"/>
      <c r="F745" s="177"/>
      <c r="G745" s="177"/>
      <c r="H745" s="177"/>
      <c r="I745" s="177"/>
      <c r="J745" s="223"/>
      <c r="K745" s="231"/>
      <c r="L745" s="231"/>
      <c r="M745" s="231"/>
      <c r="N745" s="231"/>
      <c r="O745" s="231"/>
      <c r="P745" s="231"/>
      <c r="Q745" s="231"/>
      <c r="R745" s="231"/>
      <c r="S745" s="231"/>
      <c r="T745" s="231"/>
      <c r="U745" s="231"/>
      <c r="V745" s="231"/>
      <c r="W745" s="231"/>
      <c r="X745" s="231"/>
      <c r="Y745" s="231"/>
    </row>
    <row r="746" spans="1:25" ht="15.75" hidden="1" customHeight="1" x14ac:dyDescent="0.2">
      <c r="A746" s="231"/>
      <c r="B746" s="224"/>
      <c r="C746" s="225"/>
      <c r="D746" s="225"/>
      <c r="E746" s="225"/>
      <c r="F746" s="177"/>
      <c r="G746" s="177"/>
      <c r="H746" s="177"/>
      <c r="I746" s="177"/>
      <c r="J746" s="223"/>
      <c r="K746" s="231"/>
      <c r="L746" s="231"/>
      <c r="M746" s="231"/>
      <c r="N746" s="231"/>
      <c r="O746" s="231"/>
      <c r="P746" s="231"/>
      <c r="Q746" s="231"/>
      <c r="R746" s="231"/>
      <c r="S746" s="231"/>
      <c r="T746" s="231"/>
      <c r="U746" s="231"/>
      <c r="V746" s="231"/>
      <c r="W746" s="231"/>
      <c r="X746" s="231"/>
      <c r="Y746" s="231"/>
    </row>
    <row r="747" spans="1:25" ht="15.75" hidden="1" customHeight="1" x14ac:dyDescent="0.2">
      <c r="A747" s="231"/>
      <c r="B747" s="224"/>
      <c r="C747" s="225"/>
      <c r="D747" s="225"/>
      <c r="E747" s="225"/>
      <c r="F747" s="177"/>
      <c r="G747" s="177"/>
      <c r="H747" s="177"/>
      <c r="I747" s="177"/>
      <c r="J747" s="223"/>
      <c r="K747" s="231"/>
      <c r="L747" s="231"/>
      <c r="M747" s="231"/>
      <c r="N747" s="231"/>
      <c r="O747" s="231"/>
      <c r="P747" s="231"/>
      <c r="Q747" s="231"/>
      <c r="R747" s="231"/>
      <c r="S747" s="231"/>
      <c r="T747" s="231"/>
      <c r="U747" s="231"/>
      <c r="V747" s="231"/>
      <c r="W747" s="231"/>
      <c r="X747" s="231"/>
      <c r="Y747" s="231"/>
    </row>
    <row r="748" spans="1:25" ht="15.75" hidden="1" customHeight="1" x14ac:dyDescent="0.2">
      <c r="A748" s="231"/>
      <c r="B748" s="224"/>
      <c r="C748" s="225"/>
      <c r="D748" s="225"/>
      <c r="E748" s="225"/>
      <c r="F748" s="177"/>
      <c r="G748" s="177"/>
      <c r="H748" s="177"/>
      <c r="I748" s="177"/>
      <c r="J748" s="223"/>
      <c r="K748" s="231"/>
      <c r="L748" s="231"/>
      <c r="M748" s="231"/>
      <c r="N748" s="231"/>
      <c r="O748" s="231"/>
      <c r="P748" s="231"/>
      <c r="Q748" s="231"/>
      <c r="R748" s="231"/>
      <c r="S748" s="231"/>
      <c r="T748" s="231"/>
      <c r="U748" s="231"/>
      <c r="V748" s="231"/>
      <c r="W748" s="231"/>
      <c r="X748" s="231"/>
      <c r="Y748" s="231"/>
    </row>
    <row r="749" spans="1:25" ht="15.75" hidden="1" customHeight="1" x14ac:dyDescent="0.2">
      <c r="A749" s="231"/>
      <c r="B749" s="224"/>
      <c r="C749" s="225"/>
      <c r="D749" s="225"/>
      <c r="E749" s="225"/>
      <c r="F749" s="177"/>
      <c r="G749" s="177"/>
      <c r="H749" s="177"/>
      <c r="I749" s="177"/>
      <c r="J749" s="223"/>
      <c r="K749" s="231"/>
      <c r="L749" s="231"/>
      <c r="M749" s="231"/>
      <c r="N749" s="231"/>
      <c r="O749" s="231"/>
      <c r="P749" s="231"/>
      <c r="Q749" s="231"/>
      <c r="R749" s="231"/>
      <c r="S749" s="231"/>
      <c r="T749" s="231"/>
      <c r="U749" s="231"/>
      <c r="V749" s="231"/>
      <c r="W749" s="231"/>
      <c r="X749" s="231"/>
      <c r="Y749" s="231"/>
    </row>
    <row r="750" spans="1:25" ht="15.75" hidden="1" customHeight="1" x14ac:dyDescent="0.2">
      <c r="A750" s="231"/>
      <c r="B750" s="224"/>
      <c r="C750" s="225"/>
      <c r="D750" s="225"/>
      <c r="E750" s="225"/>
      <c r="F750" s="177"/>
      <c r="G750" s="177"/>
      <c r="H750" s="177"/>
      <c r="I750" s="177"/>
      <c r="J750" s="223"/>
      <c r="K750" s="231"/>
      <c r="L750" s="231"/>
      <c r="M750" s="231"/>
      <c r="N750" s="231"/>
      <c r="O750" s="231"/>
      <c r="P750" s="231"/>
      <c r="Q750" s="231"/>
      <c r="R750" s="231"/>
      <c r="S750" s="231"/>
      <c r="T750" s="231"/>
      <c r="U750" s="231"/>
      <c r="V750" s="231"/>
      <c r="W750" s="231"/>
      <c r="X750" s="231"/>
      <c r="Y750" s="231"/>
    </row>
    <row r="751" spans="1:25" ht="15.75" hidden="1" customHeight="1" x14ac:dyDescent="0.2">
      <c r="A751" s="231"/>
      <c r="B751" s="224"/>
      <c r="C751" s="225"/>
      <c r="D751" s="225"/>
      <c r="E751" s="225"/>
      <c r="F751" s="177"/>
      <c r="G751" s="177"/>
      <c r="H751" s="177"/>
      <c r="I751" s="177"/>
      <c r="J751" s="223"/>
      <c r="K751" s="231"/>
      <c r="L751" s="231"/>
      <c r="M751" s="231"/>
      <c r="N751" s="231"/>
      <c r="O751" s="231"/>
      <c r="P751" s="231"/>
      <c r="Q751" s="231"/>
      <c r="R751" s="231"/>
      <c r="S751" s="231"/>
      <c r="T751" s="231"/>
      <c r="U751" s="231"/>
      <c r="V751" s="231"/>
      <c r="W751" s="231"/>
      <c r="X751" s="231"/>
      <c r="Y751" s="231"/>
    </row>
    <row r="752" spans="1:25" ht="15.75" hidden="1" customHeight="1" x14ac:dyDescent="0.2">
      <c r="A752" s="231"/>
      <c r="B752" s="224"/>
      <c r="C752" s="225"/>
      <c r="D752" s="225"/>
      <c r="E752" s="225"/>
      <c r="F752" s="177"/>
      <c r="G752" s="177"/>
      <c r="H752" s="177"/>
      <c r="I752" s="177"/>
      <c r="J752" s="223"/>
      <c r="K752" s="231"/>
      <c r="L752" s="231"/>
      <c r="M752" s="231"/>
      <c r="N752" s="231"/>
      <c r="O752" s="231"/>
      <c r="P752" s="231"/>
      <c r="Q752" s="231"/>
      <c r="R752" s="231"/>
      <c r="S752" s="231"/>
      <c r="T752" s="231"/>
      <c r="U752" s="231"/>
      <c r="V752" s="231"/>
      <c r="W752" s="231"/>
      <c r="X752" s="231"/>
      <c r="Y752" s="231"/>
    </row>
    <row r="753" spans="1:25" ht="15.75" hidden="1" customHeight="1" x14ac:dyDescent="0.2">
      <c r="A753" s="231"/>
      <c r="B753" s="224"/>
      <c r="C753" s="225"/>
      <c r="D753" s="225"/>
      <c r="E753" s="225"/>
      <c r="F753" s="177"/>
      <c r="G753" s="177"/>
      <c r="H753" s="177"/>
      <c r="I753" s="177"/>
      <c r="J753" s="223"/>
      <c r="K753" s="231"/>
      <c r="L753" s="231"/>
      <c r="M753" s="231"/>
      <c r="N753" s="231"/>
      <c r="O753" s="231"/>
      <c r="P753" s="231"/>
      <c r="Q753" s="231"/>
      <c r="R753" s="231"/>
      <c r="S753" s="231"/>
      <c r="T753" s="231"/>
      <c r="U753" s="231"/>
      <c r="V753" s="231"/>
      <c r="W753" s="231"/>
      <c r="X753" s="231"/>
      <c r="Y753" s="231"/>
    </row>
    <row r="754" spans="1:25" ht="15.75" hidden="1" customHeight="1" x14ac:dyDescent="0.2">
      <c r="A754" s="231"/>
      <c r="B754" s="224"/>
      <c r="C754" s="225"/>
      <c r="D754" s="225"/>
      <c r="E754" s="225"/>
      <c r="F754" s="177"/>
      <c r="G754" s="177"/>
      <c r="H754" s="177"/>
      <c r="I754" s="177"/>
      <c r="J754" s="223"/>
      <c r="K754" s="231"/>
      <c r="L754" s="231"/>
      <c r="M754" s="231"/>
      <c r="N754" s="231"/>
      <c r="O754" s="231"/>
      <c r="P754" s="231"/>
      <c r="Q754" s="231"/>
      <c r="R754" s="231"/>
      <c r="S754" s="231"/>
      <c r="T754" s="231"/>
      <c r="U754" s="231"/>
      <c r="V754" s="231"/>
      <c r="W754" s="231"/>
      <c r="X754" s="231"/>
      <c r="Y754" s="231"/>
    </row>
    <row r="755" spans="1:25" ht="15.75" hidden="1" customHeight="1" x14ac:dyDescent="0.2">
      <c r="A755" s="231"/>
      <c r="B755" s="224"/>
      <c r="C755" s="225"/>
      <c r="D755" s="225"/>
      <c r="E755" s="225"/>
      <c r="F755" s="177"/>
      <c r="G755" s="177"/>
      <c r="H755" s="177"/>
      <c r="I755" s="177"/>
      <c r="J755" s="223"/>
      <c r="K755" s="231"/>
      <c r="L755" s="231"/>
      <c r="M755" s="231"/>
      <c r="N755" s="231"/>
      <c r="O755" s="231"/>
      <c r="P755" s="231"/>
      <c r="Q755" s="231"/>
      <c r="R755" s="231"/>
      <c r="S755" s="231"/>
      <c r="T755" s="231"/>
      <c r="U755" s="231"/>
      <c r="V755" s="231"/>
      <c r="W755" s="231"/>
      <c r="X755" s="231"/>
      <c r="Y755" s="231"/>
    </row>
    <row r="756" spans="1:25" ht="15.75" hidden="1" customHeight="1" x14ac:dyDescent="0.2">
      <c r="A756" s="231"/>
      <c r="B756" s="224"/>
      <c r="C756" s="225"/>
      <c r="D756" s="225"/>
      <c r="E756" s="225"/>
      <c r="F756" s="177"/>
      <c r="G756" s="177"/>
      <c r="H756" s="177"/>
      <c r="I756" s="177"/>
      <c r="J756" s="223"/>
      <c r="K756" s="231"/>
      <c r="L756" s="231"/>
      <c r="M756" s="231"/>
      <c r="N756" s="231"/>
      <c r="O756" s="231"/>
      <c r="P756" s="231"/>
      <c r="Q756" s="231"/>
      <c r="R756" s="231"/>
      <c r="S756" s="231"/>
      <c r="T756" s="231"/>
      <c r="U756" s="231"/>
      <c r="V756" s="231"/>
      <c r="W756" s="231"/>
      <c r="X756" s="231"/>
      <c r="Y756" s="231"/>
    </row>
    <row r="757" spans="1:25" ht="15.75" hidden="1" customHeight="1" x14ac:dyDescent="0.2">
      <c r="A757" s="231"/>
      <c r="B757" s="224"/>
      <c r="C757" s="225"/>
      <c r="D757" s="225"/>
      <c r="E757" s="225"/>
      <c r="F757" s="177"/>
      <c r="G757" s="177"/>
      <c r="H757" s="177"/>
      <c r="I757" s="177"/>
      <c r="J757" s="223"/>
      <c r="K757" s="231"/>
      <c r="L757" s="231"/>
      <c r="M757" s="231"/>
      <c r="N757" s="231"/>
      <c r="O757" s="231"/>
      <c r="P757" s="231"/>
      <c r="Q757" s="231"/>
      <c r="R757" s="231"/>
      <c r="S757" s="231"/>
      <c r="T757" s="231"/>
      <c r="U757" s="231"/>
      <c r="V757" s="231"/>
      <c r="W757" s="231"/>
      <c r="X757" s="231"/>
      <c r="Y757" s="231"/>
    </row>
    <row r="758" spans="1:25" ht="15.75" hidden="1" customHeight="1" x14ac:dyDescent="0.2">
      <c r="A758" s="231"/>
      <c r="B758" s="224"/>
      <c r="C758" s="225"/>
      <c r="D758" s="225"/>
      <c r="E758" s="225"/>
      <c r="F758" s="177"/>
      <c r="G758" s="177"/>
      <c r="H758" s="177"/>
      <c r="I758" s="177"/>
      <c r="J758" s="223"/>
      <c r="K758" s="231"/>
      <c r="L758" s="231"/>
      <c r="M758" s="231"/>
      <c r="N758" s="231"/>
      <c r="O758" s="231"/>
      <c r="P758" s="231"/>
      <c r="Q758" s="231"/>
      <c r="R758" s="231"/>
      <c r="S758" s="231"/>
      <c r="T758" s="231"/>
      <c r="U758" s="231"/>
      <c r="V758" s="231"/>
      <c r="W758" s="231"/>
      <c r="X758" s="231"/>
      <c r="Y758" s="231"/>
    </row>
    <row r="759" spans="1:25" ht="15.75" hidden="1" customHeight="1" x14ac:dyDescent="0.2">
      <c r="A759" s="231"/>
      <c r="B759" s="224"/>
      <c r="C759" s="225"/>
      <c r="D759" s="225"/>
      <c r="E759" s="225"/>
      <c r="F759" s="177"/>
      <c r="G759" s="177"/>
      <c r="H759" s="177"/>
      <c r="I759" s="177"/>
      <c r="J759" s="223"/>
      <c r="K759" s="231"/>
      <c r="L759" s="231"/>
      <c r="M759" s="231"/>
      <c r="N759" s="231"/>
      <c r="O759" s="231"/>
      <c r="P759" s="231"/>
      <c r="Q759" s="231"/>
      <c r="R759" s="231"/>
      <c r="S759" s="231"/>
      <c r="T759" s="231"/>
      <c r="U759" s="231"/>
      <c r="V759" s="231"/>
      <c r="W759" s="231"/>
      <c r="X759" s="231"/>
      <c r="Y759" s="231"/>
    </row>
    <row r="760" spans="1:25" ht="15.75" hidden="1" customHeight="1" x14ac:dyDescent="0.2">
      <c r="A760" s="231"/>
      <c r="B760" s="224"/>
      <c r="C760" s="225"/>
      <c r="D760" s="225"/>
      <c r="E760" s="225"/>
      <c r="F760" s="177"/>
      <c r="G760" s="177"/>
      <c r="H760" s="177"/>
      <c r="I760" s="177"/>
      <c r="J760" s="223"/>
      <c r="K760" s="231"/>
      <c r="L760" s="231"/>
      <c r="M760" s="231"/>
      <c r="N760" s="231"/>
      <c r="O760" s="231"/>
      <c r="P760" s="231"/>
      <c r="Q760" s="231"/>
      <c r="R760" s="231"/>
      <c r="S760" s="231"/>
      <c r="T760" s="231"/>
      <c r="U760" s="231"/>
      <c r="V760" s="231"/>
      <c r="W760" s="231"/>
      <c r="X760" s="231"/>
      <c r="Y760" s="231"/>
    </row>
    <row r="761" spans="1:25" ht="15.75" hidden="1" customHeight="1" x14ac:dyDescent="0.2">
      <c r="A761" s="231"/>
      <c r="B761" s="224"/>
      <c r="C761" s="225"/>
      <c r="D761" s="225"/>
      <c r="E761" s="225"/>
      <c r="F761" s="177"/>
      <c r="G761" s="177"/>
      <c r="H761" s="177"/>
      <c r="I761" s="177"/>
      <c r="J761" s="223"/>
      <c r="K761" s="231"/>
      <c r="L761" s="231"/>
      <c r="M761" s="231"/>
      <c r="N761" s="231"/>
      <c r="O761" s="231"/>
      <c r="P761" s="231"/>
      <c r="Q761" s="231"/>
      <c r="R761" s="231"/>
      <c r="S761" s="231"/>
      <c r="T761" s="231"/>
      <c r="U761" s="231"/>
      <c r="V761" s="231"/>
      <c r="W761" s="231"/>
      <c r="X761" s="231"/>
      <c r="Y761" s="231"/>
    </row>
    <row r="762" spans="1:25" ht="15.75" hidden="1" customHeight="1" x14ac:dyDescent="0.2">
      <c r="A762" s="231"/>
      <c r="B762" s="224"/>
      <c r="C762" s="225"/>
      <c r="D762" s="225"/>
      <c r="E762" s="225"/>
      <c r="F762" s="177"/>
      <c r="G762" s="177"/>
      <c r="H762" s="177"/>
      <c r="I762" s="177"/>
      <c r="J762" s="223"/>
      <c r="K762" s="231"/>
      <c r="L762" s="231"/>
      <c r="M762" s="231"/>
      <c r="N762" s="231"/>
      <c r="O762" s="231"/>
      <c r="P762" s="231"/>
      <c r="Q762" s="231"/>
      <c r="R762" s="231"/>
      <c r="S762" s="231"/>
      <c r="T762" s="231"/>
      <c r="U762" s="231"/>
      <c r="V762" s="231"/>
      <c r="W762" s="231"/>
      <c r="X762" s="231"/>
      <c r="Y762" s="231"/>
    </row>
    <row r="763" spans="1:25" ht="15.75" hidden="1" customHeight="1" x14ac:dyDescent="0.2">
      <c r="A763" s="231"/>
      <c r="B763" s="224"/>
      <c r="C763" s="225"/>
      <c r="D763" s="225"/>
      <c r="E763" s="225"/>
      <c r="F763" s="177"/>
      <c r="G763" s="177"/>
      <c r="H763" s="177"/>
      <c r="I763" s="177"/>
      <c r="J763" s="223"/>
      <c r="K763" s="231"/>
      <c r="L763" s="231"/>
      <c r="M763" s="231"/>
      <c r="N763" s="231"/>
      <c r="O763" s="231"/>
      <c r="P763" s="231"/>
      <c r="Q763" s="231"/>
      <c r="R763" s="231"/>
      <c r="S763" s="231"/>
      <c r="T763" s="231"/>
      <c r="U763" s="231"/>
      <c r="V763" s="231"/>
      <c r="W763" s="231"/>
      <c r="X763" s="231"/>
      <c r="Y763" s="231"/>
    </row>
    <row r="764" spans="1:25" ht="15.75" hidden="1" customHeight="1" x14ac:dyDescent="0.2">
      <c r="A764" s="231"/>
      <c r="B764" s="224"/>
      <c r="C764" s="225"/>
      <c r="D764" s="225"/>
      <c r="E764" s="225"/>
      <c r="F764" s="177"/>
      <c r="G764" s="177"/>
      <c r="H764" s="177"/>
      <c r="I764" s="177"/>
      <c r="J764" s="223"/>
      <c r="K764" s="231"/>
      <c r="L764" s="231"/>
      <c r="M764" s="231"/>
      <c r="N764" s="231"/>
      <c r="O764" s="231"/>
      <c r="P764" s="231"/>
      <c r="Q764" s="231"/>
      <c r="R764" s="231"/>
      <c r="S764" s="231"/>
      <c r="T764" s="231"/>
      <c r="U764" s="231"/>
      <c r="V764" s="231"/>
      <c r="W764" s="231"/>
      <c r="X764" s="231"/>
      <c r="Y764" s="231"/>
    </row>
    <row r="765" spans="1:25" ht="15.75" hidden="1" customHeight="1" x14ac:dyDescent="0.2">
      <c r="A765" s="231"/>
      <c r="B765" s="224"/>
      <c r="C765" s="225"/>
      <c r="D765" s="225"/>
      <c r="E765" s="225"/>
      <c r="F765" s="177"/>
      <c r="G765" s="177"/>
      <c r="H765" s="177"/>
      <c r="I765" s="177"/>
      <c r="J765" s="223"/>
      <c r="K765" s="231"/>
      <c r="L765" s="231"/>
      <c r="M765" s="231"/>
      <c r="N765" s="231"/>
      <c r="O765" s="231"/>
      <c r="P765" s="231"/>
      <c r="Q765" s="231"/>
      <c r="R765" s="231"/>
      <c r="S765" s="231"/>
      <c r="T765" s="231"/>
      <c r="U765" s="231"/>
      <c r="V765" s="231"/>
      <c r="W765" s="231"/>
      <c r="X765" s="231"/>
      <c r="Y765" s="231"/>
    </row>
    <row r="766" spans="1:25" ht="15.75" hidden="1" customHeight="1" x14ac:dyDescent="0.2">
      <c r="A766" s="231"/>
      <c r="B766" s="224"/>
      <c r="C766" s="225"/>
      <c r="D766" s="225"/>
      <c r="E766" s="225"/>
      <c r="F766" s="177"/>
      <c r="G766" s="177"/>
      <c r="H766" s="177"/>
      <c r="I766" s="177"/>
      <c r="J766" s="223"/>
      <c r="K766" s="231"/>
      <c r="L766" s="231"/>
      <c r="M766" s="231"/>
      <c r="N766" s="231"/>
      <c r="O766" s="231"/>
      <c r="P766" s="231"/>
      <c r="Q766" s="231"/>
      <c r="R766" s="231"/>
      <c r="S766" s="231"/>
      <c r="T766" s="231"/>
      <c r="U766" s="231"/>
      <c r="V766" s="231"/>
      <c r="W766" s="231"/>
      <c r="X766" s="231"/>
      <c r="Y766" s="231"/>
    </row>
    <row r="767" spans="1:25" ht="15.75" hidden="1" customHeight="1" x14ac:dyDescent="0.2">
      <c r="A767" s="231"/>
      <c r="B767" s="224"/>
      <c r="C767" s="225"/>
      <c r="D767" s="225"/>
      <c r="E767" s="225"/>
      <c r="F767" s="177"/>
      <c r="G767" s="177"/>
      <c r="H767" s="177"/>
      <c r="I767" s="177"/>
      <c r="J767" s="223"/>
      <c r="K767" s="231"/>
      <c r="L767" s="231"/>
      <c r="M767" s="231"/>
      <c r="N767" s="231"/>
      <c r="O767" s="231"/>
      <c r="P767" s="231"/>
      <c r="Q767" s="231"/>
      <c r="R767" s="231"/>
      <c r="S767" s="231"/>
      <c r="T767" s="231"/>
      <c r="U767" s="231"/>
      <c r="V767" s="231"/>
      <c r="W767" s="231"/>
      <c r="X767" s="231"/>
      <c r="Y767" s="231"/>
    </row>
    <row r="768" spans="1:25" ht="15.75" hidden="1" customHeight="1" x14ac:dyDescent="0.2">
      <c r="A768" s="231"/>
      <c r="B768" s="224"/>
      <c r="C768" s="225"/>
      <c r="D768" s="225"/>
      <c r="E768" s="225"/>
      <c r="F768" s="177"/>
      <c r="G768" s="177"/>
      <c r="H768" s="177"/>
      <c r="I768" s="177"/>
      <c r="J768" s="223"/>
      <c r="K768" s="231"/>
      <c r="L768" s="231"/>
      <c r="M768" s="231"/>
      <c r="N768" s="231"/>
      <c r="O768" s="231"/>
      <c r="P768" s="231"/>
      <c r="Q768" s="231"/>
      <c r="R768" s="231"/>
      <c r="S768" s="231"/>
      <c r="T768" s="231"/>
      <c r="U768" s="231"/>
      <c r="V768" s="231"/>
      <c r="W768" s="231"/>
      <c r="X768" s="231"/>
      <c r="Y768" s="231"/>
    </row>
    <row r="769" spans="1:25" ht="15.75" hidden="1" customHeight="1" x14ac:dyDescent="0.2">
      <c r="A769" s="231"/>
      <c r="B769" s="224"/>
      <c r="C769" s="225"/>
      <c r="D769" s="225"/>
      <c r="E769" s="225"/>
      <c r="F769" s="177"/>
      <c r="G769" s="177"/>
      <c r="H769" s="177"/>
      <c r="I769" s="177"/>
      <c r="J769" s="223"/>
      <c r="K769" s="231"/>
      <c r="L769" s="231"/>
      <c r="M769" s="231"/>
      <c r="N769" s="231"/>
      <c r="O769" s="231"/>
      <c r="P769" s="231"/>
      <c r="Q769" s="231"/>
      <c r="R769" s="231"/>
      <c r="S769" s="231"/>
      <c r="T769" s="231"/>
      <c r="U769" s="231"/>
      <c r="V769" s="231"/>
      <c r="W769" s="231"/>
      <c r="X769" s="231"/>
      <c r="Y769" s="231"/>
    </row>
    <row r="770" spans="1:25" ht="15.75" hidden="1" customHeight="1" x14ac:dyDescent="0.2">
      <c r="A770" s="231"/>
      <c r="B770" s="224"/>
      <c r="C770" s="225"/>
      <c r="D770" s="225"/>
      <c r="E770" s="225"/>
      <c r="F770" s="177"/>
      <c r="G770" s="177"/>
      <c r="H770" s="177"/>
      <c r="I770" s="177"/>
      <c r="J770" s="223"/>
      <c r="K770" s="231"/>
      <c r="L770" s="231"/>
      <c r="M770" s="231"/>
      <c r="N770" s="231"/>
      <c r="O770" s="231"/>
      <c r="P770" s="231"/>
      <c r="Q770" s="231"/>
      <c r="R770" s="231"/>
      <c r="S770" s="231"/>
      <c r="T770" s="231"/>
      <c r="U770" s="231"/>
      <c r="V770" s="231"/>
      <c r="W770" s="231"/>
      <c r="X770" s="231"/>
      <c r="Y770" s="231"/>
    </row>
    <row r="771" spans="1:25" ht="15.75" hidden="1" customHeight="1" x14ac:dyDescent="0.2">
      <c r="A771" s="231"/>
      <c r="B771" s="224"/>
      <c r="C771" s="225"/>
      <c r="D771" s="225"/>
      <c r="E771" s="225"/>
      <c r="F771" s="177"/>
      <c r="G771" s="177"/>
      <c r="H771" s="177"/>
      <c r="I771" s="177"/>
      <c r="J771" s="223"/>
      <c r="K771" s="231"/>
      <c r="L771" s="231"/>
      <c r="M771" s="231"/>
      <c r="N771" s="231"/>
      <c r="O771" s="231"/>
      <c r="P771" s="231"/>
      <c r="Q771" s="231"/>
      <c r="R771" s="231"/>
      <c r="S771" s="231"/>
      <c r="T771" s="231"/>
      <c r="U771" s="231"/>
      <c r="V771" s="231"/>
      <c r="W771" s="231"/>
      <c r="X771" s="231"/>
      <c r="Y771" s="231"/>
    </row>
    <row r="772" spans="1:25" ht="15.75" hidden="1" customHeight="1" x14ac:dyDescent="0.2">
      <c r="A772" s="231"/>
      <c r="B772" s="224"/>
      <c r="C772" s="225"/>
      <c r="D772" s="225"/>
      <c r="E772" s="225"/>
      <c r="F772" s="177"/>
      <c r="G772" s="177"/>
      <c r="H772" s="177"/>
      <c r="I772" s="177"/>
      <c r="J772" s="223"/>
      <c r="K772" s="231"/>
      <c r="L772" s="231"/>
      <c r="M772" s="231"/>
      <c r="N772" s="231"/>
      <c r="O772" s="231"/>
      <c r="P772" s="231"/>
      <c r="Q772" s="231"/>
      <c r="R772" s="231"/>
      <c r="S772" s="231"/>
      <c r="T772" s="231"/>
      <c r="U772" s="231"/>
      <c r="V772" s="231"/>
      <c r="W772" s="231"/>
      <c r="X772" s="231"/>
      <c r="Y772" s="231"/>
    </row>
    <row r="773" spans="1:25" ht="15.75" hidden="1" customHeight="1" x14ac:dyDescent="0.2">
      <c r="A773" s="231"/>
      <c r="B773" s="224"/>
      <c r="C773" s="225"/>
      <c r="D773" s="225"/>
      <c r="E773" s="225"/>
      <c r="F773" s="177"/>
      <c r="G773" s="177"/>
      <c r="H773" s="177"/>
      <c r="I773" s="177"/>
      <c r="J773" s="223"/>
      <c r="K773" s="231"/>
      <c r="L773" s="231"/>
      <c r="M773" s="231"/>
      <c r="N773" s="231"/>
      <c r="O773" s="231"/>
      <c r="P773" s="231"/>
      <c r="Q773" s="231"/>
      <c r="R773" s="231"/>
      <c r="S773" s="231"/>
      <c r="T773" s="231"/>
      <c r="U773" s="231"/>
      <c r="V773" s="231"/>
      <c r="W773" s="231"/>
      <c r="X773" s="231"/>
      <c r="Y773" s="231"/>
    </row>
    <row r="774" spans="1:25" ht="15.75" hidden="1" customHeight="1" x14ac:dyDescent="0.2">
      <c r="A774" s="231"/>
      <c r="B774" s="224"/>
      <c r="C774" s="225"/>
      <c r="D774" s="225"/>
      <c r="E774" s="225"/>
      <c r="F774" s="177"/>
      <c r="G774" s="177"/>
      <c r="H774" s="177"/>
      <c r="I774" s="177"/>
      <c r="J774" s="223"/>
      <c r="K774" s="231"/>
      <c r="L774" s="231"/>
      <c r="M774" s="231"/>
      <c r="N774" s="231"/>
      <c r="O774" s="231"/>
      <c r="P774" s="231"/>
      <c r="Q774" s="231"/>
      <c r="R774" s="231"/>
      <c r="S774" s="231"/>
      <c r="T774" s="231"/>
      <c r="U774" s="231"/>
      <c r="V774" s="231"/>
      <c r="W774" s="231"/>
      <c r="X774" s="231"/>
      <c r="Y774" s="231"/>
    </row>
    <row r="775" spans="1:25" ht="15.75" hidden="1" customHeight="1" x14ac:dyDescent="0.2">
      <c r="A775" s="231"/>
      <c r="B775" s="224"/>
      <c r="C775" s="225"/>
      <c r="D775" s="225"/>
      <c r="E775" s="225"/>
      <c r="F775" s="177"/>
      <c r="G775" s="177"/>
      <c r="H775" s="177"/>
      <c r="I775" s="177"/>
      <c r="J775" s="223"/>
      <c r="K775" s="231"/>
      <c r="L775" s="231"/>
      <c r="M775" s="231"/>
      <c r="N775" s="231"/>
      <c r="O775" s="231"/>
      <c r="P775" s="231"/>
      <c r="Q775" s="231"/>
      <c r="R775" s="231"/>
      <c r="S775" s="231"/>
      <c r="T775" s="231"/>
      <c r="U775" s="231"/>
      <c r="V775" s="231"/>
      <c r="W775" s="231"/>
      <c r="X775" s="231"/>
      <c r="Y775" s="231"/>
    </row>
    <row r="776" spans="1:25" ht="15.75" hidden="1" customHeight="1" x14ac:dyDescent="0.2">
      <c r="A776" s="231"/>
      <c r="B776" s="224"/>
      <c r="C776" s="225"/>
      <c r="D776" s="225"/>
      <c r="E776" s="225"/>
      <c r="F776" s="177"/>
      <c r="G776" s="177"/>
      <c r="H776" s="177"/>
      <c r="I776" s="177"/>
      <c r="J776" s="223"/>
      <c r="K776" s="231"/>
      <c r="L776" s="231"/>
      <c r="M776" s="231"/>
      <c r="N776" s="231"/>
      <c r="O776" s="231"/>
      <c r="P776" s="231"/>
      <c r="Q776" s="231"/>
      <c r="R776" s="231"/>
      <c r="S776" s="231"/>
      <c r="T776" s="231"/>
      <c r="U776" s="231"/>
      <c r="V776" s="231"/>
      <c r="W776" s="231"/>
      <c r="X776" s="231"/>
      <c r="Y776" s="231"/>
    </row>
    <row r="777" spans="1:25" ht="15.75" hidden="1" customHeight="1" x14ac:dyDescent="0.2">
      <c r="A777" s="231"/>
      <c r="B777" s="224"/>
      <c r="C777" s="225"/>
      <c r="D777" s="225"/>
      <c r="E777" s="225"/>
      <c r="F777" s="177"/>
      <c r="G777" s="177"/>
      <c r="H777" s="177"/>
      <c r="I777" s="177"/>
      <c r="J777" s="223"/>
      <c r="K777" s="231"/>
      <c r="L777" s="231"/>
      <c r="M777" s="231"/>
      <c r="N777" s="231"/>
      <c r="O777" s="231"/>
      <c r="P777" s="231"/>
      <c r="Q777" s="231"/>
      <c r="R777" s="231"/>
      <c r="S777" s="231"/>
      <c r="T777" s="231"/>
      <c r="U777" s="231"/>
      <c r="V777" s="231"/>
      <c r="W777" s="231"/>
      <c r="X777" s="231"/>
      <c r="Y777" s="231"/>
    </row>
    <row r="778" spans="1:25" ht="15.75" hidden="1" customHeight="1" x14ac:dyDescent="0.2">
      <c r="A778" s="231"/>
      <c r="B778" s="224"/>
      <c r="C778" s="225"/>
      <c r="D778" s="225"/>
      <c r="E778" s="225"/>
      <c r="F778" s="177"/>
      <c r="G778" s="177"/>
      <c r="H778" s="177"/>
      <c r="I778" s="177"/>
      <c r="J778" s="223"/>
      <c r="K778" s="231"/>
      <c r="L778" s="231"/>
      <c r="M778" s="231"/>
      <c r="N778" s="231"/>
      <c r="O778" s="231"/>
      <c r="P778" s="231"/>
      <c r="Q778" s="231"/>
      <c r="R778" s="231"/>
      <c r="S778" s="231"/>
      <c r="T778" s="231"/>
      <c r="U778" s="231"/>
      <c r="V778" s="231"/>
      <c r="W778" s="231"/>
      <c r="X778" s="231"/>
      <c r="Y778" s="231"/>
    </row>
    <row r="779" spans="1:25" ht="15.75" hidden="1" customHeight="1" x14ac:dyDescent="0.2">
      <c r="A779" s="231"/>
      <c r="B779" s="224"/>
      <c r="C779" s="225"/>
      <c r="D779" s="225"/>
      <c r="E779" s="225"/>
      <c r="F779" s="177"/>
      <c r="G779" s="177"/>
      <c r="H779" s="177"/>
      <c r="I779" s="177"/>
      <c r="J779" s="223"/>
      <c r="K779" s="231"/>
      <c r="L779" s="231"/>
      <c r="M779" s="231"/>
      <c r="N779" s="231"/>
      <c r="O779" s="231"/>
      <c r="P779" s="231"/>
      <c r="Q779" s="231"/>
      <c r="R779" s="231"/>
      <c r="S779" s="231"/>
      <c r="T779" s="231"/>
      <c r="U779" s="231"/>
      <c r="V779" s="231"/>
      <c r="W779" s="231"/>
      <c r="X779" s="231"/>
      <c r="Y779" s="231"/>
    </row>
    <row r="780" spans="1:25" ht="15.75" hidden="1" customHeight="1" x14ac:dyDescent="0.2">
      <c r="A780" s="231"/>
      <c r="B780" s="224"/>
      <c r="C780" s="225"/>
      <c r="D780" s="225"/>
      <c r="E780" s="225"/>
      <c r="F780" s="177"/>
      <c r="G780" s="177"/>
      <c r="H780" s="177"/>
      <c r="I780" s="177"/>
      <c r="J780" s="223"/>
      <c r="K780" s="231"/>
      <c r="L780" s="231"/>
      <c r="M780" s="231"/>
      <c r="N780" s="231"/>
      <c r="O780" s="231"/>
      <c r="P780" s="231"/>
      <c r="Q780" s="231"/>
      <c r="R780" s="231"/>
      <c r="S780" s="231"/>
      <c r="T780" s="231"/>
      <c r="U780" s="231"/>
      <c r="V780" s="231"/>
      <c r="W780" s="231"/>
      <c r="X780" s="231"/>
      <c r="Y780" s="231"/>
    </row>
    <row r="781" spans="1:25" ht="15.75" hidden="1" customHeight="1" x14ac:dyDescent="0.2">
      <c r="A781" s="231"/>
      <c r="B781" s="224"/>
      <c r="C781" s="225"/>
      <c r="D781" s="225"/>
      <c r="E781" s="225"/>
      <c r="F781" s="177"/>
      <c r="G781" s="177"/>
      <c r="H781" s="177"/>
      <c r="I781" s="177"/>
      <c r="J781" s="223"/>
      <c r="K781" s="231"/>
      <c r="L781" s="231"/>
      <c r="M781" s="231"/>
      <c r="N781" s="231"/>
      <c r="O781" s="231"/>
      <c r="P781" s="231"/>
      <c r="Q781" s="231"/>
      <c r="R781" s="231"/>
      <c r="S781" s="231"/>
      <c r="T781" s="231"/>
      <c r="U781" s="231"/>
      <c r="V781" s="231"/>
      <c r="W781" s="231"/>
      <c r="X781" s="231"/>
      <c r="Y781" s="231"/>
    </row>
    <row r="782" spans="1:25" ht="15.75" hidden="1" customHeight="1" x14ac:dyDescent="0.2">
      <c r="A782" s="231"/>
      <c r="B782" s="224"/>
      <c r="C782" s="225"/>
      <c r="D782" s="225"/>
      <c r="E782" s="225"/>
      <c r="F782" s="177"/>
      <c r="G782" s="177"/>
      <c r="H782" s="177"/>
      <c r="I782" s="177"/>
      <c r="J782" s="223"/>
      <c r="K782" s="231"/>
      <c r="L782" s="231"/>
      <c r="M782" s="231"/>
      <c r="N782" s="231"/>
      <c r="O782" s="231"/>
      <c r="P782" s="231"/>
      <c r="Q782" s="231"/>
      <c r="R782" s="231"/>
      <c r="S782" s="231"/>
      <c r="T782" s="231"/>
      <c r="U782" s="231"/>
      <c r="V782" s="231"/>
      <c r="W782" s="231"/>
      <c r="X782" s="231"/>
      <c r="Y782" s="231"/>
    </row>
    <row r="783" spans="1:25" ht="15.75" hidden="1" customHeight="1" x14ac:dyDescent="0.2">
      <c r="A783" s="231"/>
      <c r="B783" s="224"/>
      <c r="C783" s="225"/>
      <c r="D783" s="225"/>
      <c r="E783" s="225"/>
      <c r="F783" s="177"/>
      <c r="G783" s="177"/>
      <c r="H783" s="177"/>
      <c r="I783" s="177"/>
      <c r="J783" s="223"/>
      <c r="K783" s="231"/>
      <c r="L783" s="231"/>
      <c r="M783" s="231"/>
      <c r="N783" s="231"/>
      <c r="O783" s="231"/>
      <c r="P783" s="231"/>
      <c r="Q783" s="231"/>
      <c r="R783" s="231"/>
      <c r="S783" s="231"/>
      <c r="T783" s="231"/>
      <c r="U783" s="231"/>
      <c r="V783" s="231"/>
      <c r="W783" s="231"/>
      <c r="X783" s="231"/>
      <c r="Y783" s="231"/>
    </row>
    <row r="784" spans="1:25" ht="15.75" hidden="1" customHeight="1" x14ac:dyDescent="0.2">
      <c r="A784" s="231"/>
      <c r="B784" s="224"/>
      <c r="C784" s="225"/>
      <c r="D784" s="225"/>
      <c r="E784" s="225"/>
      <c r="F784" s="177"/>
      <c r="G784" s="177"/>
      <c r="H784" s="177"/>
      <c r="I784" s="177"/>
      <c r="J784" s="223"/>
      <c r="K784" s="231"/>
      <c r="L784" s="231"/>
      <c r="M784" s="231"/>
      <c r="N784" s="231"/>
      <c r="O784" s="231"/>
      <c r="P784" s="231"/>
      <c r="Q784" s="231"/>
      <c r="R784" s="231"/>
      <c r="S784" s="231"/>
      <c r="T784" s="231"/>
      <c r="U784" s="231"/>
      <c r="V784" s="231"/>
      <c r="W784" s="231"/>
      <c r="X784" s="231"/>
      <c r="Y784" s="231"/>
    </row>
    <row r="785" spans="1:25" ht="15.75" hidden="1" customHeight="1" x14ac:dyDescent="0.2">
      <c r="A785" s="231"/>
      <c r="B785" s="224"/>
      <c r="C785" s="225"/>
      <c r="D785" s="225"/>
      <c r="E785" s="225"/>
      <c r="F785" s="177"/>
      <c r="G785" s="177"/>
      <c r="H785" s="177"/>
      <c r="I785" s="177"/>
      <c r="J785" s="223"/>
      <c r="K785" s="231"/>
      <c r="L785" s="231"/>
      <c r="M785" s="231"/>
      <c r="N785" s="231"/>
      <c r="O785" s="231"/>
      <c r="P785" s="231"/>
      <c r="Q785" s="231"/>
      <c r="R785" s="231"/>
      <c r="S785" s="231"/>
      <c r="T785" s="231"/>
      <c r="U785" s="231"/>
      <c r="V785" s="231"/>
      <c r="W785" s="231"/>
      <c r="X785" s="231"/>
      <c r="Y785" s="231"/>
    </row>
    <row r="786" spans="1:25" ht="15.75" hidden="1" customHeight="1" x14ac:dyDescent="0.2">
      <c r="A786" s="231"/>
      <c r="B786" s="224"/>
      <c r="C786" s="225"/>
      <c r="D786" s="225"/>
      <c r="E786" s="225"/>
      <c r="F786" s="177"/>
      <c r="G786" s="177"/>
      <c r="H786" s="177"/>
      <c r="I786" s="177"/>
      <c r="J786" s="223"/>
      <c r="K786" s="231"/>
      <c r="L786" s="231"/>
      <c r="M786" s="231"/>
      <c r="N786" s="231"/>
      <c r="O786" s="231"/>
      <c r="P786" s="231"/>
      <c r="Q786" s="231"/>
      <c r="R786" s="231"/>
      <c r="S786" s="231"/>
      <c r="T786" s="231"/>
      <c r="U786" s="231"/>
      <c r="V786" s="231"/>
      <c r="W786" s="231"/>
      <c r="X786" s="231"/>
      <c r="Y786" s="231"/>
    </row>
    <row r="787" spans="1:25" ht="15.75" hidden="1" customHeight="1" x14ac:dyDescent="0.2">
      <c r="A787" s="231"/>
      <c r="B787" s="224"/>
      <c r="C787" s="225"/>
      <c r="D787" s="225"/>
      <c r="E787" s="225"/>
      <c r="F787" s="177"/>
      <c r="G787" s="177"/>
      <c r="H787" s="177"/>
      <c r="I787" s="177"/>
      <c r="J787" s="223"/>
      <c r="K787" s="231"/>
      <c r="L787" s="231"/>
      <c r="M787" s="231"/>
      <c r="N787" s="231"/>
      <c r="O787" s="231"/>
      <c r="P787" s="231"/>
      <c r="Q787" s="231"/>
      <c r="R787" s="231"/>
      <c r="S787" s="231"/>
      <c r="T787" s="231"/>
      <c r="U787" s="231"/>
      <c r="V787" s="231"/>
      <c r="W787" s="231"/>
      <c r="X787" s="231"/>
      <c r="Y787" s="231"/>
    </row>
    <row r="788" spans="1:25" ht="15.75" hidden="1" customHeight="1" x14ac:dyDescent="0.2">
      <c r="A788" s="231"/>
      <c r="B788" s="224"/>
      <c r="C788" s="225"/>
      <c r="D788" s="225"/>
      <c r="E788" s="225"/>
      <c r="F788" s="177"/>
      <c r="G788" s="177"/>
      <c r="H788" s="177"/>
      <c r="I788" s="177"/>
      <c r="J788" s="223"/>
      <c r="K788" s="231"/>
      <c r="L788" s="231"/>
      <c r="M788" s="231"/>
      <c r="N788" s="231"/>
      <c r="O788" s="231"/>
      <c r="P788" s="231"/>
      <c r="Q788" s="231"/>
      <c r="R788" s="231"/>
      <c r="S788" s="231"/>
      <c r="T788" s="231"/>
      <c r="U788" s="231"/>
      <c r="V788" s="231"/>
      <c r="W788" s="231"/>
      <c r="X788" s="231"/>
      <c r="Y788" s="231"/>
    </row>
    <row r="789" spans="1:25" ht="15.75" hidden="1" customHeight="1" x14ac:dyDescent="0.2">
      <c r="A789" s="231"/>
      <c r="B789" s="224"/>
      <c r="C789" s="225"/>
      <c r="D789" s="225"/>
      <c r="E789" s="225"/>
      <c r="F789" s="177"/>
      <c r="G789" s="177"/>
      <c r="H789" s="177"/>
      <c r="I789" s="177"/>
      <c r="J789" s="223"/>
      <c r="K789" s="231"/>
      <c r="L789" s="231"/>
      <c r="M789" s="231"/>
      <c r="N789" s="231"/>
      <c r="O789" s="231"/>
      <c r="P789" s="231"/>
      <c r="Q789" s="231"/>
      <c r="R789" s="231"/>
      <c r="S789" s="231"/>
      <c r="T789" s="231"/>
      <c r="U789" s="231"/>
      <c r="V789" s="231"/>
      <c r="W789" s="231"/>
      <c r="X789" s="231"/>
      <c r="Y789" s="231"/>
    </row>
    <row r="790" spans="1:25" ht="15.75" hidden="1" customHeight="1" x14ac:dyDescent="0.2">
      <c r="A790" s="231"/>
      <c r="B790" s="224"/>
      <c r="C790" s="225"/>
      <c r="D790" s="225"/>
      <c r="E790" s="225"/>
      <c r="F790" s="177"/>
      <c r="G790" s="177"/>
      <c r="H790" s="177"/>
      <c r="I790" s="177"/>
      <c r="J790" s="223"/>
      <c r="K790" s="231"/>
      <c r="L790" s="231"/>
      <c r="M790" s="231"/>
      <c r="N790" s="231"/>
      <c r="O790" s="231"/>
      <c r="P790" s="231"/>
      <c r="Q790" s="231"/>
      <c r="R790" s="231"/>
      <c r="S790" s="231"/>
      <c r="T790" s="231"/>
      <c r="U790" s="231"/>
      <c r="V790" s="231"/>
      <c r="W790" s="231"/>
      <c r="X790" s="231"/>
      <c r="Y790" s="231"/>
    </row>
    <row r="791" spans="1:25" ht="15.75" hidden="1" customHeight="1" x14ac:dyDescent="0.2">
      <c r="A791" s="231"/>
      <c r="B791" s="224"/>
      <c r="C791" s="225"/>
      <c r="D791" s="225"/>
      <c r="E791" s="225"/>
      <c r="F791" s="177"/>
      <c r="G791" s="177"/>
      <c r="H791" s="177"/>
      <c r="I791" s="177"/>
      <c r="J791" s="223"/>
      <c r="K791" s="231"/>
      <c r="L791" s="231"/>
      <c r="M791" s="231"/>
      <c r="N791" s="231"/>
      <c r="O791" s="231"/>
      <c r="P791" s="231"/>
      <c r="Q791" s="231"/>
      <c r="R791" s="231"/>
      <c r="S791" s="231"/>
      <c r="T791" s="231"/>
      <c r="U791" s="231"/>
      <c r="V791" s="231"/>
      <c r="W791" s="231"/>
      <c r="X791" s="231"/>
      <c r="Y791" s="231"/>
    </row>
    <row r="792" spans="1:25" ht="15.75" hidden="1" customHeight="1" x14ac:dyDescent="0.2">
      <c r="A792" s="231"/>
      <c r="B792" s="224"/>
      <c r="C792" s="225"/>
      <c r="D792" s="225"/>
      <c r="E792" s="225"/>
      <c r="F792" s="177"/>
      <c r="G792" s="177"/>
      <c r="H792" s="177"/>
      <c r="I792" s="177"/>
      <c r="J792" s="223"/>
      <c r="K792" s="231"/>
      <c r="L792" s="231"/>
      <c r="M792" s="231"/>
      <c r="N792" s="231"/>
      <c r="O792" s="231"/>
      <c r="P792" s="231"/>
      <c r="Q792" s="231"/>
      <c r="R792" s="231"/>
      <c r="S792" s="231"/>
      <c r="T792" s="231"/>
      <c r="U792" s="231"/>
      <c r="V792" s="231"/>
      <c r="W792" s="231"/>
      <c r="X792" s="231"/>
      <c r="Y792" s="231"/>
    </row>
    <row r="793" spans="1:25" ht="15.75" hidden="1" customHeight="1" x14ac:dyDescent="0.2">
      <c r="A793" s="231"/>
      <c r="B793" s="224"/>
      <c r="C793" s="225"/>
      <c r="D793" s="225"/>
      <c r="E793" s="225"/>
      <c r="F793" s="177"/>
      <c r="G793" s="177"/>
      <c r="H793" s="177"/>
      <c r="I793" s="177"/>
      <c r="J793" s="223"/>
      <c r="K793" s="231"/>
      <c r="L793" s="231"/>
      <c r="M793" s="231"/>
      <c r="N793" s="231"/>
      <c r="O793" s="231"/>
      <c r="P793" s="231"/>
      <c r="Q793" s="231"/>
      <c r="R793" s="231"/>
      <c r="S793" s="231"/>
      <c r="T793" s="231"/>
      <c r="U793" s="231"/>
      <c r="V793" s="231"/>
      <c r="W793" s="231"/>
      <c r="X793" s="231"/>
      <c r="Y793" s="231"/>
    </row>
    <row r="794" spans="1:25" ht="15.75" hidden="1" customHeight="1" x14ac:dyDescent="0.2">
      <c r="A794" s="231"/>
      <c r="B794" s="224"/>
      <c r="C794" s="225"/>
      <c r="D794" s="225"/>
      <c r="E794" s="225"/>
      <c r="F794" s="177"/>
      <c r="G794" s="177"/>
      <c r="H794" s="177"/>
      <c r="I794" s="177"/>
      <c r="J794" s="223"/>
      <c r="K794" s="231"/>
      <c r="L794" s="231"/>
      <c r="M794" s="231"/>
      <c r="N794" s="231"/>
      <c r="O794" s="231"/>
      <c r="P794" s="231"/>
      <c r="Q794" s="231"/>
      <c r="R794" s="231"/>
      <c r="S794" s="231"/>
      <c r="T794" s="231"/>
      <c r="U794" s="231"/>
      <c r="V794" s="231"/>
      <c r="W794" s="231"/>
      <c r="X794" s="231"/>
      <c r="Y794" s="231"/>
    </row>
    <row r="795" spans="1:25" ht="15.75" hidden="1" customHeight="1" x14ac:dyDescent="0.2">
      <c r="A795" s="231"/>
      <c r="B795" s="224"/>
      <c r="C795" s="225"/>
      <c r="D795" s="225"/>
      <c r="E795" s="225"/>
      <c r="F795" s="177"/>
      <c r="G795" s="177"/>
      <c r="H795" s="177"/>
      <c r="I795" s="177"/>
      <c r="J795" s="223"/>
      <c r="K795" s="231"/>
      <c r="L795" s="231"/>
      <c r="M795" s="231"/>
      <c r="N795" s="231"/>
      <c r="O795" s="231"/>
      <c r="P795" s="231"/>
      <c r="Q795" s="231"/>
      <c r="R795" s="231"/>
      <c r="S795" s="231"/>
      <c r="T795" s="231"/>
      <c r="U795" s="231"/>
      <c r="V795" s="231"/>
      <c r="W795" s="231"/>
      <c r="X795" s="231"/>
      <c r="Y795" s="231"/>
    </row>
    <row r="796" spans="1:25" ht="15.75" hidden="1" customHeight="1" x14ac:dyDescent="0.2">
      <c r="A796" s="231"/>
      <c r="B796" s="224"/>
      <c r="C796" s="225"/>
      <c r="D796" s="225"/>
      <c r="E796" s="225"/>
      <c r="F796" s="177"/>
      <c r="G796" s="177"/>
      <c r="H796" s="177"/>
      <c r="I796" s="177"/>
      <c r="J796" s="223"/>
      <c r="K796" s="231"/>
      <c r="L796" s="231"/>
      <c r="M796" s="231"/>
      <c r="N796" s="231"/>
      <c r="O796" s="231"/>
      <c r="P796" s="231"/>
      <c r="Q796" s="231"/>
      <c r="R796" s="231"/>
      <c r="S796" s="231"/>
      <c r="T796" s="231"/>
      <c r="U796" s="231"/>
      <c r="V796" s="231"/>
      <c r="W796" s="231"/>
      <c r="X796" s="231"/>
      <c r="Y796" s="231"/>
    </row>
    <row r="797" spans="1:25" ht="15.75" hidden="1" customHeight="1" x14ac:dyDescent="0.2">
      <c r="A797" s="231"/>
      <c r="B797" s="224"/>
      <c r="C797" s="225"/>
      <c r="D797" s="225"/>
      <c r="E797" s="225"/>
      <c r="F797" s="177"/>
      <c r="G797" s="177"/>
      <c r="H797" s="177"/>
      <c r="I797" s="177"/>
      <c r="J797" s="223"/>
      <c r="K797" s="231"/>
      <c r="L797" s="231"/>
      <c r="M797" s="231"/>
      <c r="N797" s="231"/>
      <c r="O797" s="231"/>
      <c r="P797" s="231"/>
      <c r="Q797" s="231"/>
      <c r="R797" s="231"/>
      <c r="S797" s="231"/>
      <c r="T797" s="231"/>
      <c r="U797" s="231"/>
      <c r="V797" s="231"/>
      <c r="W797" s="231"/>
      <c r="X797" s="231"/>
      <c r="Y797" s="231"/>
    </row>
    <row r="798" spans="1:25" ht="15.75" hidden="1" customHeight="1" x14ac:dyDescent="0.2">
      <c r="A798" s="231"/>
      <c r="B798" s="224"/>
      <c r="C798" s="225"/>
      <c r="D798" s="225"/>
      <c r="E798" s="225"/>
      <c r="F798" s="177"/>
      <c r="G798" s="177"/>
      <c r="H798" s="177"/>
      <c r="I798" s="177"/>
      <c r="J798" s="223"/>
      <c r="K798" s="231"/>
      <c r="L798" s="231"/>
      <c r="M798" s="231"/>
      <c r="N798" s="231"/>
      <c r="O798" s="231"/>
      <c r="P798" s="231"/>
      <c r="Q798" s="231"/>
      <c r="R798" s="231"/>
      <c r="S798" s="231"/>
      <c r="T798" s="231"/>
      <c r="U798" s="231"/>
      <c r="V798" s="231"/>
      <c r="W798" s="231"/>
      <c r="X798" s="231"/>
      <c r="Y798" s="231"/>
    </row>
    <row r="799" spans="1:25" ht="15.75" hidden="1" customHeight="1" x14ac:dyDescent="0.2">
      <c r="A799" s="231"/>
      <c r="B799" s="224"/>
      <c r="C799" s="225"/>
      <c r="D799" s="225"/>
      <c r="E799" s="225"/>
      <c r="F799" s="177"/>
      <c r="G799" s="177"/>
      <c r="H799" s="177"/>
      <c r="I799" s="177"/>
      <c r="J799" s="223"/>
      <c r="K799" s="231"/>
      <c r="L799" s="231"/>
      <c r="M799" s="231"/>
      <c r="N799" s="231"/>
      <c r="O799" s="231"/>
      <c r="P799" s="231"/>
      <c r="Q799" s="231"/>
      <c r="R799" s="231"/>
      <c r="S799" s="231"/>
      <c r="T799" s="231"/>
      <c r="U799" s="231"/>
      <c r="V799" s="231"/>
      <c r="W799" s="231"/>
      <c r="X799" s="231"/>
      <c r="Y799" s="231"/>
    </row>
    <row r="800" spans="1:25" ht="15.75" hidden="1" customHeight="1" x14ac:dyDescent="0.2">
      <c r="A800" s="231"/>
      <c r="B800" s="224"/>
      <c r="C800" s="225"/>
      <c r="D800" s="225"/>
      <c r="E800" s="225"/>
      <c r="F800" s="177"/>
      <c r="G800" s="177"/>
      <c r="H800" s="177"/>
      <c r="I800" s="177"/>
      <c r="J800" s="223"/>
      <c r="K800" s="231"/>
      <c r="L800" s="231"/>
      <c r="M800" s="231"/>
      <c r="N800" s="231"/>
      <c r="O800" s="231"/>
      <c r="P800" s="231"/>
      <c r="Q800" s="231"/>
      <c r="R800" s="231"/>
      <c r="S800" s="231"/>
      <c r="T800" s="231"/>
      <c r="U800" s="231"/>
      <c r="V800" s="231"/>
      <c r="W800" s="231"/>
      <c r="X800" s="231"/>
      <c r="Y800" s="231"/>
    </row>
    <row r="801" spans="1:25" ht="15.75" hidden="1" customHeight="1" x14ac:dyDescent="0.2">
      <c r="A801" s="231"/>
      <c r="B801" s="224"/>
      <c r="C801" s="225"/>
      <c r="D801" s="225"/>
      <c r="E801" s="225"/>
      <c r="F801" s="177"/>
      <c r="G801" s="177"/>
      <c r="H801" s="177"/>
      <c r="I801" s="177"/>
      <c r="J801" s="223"/>
      <c r="K801" s="231"/>
      <c r="L801" s="231"/>
      <c r="M801" s="231"/>
      <c r="N801" s="231"/>
      <c r="O801" s="231"/>
      <c r="P801" s="231"/>
      <c r="Q801" s="231"/>
      <c r="R801" s="231"/>
      <c r="S801" s="231"/>
      <c r="T801" s="231"/>
      <c r="U801" s="231"/>
      <c r="V801" s="231"/>
      <c r="W801" s="231"/>
      <c r="X801" s="231"/>
      <c r="Y801" s="231"/>
    </row>
    <row r="802" spans="1:25" ht="15.75" hidden="1" customHeight="1" x14ac:dyDescent="0.2">
      <c r="A802" s="231"/>
      <c r="B802" s="224"/>
      <c r="C802" s="225"/>
      <c r="D802" s="225"/>
      <c r="E802" s="225"/>
      <c r="F802" s="177"/>
      <c r="G802" s="177"/>
      <c r="H802" s="177"/>
      <c r="I802" s="177"/>
      <c r="J802" s="223"/>
      <c r="K802" s="231"/>
      <c r="L802" s="231"/>
      <c r="M802" s="231"/>
      <c r="N802" s="231"/>
      <c r="O802" s="231"/>
      <c r="P802" s="231"/>
      <c r="Q802" s="231"/>
      <c r="R802" s="231"/>
      <c r="S802" s="231"/>
      <c r="T802" s="231"/>
      <c r="U802" s="231"/>
      <c r="V802" s="231"/>
      <c r="W802" s="231"/>
      <c r="X802" s="231"/>
      <c r="Y802" s="231"/>
    </row>
    <row r="803" spans="1:25" ht="15.75" hidden="1" customHeight="1" x14ac:dyDescent="0.2">
      <c r="A803" s="231"/>
      <c r="B803" s="224"/>
      <c r="C803" s="225"/>
      <c r="D803" s="225"/>
      <c r="E803" s="225"/>
      <c r="F803" s="177"/>
      <c r="G803" s="177"/>
      <c r="H803" s="177"/>
      <c r="I803" s="177"/>
      <c r="J803" s="223"/>
      <c r="K803" s="231"/>
      <c r="L803" s="231"/>
      <c r="M803" s="231"/>
      <c r="N803" s="231"/>
      <c r="O803" s="231"/>
      <c r="P803" s="231"/>
      <c r="Q803" s="231"/>
      <c r="R803" s="231"/>
      <c r="S803" s="231"/>
      <c r="T803" s="231"/>
      <c r="U803" s="231"/>
      <c r="V803" s="231"/>
      <c r="W803" s="231"/>
      <c r="X803" s="231"/>
      <c r="Y803" s="231"/>
    </row>
    <row r="804" spans="1:25" ht="15.75" hidden="1" customHeight="1" x14ac:dyDescent="0.2">
      <c r="A804" s="231"/>
      <c r="B804" s="224"/>
      <c r="C804" s="225"/>
      <c r="D804" s="225"/>
      <c r="E804" s="225"/>
      <c r="F804" s="177"/>
      <c r="G804" s="177"/>
      <c r="H804" s="177"/>
      <c r="I804" s="177"/>
      <c r="J804" s="223"/>
      <c r="K804" s="231"/>
      <c r="L804" s="231"/>
      <c r="M804" s="231"/>
      <c r="N804" s="231"/>
      <c r="O804" s="231"/>
      <c r="P804" s="231"/>
      <c r="Q804" s="231"/>
      <c r="R804" s="231"/>
      <c r="S804" s="231"/>
      <c r="T804" s="231"/>
      <c r="U804" s="231"/>
      <c r="V804" s="231"/>
      <c r="W804" s="231"/>
      <c r="X804" s="231"/>
      <c r="Y804" s="231"/>
    </row>
    <row r="805" spans="1:25" ht="15.75" hidden="1" customHeight="1" x14ac:dyDescent="0.2">
      <c r="A805" s="231"/>
      <c r="B805" s="224"/>
      <c r="C805" s="225"/>
      <c r="D805" s="225"/>
      <c r="E805" s="225"/>
      <c r="F805" s="177"/>
      <c r="G805" s="177"/>
      <c r="H805" s="177"/>
      <c r="I805" s="177"/>
      <c r="J805" s="223"/>
      <c r="K805" s="231"/>
      <c r="L805" s="231"/>
      <c r="M805" s="231"/>
      <c r="N805" s="231"/>
      <c r="O805" s="231"/>
      <c r="P805" s="231"/>
      <c r="Q805" s="231"/>
      <c r="R805" s="231"/>
      <c r="S805" s="231"/>
      <c r="T805" s="231"/>
      <c r="U805" s="231"/>
      <c r="V805" s="231"/>
      <c r="W805" s="231"/>
      <c r="X805" s="231"/>
      <c r="Y805" s="231"/>
    </row>
    <row r="806" spans="1:25" ht="15.75" hidden="1" customHeight="1" x14ac:dyDescent="0.2">
      <c r="A806" s="231"/>
      <c r="B806" s="224"/>
      <c r="C806" s="225"/>
      <c r="D806" s="225"/>
      <c r="E806" s="225"/>
      <c r="F806" s="177"/>
      <c r="G806" s="177"/>
      <c r="H806" s="177"/>
      <c r="I806" s="177"/>
      <c r="J806" s="223"/>
      <c r="K806" s="231"/>
      <c r="L806" s="231"/>
      <c r="M806" s="231"/>
      <c r="N806" s="231"/>
      <c r="O806" s="231"/>
      <c r="P806" s="231"/>
      <c r="Q806" s="231"/>
      <c r="R806" s="231"/>
      <c r="S806" s="231"/>
      <c r="T806" s="231"/>
      <c r="U806" s="231"/>
      <c r="V806" s="231"/>
      <c r="W806" s="231"/>
      <c r="X806" s="231"/>
      <c r="Y806" s="231"/>
    </row>
    <row r="807" spans="1:25" ht="15.75" hidden="1" customHeight="1" x14ac:dyDescent="0.2">
      <c r="A807" s="231"/>
      <c r="B807" s="224"/>
      <c r="C807" s="225"/>
      <c r="D807" s="225"/>
      <c r="E807" s="225"/>
      <c r="F807" s="177"/>
      <c r="G807" s="177"/>
      <c r="H807" s="177"/>
      <c r="I807" s="177"/>
      <c r="J807" s="223"/>
      <c r="K807" s="231"/>
      <c r="L807" s="231"/>
      <c r="M807" s="231"/>
      <c r="N807" s="231"/>
      <c r="O807" s="231"/>
      <c r="P807" s="231"/>
      <c r="Q807" s="231"/>
      <c r="R807" s="231"/>
      <c r="S807" s="231"/>
      <c r="T807" s="231"/>
      <c r="U807" s="231"/>
      <c r="V807" s="231"/>
      <c r="W807" s="231"/>
      <c r="X807" s="231"/>
      <c r="Y807" s="231"/>
    </row>
    <row r="808" spans="1:25" ht="15.75" hidden="1" customHeight="1" x14ac:dyDescent="0.2">
      <c r="A808" s="231"/>
      <c r="B808" s="224"/>
      <c r="C808" s="225"/>
      <c r="D808" s="225"/>
      <c r="E808" s="225"/>
      <c r="F808" s="177"/>
      <c r="G808" s="177"/>
      <c r="H808" s="177"/>
      <c r="I808" s="177"/>
      <c r="J808" s="223"/>
      <c r="K808" s="231"/>
      <c r="L808" s="231"/>
      <c r="M808" s="231"/>
      <c r="N808" s="231"/>
      <c r="O808" s="231"/>
      <c r="P808" s="231"/>
      <c r="Q808" s="231"/>
      <c r="R808" s="231"/>
      <c r="S808" s="231"/>
      <c r="T808" s="231"/>
      <c r="U808" s="231"/>
      <c r="V808" s="231"/>
      <c r="W808" s="231"/>
      <c r="X808" s="231"/>
      <c r="Y808" s="231"/>
    </row>
    <row r="809" spans="1:25" ht="15.75" hidden="1" customHeight="1" x14ac:dyDescent="0.2">
      <c r="A809" s="231"/>
      <c r="B809" s="224"/>
      <c r="C809" s="225"/>
      <c r="D809" s="225"/>
      <c r="E809" s="225"/>
      <c r="F809" s="177"/>
      <c r="G809" s="177"/>
      <c r="H809" s="177"/>
      <c r="I809" s="177"/>
      <c r="J809" s="223"/>
      <c r="K809" s="231"/>
      <c r="L809" s="231"/>
      <c r="M809" s="231"/>
      <c r="N809" s="231"/>
      <c r="O809" s="231"/>
      <c r="P809" s="231"/>
      <c r="Q809" s="231"/>
      <c r="R809" s="231"/>
      <c r="S809" s="231"/>
      <c r="T809" s="231"/>
      <c r="U809" s="231"/>
      <c r="V809" s="231"/>
      <c r="W809" s="231"/>
      <c r="X809" s="231"/>
      <c r="Y809" s="231"/>
    </row>
    <row r="810" spans="1:25" ht="15.75" hidden="1" customHeight="1" x14ac:dyDescent="0.2">
      <c r="A810" s="231"/>
      <c r="B810" s="224"/>
      <c r="C810" s="225"/>
      <c r="D810" s="225"/>
      <c r="E810" s="225"/>
      <c r="F810" s="177"/>
      <c r="G810" s="177"/>
      <c r="H810" s="177"/>
      <c r="I810" s="177"/>
      <c r="J810" s="223"/>
      <c r="K810" s="231"/>
      <c r="L810" s="231"/>
      <c r="M810" s="231"/>
      <c r="N810" s="231"/>
      <c r="O810" s="231"/>
      <c r="P810" s="231"/>
      <c r="Q810" s="231"/>
      <c r="R810" s="231"/>
      <c r="S810" s="231"/>
      <c r="T810" s="231"/>
      <c r="U810" s="231"/>
      <c r="V810" s="231"/>
      <c r="W810" s="231"/>
      <c r="X810" s="231"/>
      <c r="Y810" s="231"/>
    </row>
    <row r="811" spans="1:25" ht="15.75" hidden="1" customHeight="1" x14ac:dyDescent="0.2">
      <c r="A811" s="231"/>
      <c r="B811" s="224"/>
      <c r="C811" s="225"/>
      <c r="D811" s="225"/>
      <c r="E811" s="225"/>
      <c r="F811" s="177"/>
      <c r="G811" s="177"/>
      <c r="H811" s="177"/>
      <c r="I811" s="177"/>
      <c r="J811" s="223"/>
      <c r="K811" s="231"/>
      <c r="L811" s="231"/>
      <c r="M811" s="231"/>
      <c r="N811" s="231"/>
      <c r="O811" s="231"/>
      <c r="P811" s="231"/>
      <c r="Q811" s="231"/>
      <c r="R811" s="231"/>
      <c r="S811" s="231"/>
      <c r="T811" s="231"/>
      <c r="U811" s="231"/>
      <c r="V811" s="231"/>
      <c r="W811" s="231"/>
      <c r="X811" s="231"/>
      <c r="Y811" s="231"/>
    </row>
    <row r="812" spans="1:25" ht="15.75" hidden="1" customHeight="1" x14ac:dyDescent="0.2">
      <c r="A812" s="231"/>
      <c r="B812" s="224"/>
      <c r="C812" s="225"/>
      <c r="D812" s="225"/>
      <c r="E812" s="225"/>
      <c r="F812" s="177"/>
      <c r="G812" s="177"/>
      <c r="H812" s="177"/>
      <c r="I812" s="177"/>
      <c r="J812" s="223"/>
      <c r="K812" s="231"/>
      <c r="L812" s="231"/>
      <c r="M812" s="231"/>
      <c r="N812" s="231"/>
      <c r="O812" s="231"/>
      <c r="P812" s="231"/>
      <c r="Q812" s="231"/>
      <c r="R812" s="231"/>
      <c r="S812" s="231"/>
      <c r="T812" s="231"/>
      <c r="U812" s="231"/>
      <c r="V812" s="231"/>
      <c r="W812" s="231"/>
      <c r="X812" s="231"/>
      <c r="Y812" s="231"/>
    </row>
    <row r="813" spans="1:25" ht="15.75" hidden="1" customHeight="1" x14ac:dyDescent="0.2">
      <c r="A813" s="231"/>
      <c r="B813" s="224"/>
      <c r="C813" s="225"/>
      <c r="D813" s="225"/>
      <c r="E813" s="225"/>
      <c r="F813" s="177"/>
      <c r="G813" s="177"/>
      <c r="H813" s="177"/>
      <c r="I813" s="177"/>
      <c r="J813" s="223"/>
      <c r="K813" s="231"/>
      <c r="L813" s="231"/>
      <c r="M813" s="231"/>
      <c r="N813" s="231"/>
      <c r="O813" s="231"/>
      <c r="P813" s="231"/>
      <c r="Q813" s="231"/>
      <c r="R813" s="231"/>
      <c r="S813" s="231"/>
      <c r="T813" s="231"/>
      <c r="U813" s="231"/>
      <c r="V813" s="231"/>
      <c r="W813" s="231"/>
      <c r="X813" s="231"/>
      <c r="Y813" s="231"/>
    </row>
    <row r="814" spans="1:25" ht="15.75" hidden="1" customHeight="1" x14ac:dyDescent="0.2">
      <c r="A814" s="231"/>
      <c r="B814" s="224"/>
      <c r="C814" s="225"/>
      <c r="D814" s="225"/>
      <c r="E814" s="225"/>
      <c r="F814" s="177"/>
      <c r="G814" s="177"/>
      <c r="H814" s="177"/>
      <c r="I814" s="177"/>
      <c r="J814" s="223"/>
      <c r="K814" s="231"/>
      <c r="L814" s="231"/>
      <c r="M814" s="231"/>
      <c r="N814" s="231"/>
      <c r="O814" s="231"/>
      <c r="P814" s="231"/>
      <c r="Q814" s="231"/>
      <c r="R814" s="231"/>
      <c r="S814" s="231"/>
      <c r="T814" s="231"/>
      <c r="U814" s="231"/>
      <c r="V814" s="231"/>
      <c r="W814" s="231"/>
      <c r="X814" s="231"/>
      <c r="Y814" s="231"/>
    </row>
    <row r="815" spans="1:25" ht="15.75" hidden="1" customHeight="1" x14ac:dyDescent="0.2">
      <c r="A815" s="231"/>
      <c r="B815" s="224"/>
      <c r="C815" s="225"/>
      <c r="D815" s="225"/>
      <c r="E815" s="225"/>
      <c r="F815" s="177"/>
      <c r="G815" s="177"/>
      <c r="H815" s="177"/>
      <c r="I815" s="177"/>
      <c r="J815" s="223"/>
      <c r="K815" s="231"/>
      <c r="L815" s="231"/>
      <c r="M815" s="231"/>
      <c r="N815" s="231"/>
      <c r="O815" s="231"/>
      <c r="P815" s="231"/>
      <c r="Q815" s="231"/>
      <c r="R815" s="231"/>
      <c r="S815" s="231"/>
      <c r="T815" s="231"/>
      <c r="U815" s="231"/>
      <c r="V815" s="231"/>
      <c r="W815" s="231"/>
      <c r="X815" s="231"/>
      <c r="Y815" s="231"/>
    </row>
    <row r="816" spans="1:25" ht="15.75" hidden="1" customHeight="1" x14ac:dyDescent="0.2">
      <c r="A816" s="231"/>
      <c r="B816" s="224"/>
      <c r="C816" s="225"/>
      <c r="D816" s="225"/>
      <c r="E816" s="225"/>
      <c r="F816" s="177"/>
      <c r="G816" s="177"/>
      <c r="H816" s="177"/>
      <c r="I816" s="177"/>
      <c r="J816" s="223"/>
      <c r="K816" s="231"/>
      <c r="L816" s="231"/>
      <c r="M816" s="231"/>
      <c r="N816" s="231"/>
      <c r="O816" s="231"/>
      <c r="P816" s="231"/>
      <c r="Q816" s="231"/>
      <c r="R816" s="231"/>
      <c r="S816" s="231"/>
      <c r="T816" s="231"/>
      <c r="U816" s="231"/>
      <c r="V816" s="231"/>
      <c r="W816" s="231"/>
      <c r="X816" s="231"/>
      <c r="Y816" s="231"/>
    </row>
    <row r="817" spans="1:25" ht="15.75" hidden="1" customHeight="1" x14ac:dyDescent="0.2">
      <c r="A817" s="231"/>
      <c r="B817" s="224"/>
      <c r="C817" s="225"/>
      <c r="D817" s="225"/>
      <c r="E817" s="225"/>
      <c r="F817" s="177"/>
      <c r="G817" s="177"/>
      <c r="H817" s="177"/>
      <c r="I817" s="177"/>
      <c r="J817" s="223"/>
      <c r="K817" s="231"/>
      <c r="L817" s="231"/>
      <c r="M817" s="231"/>
      <c r="N817" s="231"/>
      <c r="O817" s="231"/>
      <c r="P817" s="231"/>
      <c r="Q817" s="231"/>
      <c r="R817" s="231"/>
      <c r="S817" s="231"/>
      <c r="T817" s="231"/>
      <c r="U817" s="231"/>
      <c r="V817" s="231"/>
      <c r="W817" s="231"/>
      <c r="X817" s="231"/>
      <c r="Y817" s="231"/>
    </row>
    <row r="818" spans="1:25" ht="15.75" hidden="1" customHeight="1" x14ac:dyDescent="0.2">
      <c r="A818" s="231"/>
      <c r="B818" s="224"/>
      <c r="C818" s="225"/>
      <c r="D818" s="225"/>
      <c r="E818" s="225"/>
      <c r="F818" s="177"/>
      <c r="G818" s="177"/>
      <c r="H818" s="177"/>
      <c r="I818" s="177"/>
      <c r="J818" s="223"/>
      <c r="K818" s="231"/>
      <c r="L818" s="231"/>
      <c r="M818" s="231"/>
      <c r="N818" s="231"/>
      <c r="O818" s="231"/>
      <c r="P818" s="231"/>
      <c r="Q818" s="231"/>
      <c r="R818" s="231"/>
      <c r="S818" s="231"/>
      <c r="T818" s="231"/>
      <c r="U818" s="231"/>
      <c r="V818" s="231"/>
      <c r="W818" s="231"/>
      <c r="X818" s="231"/>
      <c r="Y818" s="231"/>
    </row>
    <row r="819" spans="1:25" ht="15.75" hidden="1" customHeight="1" x14ac:dyDescent="0.2">
      <c r="A819" s="231"/>
      <c r="B819" s="224"/>
      <c r="C819" s="225"/>
      <c r="D819" s="225"/>
      <c r="E819" s="225"/>
      <c r="F819" s="177"/>
      <c r="G819" s="177"/>
      <c r="H819" s="177"/>
      <c r="I819" s="177"/>
      <c r="J819" s="223"/>
      <c r="K819" s="231"/>
      <c r="L819" s="231"/>
      <c r="M819" s="231"/>
      <c r="N819" s="231"/>
      <c r="O819" s="231"/>
      <c r="P819" s="231"/>
      <c r="Q819" s="231"/>
      <c r="R819" s="231"/>
      <c r="S819" s="231"/>
      <c r="T819" s="231"/>
      <c r="U819" s="231"/>
      <c r="V819" s="231"/>
      <c r="W819" s="231"/>
      <c r="X819" s="231"/>
      <c r="Y819" s="231"/>
    </row>
    <row r="820" spans="1:25" ht="15.75" hidden="1" customHeight="1" x14ac:dyDescent="0.2">
      <c r="A820" s="231"/>
      <c r="B820" s="224"/>
      <c r="C820" s="225"/>
      <c r="D820" s="225"/>
      <c r="E820" s="225"/>
      <c r="F820" s="177"/>
      <c r="G820" s="177"/>
      <c r="H820" s="177"/>
      <c r="I820" s="177"/>
      <c r="J820" s="223"/>
      <c r="K820" s="231"/>
      <c r="L820" s="231"/>
      <c r="M820" s="231"/>
      <c r="N820" s="231"/>
      <c r="O820" s="231"/>
      <c r="P820" s="231"/>
      <c r="Q820" s="231"/>
      <c r="R820" s="231"/>
      <c r="S820" s="231"/>
      <c r="T820" s="231"/>
      <c r="U820" s="231"/>
      <c r="V820" s="231"/>
      <c r="W820" s="231"/>
      <c r="X820" s="231"/>
      <c r="Y820" s="231"/>
    </row>
    <row r="821" spans="1:25" ht="15.75" hidden="1" customHeight="1" x14ac:dyDescent="0.2">
      <c r="A821" s="231"/>
      <c r="B821" s="224"/>
      <c r="C821" s="225"/>
      <c r="D821" s="225"/>
      <c r="E821" s="225"/>
      <c r="F821" s="177"/>
      <c r="G821" s="177"/>
      <c r="H821" s="177"/>
      <c r="I821" s="177"/>
      <c r="J821" s="223"/>
      <c r="K821" s="231"/>
      <c r="L821" s="231"/>
      <c r="M821" s="231"/>
      <c r="N821" s="231"/>
      <c r="O821" s="231"/>
      <c r="P821" s="231"/>
      <c r="Q821" s="231"/>
      <c r="R821" s="231"/>
      <c r="S821" s="231"/>
      <c r="T821" s="231"/>
      <c r="U821" s="231"/>
      <c r="V821" s="231"/>
      <c r="W821" s="231"/>
      <c r="X821" s="231"/>
      <c r="Y821" s="231"/>
    </row>
    <row r="822" spans="1:25" ht="15.75" hidden="1" customHeight="1" x14ac:dyDescent="0.2">
      <c r="A822" s="231"/>
      <c r="B822" s="224"/>
      <c r="C822" s="225"/>
      <c r="D822" s="225"/>
      <c r="E822" s="225"/>
      <c r="F822" s="177"/>
      <c r="G822" s="177"/>
      <c r="H822" s="177"/>
      <c r="I822" s="177"/>
      <c r="J822" s="223"/>
      <c r="K822" s="231"/>
      <c r="L822" s="231"/>
      <c r="M822" s="231"/>
      <c r="N822" s="231"/>
      <c r="O822" s="231"/>
      <c r="P822" s="231"/>
      <c r="Q822" s="231"/>
      <c r="R822" s="231"/>
      <c r="S822" s="231"/>
      <c r="T822" s="231"/>
      <c r="U822" s="231"/>
      <c r="V822" s="231"/>
      <c r="W822" s="231"/>
      <c r="X822" s="231"/>
      <c r="Y822" s="231"/>
    </row>
    <row r="823" spans="1:25" ht="15.75" hidden="1" customHeight="1" x14ac:dyDescent="0.2">
      <c r="A823" s="231"/>
      <c r="B823" s="224"/>
      <c r="C823" s="225"/>
      <c r="D823" s="225"/>
      <c r="E823" s="225"/>
      <c r="F823" s="177"/>
      <c r="G823" s="177"/>
      <c r="H823" s="177"/>
      <c r="I823" s="177"/>
      <c r="J823" s="223"/>
      <c r="K823" s="231"/>
      <c r="L823" s="231"/>
      <c r="M823" s="231"/>
      <c r="N823" s="231"/>
      <c r="O823" s="231"/>
      <c r="P823" s="231"/>
      <c r="Q823" s="231"/>
      <c r="R823" s="231"/>
      <c r="S823" s="231"/>
      <c r="T823" s="231"/>
      <c r="U823" s="231"/>
      <c r="V823" s="231"/>
      <c r="W823" s="231"/>
      <c r="X823" s="231"/>
      <c r="Y823" s="231"/>
    </row>
    <row r="824" spans="1:25" ht="15.75" hidden="1" customHeight="1" x14ac:dyDescent="0.2">
      <c r="A824" s="231"/>
      <c r="B824" s="224"/>
      <c r="C824" s="225"/>
      <c r="D824" s="225"/>
      <c r="E824" s="225"/>
      <c r="F824" s="177"/>
      <c r="G824" s="177"/>
      <c r="H824" s="177"/>
      <c r="I824" s="177"/>
      <c r="J824" s="223"/>
      <c r="K824" s="231"/>
      <c r="L824" s="231"/>
      <c r="M824" s="231"/>
      <c r="N824" s="231"/>
      <c r="O824" s="231"/>
      <c r="P824" s="231"/>
      <c r="Q824" s="231"/>
      <c r="R824" s="231"/>
      <c r="S824" s="231"/>
      <c r="T824" s="231"/>
      <c r="U824" s="231"/>
      <c r="V824" s="231"/>
      <c r="W824" s="231"/>
      <c r="X824" s="231"/>
      <c r="Y824" s="231"/>
    </row>
    <row r="825" spans="1:25" ht="15.75" hidden="1" customHeight="1" x14ac:dyDescent="0.2">
      <c r="A825" s="231"/>
      <c r="B825" s="224"/>
      <c r="C825" s="225"/>
      <c r="D825" s="225"/>
      <c r="E825" s="225"/>
      <c r="F825" s="177"/>
      <c r="G825" s="177"/>
      <c r="H825" s="177"/>
      <c r="I825" s="177"/>
      <c r="J825" s="223"/>
      <c r="K825" s="231"/>
      <c r="L825" s="231"/>
      <c r="M825" s="231"/>
      <c r="N825" s="231"/>
      <c r="O825" s="231"/>
      <c r="P825" s="231"/>
      <c r="Q825" s="231"/>
      <c r="R825" s="231"/>
      <c r="S825" s="231"/>
      <c r="T825" s="231"/>
      <c r="U825" s="231"/>
      <c r="V825" s="231"/>
      <c r="W825" s="231"/>
      <c r="X825" s="231"/>
      <c r="Y825" s="231"/>
    </row>
    <row r="826" spans="1:25" ht="15.75" hidden="1" customHeight="1" x14ac:dyDescent="0.2">
      <c r="A826" s="231"/>
      <c r="B826" s="224"/>
      <c r="C826" s="225"/>
      <c r="D826" s="225"/>
      <c r="E826" s="225"/>
      <c r="F826" s="177"/>
      <c r="G826" s="177"/>
      <c r="H826" s="177"/>
      <c r="I826" s="177"/>
      <c r="J826" s="223"/>
      <c r="K826" s="231"/>
      <c r="L826" s="231"/>
      <c r="M826" s="231"/>
      <c r="N826" s="231"/>
      <c r="O826" s="231"/>
      <c r="P826" s="231"/>
      <c r="Q826" s="231"/>
      <c r="R826" s="231"/>
      <c r="S826" s="231"/>
      <c r="T826" s="231"/>
      <c r="U826" s="231"/>
      <c r="V826" s="231"/>
      <c r="W826" s="231"/>
      <c r="X826" s="231"/>
      <c r="Y826" s="231"/>
    </row>
    <row r="827" spans="1:25" ht="15.75" hidden="1" customHeight="1" x14ac:dyDescent="0.2">
      <c r="A827" s="231"/>
      <c r="B827" s="224"/>
      <c r="C827" s="225"/>
      <c r="D827" s="225"/>
      <c r="E827" s="225"/>
      <c r="F827" s="177"/>
      <c r="G827" s="177"/>
      <c r="H827" s="177"/>
      <c r="I827" s="177"/>
      <c r="J827" s="223"/>
      <c r="K827" s="231"/>
      <c r="L827" s="231"/>
      <c r="M827" s="231"/>
      <c r="N827" s="231"/>
      <c r="O827" s="231"/>
      <c r="P827" s="231"/>
      <c r="Q827" s="231"/>
      <c r="R827" s="231"/>
      <c r="S827" s="231"/>
      <c r="T827" s="231"/>
      <c r="U827" s="231"/>
      <c r="V827" s="231"/>
      <c r="W827" s="231"/>
      <c r="X827" s="231"/>
      <c r="Y827" s="231"/>
    </row>
    <row r="828" spans="1:25" ht="15.75" hidden="1" customHeight="1" x14ac:dyDescent="0.2">
      <c r="A828" s="231"/>
      <c r="B828" s="224"/>
      <c r="C828" s="225"/>
      <c r="D828" s="225"/>
      <c r="E828" s="225"/>
      <c r="F828" s="177"/>
      <c r="G828" s="177"/>
      <c r="H828" s="177"/>
      <c r="I828" s="177"/>
      <c r="J828" s="223"/>
      <c r="K828" s="231"/>
      <c r="L828" s="231"/>
      <c r="M828" s="231"/>
      <c r="N828" s="231"/>
      <c r="O828" s="231"/>
      <c r="P828" s="231"/>
      <c r="Q828" s="231"/>
      <c r="R828" s="231"/>
      <c r="S828" s="231"/>
      <c r="T828" s="231"/>
      <c r="U828" s="231"/>
      <c r="V828" s="231"/>
      <c r="W828" s="231"/>
      <c r="X828" s="231"/>
      <c r="Y828" s="231"/>
    </row>
    <row r="829" spans="1:25" ht="15.75" hidden="1" customHeight="1" x14ac:dyDescent="0.2">
      <c r="A829" s="231"/>
      <c r="B829" s="224"/>
      <c r="C829" s="225"/>
      <c r="D829" s="225"/>
      <c r="E829" s="225"/>
      <c r="F829" s="177"/>
      <c r="G829" s="177"/>
      <c r="H829" s="177"/>
      <c r="I829" s="177"/>
      <c r="J829" s="223"/>
      <c r="K829" s="231"/>
      <c r="L829" s="231"/>
      <c r="M829" s="231"/>
      <c r="N829" s="231"/>
      <c r="O829" s="231"/>
      <c r="P829" s="231"/>
      <c r="Q829" s="231"/>
      <c r="R829" s="231"/>
      <c r="S829" s="231"/>
      <c r="T829" s="231"/>
      <c r="U829" s="231"/>
      <c r="V829" s="231"/>
      <c r="W829" s="231"/>
      <c r="X829" s="231"/>
      <c r="Y829" s="231"/>
    </row>
    <row r="830" spans="1:25" ht="15.75" hidden="1" customHeight="1" x14ac:dyDescent="0.2">
      <c r="A830" s="231"/>
      <c r="B830" s="224"/>
      <c r="C830" s="225"/>
      <c r="D830" s="225"/>
      <c r="E830" s="225"/>
      <c r="F830" s="177"/>
      <c r="G830" s="177"/>
      <c r="H830" s="177"/>
      <c r="I830" s="177"/>
      <c r="J830" s="223"/>
      <c r="K830" s="231"/>
      <c r="L830" s="231"/>
      <c r="M830" s="231"/>
      <c r="N830" s="231"/>
      <c r="O830" s="231"/>
      <c r="P830" s="231"/>
      <c r="Q830" s="231"/>
      <c r="R830" s="231"/>
      <c r="S830" s="231"/>
      <c r="T830" s="231"/>
      <c r="U830" s="231"/>
      <c r="V830" s="231"/>
      <c r="W830" s="231"/>
      <c r="X830" s="231"/>
      <c r="Y830" s="231"/>
    </row>
    <row r="831" spans="1:25" ht="15.75" hidden="1" customHeight="1" x14ac:dyDescent="0.2">
      <c r="A831" s="231"/>
      <c r="B831" s="224"/>
      <c r="C831" s="225"/>
      <c r="D831" s="225"/>
      <c r="E831" s="225"/>
      <c r="F831" s="177"/>
      <c r="G831" s="177"/>
      <c r="H831" s="177"/>
      <c r="I831" s="177"/>
      <c r="J831" s="223"/>
      <c r="K831" s="231"/>
      <c r="L831" s="231"/>
      <c r="M831" s="231"/>
      <c r="N831" s="231"/>
      <c r="O831" s="231"/>
      <c r="P831" s="231"/>
      <c r="Q831" s="231"/>
      <c r="R831" s="231"/>
      <c r="S831" s="231"/>
      <c r="T831" s="231"/>
      <c r="U831" s="231"/>
      <c r="V831" s="231"/>
      <c r="W831" s="231"/>
      <c r="X831" s="231"/>
      <c r="Y831" s="231"/>
    </row>
    <row r="832" spans="1:25" ht="15.75" hidden="1" customHeight="1" x14ac:dyDescent="0.2">
      <c r="A832" s="231"/>
      <c r="B832" s="224"/>
      <c r="C832" s="225"/>
      <c r="D832" s="225"/>
      <c r="E832" s="225"/>
      <c r="F832" s="177"/>
      <c r="G832" s="177"/>
      <c r="H832" s="177"/>
      <c r="I832" s="177"/>
      <c r="J832" s="223"/>
      <c r="K832" s="231"/>
      <c r="L832" s="231"/>
      <c r="M832" s="231"/>
      <c r="N832" s="231"/>
      <c r="O832" s="231"/>
      <c r="P832" s="231"/>
      <c r="Q832" s="231"/>
      <c r="R832" s="231"/>
      <c r="S832" s="231"/>
      <c r="T832" s="231"/>
      <c r="U832" s="231"/>
      <c r="V832" s="231"/>
      <c r="W832" s="231"/>
      <c r="X832" s="231"/>
      <c r="Y832" s="231"/>
    </row>
    <row r="833" spans="1:25" ht="15.75" hidden="1" customHeight="1" x14ac:dyDescent="0.2">
      <c r="A833" s="231"/>
      <c r="B833" s="224"/>
      <c r="C833" s="225"/>
      <c r="D833" s="225"/>
      <c r="E833" s="225"/>
      <c r="F833" s="177"/>
      <c r="G833" s="177"/>
      <c r="H833" s="177"/>
      <c r="I833" s="177"/>
      <c r="J833" s="223"/>
      <c r="K833" s="231"/>
      <c r="L833" s="231"/>
      <c r="M833" s="231"/>
      <c r="N833" s="231"/>
      <c r="O833" s="231"/>
      <c r="P833" s="231"/>
      <c r="Q833" s="231"/>
      <c r="R833" s="231"/>
      <c r="S833" s="231"/>
      <c r="T833" s="231"/>
      <c r="U833" s="231"/>
      <c r="V833" s="231"/>
      <c r="W833" s="231"/>
      <c r="X833" s="231"/>
      <c r="Y833" s="231"/>
    </row>
    <row r="834" spans="1:25" ht="15.75" hidden="1" customHeight="1" x14ac:dyDescent="0.2">
      <c r="A834" s="231"/>
      <c r="B834" s="224"/>
      <c r="C834" s="225"/>
      <c r="D834" s="225"/>
      <c r="E834" s="225"/>
      <c r="F834" s="177"/>
      <c r="G834" s="177"/>
      <c r="H834" s="177"/>
      <c r="I834" s="177"/>
      <c r="J834" s="223"/>
      <c r="K834" s="231"/>
      <c r="L834" s="231"/>
      <c r="M834" s="231"/>
      <c r="N834" s="231"/>
      <c r="O834" s="231"/>
      <c r="P834" s="231"/>
      <c r="Q834" s="231"/>
      <c r="R834" s="231"/>
      <c r="S834" s="231"/>
      <c r="T834" s="231"/>
      <c r="U834" s="231"/>
      <c r="V834" s="231"/>
      <c r="W834" s="231"/>
      <c r="X834" s="231"/>
      <c r="Y834" s="231"/>
    </row>
    <row r="835" spans="1:25" ht="15.75" hidden="1" customHeight="1" x14ac:dyDescent="0.2">
      <c r="A835" s="231"/>
      <c r="B835" s="224"/>
      <c r="C835" s="225"/>
      <c r="D835" s="225"/>
      <c r="E835" s="225"/>
      <c r="F835" s="177"/>
      <c r="G835" s="177"/>
      <c r="H835" s="177"/>
      <c r="I835" s="177"/>
      <c r="J835" s="223"/>
      <c r="K835" s="231"/>
      <c r="L835" s="231"/>
      <c r="M835" s="231"/>
      <c r="N835" s="231"/>
      <c r="O835" s="231"/>
      <c r="P835" s="231"/>
      <c r="Q835" s="231"/>
      <c r="R835" s="231"/>
      <c r="S835" s="231"/>
      <c r="T835" s="231"/>
      <c r="U835" s="231"/>
      <c r="V835" s="231"/>
      <c r="W835" s="231"/>
      <c r="X835" s="231"/>
      <c r="Y835" s="231"/>
    </row>
    <row r="836" spans="1:25" ht="15.75" hidden="1" customHeight="1" x14ac:dyDescent="0.2">
      <c r="A836" s="231"/>
      <c r="B836" s="224"/>
      <c r="C836" s="225"/>
      <c r="D836" s="225"/>
      <c r="E836" s="225"/>
      <c r="F836" s="177"/>
      <c r="G836" s="177"/>
      <c r="H836" s="177"/>
      <c r="I836" s="177"/>
      <c r="J836" s="223"/>
      <c r="K836" s="231"/>
      <c r="L836" s="231"/>
      <c r="M836" s="231"/>
      <c r="N836" s="231"/>
      <c r="O836" s="231"/>
      <c r="P836" s="231"/>
      <c r="Q836" s="231"/>
      <c r="R836" s="231"/>
      <c r="S836" s="231"/>
      <c r="T836" s="231"/>
      <c r="U836" s="231"/>
      <c r="V836" s="231"/>
      <c r="W836" s="231"/>
      <c r="X836" s="231"/>
      <c r="Y836" s="231"/>
    </row>
    <row r="837" spans="1:25" ht="15.75" hidden="1" customHeight="1" x14ac:dyDescent="0.2">
      <c r="A837" s="231"/>
      <c r="B837" s="224"/>
      <c r="C837" s="225"/>
      <c r="D837" s="225"/>
      <c r="E837" s="225"/>
      <c r="F837" s="177"/>
      <c r="G837" s="177"/>
      <c r="H837" s="177"/>
      <c r="I837" s="177"/>
      <c r="J837" s="223"/>
      <c r="K837" s="231"/>
      <c r="L837" s="231"/>
      <c r="M837" s="231"/>
      <c r="N837" s="231"/>
      <c r="O837" s="231"/>
      <c r="P837" s="231"/>
      <c r="Q837" s="231"/>
      <c r="R837" s="231"/>
      <c r="S837" s="231"/>
      <c r="T837" s="231"/>
      <c r="U837" s="231"/>
      <c r="V837" s="231"/>
      <c r="W837" s="231"/>
      <c r="X837" s="231"/>
      <c r="Y837" s="231"/>
    </row>
    <row r="838" spans="1:25" ht="15.75" hidden="1" customHeight="1" x14ac:dyDescent="0.2">
      <c r="A838" s="231"/>
      <c r="B838" s="224"/>
      <c r="C838" s="225"/>
      <c r="D838" s="225"/>
      <c r="E838" s="225"/>
      <c r="F838" s="177"/>
      <c r="G838" s="177"/>
      <c r="H838" s="177"/>
      <c r="I838" s="177"/>
      <c r="J838" s="223"/>
      <c r="K838" s="231"/>
      <c r="L838" s="231"/>
      <c r="M838" s="231"/>
      <c r="N838" s="231"/>
      <c r="O838" s="231"/>
      <c r="P838" s="231"/>
      <c r="Q838" s="231"/>
      <c r="R838" s="231"/>
      <c r="S838" s="231"/>
      <c r="T838" s="231"/>
      <c r="U838" s="231"/>
      <c r="V838" s="231"/>
      <c r="W838" s="231"/>
      <c r="X838" s="231"/>
      <c r="Y838" s="231"/>
    </row>
    <row r="839" spans="1:25" ht="15.75" hidden="1" customHeight="1" x14ac:dyDescent="0.2">
      <c r="A839" s="231"/>
      <c r="B839" s="224"/>
      <c r="C839" s="225"/>
      <c r="D839" s="225"/>
      <c r="E839" s="225"/>
      <c r="F839" s="177"/>
      <c r="G839" s="177"/>
      <c r="H839" s="177"/>
      <c r="I839" s="177"/>
      <c r="J839" s="223"/>
      <c r="K839" s="231"/>
      <c r="L839" s="231"/>
      <c r="M839" s="231"/>
      <c r="N839" s="231"/>
      <c r="O839" s="231"/>
      <c r="P839" s="231"/>
      <c r="Q839" s="231"/>
      <c r="R839" s="231"/>
      <c r="S839" s="231"/>
      <c r="T839" s="231"/>
      <c r="U839" s="231"/>
      <c r="V839" s="231"/>
      <c r="W839" s="231"/>
      <c r="X839" s="231"/>
      <c r="Y839" s="231"/>
    </row>
    <row r="840" spans="1:25" ht="15.75" hidden="1" customHeight="1" x14ac:dyDescent="0.2">
      <c r="A840" s="231"/>
      <c r="B840" s="224"/>
      <c r="C840" s="225"/>
      <c r="D840" s="225"/>
      <c r="E840" s="225"/>
      <c r="F840" s="177"/>
      <c r="G840" s="177"/>
      <c r="H840" s="177"/>
      <c r="I840" s="177"/>
      <c r="J840" s="223"/>
      <c r="K840" s="231"/>
      <c r="L840" s="231"/>
      <c r="M840" s="231"/>
      <c r="N840" s="231"/>
      <c r="O840" s="231"/>
      <c r="P840" s="231"/>
      <c r="Q840" s="231"/>
      <c r="R840" s="231"/>
      <c r="S840" s="231"/>
      <c r="T840" s="231"/>
      <c r="U840" s="231"/>
      <c r="V840" s="231"/>
      <c r="W840" s="231"/>
      <c r="X840" s="231"/>
      <c r="Y840" s="231"/>
    </row>
    <row r="841" spans="1:25" ht="15.75" hidden="1" customHeight="1" x14ac:dyDescent="0.2">
      <c r="A841" s="231"/>
      <c r="B841" s="224"/>
      <c r="C841" s="225"/>
      <c r="D841" s="225"/>
      <c r="E841" s="225"/>
      <c r="F841" s="177"/>
      <c r="G841" s="177"/>
      <c r="H841" s="177"/>
      <c r="I841" s="177"/>
      <c r="J841" s="223"/>
      <c r="K841" s="231"/>
      <c r="L841" s="231"/>
      <c r="M841" s="231"/>
      <c r="N841" s="231"/>
      <c r="O841" s="231"/>
      <c r="P841" s="231"/>
      <c r="Q841" s="231"/>
      <c r="R841" s="231"/>
      <c r="S841" s="231"/>
      <c r="T841" s="231"/>
      <c r="U841" s="231"/>
      <c r="V841" s="231"/>
      <c r="W841" s="231"/>
      <c r="X841" s="231"/>
      <c r="Y841" s="231"/>
    </row>
    <row r="842" spans="1:25" ht="15.75" hidden="1" customHeight="1" x14ac:dyDescent="0.2">
      <c r="A842" s="231"/>
      <c r="B842" s="224"/>
      <c r="C842" s="225"/>
      <c r="D842" s="225"/>
      <c r="E842" s="225"/>
      <c r="F842" s="177"/>
      <c r="G842" s="177"/>
      <c r="H842" s="177"/>
      <c r="I842" s="177"/>
      <c r="J842" s="223"/>
      <c r="K842" s="231"/>
      <c r="L842" s="231"/>
      <c r="M842" s="231"/>
      <c r="N842" s="231"/>
      <c r="O842" s="231"/>
      <c r="P842" s="231"/>
      <c r="Q842" s="231"/>
      <c r="R842" s="231"/>
      <c r="S842" s="231"/>
      <c r="T842" s="231"/>
      <c r="U842" s="231"/>
      <c r="V842" s="231"/>
      <c r="W842" s="231"/>
      <c r="X842" s="231"/>
      <c r="Y842" s="231"/>
    </row>
    <row r="843" spans="1:25" ht="15.75" hidden="1" customHeight="1" x14ac:dyDescent="0.2">
      <c r="A843" s="231"/>
      <c r="B843" s="224"/>
      <c r="C843" s="225"/>
      <c r="D843" s="225"/>
      <c r="E843" s="225"/>
      <c r="F843" s="177"/>
      <c r="G843" s="177"/>
      <c r="H843" s="177"/>
      <c r="I843" s="177"/>
      <c r="J843" s="223"/>
      <c r="K843" s="231"/>
      <c r="L843" s="231"/>
      <c r="M843" s="231"/>
      <c r="N843" s="231"/>
      <c r="O843" s="231"/>
      <c r="P843" s="231"/>
      <c r="Q843" s="231"/>
      <c r="R843" s="231"/>
      <c r="S843" s="231"/>
      <c r="T843" s="231"/>
      <c r="U843" s="231"/>
      <c r="V843" s="231"/>
      <c r="W843" s="231"/>
      <c r="X843" s="231"/>
      <c r="Y843" s="231"/>
    </row>
    <row r="844" spans="1:25" ht="15.75" hidden="1" customHeight="1" x14ac:dyDescent="0.2">
      <c r="A844" s="231"/>
      <c r="B844" s="224"/>
      <c r="C844" s="225"/>
      <c r="D844" s="225"/>
      <c r="E844" s="225"/>
      <c r="F844" s="177"/>
      <c r="G844" s="177"/>
      <c r="H844" s="177"/>
      <c r="I844" s="177"/>
      <c r="J844" s="223"/>
      <c r="K844" s="231"/>
      <c r="L844" s="231"/>
      <c r="M844" s="231"/>
      <c r="N844" s="231"/>
      <c r="O844" s="231"/>
      <c r="P844" s="231"/>
      <c r="Q844" s="231"/>
      <c r="R844" s="231"/>
      <c r="S844" s="231"/>
      <c r="T844" s="231"/>
      <c r="U844" s="231"/>
      <c r="V844" s="231"/>
      <c r="W844" s="231"/>
      <c r="X844" s="231"/>
      <c r="Y844" s="231"/>
    </row>
    <row r="845" spans="1:25" ht="15.75" hidden="1" customHeight="1" x14ac:dyDescent="0.2">
      <c r="A845" s="231"/>
      <c r="B845" s="224"/>
      <c r="C845" s="225"/>
      <c r="D845" s="225"/>
      <c r="E845" s="225"/>
      <c r="F845" s="177"/>
      <c r="G845" s="177"/>
      <c r="H845" s="177"/>
      <c r="I845" s="177"/>
      <c r="J845" s="223"/>
      <c r="K845" s="231"/>
      <c r="L845" s="231"/>
      <c r="M845" s="231"/>
      <c r="N845" s="231"/>
      <c r="O845" s="231"/>
      <c r="P845" s="231"/>
      <c r="Q845" s="231"/>
      <c r="R845" s="231"/>
      <c r="S845" s="231"/>
      <c r="T845" s="231"/>
      <c r="U845" s="231"/>
      <c r="V845" s="231"/>
      <c r="W845" s="231"/>
      <c r="X845" s="231"/>
      <c r="Y845" s="231"/>
    </row>
    <row r="846" spans="1:25" ht="15.75" hidden="1" customHeight="1" x14ac:dyDescent="0.2">
      <c r="A846" s="231"/>
      <c r="B846" s="224"/>
      <c r="C846" s="225"/>
      <c r="D846" s="225"/>
      <c r="E846" s="225"/>
      <c r="F846" s="177"/>
      <c r="G846" s="177"/>
      <c r="H846" s="177"/>
      <c r="I846" s="177"/>
      <c r="J846" s="223"/>
      <c r="K846" s="231"/>
      <c r="L846" s="231"/>
      <c r="M846" s="231"/>
      <c r="N846" s="231"/>
      <c r="O846" s="231"/>
      <c r="P846" s="231"/>
      <c r="Q846" s="231"/>
      <c r="R846" s="231"/>
      <c r="S846" s="231"/>
      <c r="T846" s="231"/>
      <c r="U846" s="231"/>
      <c r="V846" s="231"/>
      <c r="W846" s="231"/>
      <c r="X846" s="231"/>
      <c r="Y846" s="231"/>
    </row>
    <row r="847" spans="1:25" ht="15.75" hidden="1" customHeight="1" x14ac:dyDescent="0.2">
      <c r="A847" s="231"/>
      <c r="B847" s="224"/>
      <c r="C847" s="225"/>
      <c r="D847" s="225"/>
      <c r="E847" s="225"/>
      <c r="F847" s="177"/>
      <c r="G847" s="177"/>
      <c r="H847" s="177"/>
      <c r="I847" s="177"/>
      <c r="J847" s="223"/>
      <c r="K847" s="231"/>
      <c r="L847" s="231"/>
      <c r="M847" s="231"/>
      <c r="N847" s="231"/>
      <c r="O847" s="231"/>
      <c r="P847" s="231"/>
      <c r="Q847" s="231"/>
      <c r="R847" s="231"/>
      <c r="S847" s="231"/>
      <c r="T847" s="231"/>
      <c r="U847" s="231"/>
      <c r="V847" s="231"/>
      <c r="W847" s="231"/>
      <c r="X847" s="231"/>
      <c r="Y847" s="231"/>
    </row>
    <row r="848" spans="1:25" ht="15.75" hidden="1" customHeight="1" x14ac:dyDescent="0.2">
      <c r="A848" s="231"/>
      <c r="B848" s="224"/>
      <c r="C848" s="225"/>
      <c r="D848" s="225"/>
      <c r="E848" s="225"/>
      <c r="F848" s="177"/>
      <c r="G848" s="177"/>
      <c r="H848" s="177"/>
      <c r="I848" s="177"/>
      <c r="J848" s="223"/>
      <c r="K848" s="231"/>
      <c r="L848" s="231"/>
      <c r="M848" s="231"/>
      <c r="N848" s="231"/>
      <c r="O848" s="231"/>
      <c r="P848" s="231"/>
      <c r="Q848" s="231"/>
      <c r="R848" s="231"/>
      <c r="S848" s="231"/>
      <c r="T848" s="231"/>
      <c r="U848" s="231"/>
      <c r="V848" s="231"/>
      <c r="W848" s="231"/>
      <c r="X848" s="231"/>
      <c r="Y848" s="231"/>
    </row>
    <row r="849" spans="1:25" ht="15.75" hidden="1" customHeight="1" x14ac:dyDescent="0.2">
      <c r="A849" s="231"/>
      <c r="B849" s="224"/>
      <c r="C849" s="225"/>
      <c r="D849" s="225"/>
      <c r="E849" s="225"/>
      <c r="F849" s="177"/>
      <c r="G849" s="177"/>
      <c r="H849" s="177"/>
      <c r="I849" s="177"/>
      <c r="J849" s="223"/>
      <c r="K849" s="231"/>
      <c r="L849" s="231"/>
      <c r="M849" s="231"/>
      <c r="N849" s="231"/>
      <c r="O849" s="231"/>
      <c r="P849" s="231"/>
      <c r="Q849" s="231"/>
      <c r="R849" s="231"/>
      <c r="S849" s="231"/>
      <c r="T849" s="231"/>
      <c r="U849" s="231"/>
      <c r="V849" s="231"/>
      <c r="W849" s="231"/>
      <c r="X849" s="231"/>
      <c r="Y849" s="231"/>
    </row>
    <row r="850" spans="1:25" ht="15.75" hidden="1" customHeight="1" x14ac:dyDescent="0.2">
      <c r="A850" s="231"/>
      <c r="B850" s="224"/>
      <c r="C850" s="225"/>
      <c r="D850" s="225"/>
      <c r="E850" s="225"/>
      <c r="F850" s="177"/>
      <c r="G850" s="177"/>
      <c r="H850" s="177"/>
      <c r="I850" s="177"/>
      <c r="J850" s="223"/>
      <c r="K850" s="231"/>
      <c r="L850" s="231"/>
      <c r="M850" s="231"/>
      <c r="N850" s="231"/>
      <c r="O850" s="231"/>
      <c r="P850" s="231"/>
      <c r="Q850" s="231"/>
      <c r="R850" s="231"/>
      <c r="S850" s="231"/>
      <c r="T850" s="231"/>
      <c r="U850" s="231"/>
      <c r="V850" s="231"/>
      <c r="W850" s="231"/>
      <c r="X850" s="231"/>
      <c r="Y850" s="231"/>
    </row>
    <row r="851" spans="1:25" ht="15.75" hidden="1" customHeight="1" x14ac:dyDescent="0.2">
      <c r="A851" s="231"/>
      <c r="B851" s="224"/>
      <c r="C851" s="225"/>
      <c r="D851" s="225"/>
      <c r="E851" s="225"/>
      <c r="F851" s="177"/>
      <c r="G851" s="177"/>
      <c r="H851" s="177"/>
      <c r="I851" s="177"/>
      <c r="J851" s="223"/>
      <c r="K851" s="231"/>
      <c r="L851" s="231"/>
      <c r="M851" s="231"/>
      <c r="N851" s="231"/>
      <c r="O851" s="231"/>
      <c r="P851" s="231"/>
      <c r="Q851" s="231"/>
      <c r="R851" s="231"/>
      <c r="S851" s="231"/>
      <c r="T851" s="231"/>
      <c r="U851" s="231"/>
      <c r="V851" s="231"/>
      <c r="W851" s="231"/>
      <c r="X851" s="231"/>
      <c r="Y851" s="231"/>
    </row>
    <row r="852" spans="1:25" ht="15.75" hidden="1" customHeight="1" x14ac:dyDescent="0.2">
      <c r="A852" s="231"/>
      <c r="B852" s="224"/>
      <c r="C852" s="225"/>
      <c r="D852" s="225"/>
      <c r="E852" s="225"/>
      <c r="F852" s="177"/>
      <c r="G852" s="177"/>
      <c r="H852" s="177"/>
      <c r="I852" s="177"/>
      <c r="J852" s="223"/>
      <c r="K852" s="231"/>
      <c r="L852" s="231"/>
      <c r="M852" s="231"/>
      <c r="N852" s="231"/>
      <c r="O852" s="231"/>
      <c r="P852" s="231"/>
      <c r="Q852" s="231"/>
      <c r="R852" s="231"/>
      <c r="S852" s="231"/>
      <c r="T852" s="231"/>
      <c r="U852" s="231"/>
      <c r="V852" s="231"/>
      <c r="W852" s="231"/>
      <c r="X852" s="231"/>
      <c r="Y852" s="231"/>
    </row>
    <row r="853" spans="1:25" ht="15.75" hidden="1" customHeight="1" x14ac:dyDescent="0.2">
      <c r="A853" s="231"/>
      <c r="B853" s="224"/>
      <c r="C853" s="225"/>
      <c r="D853" s="225"/>
      <c r="E853" s="225"/>
      <c r="F853" s="177"/>
      <c r="G853" s="177"/>
      <c r="H853" s="177"/>
      <c r="I853" s="177"/>
      <c r="J853" s="223"/>
      <c r="K853" s="231"/>
      <c r="L853" s="231"/>
      <c r="M853" s="231"/>
      <c r="N853" s="231"/>
      <c r="O853" s="231"/>
      <c r="P853" s="231"/>
      <c r="Q853" s="231"/>
      <c r="R853" s="231"/>
      <c r="S853" s="231"/>
      <c r="T853" s="231"/>
      <c r="U853" s="231"/>
      <c r="V853" s="231"/>
      <c r="W853" s="231"/>
      <c r="X853" s="231"/>
      <c r="Y853" s="231"/>
    </row>
    <row r="854" spans="1:25" ht="15.75" hidden="1" customHeight="1" x14ac:dyDescent="0.2">
      <c r="A854" s="231"/>
      <c r="B854" s="224"/>
      <c r="C854" s="225"/>
      <c r="D854" s="225"/>
      <c r="E854" s="225"/>
      <c r="F854" s="177"/>
      <c r="G854" s="177"/>
      <c r="H854" s="177"/>
      <c r="I854" s="177"/>
      <c r="J854" s="223"/>
      <c r="K854" s="231"/>
      <c r="L854" s="231"/>
      <c r="M854" s="231"/>
      <c r="N854" s="231"/>
      <c r="O854" s="231"/>
      <c r="P854" s="231"/>
      <c r="Q854" s="231"/>
      <c r="R854" s="231"/>
      <c r="S854" s="231"/>
      <c r="T854" s="231"/>
      <c r="U854" s="231"/>
      <c r="V854" s="231"/>
      <c r="W854" s="231"/>
      <c r="X854" s="231"/>
      <c r="Y854" s="231"/>
    </row>
    <row r="855" spans="1:25" ht="15.75" hidden="1" customHeight="1" x14ac:dyDescent="0.2">
      <c r="A855" s="231"/>
      <c r="B855" s="224"/>
      <c r="C855" s="225"/>
      <c r="D855" s="225"/>
      <c r="E855" s="225"/>
      <c r="F855" s="177"/>
      <c r="G855" s="177"/>
      <c r="H855" s="177"/>
      <c r="I855" s="177"/>
      <c r="J855" s="223"/>
      <c r="K855" s="231"/>
      <c r="L855" s="231"/>
      <c r="M855" s="231"/>
      <c r="N855" s="231"/>
      <c r="O855" s="231"/>
      <c r="P855" s="231"/>
      <c r="Q855" s="231"/>
      <c r="R855" s="231"/>
      <c r="S855" s="231"/>
      <c r="T855" s="231"/>
      <c r="U855" s="231"/>
      <c r="V855" s="231"/>
      <c r="W855" s="231"/>
      <c r="X855" s="231"/>
      <c r="Y855" s="231"/>
    </row>
    <row r="856" spans="1:25" ht="15.75" hidden="1" customHeight="1" x14ac:dyDescent="0.2">
      <c r="A856" s="231"/>
      <c r="B856" s="224"/>
      <c r="C856" s="225"/>
      <c r="D856" s="225"/>
      <c r="E856" s="225"/>
      <c r="F856" s="177"/>
      <c r="G856" s="177"/>
      <c r="H856" s="177"/>
      <c r="I856" s="177"/>
      <c r="J856" s="223"/>
      <c r="K856" s="231"/>
      <c r="L856" s="231"/>
      <c r="M856" s="231"/>
      <c r="N856" s="231"/>
      <c r="O856" s="231"/>
      <c r="P856" s="231"/>
      <c r="Q856" s="231"/>
      <c r="R856" s="231"/>
      <c r="S856" s="231"/>
      <c r="T856" s="231"/>
      <c r="U856" s="231"/>
      <c r="V856" s="231"/>
      <c r="W856" s="231"/>
      <c r="X856" s="231"/>
      <c r="Y856" s="231"/>
    </row>
    <row r="857" spans="1:25" ht="15.75" hidden="1" customHeight="1" x14ac:dyDescent="0.2">
      <c r="A857" s="231"/>
      <c r="B857" s="224"/>
      <c r="C857" s="225"/>
      <c r="D857" s="225"/>
      <c r="E857" s="225"/>
      <c r="F857" s="177"/>
      <c r="G857" s="177"/>
      <c r="H857" s="177"/>
      <c r="I857" s="177"/>
      <c r="J857" s="223"/>
      <c r="K857" s="231"/>
      <c r="L857" s="231"/>
      <c r="M857" s="231"/>
      <c r="N857" s="231"/>
      <c r="O857" s="231"/>
      <c r="P857" s="231"/>
      <c r="Q857" s="231"/>
      <c r="R857" s="231"/>
      <c r="S857" s="231"/>
      <c r="T857" s="231"/>
      <c r="U857" s="231"/>
      <c r="V857" s="231"/>
      <c r="W857" s="231"/>
      <c r="X857" s="231"/>
      <c r="Y857" s="231"/>
    </row>
    <row r="858" spans="1:25" ht="15.75" hidden="1" customHeight="1" x14ac:dyDescent="0.2">
      <c r="A858" s="231"/>
      <c r="B858" s="224"/>
      <c r="C858" s="225"/>
      <c r="D858" s="225"/>
      <c r="E858" s="225"/>
      <c r="F858" s="177"/>
      <c r="G858" s="177"/>
      <c r="H858" s="177"/>
      <c r="I858" s="177"/>
      <c r="J858" s="223"/>
      <c r="K858" s="231"/>
      <c r="L858" s="231"/>
      <c r="M858" s="231"/>
      <c r="N858" s="231"/>
      <c r="O858" s="231"/>
      <c r="P858" s="231"/>
      <c r="Q858" s="231"/>
      <c r="R858" s="231"/>
      <c r="S858" s="231"/>
      <c r="T858" s="231"/>
      <c r="U858" s="231"/>
      <c r="V858" s="231"/>
      <c r="W858" s="231"/>
      <c r="X858" s="231"/>
      <c r="Y858" s="231"/>
    </row>
    <row r="859" spans="1:25" ht="15.75" hidden="1" customHeight="1" x14ac:dyDescent="0.2">
      <c r="A859" s="231"/>
      <c r="B859" s="224"/>
      <c r="C859" s="225"/>
      <c r="D859" s="225"/>
      <c r="E859" s="225"/>
      <c r="F859" s="177"/>
      <c r="G859" s="177"/>
      <c r="H859" s="177"/>
      <c r="I859" s="177"/>
      <c r="J859" s="223"/>
      <c r="K859" s="231"/>
      <c r="L859" s="231"/>
      <c r="M859" s="231"/>
      <c r="N859" s="231"/>
      <c r="O859" s="231"/>
      <c r="P859" s="231"/>
      <c r="Q859" s="231"/>
      <c r="R859" s="231"/>
      <c r="S859" s="231"/>
      <c r="T859" s="231"/>
      <c r="U859" s="231"/>
      <c r="V859" s="231"/>
      <c r="W859" s="231"/>
      <c r="X859" s="231"/>
      <c r="Y859" s="231"/>
    </row>
    <row r="860" spans="1:25" ht="15.75" hidden="1" customHeight="1" x14ac:dyDescent="0.2">
      <c r="A860" s="231"/>
      <c r="B860" s="224"/>
      <c r="C860" s="225"/>
      <c r="D860" s="225"/>
      <c r="E860" s="225"/>
      <c r="F860" s="177"/>
      <c r="G860" s="177"/>
      <c r="H860" s="177"/>
      <c r="I860" s="177"/>
      <c r="J860" s="223"/>
      <c r="K860" s="231"/>
      <c r="L860" s="231"/>
      <c r="M860" s="231"/>
      <c r="N860" s="231"/>
      <c r="O860" s="231"/>
      <c r="P860" s="231"/>
      <c r="Q860" s="231"/>
      <c r="R860" s="231"/>
      <c r="S860" s="231"/>
      <c r="T860" s="231"/>
      <c r="U860" s="231"/>
      <c r="V860" s="231"/>
      <c r="W860" s="231"/>
      <c r="X860" s="231"/>
      <c r="Y860" s="231"/>
    </row>
    <row r="861" spans="1:25" ht="15.75" hidden="1" customHeight="1" x14ac:dyDescent="0.2">
      <c r="A861" s="231"/>
      <c r="B861" s="224"/>
      <c r="C861" s="225"/>
      <c r="D861" s="225"/>
      <c r="E861" s="225"/>
      <c r="F861" s="177"/>
      <c r="G861" s="177"/>
      <c r="H861" s="177"/>
      <c r="I861" s="177"/>
      <c r="J861" s="223"/>
      <c r="K861" s="231"/>
      <c r="L861" s="231"/>
      <c r="M861" s="231"/>
      <c r="N861" s="231"/>
      <c r="O861" s="231"/>
      <c r="P861" s="231"/>
      <c r="Q861" s="231"/>
      <c r="R861" s="231"/>
      <c r="S861" s="231"/>
      <c r="T861" s="231"/>
      <c r="U861" s="231"/>
      <c r="V861" s="231"/>
      <c r="W861" s="231"/>
      <c r="X861" s="231"/>
      <c r="Y861" s="231"/>
    </row>
    <row r="862" spans="1:25" ht="15.75" hidden="1" customHeight="1" x14ac:dyDescent="0.2">
      <c r="A862" s="231"/>
      <c r="B862" s="224"/>
      <c r="C862" s="225"/>
      <c r="D862" s="225"/>
      <c r="E862" s="225"/>
      <c r="F862" s="177"/>
      <c r="G862" s="177"/>
      <c r="H862" s="177"/>
      <c r="I862" s="177"/>
      <c r="J862" s="223"/>
      <c r="K862" s="231"/>
      <c r="L862" s="231"/>
      <c r="M862" s="231"/>
      <c r="N862" s="231"/>
      <c r="O862" s="231"/>
      <c r="P862" s="231"/>
      <c r="Q862" s="231"/>
      <c r="R862" s="231"/>
      <c r="S862" s="231"/>
      <c r="T862" s="231"/>
      <c r="U862" s="231"/>
      <c r="V862" s="231"/>
      <c r="W862" s="231"/>
      <c r="X862" s="231"/>
      <c r="Y862" s="231"/>
    </row>
    <row r="863" spans="1:25" ht="15.75" hidden="1" customHeight="1" x14ac:dyDescent="0.2">
      <c r="A863" s="231"/>
      <c r="B863" s="224"/>
      <c r="C863" s="225"/>
      <c r="D863" s="225"/>
      <c r="E863" s="225"/>
      <c r="F863" s="177"/>
      <c r="G863" s="177"/>
      <c r="H863" s="177"/>
      <c r="I863" s="177"/>
      <c r="J863" s="223"/>
      <c r="K863" s="231"/>
      <c r="L863" s="231"/>
      <c r="M863" s="231"/>
      <c r="N863" s="231"/>
      <c r="O863" s="231"/>
      <c r="P863" s="231"/>
      <c r="Q863" s="231"/>
      <c r="R863" s="231"/>
      <c r="S863" s="231"/>
      <c r="T863" s="231"/>
      <c r="U863" s="231"/>
      <c r="V863" s="231"/>
      <c r="W863" s="231"/>
      <c r="X863" s="231"/>
      <c r="Y863" s="231"/>
    </row>
    <row r="864" spans="1:25" ht="15.75" hidden="1" customHeight="1" x14ac:dyDescent="0.2">
      <c r="A864" s="231"/>
      <c r="B864" s="224"/>
      <c r="C864" s="225"/>
      <c r="D864" s="225"/>
      <c r="E864" s="225"/>
      <c r="F864" s="177"/>
      <c r="G864" s="177"/>
      <c r="H864" s="177"/>
      <c r="I864" s="177"/>
      <c r="J864" s="223"/>
      <c r="K864" s="231"/>
      <c r="L864" s="231"/>
      <c r="M864" s="231"/>
      <c r="N864" s="231"/>
      <c r="O864" s="231"/>
      <c r="P864" s="231"/>
      <c r="Q864" s="231"/>
      <c r="R864" s="231"/>
      <c r="S864" s="231"/>
      <c r="T864" s="231"/>
      <c r="U864" s="231"/>
      <c r="V864" s="231"/>
      <c r="W864" s="231"/>
      <c r="X864" s="231"/>
      <c r="Y864" s="231"/>
    </row>
    <row r="865" spans="1:25" ht="15.75" hidden="1" customHeight="1" x14ac:dyDescent="0.2">
      <c r="A865" s="231"/>
      <c r="B865" s="224"/>
      <c r="C865" s="225"/>
      <c r="D865" s="225"/>
      <c r="E865" s="225"/>
      <c r="F865" s="177"/>
      <c r="G865" s="177"/>
      <c r="H865" s="177"/>
      <c r="I865" s="177"/>
      <c r="J865" s="223"/>
      <c r="K865" s="231"/>
      <c r="L865" s="231"/>
      <c r="M865" s="231"/>
      <c r="N865" s="231"/>
      <c r="O865" s="231"/>
      <c r="P865" s="231"/>
      <c r="Q865" s="231"/>
      <c r="R865" s="231"/>
      <c r="S865" s="231"/>
      <c r="T865" s="231"/>
      <c r="U865" s="231"/>
      <c r="V865" s="231"/>
      <c r="W865" s="231"/>
      <c r="X865" s="231"/>
      <c r="Y865" s="231"/>
    </row>
    <row r="866" spans="1:25" ht="15.75" hidden="1" customHeight="1" x14ac:dyDescent="0.2">
      <c r="A866" s="231"/>
      <c r="B866" s="224"/>
      <c r="C866" s="225"/>
      <c r="D866" s="225"/>
      <c r="E866" s="225"/>
      <c r="F866" s="177"/>
      <c r="G866" s="177"/>
      <c r="H866" s="177"/>
      <c r="I866" s="177"/>
      <c r="J866" s="223"/>
      <c r="K866" s="231"/>
      <c r="L866" s="231"/>
      <c r="M866" s="231"/>
      <c r="N866" s="231"/>
      <c r="O866" s="231"/>
      <c r="P866" s="231"/>
      <c r="Q866" s="231"/>
      <c r="R866" s="231"/>
      <c r="S866" s="231"/>
      <c r="T866" s="231"/>
      <c r="U866" s="231"/>
      <c r="V866" s="231"/>
      <c r="W866" s="231"/>
      <c r="X866" s="231"/>
      <c r="Y866" s="231"/>
    </row>
    <row r="867" spans="1:25" ht="15.75" hidden="1" customHeight="1" x14ac:dyDescent="0.2">
      <c r="A867" s="231"/>
      <c r="B867" s="224"/>
      <c r="C867" s="225"/>
      <c r="D867" s="225"/>
      <c r="E867" s="225"/>
      <c r="F867" s="177"/>
      <c r="G867" s="177"/>
      <c r="H867" s="177"/>
      <c r="I867" s="177"/>
      <c r="J867" s="223"/>
      <c r="K867" s="231"/>
      <c r="L867" s="231"/>
      <c r="M867" s="231"/>
      <c r="N867" s="231"/>
      <c r="O867" s="231"/>
      <c r="P867" s="231"/>
      <c r="Q867" s="231"/>
      <c r="R867" s="231"/>
      <c r="S867" s="231"/>
      <c r="T867" s="231"/>
      <c r="U867" s="231"/>
      <c r="V867" s="231"/>
      <c r="W867" s="231"/>
      <c r="X867" s="231"/>
      <c r="Y867" s="231"/>
    </row>
    <row r="868" spans="1:25" ht="15.75" hidden="1" customHeight="1" x14ac:dyDescent="0.2">
      <c r="A868" s="231"/>
      <c r="B868" s="224"/>
      <c r="C868" s="225"/>
      <c r="D868" s="225"/>
      <c r="E868" s="225"/>
      <c r="F868" s="177"/>
      <c r="G868" s="177"/>
      <c r="H868" s="177"/>
      <c r="I868" s="177"/>
      <c r="J868" s="223"/>
      <c r="K868" s="231"/>
      <c r="L868" s="231"/>
      <c r="M868" s="231"/>
      <c r="N868" s="231"/>
      <c r="O868" s="231"/>
      <c r="P868" s="231"/>
      <c r="Q868" s="231"/>
      <c r="R868" s="231"/>
      <c r="S868" s="231"/>
      <c r="T868" s="231"/>
      <c r="U868" s="231"/>
      <c r="V868" s="231"/>
      <c r="W868" s="231"/>
      <c r="X868" s="231"/>
      <c r="Y868" s="231"/>
    </row>
    <row r="869" spans="1:25" ht="15.75" hidden="1" customHeight="1" x14ac:dyDescent="0.2">
      <c r="A869" s="231"/>
      <c r="B869" s="224"/>
      <c r="C869" s="225"/>
      <c r="D869" s="225"/>
      <c r="E869" s="225"/>
      <c r="F869" s="177"/>
      <c r="G869" s="177"/>
      <c r="H869" s="177"/>
      <c r="I869" s="177"/>
      <c r="J869" s="223"/>
      <c r="K869" s="231"/>
      <c r="L869" s="231"/>
      <c r="M869" s="231"/>
      <c r="N869" s="231"/>
      <c r="O869" s="231"/>
      <c r="P869" s="231"/>
      <c r="Q869" s="231"/>
      <c r="R869" s="231"/>
      <c r="S869" s="231"/>
      <c r="T869" s="231"/>
      <c r="U869" s="231"/>
      <c r="V869" s="231"/>
      <c r="W869" s="231"/>
      <c r="X869" s="231"/>
      <c r="Y869" s="231"/>
    </row>
    <row r="870" spans="1:25" ht="15.75" hidden="1" customHeight="1" x14ac:dyDescent="0.2">
      <c r="A870" s="231"/>
      <c r="B870" s="224"/>
      <c r="C870" s="225"/>
      <c r="D870" s="225"/>
      <c r="E870" s="225"/>
      <c r="F870" s="177"/>
      <c r="G870" s="177"/>
      <c r="H870" s="177"/>
      <c r="I870" s="177"/>
      <c r="J870" s="223"/>
      <c r="K870" s="231"/>
      <c r="L870" s="231"/>
      <c r="M870" s="231"/>
      <c r="N870" s="231"/>
      <c r="O870" s="231"/>
      <c r="P870" s="231"/>
      <c r="Q870" s="231"/>
      <c r="R870" s="231"/>
      <c r="S870" s="231"/>
      <c r="T870" s="231"/>
      <c r="U870" s="231"/>
      <c r="V870" s="231"/>
      <c r="W870" s="231"/>
      <c r="X870" s="231"/>
      <c r="Y870" s="231"/>
    </row>
    <row r="871" spans="1:25" ht="15.75" hidden="1" customHeight="1" x14ac:dyDescent="0.2">
      <c r="A871" s="231"/>
      <c r="B871" s="224"/>
      <c r="C871" s="225"/>
      <c r="D871" s="225"/>
      <c r="E871" s="225"/>
      <c r="F871" s="177"/>
      <c r="G871" s="177"/>
      <c r="H871" s="177"/>
      <c r="I871" s="177"/>
      <c r="J871" s="223"/>
      <c r="K871" s="231"/>
      <c r="L871" s="231"/>
      <c r="M871" s="231"/>
      <c r="N871" s="231"/>
      <c r="O871" s="231"/>
      <c r="P871" s="231"/>
      <c r="Q871" s="231"/>
      <c r="R871" s="231"/>
      <c r="S871" s="231"/>
      <c r="T871" s="231"/>
      <c r="U871" s="231"/>
      <c r="V871" s="231"/>
      <c r="W871" s="231"/>
      <c r="X871" s="231"/>
      <c r="Y871" s="231"/>
    </row>
    <row r="872" spans="1:25" ht="15.75" hidden="1" customHeight="1" x14ac:dyDescent="0.2">
      <c r="A872" s="231"/>
      <c r="B872" s="224"/>
      <c r="C872" s="225"/>
      <c r="D872" s="225"/>
      <c r="E872" s="225"/>
      <c r="F872" s="177"/>
      <c r="G872" s="177"/>
      <c r="H872" s="177"/>
      <c r="I872" s="177"/>
      <c r="J872" s="223"/>
      <c r="K872" s="231"/>
      <c r="L872" s="231"/>
      <c r="M872" s="231"/>
      <c r="N872" s="231"/>
      <c r="O872" s="231"/>
      <c r="P872" s="231"/>
      <c r="Q872" s="231"/>
      <c r="R872" s="231"/>
      <c r="S872" s="231"/>
      <c r="T872" s="231"/>
      <c r="U872" s="231"/>
      <c r="V872" s="231"/>
      <c r="W872" s="231"/>
      <c r="X872" s="231"/>
      <c r="Y872" s="231"/>
    </row>
    <row r="873" spans="1:25" ht="15.75" hidden="1" customHeight="1" x14ac:dyDescent="0.2">
      <c r="A873" s="231"/>
      <c r="B873" s="224"/>
      <c r="C873" s="225"/>
      <c r="D873" s="225"/>
      <c r="E873" s="225"/>
      <c r="F873" s="177"/>
      <c r="G873" s="177"/>
      <c r="H873" s="177"/>
      <c r="I873" s="177"/>
      <c r="J873" s="223"/>
      <c r="K873" s="231"/>
      <c r="L873" s="231"/>
      <c r="M873" s="231"/>
      <c r="N873" s="231"/>
      <c r="O873" s="231"/>
      <c r="P873" s="231"/>
      <c r="Q873" s="231"/>
      <c r="R873" s="231"/>
      <c r="S873" s="231"/>
      <c r="T873" s="231"/>
      <c r="U873" s="231"/>
      <c r="V873" s="231"/>
      <c r="W873" s="231"/>
      <c r="X873" s="231"/>
      <c r="Y873" s="231"/>
    </row>
    <row r="874" spans="1:25" ht="15.75" hidden="1" customHeight="1" x14ac:dyDescent="0.2">
      <c r="A874" s="231"/>
      <c r="B874" s="224"/>
      <c r="C874" s="225"/>
      <c r="D874" s="225"/>
      <c r="E874" s="225"/>
      <c r="F874" s="177"/>
      <c r="G874" s="177"/>
      <c r="H874" s="177"/>
      <c r="I874" s="177"/>
      <c r="J874" s="223"/>
      <c r="K874" s="231"/>
      <c r="L874" s="231"/>
      <c r="M874" s="231"/>
      <c r="N874" s="231"/>
      <c r="O874" s="231"/>
      <c r="P874" s="231"/>
      <c r="Q874" s="231"/>
      <c r="R874" s="231"/>
      <c r="S874" s="231"/>
      <c r="T874" s="231"/>
      <c r="U874" s="231"/>
      <c r="V874" s="231"/>
      <c r="W874" s="231"/>
      <c r="X874" s="231"/>
      <c r="Y874" s="231"/>
    </row>
    <row r="875" spans="1:25" ht="15.75" hidden="1" customHeight="1" x14ac:dyDescent="0.2">
      <c r="A875" s="231"/>
      <c r="B875" s="224"/>
      <c r="C875" s="225"/>
      <c r="D875" s="225"/>
      <c r="E875" s="225"/>
      <c r="F875" s="177"/>
      <c r="G875" s="177"/>
      <c r="H875" s="177"/>
      <c r="I875" s="177"/>
      <c r="J875" s="223"/>
      <c r="K875" s="231"/>
      <c r="L875" s="231"/>
      <c r="M875" s="231"/>
      <c r="N875" s="231"/>
      <c r="O875" s="231"/>
      <c r="P875" s="231"/>
      <c r="Q875" s="231"/>
      <c r="R875" s="231"/>
      <c r="S875" s="231"/>
      <c r="T875" s="231"/>
      <c r="U875" s="231"/>
      <c r="V875" s="231"/>
      <c r="W875" s="231"/>
      <c r="X875" s="231"/>
      <c r="Y875" s="231"/>
    </row>
    <row r="876" spans="1:25" ht="15.75" hidden="1" customHeight="1" x14ac:dyDescent="0.2">
      <c r="A876" s="231"/>
      <c r="B876" s="224"/>
      <c r="C876" s="225"/>
      <c r="D876" s="225"/>
      <c r="E876" s="225"/>
      <c r="F876" s="177"/>
      <c r="G876" s="177"/>
      <c r="H876" s="177"/>
      <c r="I876" s="177"/>
      <c r="J876" s="223"/>
      <c r="K876" s="231"/>
      <c r="L876" s="231"/>
      <c r="M876" s="231"/>
      <c r="N876" s="231"/>
      <c r="O876" s="231"/>
      <c r="P876" s="231"/>
      <c r="Q876" s="231"/>
      <c r="R876" s="231"/>
      <c r="S876" s="231"/>
      <c r="T876" s="231"/>
      <c r="U876" s="231"/>
      <c r="V876" s="231"/>
      <c r="W876" s="231"/>
      <c r="X876" s="231"/>
      <c r="Y876" s="231"/>
    </row>
    <row r="877" spans="1:25" ht="15.75" hidden="1" customHeight="1" x14ac:dyDescent="0.2">
      <c r="A877" s="231"/>
      <c r="B877" s="224"/>
      <c r="C877" s="225"/>
      <c r="D877" s="225"/>
      <c r="E877" s="225"/>
      <c r="F877" s="177"/>
      <c r="G877" s="177"/>
      <c r="H877" s="177"/>
      <c r="I877" s="177"/>
      <c r="J877" s="223"/>
      <c r="K877" s="231"/>
      <c r="L877" s="231"/>
      <c r="M877" s="231"/>
      <c r="N877" s="231"/>
      <c r="O877" s="231"/>
      <c r="P877" s="231"/>
      <c r="Q877" s="231"/>
      <c r="R877" s="231"/>
      <c r="S877" s="231"/>
      <c r="T877" s="231"/>
      <c r="U877" s="231"/>
      <c r="V877" s="231"/>
      <c r="W877" s="231"/>
      <c r="X877" s="231"/>
      <c r="Y877" s="231"/>
    </row>
    <row r="878" spans="1:25" ht="15.75" hidden="1" customHeight="1" x14ac:dyDescent="0.2">
      <c r="A878" s="231"/>
      <c r="B878" s="224"/>
      <c r="C878" s="225"/>
      <c r="D878" s="225"/>
      <c r="E878" s="225"/>
      <c r="F878" s="177"/>
      <c r="G878" s="177"/>
      <c r="H878" s="177"/>
      <c r="I878" s="177"/>
      <c r="J878" s="223"/>
      <c r="K878" s="231"/>
      <c r="L878" s="231"/>
      <c r="M878" s="231"/>
      <c r="N878" s="231"/>
      <c r="O878" s="231"/>
      <c r="P878" s="231"/>
      <c r="Q878" s="231"/>
      <c r="R878" s="231"/>
      <c r="S878" s="231"/>
      <c r="T878" s="231"/>
      <c r="U878" s="231"/>
      <c r="V878" s="231"/>
      <c r="W878" s="231"/>
      <c r="X878" s="231"/>
      <c r="Y878" s="231"/>
    </row>
    <row r="879" spans="1:25" ht="15.75" hidden="1" customHeight="1" x14ac:dyDescent="0.2">
      <c r="A879" s="231"/>
      <c r="B879" s="224"/>
      <c r="C879" s="225"/>
      <c r="D879" s="225"/>
      <c r="E879" s="225"/>
      <c r="F879" s="177"/>
      <c r="G879" s="177"/>
      <c r="H879" s="177"/>
      <c r="I879" s="177"/>
      <c r="J879" s="223"/>
      <c r="K879" s="231"/>
      <c r="L879" s="231"/>
      <c r="M879" s="231"/>
      <c r="N879" s="231"/>
      <c r="O879" s="231"/>
      <c r="P879" s="231"/>
      <c r="Q879" s="231"/>
      <c r="R879" s="231"/>
      <c r="S879" s="231"/>
      <c r="T879" s="231"/>
      <c r="U879" s="231"/>
      <c r="V879" s="231"/>
      <c r="W879" s="231"/>
      <c r="X879" s="231"/>
      <c r="Y879" s="231"/>
    </row>
    <row r="880" spans="1:25" ht="15.75" hidden="1" customHeight="1" x14ac:dyDescent="0.2">
      <c r="A880" s="231"/>
      <c r="B880" s="224"/>
      <c r="C880" s="225"/>
      <c r="D880" s="225"/>
      <c r="E880" s="225"/>
      <c r="F880" s="177"/>
      <c r="G880" s="177"/>
      <c r="H880" s="177"/>
      <c r="I880" s="177"/>
      <c r="J880" s="223"/>
      <c r="K880" s="231"/>
      <c r="L880" s="231"/>
      <c r="M880" s="231"/>
      <c r="N880" s="231"/>
      <c r="O880" s="231"/>
      <c r="P880" s="231"/>
      <c r="Q880" s="231"/>
      <c r="R880" s="231"/>
      <c r="S880" s="231"/>
      <c r="T880" s="231"/>
      <c r="U880" s="231"/>
      <c r="V880" s="231"/>
      <c r="W880" s="231"/>
      <c r="X880" s="231"/>
      <c r="Y880" s="231"/>
    </row>
    <row r="881" spans="1:25" ht="15.75" hidden="1" customHeight="1" x14ac:dyDescent="0.2">
      <c r="A881" s="231"/>
      <c r="B881" s="224"/>
      <c r="C881" s="225"/>
      <c r="D881" s="225"/>
      <c r="E881" s="225"/>
      <c r="F881" s="177"/>
      <c r="G881" s="177"/>
      <c r="H881" s="177"/>
      <c r="I881" s="177"/>
      <c r="J881" s="223"/>
      <c r="K881" s="231"/>
      <c r="L881" s="231"/>
      <c r="M881" s="231"/>
      <c r="N881" s="231"/>
      <c r="O881" s="231"/>
      <c r="P881" s="231"/>
      <c r="Q881" s="231"/>
      <c r="R881" s="231"/>
      <c r="S881" s="231"/>
      <c r="T881" s="231"/>
      <c r="U881" s="231"/>
      <c r="V881" s="231"/>
      <c r="W881" s="231"/>
      <c r="X881" s="231"/>
      <c r="Y881" s="231"/>
    </row>
    <row r="882" spans="1:25" ht="15.75" hidden="1" customHeight="1" x14ac:dyDescent="0.2">
      <c r="A882" s="231"/>
      <c r="B882" s="224"/>
      <c r="C882" s="225"/>
      <c r="D882" s="225"/>
      <c r="E882" s="225"/>
      <c r="F882" s="177"/>
      <c r="G882" s="177"/>
      <c r="H882" s="177"/>
      <c r="I882" s="177"/>
      <c r="J882" s="223"/>
      <c r="K882" s="231"/>
      <c r="L882" s="231"/>
      <c r="M882" s="231"/>
      <c r="N882" s="231"/>
      <c r="O882" s="231"/>
      <c r="P882" s="231"/>
      <c r="Q882" s="231"/>
      <c r="R882" s="231"/>
      <c r="S882" s="231"/>
      <c r="T882" s="231"/>
      <c r="U882" s="231"/>
      <c r="V882" s="231"/>
      <c r="W882" s="231"/>
      <c r="X882" s="231"/>
      <c r="Y882" s="231"/>
    </row>
    <row r="883" spans="1:25" ht="15.75" hidden="1" customHeight="1" x14ac:dyDescent="0.2">
      <c r="A883" s="231"/>
      <c r="B883" s="224"/>
      <c r="C883" s="225"/>
      <c r="D883" s="225"/>
      <c r="E883" s="225"/>
      <c r="F883" s="177"/>
      <c r="G883" s="177"/>
      <c r="H883" s="177"/>
      <c r="I883" s="177"/>
      <c r="J883" s="223"/>
      <c r="K883" s="231"/>
      <c r="L883" s="231"/>
      <c r="M883" s="231"/>
      <c r="N883" s="231"/>
      <c r="O883" s="231"/>
      <c r="P883" s="231"/>
      <c r="Q883" s="231"/>
      <c r="R883" s="231"/>
      <c r="S883" s="231"/>
      <c r="T883" s="231"/>
      <c r="U883" s="231"/>
      <c r="V883" s="231"/>
      <c r="W883" s="231"/>
      <c r="X883" s="231"/>
      <c r="Y883" s="231"/>
    </row>
    <row r="884" spans="1:25" ht="15.75" hidden="1" customHeight="1" x14ac:dyDescent="0.2">
      <c r="A884" s="231"/>
      <c r="B884" s="224"/>
      <c r="C884" s="225"/>
      <c r="D884" s="225"/>
      <c r="E884" s="225"/>
      <c r="F884" s="177"/>
      <c r="G884" s="177"/>
      <c r="H884" s="177"/>
      <c r="I884" s="177"/>
      <c r="J884" s="223"/>
      <c r="K884" s="231"/>
      <c r="L884" s="231"/>
      <c r="M884" s="231"/>
      <c r="N884" s="231"/>
      <c r="O884" s="231"/>
      <c r="P884" s="231"/>
      <c r="Q884" s="231"/>
      <c r="R884" s="231"/>
      <c r="S884" s="231"/>
      <c r="T884" s="231"/>
      <c r="U884" s="231"/>
      <c r="V884" s="231"/>
      <c r="W884" s="231"/>
      <c r="X884" s="231"/>
      <c r="Y884" s="231"/>
    </row>
    <row r="885" spans="1:25" ht="15.75" hidden="1" customHeight="1" x14ac:dyDescent="0.2">
      <c r="A885" s="231"/>
      <c r="B885" s="224"/>
      <c r="C885" s="225"/>
      <c r="D885" s="225"/>
      <c r="E885" s="225"/>
      <c r="F885" s="177"/>
      <c r="G885" s="177"/>
      <c r="H885" s="177"/>
      <c r="I885" s="177"/>
      <c r="J885" s="223"/>
      <c r="K885" s="231"/>
      <c r="L885" s="231"/>
      <c r="M885" s="231"/>
      <c r="N885" s="231"/>
      <c r="O885" s="231"/>
      <c r="P885" s="231"/>
      <c r="Q885" s="231"/>
      <c r="R885" s="231"/>
      <c r="S885" s="231"/>
      <c r="T885" s="231"/>
      <c r="U885" s="231"/>
      <c r="V885" s="231"/>
      <c r="W885" s="231"/>
      <c r="X885" s="231"/>
      <c r="Y885" s="231"/>
    </row>
    <row r="886" spans="1:25" ht="15.75" hidden="1" customHeight="1" x14ac:dyDescent="0.2">
      <c r="A886" s="231"/>
      <c r="B886" s="224"/>
      <c r="C886" s="225"/>
      <c r="D886" s="225"/>
      <c r="E886" s="225"/>
      <c r="F886" s="177"/>
      <c r="G886" s="177"/>
      <c r="H886" s="177"/>
      <c r="I886" s="177"/>
      <c r="J886" s="223"/>
      <c r="K886" s="231"/>
      <c r="L886" s="231"/>
      <c r="M886" s="231"/>
      <c r="N886" s="231"/>
      <c r="O886" s="231"/>
      <c r="P886" s="231"/>
      <c r="Q886" s="231"/>
      <c r="R886" s="231"/>
      <c r="S886" s="231"/>
      <c r="T886" s="231"/>
      <c r="U886" s="231"/>
      <c r="V886" s="231"/>
      <c r="W886" s="231"/>
      <c r="X886" s="231"/>
      <c r="Y886" s="231"/>
    </row>
    <row r="887" spans="1:25" ht="15.75" hidden="1" customHeight="1" x14ac:dyDescent="0.2">
      <c r="A887" s="231"/>
      <c r="B887" s="224"/>
      <c r="C887" s="225"/>
      <c r="D887" s="225"/>
      <c r="E887" s="225"/>
      <c r="F887" s="177"/>
      <c r="G887" s="177"/>
      <c r="H887" s="177"/>
      <c r="I887" s="177"/>
      <c r="J887" s="223"/>
      <c r="K887" s="231"/>
      <c r="L887" s="231"/>
      <c r="M887" s="231"/>
      <c r="N887" s="231"/>
      <c r="O887" s="231"/>
      <c r="P887" s="231"/>
      <c r="Q887" s="231"/>
      <c r="R887" s="231"/>
      <c r="S887" s="231"/>
      <c r="T887" s="231"/>
      <c r="U887" s="231"/>
      <c r="V887" s="231"/>
      <c r="W887" s="231"/>
      <c r="X887" s="231"/>
      <c r="Y887" s="231"/>
    </row>
    <row r="888" spans="1:25" ht="15.75" hidden="1" customHeight="1" x14ac:dyDescent="0.2">
      <c r="A888" s="231"/>
      <c r="B888" s="224"/>
      <c r="C888" s="225"/>
      <c r="D888" s="225"/>
      <c r="E888" s="225"/>
      <c r="F888" s="177"/>
      <c r="G888" s="177"/>
      <c r="H888" s="177"/>
      <c r="I888" s="177"/>
      <c r="J888" s="223"/>
      <c r="K888" s="231"/>
      <c r="L888" s="231"/>
      <c r="M888" s="231"/>
      <c r="N888" s="231"/>
      <c r="O888" s="231"/>
      <c r="P888" s="231"/>
      <c r="Q888" s="231"/>
      <c r="R888" s="231"/>
      <c r="S888" s="231"/>
      <c r="T888" s="231"/>
      <c r="U888" s="231"/>
      <c r="V888" s="231"/>
      <c r="W888" s="231"/>
      <c r="X888" s="231"/>
      <c r="Y888" s="231"/>
    </row>
    <row r="889" spans="1:25" ht="15.75" hidden="1" customHeight="1" x14ac:dyDescent="0.2">
      <c r="A889" s="231"/>
      <c r="B889" s="224"/>
      <c r="C889" s="225"/>
      <c r="D889" s="225"/>
      <c r="E889" s="225"/>
      <c r="F889" s="177"/>
      <c r="G889" s="177"/>
      <c r="H889" s="177"/>
      <c r="I889" s="177"/>
      <c r="J889" s="223"/>
      <c r="K889" s="231"/>
      <c r="L889" s="231"/>
      <c r="M889" s="231"/>
      <c r="N889" s="231"/>
      <c r="O889" s="231"/>
      <c r="P889" s="231"/>
      <c r="Q889" s="231"/>
      <c r="R889" s="231"/>
      <c r="S889" s="231"/>
      <c r="T889" s="231"/>
      <c r="U889" s="231"/>
      <c r="V889" s="231"/>
      <c r="W889" s="231"/>
      <c r="X889" s="231"/>
      <c r="Y889" s="231"/>
    </row>
    <row r="890" spans="1:25" ht="15.75" hidden="1" customHeight="1" x14ac:dyDescent="0.2">
      <c r="A890" s="231"/>
      <c r="B890" s="224"/>
      <c r="C890" s="225"/>
      <c r="D890" s="225"/>
      <c r="E890" s="225"/>
      <c r="F890" s="177"/>
      <c r="G890" s="177"/>
      <c r="H890" s="177"/>
      <c r="I890" s="177"/>
      <c r="J890" s="223"/>
      <c r="K890" s="231"/>
      <c r="L890" s="231"/>
      <c r="M890" s="231"/>
      <c r="N890" s="231"/>
      <c r="O890" s="231"/>
      <c r="P890" s="231"/>
      <c r="Q890" s="231"/>
      <c r="R890" s="231"/>
      <c r="S890" s="231"/>
      <c r="T890" s="231"/>
      <c r="U890" s="231"/>
      <c r="V890" s="231"/>
      <c r="W890" s="231"/>
      <c r="X890" s="231"/>
      <c r="Y890" s="231"/>
    </row>
    <row r="891" spans="1:25" ht="15.75" hidden="1" customHeight="1" x14ac:dyDescent="0.2">
      <c r="A891" s="231"/>
      <c r="B891" s="224"/>
      <c r="C891" s="225"/>
      <c r="D891" s="225"/>
      <c r="E891" s="225"/>
      <c r="F891" s="177"/>
      <c r="G891" s="177"/>
      <c r="H891" s="177"/>
      <c r="I891" s="177"/>
      <c r="J891" s="223"/>
      <c r="K891" s="231"/>
      <c r="L891" s="231"/>
      <c r="M891" s="231"/>
      <c r="N891" s="231"/>
      <c r="O891" s="231"/>
      <c r="P891" s="231"/>
      <c r="Q891" s="231"/>
      <c r="R891" s="231"/>
      <c r="S891" s="231"/>
      <c r="T891" s="231"/>
      <c r="U891" s="231"/>
      <c r="V891" s="231"/>
      <c r="W891" s="231"/>
      <c r="X891" s="231"/>
      <c r="Y891" s="231"/>
    </row>
    <row r="892" spans="1:25" ht="15.75" hidden="1" customHeight="1" x14ac:dyDescent="0.2">
      <c r="A892" s="231"/>
      <c r="B892" s="224"/>
      <c r="C892" s="225"/>
      <c r="D892" s="225"/>
      <c r="E892" s="225"/>
      <c r="F892" s="177"/>
      <c r="G892" s="177"/>
      <c r="H892" s="177"/>
      <c r="I892" s="177"/>
      <c r="J892" s="223"/>
      <c r="K892" s="231"/>
      <c r="L892" s="231"/>
      <c r="M892" s="231"/>
      <c r="N892" s="231"/>
      <c r="O892" s="231"/>
      <c r="P892" s="231"/>
      <c r="Q892" s="231"/>
      <c r="R892" s="231"/>
      <c r="S892" s="231"/>
      <c r="T892" s="231"/>
      <c r="U892" s="231"/>
      <c r="V892" s="231"/>
      <c r="W892" s="231"/>
      <c r="X892" s="231"/>
      <c r="Y892" s="231"/>
    </row>
    <row r="893" spans="1:25" ht="15.75" hidden="1" customHeight="1" x14ac:dyDescent="0.2">
      <c r="A893" s="231"/>
      <c r="B893" s="224"/>
      <c r="C893" s="225"/>
      <c r="D893" s="225"/>
      <c r="E893" s="225"/>
      <c r="F893" s="177"/>
      <c r="G893" s="177"/>
      <c r="H893" s="177"/>
      <c r="I893" s="177"/>
      <c r="J893" s="223"/>
      <c r="K893" s="231"/>
      <c r="L893" s="231"/>
      <c r="M893" s="231"/>
      <c r="N893" s="231"/>
      <c r="O893" s="231"/>
      <c r="P893" s="231"/>
      <c r="Q893" s="231"/>
      <c r="R893" s="231"/>
      <c r="S893" s="231"/>
      <c r="T893" s="231"/>
      <c r="U893" s="231"/>
      <c r="V893" s="231"/>
      <c r="W893" s="231"/>
      <c r="X893" s="231"/>
      <c r="Y893" s="231"/>
    </row>
    <row r="894" spans="1:25" ht="15.75" hidden="1" customHeight="1" x14ac:dyDescent="0.2">
      <c r="A894" s="231"/>
      <c r="B894" s="224"/>
      <c r="C894" s="225"/>
      <c r="D894" s="225"/>
      <c r="E894" s="225"/>
      <c r="F894" s="177"/>
      <c r="G894" s="177"/>
      <c r="H894" s="177"/>
      <c r="I894" s="177"/>
      <c r="J894" s="223"/>
      <c r="K894" s="231"/>
      <c r="L894" s="231"/>
      <c r="M894" s="231"/>
      <c r="N894" s="231"/>
      <c r="O894" s="231"/>
      <c r="P894" s="231"/>
      <c r="Q894" s="231"/>
      <c r="R894" s="231"/>
      <c r="S894" s="231"/>
      <c r="T894" s="231"/>
      <c r="U894" s="231"/>
      <c r="V894" s="231"/>
      <c r="W894" s="231"/>
      <c r="X894" s="231"/>
      <c r="Y894" s="231"/>
    </row>
    <row r="895" spans="1:25" ht="15.75" hidden="1" customHeight="1" x14ac:dyDescent="0.2">
      <c r="A895" s="231"/>
      <c r="B895" s="224"/>
      <c r="C895" s="225"/>
      <c r="D895" s="225"/>
      <c r="E895" s="225"/>
      <c r="F895" s="177"/>
      <c r="G895" s="177"/>
      <c r="H895" s="177"/>
      <c r="I895" s="177"/>
      <c r="J895" s="223"/>
      <c r="K895" s="231"/>
      <c r="L895" s="231"/>
      <c r="M895" s="231"/>
      <c r="N895" s="231"/>
      <c r="O895" s="231"/>
      <c r="P895" s="231"/>
      <c r="Q895" s="231"/>
      <c r="R895" s="231"/>
      <c r="S895" s="231"/>
      <c r="T895" s="231"/>
      <c r="U895" s="231"/>
      <c r="V895" s="231"/>
      <c r="W895" s="231"/>
      <c r="X895" s="231"/>
      <c r="Y895" s="231"/>
    </row>
    <row r="896" spans="1:25" ht="15.75" hidden="1" customHeight="1" x14ac:dyDescent="0.2">
      <c r="A896" s="231"/>
      <c r="B896" s="224"/>
      <c r="C896" s="225"/>
      <c r="D896" s="225"/>
      <c r="E896" s="225"/>
      <c r="F896" s="177"/>
      <c r="G896" s="177"/>
      <c r="H896" s="177"/>
      <c r="I896" s="177"/>
      <c r="J896" s="223"/>
      <c r="K896" s="231"/>
      <c r="L896" s="231"/>
      <c r="M896" s="231"/>
      <c r="N896" s="231"/>
      <c r="O896" s="231"/>
      <c r="P896" s="231"/>
      <c r="Q896" s="231"/>
      <c r="R896" s="231"/>
      <c r="S896" s="231"/>
      <c r="T896" s="231"/>
      <c r="U896" s="231"/>
      <c r="V896" s="231"/>
      <c r="W896" s="231"/>
      <c r="X896" s="231"/>
      <c r="Y896" s="231"/>
    </row>
    <row r="897" spans="1:25" ht="15.75" hidden="1" customHeight="1" x14ac:dyDescent="0.2">
      <c r="A897" s="231"/>
      <c r="B897" s="224"/>
      <c r="C897" s="225"/>
      <c r="D897" s="225"/>
      <c r="E897" s="225"/>
      <c r="F897" s="177"/>
      <c r="G897" s="177"/>
      <c r="H897" s="177"/>
      <c r="I897" s="177"/>
      <c r="J897" s="223"/>
      <c r="K897" s="231"/>
      <c r="L897" s="231"/>
      <c r="M897" s="231"/>
      <c r="N897" s="231"/>
      <c r="O897" s="231"/>
      <c r="P897" s="231"/>
      <c r="Q897" s="231"/>
      <c r="R897" s="231"/>
      <c r="S897" s="231"/>
      <c r="T897" s="231"/>
      <c r="U897" s="231"/>
      <c r="V897" s="231"/>
      <c r="W897" s="231"/>
      <c r="X897" s="231"/>
      <c r="Y897" s="231"/>
    </row>
    <row r="898" spans="1:25" ht="15.75" hidden="1" customHeight="1" x14ac:dyDescent="0.2">
      <c r="A898" s="231"/>
      <c r="B898" s="224"/>
      <c r="C898" s="225"/>
      <c r="D898" s="225"/>
      <c r="E898" s="225"/>
      <c r="F898" s="177"/>
      <c r="G898" s="177"/>
      <c r="H898" s="177"/>
      <c r="I898" s="177"/>
      <c r="J898" s="223"/>
      <c r="K898" s="231"/>
      <c r="L898" s="231"/>
      <c r="M898" s="231"/>
      <c r="N898" s="231"/>
      <c r="O898" s="231"/>
      <c r="P898" s="231"/>
      <c r="Q898" s="231"/>
      <c r="R898" s="231"/>
      <c r="S898" s="231"/>
      <c r="T898" s="231"/>
      <c r="U898" s="231"/>
      <c r="V898" s="231"/>
      <c r="W898" s="231"/>
      <c r="X898" s="231"/>
      <c r="Y898" s="231"/>
    </row>
    <row r="899" spans="1:25" ht="15.75" hidden="1" customHeight="1" x14ac:dyDescent="0.2">
      <c r="A899" s="231"/>
      <c r="B899" s="224"/>
      <c r="C899" s="225"/>
      <c r="D899" s="225"/>
      <c r="E899" s="225"/>
      <c r="F899" s="177"/>
      <c r="G899" s="177"/>
      <c r="H899" s="177"/>
      <c r="I899" s="177"/>
      <c r="J899" s="223"/>
      <c r="K899" s="231"/>
      <c r="L899" s="231"/>
      <c r="M899" s="231"/>
      <c r="N899" s="231"/>
      <c r="O899" s="231"/>
      <c r="P899" s="231"/>
      <c r="Q899" s="231"/>
      <c r="R899" s="231"/>
      <c r="S899" s="231"/>
      <c r="T899" s="231"/>
      <c r="U899" s="231"/>
      <c r="V899" s="231"/>
      <c r="W899" s="231"/>
      <c r="X899" s="231"/>
      <c r="Y899" s="231"/>
    </row>
    <row r="900" spans="1:25" ht="15.75" hidden="1" customHeight="1" x14ac:dyDescent="0.2">
      <c r="A900" s="231"/>
      <c r="B900" s="224"/>
      <c r="C900" s="225"/>
      <c r="D900" s="225"/>
      <c r="E900" s="225"/>
      <c r="F900" s="177"/>
      <c r="G900" s="177"/>
      <c r="H900" s="177"/>
      <c r="I900" s="177"/>
      <c r="J900" s="223"/>
      <c r="K900" s="231"/>
      <c r="L900" s="231"/>
      <c r="M900" s="231"/>
      <c r="N900" s="231"/>
      <c r="O900" s="231"/>
      <c r="P900" s="231"/>
      <c r="Q900" s="231"/>
      <c r="R900" s="231"/>
      <c r="S900" s="231"/>
      <c r="T900" s="231"/>
      <c r="U900" s="231"/>
      <c r="V900" s="231"/>
      <c r="W900" s="231"/>
      <c r="X900" s="231"/>
      <c r="Y900" s="231"/>
    </row>
    <row r="901" spans="1:25" ht="15.75" hidden="1" customHeight="1" x14ac:dyDescent="0.2">
      <c r="A901" s="231"/>
      <c r="B901" s="224"/>
      <c r="C901" s="225"/>
      <c r="D901" s="225"/>
      <c r="E901" s="225"/>
      <c r="F901" s="177"/>
      <c r="G901" s="177"/>
      <c r="H901" s="177"/>
      <c r="I901" s="177"/>
      <c r="J901" s="223"/>
      <c r="K901" s="231"/>
      <c r="L901" s="231"/>
      <c r="M901" s="231"/>
      <c r="N901" s="231"/>
      <c r="O901" s="231"/>
      <c r="P901" s="231"/>
      <c r="Q901" s="231"/>
      <c r="R901" s="231"/>
      <c r="S901" s="231"/>
      <c r="T901" s="231"/>
      <c r="U901" s="231"/>
      <c r="V901" s="231"/>
      <c r="W901" s="231"/>
      <c r="X901" s="231"/>
      <c r="Y901" s="231"/>
    </row>
    <row r="902" spans="1:25" ht="15.75" hidden="1" customHeight="1" x14ac:dyDescent="0.2">
      <c r="A902" s="231"/>
      <c r="B902" s="224"/>
      <c r="C902" s="225"/>
      <c r="D902" s="225"/>
      <c r="E902" s="225"/>
      <c r="F902" s="177"/>
      <c r="G902" s="177"/>
      <c r="H902" s="177"/>
      <c r="I902" s="177"/>
      <c r="J902" s="223"/>
      <c r="K902" s="231"/>
      <c r="L902" s="231"/>
      <c r="M902" s="231"/>
      <c r="N902" s="231"/>
      <c r="O902" s="231"/>
      <c r="P902" s="231"/>
      <c r="Q902" s="231"/>
      <c r="R902" s="231"/>
      <c r="S902" s="231"/>
      <c r="T902" s="231"/>
      <c r="U902" s="231"/>
      <c r="V902" s="231"/>
      <c r="W902" s="231"/>
      <c r="X902" s="231"/>
      <c r="Y902" s="231"/>
    </row>
    <row r="903" spans="1:25" ht="15.75" hidden="1" customHeight="1" x14ac:dyDescent="0.2">
      <c r="A903" s="231"/>
      <c r="B903" s="224"/>
      <c r="C903" s="225"/>
      <c r="D903" s="225"/>
      <c r="E903" s="225"/>
      <c r="F903" s="177"/>
      <c r="G903" s="177"/>
      <c r="H903" s="177"/>
      <c r="I903" s="177"/>
      <c r="J903" s="223"/>
      <c r="K903" s="231"/>
      <c r="L903" s="231"/>
      <c r="M903" s="231"/>
      <c r="N903" s="231"/>
      <c r="O903" s="231"/>
      <c r="P903" s="231"/>
      <c r="Q903" s="231"/>
      <c r="R903" s="231"/>
      <c r="S903" s="231"/>
      <c r="T903" s="231"/>
      <c r="U903" s="231"/>
      <c r="V903" s="231"/>
      <c r="W903" s="231"/>
      <c r="X903" s="231"/>
      <c r="Y903" s="231"/>
    </row>
    <row r="904" spans="1:25" ht="15.75" hidden="1" customHeight="1" x14ac:dyDescent="0.2">
      <c r="A904" s="231"/>
      <c r="B904" s="224"/>
      <c r="C904" s="225"/>
      <c r="D904" s="225"/>
      <c r="E904" s="225"/>
      <c r="F904" s="177"/>
      <c r="G904" s="177"/>
      <c r="H904" s="177"/>
      <c r="I904" s="177"/>
      <c r="J904" s="223"/>
      <c r="K904" s="231"/>
      <c r="L904" s="231"/>
      <c r="M904" s="231"/>
      <c r="N904" s="231"/>
      <c r="O904" s="231"/>
      <c r="P904" s="231"/>
      <c r="Q904" s="231"/>
      <c r="R904" s="231"/>
      <c r="S904" s="231"/>
      <c r="T904" s="231"/>
      <c r="U904" s="231"/>
      <c r="V904" s="231"/>
      <c r="W904" s="231"/>
      <c r="X904" s="231"/>
      <c r="Y904" s="231"/>
    </row>
    <row r="905" spans="1:25" ht="15.75" hidden="1" customHeight="1" x14ac:dyDescent="0.2">
      <c r="A905" s="231"/>
      <c r="B905" s="224"/>
      <c r="C905" s="225"/>
      <c r="D905" s="225"/>
      <c r="E905" s="225"/>
      <c r="F905" s="177"/>
      <c r="G905" s="177"/>
      <c r="H905" s="177"/>
      <c r="I905" s="177"/>
      <c r="J905" s="223"/>
      <c r="K905" s="231"/>
      <c r="L905" s="231"/>
      <c r="M905" s="231"/>
      <c r="N905" s="231"/>
      <c r="O905" s="231"/>
      <c r="P905" s="231"/>
      <c r="Q905" s="231"/>
      <c r="R905" s="231"/>
      <c r="S905" s="231"/>
      <c r="T905" s="231"/>
      <c r="U905" s="231"/>
      <c r="V905" s="231"/>
      <c r="W905" s="231"/>
      <c r="X905" s="231"/>
      <c r="Y905" s="231"/>
    </row>
    <row r="906" spans="1:25" ht="15.75" hidden="1" customHeight="1" x14ac:dyDescent="0.2">
      <c r="A906" s="231"/>
      <c r="B906" s="224"/>
      <c r="C906" s="225"/>
      <c r="D906" s="225"/>
      <c r="E906" s="225"/>
      <c r="F906" s="177"/>
      <c r="G906" s="177"/>
      <c r="H906" s="177"/>
      <c r="I906" s="177"/>
      <c r="J906" s="223"/>
      <c r="K906" s="231"/>
      <c r="L906" s="231"/>
      <c r="M906" s="231"/>
      <c r="N906" s="231"/>
      <c r="O906" s="231"/>
      <c r="P906" s="231"/>
      <c r="Q906" s="231"/>
      <c r="R906" s="231"/>
      <c r="S906" s="231"/>
      <c r="T906" s="231"/>
      <c r="U906" s="231"/>
      <c r="V906" s="231"/>
      <c r="W906" s="231"/>
      <c r="X906" s="231"/>
      <c r="Y906" s="231"/>
    </row>
    <row r="907" spans="1:25" ht="15.75" hidden="1" customHeight="1" x14ac:dyDescent="0.2">
      <c r="A907" s="231"/>
      <c r="B907" s="224"/>
      <c r="C907" s="225"/>
      <c r="D907" s="225"/>
      <c r="E907" s="225"/>
      <c r="F907" s="177"/>
      <c r="G907" s="177"/>
      <c r="H907" s="177"/>
      <c r="I907" s="177"/>
      <c r="J907" s="223"/>
      <c r="K907" s="231"/>
      <c r="L907" s="231"/>
      <c r="M907" s="231"/>
      <c r="N907" s="231"/>
      <c r="O907" s="231"/>
      <c r="P907" s="231"/>
      <c r="Q907" s="231"/>
      <c r="R907" s="231"/>
      <c r="S907" s="231"/>
      <c r="T907" s="231"/>
      <c r="U907" s="231"/>
      <c r="V907" s="231"/>
      <c r="W907" s="231"/>
      <c r="X907" s="231"/>
      <c r="Y907" s="231"/>
    </row>
    <row r="908" spans="1:25" ht="15.75" hidden="1" customHeight="1" x14ac:dyDescent="0.2">
      <c r="A908" s="231"/>
      <c r="B908" s="224"/>
      <c r="C908" s="225"/>
      <c r="D908" s="225"/>
      <c r="E908" s="225"/>
      <c r="F908" s="177"/>
      <c r="G908" s="177"/>
      <c r="H908" s="177"/>
      <c r="I908" s="177"/>
      <c r="J908" s="223"/>
      <c r="K908" s="231"/>
      <c r="L908" s="231"/>
      <c r="M908" s="231"/>
      <c r="N908" s="231"/>
      <c r="O908" s="231"/>
      <c r="P908" s="231"/>
      <c r="Q908" s="231"/>
      <c r="R908" s="231"/>
      <c r="S908" s="231"/>
      <c r="T908" s="231"/>
      <c r="U908" s="231"/>
      <c r="V908" s="231"/>
      <c r="W908" s="231"/>
      <c r="X908" s="231"/>
      <c r="Y908" s="231"/>
    </row>
    <row r="909" spans="1:25" ht="15.75" hidden="1" customHeight="1" x14ac:dyDescent="0.2">
      <c r="A909" s="231"/>
      <c r="B909" s="224"/>
      <c r="C909" s="225"/>
      <c r="D909" s="225"/>
      <c r="E909" s="225"/>
      <c r="F909" s="177"/>
      <c r="G909" s="177"/>
      <c r="H909" s="177"/>
      <c r="I909" s="177"/>
      <c r="J909" s="223"/>
      <c r="K909" s="231"/>
      <c r="L909" s="231"/>
      <c r="M909" s="231"/>
      <c r="N909" s="231"/>
      <c r="O909" s="231"/>
      <c r="P909" s="231"/>
      <c r="Q909" s="231"/>
      <c r="R909" s="231"/>
      <c r="S909" s="231"/>
      <c r="T909" s="231"/>
      <c r="U909" s="231"/>
      <c r="V909" s="231"/>
      <c r="W909" s="231"/>
      <c r="X909" s="231"/>
      <c r="Y909" s="231"/>
    </row>
    <row r="910" spans="1:25" ht="15.75" hidden="1" customHeight="1" x14ac:dyDescent="0.2">
      <c r="A910" s="231"/>
      <c r="B910" s="224"/>
      <c r="C910" s="225"/>
      <c r="D910" s="225"/>
      <c r="E910" s="225"/>
      <c r="F910" s="177"/>
      <c r="G910" s="177"/>
      <c r="H910" s="177"/>
      <c r="I910" s="177"/>
      <c r="J910" s="223"/>
      <c r="K910" s="231"/>
      <c r="L910" s="231"/>
      <c r="M910" s="231"/>
      <c r="N910" s="231"/>
      <c r="O910" s="231"/>
      <c r="P910" s="231"/>
      <c r="Q910" s="231"/>
      <c r="R910" s="231"/>
      <c r="S910" s="231"/>
      <c r="T910" s="231"/>
      <c r="U910" s="231"/>
      <c r="V910" s="231"/>
      <c r="W910" s="231"/>
      <c r="X910" s="231"/>
      <c r="Y910" s="231"/>
    </row>
    <row r="911" spans="1:25" ht="15.75" hidden="1" customHeight="1" x14ac:dyDescent="0.2">
      <c r="A911" s="231"/>
      <c r="B911" s="224"/>
      <c r="C911" s="225"/>
      <c r="D911" s="225"/>
      <c r="E911" s="225"/>
      <c r="F911" s="177"/>
      <c r="G911" s="177"/>
      <c r="H911" s="177"/>
      <c r="I911" s="177"/>
      <c r="J911" s="223"/>
      <c r="K911" s="231"/>
      <c r="L911" s="231"/>
      <c r="M911" s="231"/>
      <c r="N911" s="231"/>
      <c r="O911" s="231"/>
      <c r="P911" s="231"/>
      <c r="Q911" s="231"/>
      <c r="R911" s="231"/>
      <c r="S911" s="231"/>
      <c r="T911" s="231"/>
      <c r="U911" s="231"/>
      <c r="V911" s="231"/>
      <c r="W911" s="231"/>
      <c r="X911" s="231"/>
      <c r="Y911" s="231"/>
    </row>
    <row r="912" spans="1:25" ht="15.75" hidden="1" customHeight="1" x14ac:dyDescent="0.2">
      <c r="A912" s="231"/>
      <c r="B912" s="224"/>
      <c r="C912" s="225"/>
      <c r="D912" s="225"/>
      <c r="E912" s="225"/>
      <c r="F912" s="177"/>
      <c r="G912" s="177"/>
      <c r="H912" s="177"/>
      <c r="I912" s="177"/>
      <c r="J912" s="223"/>
      <c r="K912" s="231"/>
      <c r="L912" s="231"/>
      <c r="M912" s="231"/>
      <c r="N912" s="231"/>
      <c r="O912" s="231"/>
      <c r="P912" s="231"/>
      <c r="Q912" s="231"/>
      <c r="R912" s="231"/>
      <c r="S912" s="231"/>
      <c r="T912" s="231"/>
      <c r="U912" s="231"/>
      <c r="V912" s="231"/>
      <c r="W912" s="231"/>
      <c r="X912" s="231"/>
      <c r="Y912" s="231"/>
    </row>
    <row r="913" spans="1:25" ht="15.75" hidden="1" customHeight="1" x14ac:dyDescent="0.2">
      <c r="A913" s="231"/>
      <c r="B913" s="224"/>
      <c r="C913" s="225"/>
      <c r="D913" s="225"/>
      <c r="E913" s="225"/>
      <c r="F913" s="177"/>
      <c r="G913" s="177"/>
      <c r="H913" s="177"/>
      <c r="I913" s="177"/>
      <c r="J913" s="223"/>
      <c r="K913" s="231"/>
      <c r="L913" s="231"/>
      <c r="M913" s="231"/>
      <c r="N913" s="231"/>
      <c r="O913" s="231"/>
      <c r="P913" s="231"/>
      <c r="Q913" s="231"/>
      <c r="R913" s="231"/>
      <c r="S913" s="231"/>
      <c r="T913" s="231"/>
      <c r="U913" s="231"/>
      <c r="V913" s="231"/>
      <c r="W913" s="231"/>
      <c r="X913" s="231"/>
      <c r="Y913" s="231"/>
    </row>
    <row r="914" spans="1:25" ht="15.75" hidden="1" customHeight="1" x14ac:dyDescent="0.2">
      <c r="A914" s="231"/>
      <c r="B914" s="224"/>
      <c r="C914" s="225"/>
      <c r="D914" s="225"/>
      <c r="E914" s="225"/>
      <c r="F914" s="177"/>
      <c r="G914" s="177"/>
      <c r="H914" s="177"/>
      <c r="I914" s="177"/>
      <c r="J914" s="223"/>
      <c r="K914" s="231"/>
      <c r="L914" s="231"/>
      <c r="M914" s="231"/>
      <c r="N914" s="231"/>
      <c r="O914" s="231"/>
      <c r="P914" s="231"/>
      <c r="Q914" s="231"/>
      <c r="R914" s="231"/>
      <c r="S914" s="231"/>
      <c r="T914" s="231"/>
      <c r="U914" s="231"/>
      <c r="V914" s="231"/>
      <c r="W914" s="231"/>
      <c r="X914" s="231"/>
      <c r="Y914" s="231"/>
    </row>
    <row r="915" spans="1:25" ht="15.75" hidden="1" customHeight="1" x14ac:dyDescent="0.2">
      <c r="A915" s="231"/>
      <c r="B915" s="224"/>
      <c r="C915" s="225"/>
      <c r="D915" s="225"/>
      <c r="E915" s="225"/>
      <c r="F915" s="177"/>
      <c r="G915" s="177"/>
      <c r="H915" s="177"/>
      <c r="I915" s="177"/>
      <c r="J915" s="223"/>
      <c r="K915" s="231"/>
      <c r="L915" s="231"/>
      <c r="M915" s="231"/>
      <c r="N915" s="231"/>
      <c r="O915" s="231"/>
      <c r="P915" s="231"/>
      <c r="Q915" s="231"/>
      <c r="R915" s="231"/>
      <c r="S915" s="231"/>
      <c r="T915" s="231"/>
      <c r="U915" s="231"/>
      <c r="V915" s="231"/>
      <c r="W915" s="231"/>
      <c r="X915" s="231"/>
      <c r="Y915" s="231"/>
    </row>
    <row r="916" spans="1:25" ht="15.75" hidden="1" customHeight="1" x14ac:dyDescent="0.2">
      <c r="A916" s="231"/>
      <c r="B916" s="224"/>
      <c r="C916" s="225"/>
      <c r="D916" s="225"/>
      <c r="E916" s="225"/>
      <c r="F916" s="177"/>
      <c r="G916" s="177"/>
      <c r="H916" s="177"/>
      <c r="I916" s="177"/>
      <c r="J916" s="223"/>
      <c r="K916" s="231"/>
      <c r="L916" s="231"/>
      <c r="M916" s="231"/>
      <c r="N916" s="231"/>
      <c r="O916" s="231"/>
      <c r="P916" s="231"/>
      <c r="Q916" s="231"/>
      <c r="R916" s="231"/>
      <c r="S916" s="231"/>
      <c r="T916" s="231"/>
      <c r="U916" s="231"/>
      <c r="V916" s="231"/>
      <c r="W916" s="231"/>
      <c r="X916" s="231"/>
      <c r="Y916" s="231"/>
    </row>
    <row r="917" spans="1:25" ht="15.75" hidden="1" customHeight="1" x14ac:dyDescent="0.2">
      <c r="A917" s="231"/>
      <c r="B917" s="224"/>
      <c r="C917" s="225"/>
      <c r="D917" s="225"/>
      <c r="E917" s="225"/>
      <c r="F917" s="177"/>
      <c r="G917" s="177"/>
      <c r="H917" s="177"/>
      <c r="I917" s="177"/>
      <c r="J917" s="223"/>
      <c r="K917" s="231"/>
      <c r="L917" s="231"/>
      <c r="M917" s="231"/>
      <c r="N917" s="231"/>
      <c r="O917" s="231"/>
      <c r="P917" s="231"/>
      <c r="Q917" s="231"/>
      <c r="R917" s="231"/>
      <c r="S917" s="231"/>
      <c r="T917" s="231"/>
      <c r="U917" s="231"/>
      <c r="V917" s="231"/>
      <c r="W917" s="231"/>
      <c r="X917" s="231"/>
      <c r="Y917" s="231"/>
    </row>
    <row r="918" spans="1:25" ht="15.75" hidden="1" customHeight="1" x14ac:dyDescent="0.2">
      <c r="A918" s="231"/>
      <c r="B918" s="224"/>
      <c r="C918" s="225"/>
      <c r="D918" s="225"/>
      <c r="E918" s="225"/>
      <c r="F918" s="177"/>
      <c r="G918" s="177"/>
      <c r="H918" s="177"/>
      <c r="I918" s="177"/>
      <c r="J918" s="223"/>
      <c r="K918" s="231"/>
      <c r="L918" s="231"/>
      <c r="M918" s="231"/>
      <c r="N918" s="231"/>
      <c r="O918" s="231"/>
      <c r="P918" s="231"/>
      <c r="Q918" s="231"/>
      <c r="R918" s="231"/>
      <c r="S918" s="231"/>
      <c r="T918" s="231"/>
      <c r="U918" s="231"/>
      <c r="V918" s="231"/>
      <c r="W918" s="231"/>
      <c r="X918" s="231"/>
      <c r="Y918" s="231"/>
    </row>
    <row r="919" spans="1:25" ht="15.75" hidden="1" customHeight="1" x14ac:dyDescent="0.2">
      <c r="A919" s="231"/>
      <c r="B919" s="224"/>
      <c r="C919" s="225"/>
      <c r="D919" s="225"/>
      <c r="E919" s="225"/>
      <c r="F919" s="177"/>
      <c r="G919" s="177"/>
      <c r="H919" s="177"/>
      <c r="I919" s="177"/>
      <c r="J919" s="223"/>
      <c r="K919" s="231"/>
      <c r="L919" s="231"/>
      <c r="M919" s="231"/>
      <c r="N919" s="231"/>
      <c r="O919" s="231"/>
      <c r="P919" s="231"/>
      <c r="Q919" s="231"/>
      <c r="R919" s="231"/>
      <c r="S919" s="231"/>
      <c r="T919" s="231"/>
      <c r="U919" s="231"/>
      <c r="V919" s="231"/>
      <c r="W919" s="231"/>
      <c r="X919" s="231"/>
      <c r="Y919" s="231"/>
    </row>
    <row r="920" spans="1:25" ht="15.75" hidden="1" customHeight="1" x14ac:dyDescent="0.2">
      <c r="A920" s="231"/>
      <c r="B920" s="224"/>
      <c r="C920" s="225"/>
      <c r="D920" s="225"/>
      <c r="E920" s="225"/>
      <c r="F920" s="177"/>
      <c r="G920" s="177"/>
      <c r="H920" s="177"/>
      <c r="I920" s="177"/>
      <c r="J920" s="223"/>
      <c r="K920" s="231"/>
      <c r="L920" s="231"/>
      <c r="M920" s="231"/>
      <c r="N920" s="231"/>
      <c r="O920" s="231"/>
      <c r="P920" s="231"/>
      <c r="Q920" s="231"/>
      <c r="R920" s="231"/>
      <c r="S920" s="231"/>
      <c r="T920" s="231"/>
      <c r="U920" s="231"/>
      <c r="V920" s="231"/>
      <c r="W920" s="231"/>
      <c r="X920" s="231"/>
      <c r="Y920" s="231"/>
    </row>
    <row r="921" spans="1:25" ht="15.75" hidden="1" customHeight="1" x14ac:dyDescent="0.2">
      <c r="A921" s="231"/>
      <c r="B921" s="224"/>
      <c r="C921" s="225"/>
      <c r="D921" s="225"/>
      <c r="E921" s="225"/>
      <c r="F921" s="177"/>
      <c r="G921" s="177"/>
      <c r="H921" s="177"/>
      <c r="I921" s="177"/>
      <c r="J921" s="223"/>
      <c r="K921" s="231"/>
      <c r="L921" s="231"/>
      <c r="M921" s="231"/>
      <c r="N921" s="231"/>
      <c r="O921" s="231"/>
      <c r="P921" s="231"/>
      <c r="Q921" s="231"/>
      <c r="R921" s="231"/>
      <c r="S921" s="231"/>
      <c r="T921" s="231"/>
      <c r="U921" s="231"/>
      <c r="V921" s="231"/>
      <c r="W921" s="231"/>
      <c r="X921" s="231"/>
      <c r="Y921" s="231"/>
    </row>
    <row r="922" spans="1:25" ht="15.75" hidden="1" customHeight="1" x14ac:dyDescent="0.2">
      <c r="A922" s="231"/>
      <c r="B922" s="224"/>
      <c r="C922" s="225"/>
      <c r="D922" s="225"/>
      <c r="E922" s="225"/>
      <c r="F922" s="177"/>
      <c r="G922" s="177"/>
      <c r="H922" s="177"/>
      <c r="I922" s="177"/>
      <c r="J922" s="223"/>
      <c r="K922" s="231"/>
      <c r="L922" s="231"/>
      <c r="M922" s="231"/>
      <c r="N922" s="231"/>
      <c r="O922" s="231"/>
      <c r="P922" s="231"/>
      <c r="Q922" s="231"/>
      <c r="R922" s="231"/>
      <c r="S922" s="231"/>
      <c r="T922" s="231"/>
      <c r="U922" s="231"/>
      <c r="V922" s="231"/>
      <c r="W922" s="231"/>
      <c r="X922" s="231"/>
      <c r="Y922" s="231"/>
    </row>
    <row r="923" spans="1:25" ht="15.75" hidden="1" customHeight="1" x14ac:dyDescent="0.2">
      <c r="A923" s="231"/>
      <c r="B923" s="224"/>
      <c r="C923" s="225"/>
      <c r="D923" s="225"/>
      <c r="E923" s="225"/>
      <c r="F923" s="177"/>
      <c r="G923" s="177"/>
      <c r="H923" s="177"/>
      <c r="I923" s="177"/>
      <c r="J923" s="223"/>
      <c r="K923" s="231"/>
      <c r="L923" s="231"/>
      <c r="M923" s="231"/>
      <c r="N923" s="231"/>
      <c r="O923" s="231"/>
      <c r="P923" s="231"/>
      <c r="Q923" s="231"/>
      <c r="R923" s="231"/>
      <c r="S923" s="231"/>
      <c r="T923" s="231"/>
      <c r="U923" s="231"/>
      <c r="V923" s="231"/>
      <c r="W923" s="231"/>
      <c r="X923" s="231"/>
      <c r="Y923" s="231"/>
    </row>
    <row r="924" spans="1:25" ht="15.75" hidden="1" customHeight="1" x14ac:dyDescent="0.2">
      <c r="A924" s="231"/>
      <c r="B924" s="224"/>
      <c r="C924" s="225"/>
      <c r="D924" s="225"/>
      <c r="E924" s="225"/>
      <c r="F924" s="177"/>
      <c r="G924" s="177"/>
      <c r="H924" s="177"/>
      <c r="I924" s="177"/>
      <c r="J924" s="223"/>
      <c r="K924" s="231"/>
      <c r="L924" s="231"/>
      <c r="M924" s="231"/>
      <c r="N924" s="231"/>
      <c r="O924" s="231"/>
      <c r="P924" s="231"/>
      <c r="Q924" s="231"/>
      <c r="R924" s="231"/>
      <c r="S924" s="231"/>
      <c r="T924" s="231"/>
      <c r="U924" s="231"/>
      <c r="V924" s="231"/>
      <c r="W924" s="231"/>
      <c r="X924" s="231"/>
      <c r="Y924" s="231"/>
    </row>
    <row r="925" spans="1:25" ht="15.75" hidden="1" customHeight="1" x14ac:dyDescent="0.2">
      <c r="A925" s="231"/>
      <c r="B925" s="224"/>
      <c r="C925" s="225"/>
      <c r="D925" s="225"/>
      <c r="E925" s="225"/>
      <c r="F925" s="177"/>
      <c r="G925" s="177"/>
      <c r="H925" s="177"/>
      <c r="I925" s="177"/>
      <c r="J925" s="223"/>
      <c r="K925" s="231"/>
      <c r="L925" s="231"/>
      <c r="M925" s="231"/>
      <c r="N925" s="231"/>
      <c r="O925" s="231"/>
      <c r="P925" s="231"/>
      <c r="Q925" s="231"/>
      <c r="R925" s="231"/>
      <c r="S925" s="231"/>
      <c r="T925" s="231"/>
      <c r="U925" s="231"/>
      <c r="V925" s="231"/>
      <c r="W925" s="231"/>
      <c r="X925" s="231"/>
      <c r="Y925" s="231"/>
    </row>
    <row r="926" spans="1:25" ht="15.75" hidden="1" customHeight="1" x14ac:dyDescent="0.2">
      <c r="A926" s="231"/>
      <c r="B926" s="224"/>
      <c r="C926" s="225"/>
      <c r="D926" s="225"/>
      <c r="E926" s="225"/>
      <c r="F926" s="177"/>
      <c r="G926" s="177"/>
      <c r="H926" s="177"/>
      <c r="I926" s="177"/>
      <c r="J926" s="223"/>
      <c r="K926" s="231"/>
      <c r="L926" s="231"/>
      <c r="M926" s="231"/>
      <c r="N926" s="231"/>
      <c r="O926" s="231"/>
      <c r="P926" s="231"/>
      <c r="Q926" s="231"/>
      <c r="R926" s="231"/>
      <c r="S926" s="231"/>
      <c r="T926" s="231"/>
      <c r="U926" s="231"/>
      <c r="V926" s="231"/>
      <c r="W926" s="231"/>
      <c r="X926" s="231"/>
      <c r="Y926" s="231"/>
    </row>
    <row r="927" spans="1:25" ht="15.75" hidden="1" customHeight="1" x14ac:dyDescent="0.2">
      <c r="A927" s="231"/>
      <c r="B927" s="224"/>
      <c r="C927" s="225"/>
      <c r="D927" s="225"/>
      <c r="E927" s="225"/>
      <c r="F927" s="177"/>
      <c r="G927" s="177"/>
      <c r="H927" s="177"/>
      <c r="I927" s="177"/>
      <c r="J927" s="223"/>
      <c r="K927" s="231"/>
      <c r="L927" s="231"/>
      <c r="M927" s="231"/>
      <c r="N927" s="231"/>
      <c r="O927" s="231"/>
      <c r="P927" s="231"/>
      <c r="Q927" s="231"/>
      <c r="R927" s="231"/>
      <c r="S927" s="231"/>
      <c r="T927" s="231"/>
      <c r="U927" s="231"/>
      <c r="V927" s="231"/>
      <c r="W927" s="231"/>
      <c r="X927" s="231"/>
      <c r="Y927" s="231"/>
    </row>
    <row r="928" spans="1:25" ht="15.75" hidden="1" customHeight="1" x14ac:dyDescent="0.2">
      <c r="A928" s="231"/>
      <c r="B928" s="224"/>
      <c r="C928" s="225"/>
      <c r="D928" s="225"/>
      <c r="E928" s="225"/>
      <c r="F928" s="177"/>
      <c r="G928" s="177"/>
      <c r="H928" s="177"/>
      <c r="I928" s="177"/>
      <c r="J928" s="223"/>
      <c r="K928" s="231"/>
      <c r="L928" s="231"/>
      <c r="M928" s="231"/>
      <c r="N928" s="231"/>
      <c r="O928" s="231"/>
      <c r="P928" s="231"/>
      <c r="Q928" s="231"/>
      <c r="R928" s="231"/>
      <c r="S928" s="231"/>
      <c r="T928" s="231"/>
      <c r="U928" s="231"/>
      <c r="V928" s="231"/>
      <c r="W928" s="231"/>
      <c r="X928" s="231"/>
      <c r="Y928" s="231"/>
    </row>
    <row r="929" spans="1:25" ht="15.75" hidden="1" customHeight="1" x14ac:dyDescent="0.2">
      <c r="A929" s="231"/>
      <c r="B929" s="224"/>
      <c r="C929" s="225"/>
      <c r="D929" s="225"/>
      <c r="E929" s="225"/>
      <c r="F929" s="177"/>
      <c r="G929" s="177"/>
      <c r="H929" s="177"/>
      <c r="I929" s="177"/>
      <c r="J929" s="223"/>
      <c r="K929" s="231"/>
      <c r="L929" s="231"/>
      <c r="M929" s="231"/>
      <c r="N929" s="231"/>
      <c r="O929" s="231"/>
      <c r="P929" s="231"/>
      <c r="Q929" s="231"/>
      <c r="R929" s="231"/>
      <c r="S929" s="231"/>
      <c r="T929" s="231"/>
      <c r="U929" s="231"/>
      <c r="V929" s="231"/>
      <c r="W929" s="231"/>
      <c r="X929" s="231"/>
      <c r="Y929" s="231"/>
    </row>
    <row r="930" spans="1:25" ht="15.75" hidden="1" customHeight="1" x14ac:dyDescent="0.2">
      <c r="A930" s="231"/>
      <c r="B930" s="224"/>
      <c r="C930" s="225"/>
      <c r="D930" s="225"/>
      <c r="E930" s="225"/>
      <c r="F930" s="177"/>
      <c r="G930" s="177"/>
      <c r="H930" s="177"/>
      <c r="I930" s="177"/>
      <c r="J930" s="223"/>
      <c r="K930" s="231"/>
      <c r="L930" s="231"/>
      <c r="M930" s="231"/>
      <c r="N930" s="231"/>
      <c r="O930" s="231"/>
      <c r="P930" s="231"/>
      <c r="Q930" s="231"/>
      <c r="R930" s="231"/>
      <c r="S930" s="231"/>
      <c r="T930" s="231"/>
      <c r="U930" s="231"/>
      <c r="V930" s="231"/>
      <c r="W930" s="231"/>
      <c r="X930" s="231"/>
      <c r="Y930" s="231"/>
    </row>
    <row r="931" spans="1:25" ht="15.75" hidden="1" customHeight="1" x14ac:dyDescent="0.2">
      <c r="A931" s="231"/>
      <c r="B931" s="224"/>
      <c r="C931" s="225"/>
      <c r="D931" s="225"/>
      <c r="E931" s="225"/>
      <c r="F931" s="177"/>
      <c r="G931" s="177"/>
      <c r="H931" s="177"/>
      <c r="I931" s="177"/>
      <c r="J931" s="223"/>
      <c r="K931" s="231"/>
      <c r="L931" s="231"/>
      <c r="M931" s="231"/>
      <c r="N931" s="231"/>
      <c r="O931" s="231"/>
      <c r="P931" s="231"/>
      <c r="Q931" s="231"/>
      <c r="R931" s="231"/>
      <c r="S931" s="231"/>
      <c r="T931" s="231"/>
      <c r="U931" s="231"/>
      <c r="V931" s="231"/>
      <c r="W931" s="231"/>
      <c r="X931" s="231"/>
      <c r="Y931" s="231"/>
    </row>
    <row r="932" spans="1:25" ht="15.75" hidden="1" customHeight="1" x14ac:dyDescent="0.2">
      <c r="A932" s="231"/>
      <c r="B932" s="224"/>
      <c r="C932" s="225"/>
      <c r="D932" s="225"/>
      <c r="E932" s="225"/>
      <c r="F932" s="177"/>
      <c r="G932" s="177"/>
      <c r="H932" s="177"/>
      <c r="I932" s="177"/>
      <c r="J932" s="223"/>
      <c r="K932" s="231"/>
      <c r="L932" s="231"/>
      <c r="M932" s="231"/>
      <c r="N932" s="231"/>
      <c r="O932" s="231"/>
      <c r="P932" s="231"/>
      <c r="Q932" s="231"/>
      <c r="R932" s="231"/>
      <c r="S932" s="231"/>
      <c r="T932" s="231"/>
      <c r="U932" s="231"/>
      <c r="V932" s="231"/>
      <c r="W932" s="231"/>
      <c r="X932" s="231"/>
      <c r="Y932" s="231"/>
    </row>
    <row r="933" spans="1:25" ht="15.75" hidden="1" customHeight="1" x14ac:dyDescent="0.2">
      <c r="A933" s="231"/>
      <c r="B933" s="224"/>
      <c r="C933" s="225"/>
      <c r="D933" s="225"/>
      <c r="E933" s="225"/>
      <c r="F933" s="177"/>
      <c r="G933" s="177"/>
      <c r="H933" s="177"/>
      <c r="I933" s="177"/>
      <c r="J933" s="223"/>
      <c r="K933" s="231"/>
      <c r="L933" s="231"/>
      <c r="M933" s="231"/>
      <c r="N933" s="231"/>
      <c r="O933" s="231"/>
      <c r="P933" s="231"/>
      <c r="Q933" s="231"/>
      <c r="R933" s="231"/>
      <c r="S933" s="231"/>
      <c r="T933" s="231"/>
      <c r="U933" s="231"/>
      <c r="V933" s="231"/>
      <c r="W933" s="231"/>
      <c r="X933" s="231"/>
      <c r="Y933" s="231"/>
    </row>
    <row r="934" spans="1:25" ht="15.75" hidden="1" customHeight="1" x14ac:dyDescent="0.2">
      <c r="A934" s="231"/>
      <c r="B934" s="224"/>
      <c r="C934" s="225"/>
      <c r="D934" s="225"/>
      <c r="E934" s="225"/>
      <c r="F934" s="177"/>
      <c r="G934" s="177"/>
      <c r="H934" s="177"/>
      <c r="I934" s="177"/>
      <c r="J934" s="223"/>
      <c r="K934" s="231"/>
      <c r="L934" s="231"/>
      <c r="M934" s="231"/>
      <c r="N934" s="231"/>
      <c r="O934" s="231"/>
      <c r="P934" s="231"/>
      <c r="Q934" s="231"/>
      <c r="R934" s="231"/>
      <c r="S934" s="231"/>
      <c r="T934" s="231"/>
      <c r="U934" s="231"/>
      <c r="V934" s="231"/>
      <c r="W934" s="231"/>
      <c r="X934" s="231"/>
      <c r="Y934" s="231"/>
    </row>
    <row r="935" spans="1:25" ht="15.75" hidden="1" customHeight="1" x14ac:dyDescent="0.2">
      <c r="A935" s="231"/>
      <c r="B935" s="224"/>
      <c r="C935" s="225"/>
      <c r="D935" s="225"/>
      <c r="E935" s="225"/>
      <c r="F935" s="177"/>
      <c r="G935" s="177"/>
      <c r="H935" s="177"/>
      <c r="I935" s="177"/>
      <c r="J935" s="223"/>
      <c r="K935" s="231"/>
      <c r="L935" s="231"/>
      <c r="M935" s="231"/>
      <c r="N935" s="231"/>
      <c r="O935" s="231"/>
      <c r="P935" s="231"/>
      <c r="Q935" s="231"/>
      <c r="R935" s="231"/>
      <c r="S935" s="231"/>
      <c r="T935" s="231"/>
      <c r="U935" s="231"/>
      <c r="V935" s="231"/>
      <c r="W935" s="231"/>
      <c r="X935" s="231"/>
      <c r="Y935" s="231"/>
    </row>
    <row r="936" spans="1:25" ht="15.75" hidden="1" customHeight="1" x14ac:dyDescent="0.2">
      <c r="A936" s="231"/>
      <c r="B936" s="224"/>
      <c r="C936" s="225"/>
      <c r="D936" s="225"/>
      <c r="E936" s="225"/>
      <c r="F936" s="177"/>
      <c r="G936" s="177"/>
      <c r="H936" s="177"/>
      <c r="I936" s="177"/>
      <c r="J936" s="223"/>
      <c r="K936" s="231"/>
      <c r="L936" s="231"/>
      <c r="M936" s="231"/>
      <c r="N936" s="231"/>
      <c r="O936" s="231"/>
      <c r="P936" s="231"/>
      <c r="Q936" s="231"/>
      <c r="R936" s="231"/>
      <c r="S936" s="231"/>
      <c r="T936" s="231"/>
      <c r="U936" s="231"/>
      <c r="V936" s="231"/>
      <c r="W936" s="231"/>
      <c r="X936" s="231"/>
      <c r="Y936" s="231"/>
    </row>
    <row r="937" spans="1:25" ht="15.75" hidden="1" customHeight="1" x14ac:dyDescent="0.2">
      <c r="A937" s="231"/>
      <c r="B937" s="224"/>
      <c r="C937" s="225"/>
      <c r="D937" s="225"/>
      <c r="E937" s="225"/>
      <c r="F937" s="177"/>
      <c r="G937" s="177"/>
      <c r="H937" s="177"/>
      <c r="I937" s="177"/>
      <c r="J937" s="223"/>
      <c r="K937" s="231"/>
      <c r="L937" s="231"/>
      <c r="M937" s="231"/>
      <c r="N937" s="231"/>
      <c r="O937" s="231"/>
      <c r="P937" s="231"/>
      <c r="Q937" s="231"/>
      <c r="R937" s="231"/>
      <c r="S937" s="231"/>
      <c r="T937" s="231"/>
      <c r="U937" s="231"/>
      <c r="V937" s="231"/>
      <c r="W937" s="231"/>
      <c r="X937" s="231"/>
      <c r="Y937" s="231"/>
    </row>
    <row r="938" spans="1:25" ht="15.75" hidden="1" customHeight="1" x14ac:dyDescent="0.2">
      <c r="A938" s="231"/>
      <c r="B938" s="224"/>
      <c r="C938" s="225"/>
      <c r="D938" s="225"/>
      <c r="E938" s="225"/>
      <c r="F938" s="177"/>
      <c r="G938" s="177"/>
      <c r="H938" s="177"/>
      <c r="I938" s="177"/>
      <c r="J938" s="223"/>
      <c r="K938" s="231"/>
      <c r="L938" s="231"/>
      <c r="M938" s="231"/>
      <c r="N938" s="231"/>
      <c r="O938" s="231"/>
      <c r="P938" s="231"/>
      <c r="Q938" s="231"/>
      <c r="R938" s="231"/>
      <c r="S938" s="231"/>
      <c r="T938" s="231"/>
      <c r="U938" s="231"/>
      <c r="V938" s="231"/>
      <c r="W938" s="231"/>
      <c r="X938" s="231"/>
      <c r="Y938" s="231"/>
    </row>
    <row r="939" spans="1:25" ht="15.75" hidden="1" customHeight="1" x14ac:dyDescent="0.2">
      <c r="A939" s="231"/>
      <c r="B939" s="224"/>
      <c r="C939" s="225"/>
      <c r="D939" s="225"/>
      <c r="E939" s="225"/>
      <c r="F939" s="177"/>
      <c r="G939" s="177"/>
      <c r="H939" s="177"/>
      <c r="I939" s="177"/>
      <c r="J939" s="223"/>
      <c r="K939" s="231"/>
      <c r="L939" s="231"/>
      <c r="M939" s="231"/>
      <c r="N939" s="231"/>
      <c r="O939" s="231"/>
      <c r="P939" s="231"/>
      <c r="Q939" s="231"/>
      <c r="R939" s="231"/>
      <c r="S939" s="231"/>
      <c r="T939" s="231"/>
      <c r="U939" s="231"/>
      <c r="V939" s="231"/>
      <c r="W939" s="231"/>
      <c r="X939" s="231"/>
      <c r="Y939" s="231"/>
    </row>
    <row r="940" spans="1:25" ht="15.75" hidden="1" customHeight="1" x14ac:dyDescent="0.2">
      <c r="A940" s="231"/>
      <c r="B940" s="224"/>
      <c r="C940" s="225"/>
      <c r="D940" s="225"/>
      <c r="E940" s="225"/>
      <c r="F940" s="177"/>
      <c r="G940" s="177"/>
      <c r="H940" s="177"/>
      <c r="I940" s="177"/>
      <c r="J940" s="223"/>
      <c r="K940" s="231"/>
      <c r="L940" s="231"/>
      <c r="M940" s="231"/>
      <c r="N940" s="231"/>
      <c r="O940" s="231"/>
      <c r="P940" s="231"/>
      <c r="Q940" s="231"/>
      <c r="R940" s="231"/>
      <c r="S940" s="231"/>
      <c r="T940" s="231"/>
      <c r="U940" s="231"/>
      <c r="V940" s="231"/>
      <c r="W940" s="231"/>
      <c r="X940" s="231"/>
      <c r="Y940" s="231"/>
    </row>
    <row r="941" spans="1:25" ht="15.75" hidden="1" customHeight="1" x14ac:dyDescent="0.2">
      <c r="A941" s="231"/>
      <c r="B941" s="224"/>
      <c r="C941" s="225"/>
      <c r="D941" s="225"/>
      <c r="E941" s="225"/>
      <c r="F941" s="177"/>
      <c r="G941" s="177"/>
      <c r="H941" s="177"/>
      <c r="I941" s="177"/>
      <c r="J941" s="223"/>
      <c r="K941" s="231"/>
      <c r="L941" s="231"/>
      <c r="M941" s="231"/>
      <c r="N941" s="231"/>
      <c r="O941" s="231"/>
      <c r="P941" s="231"/>
      <c r="Q941" s="231"/>
      <c r="R941" s="231"/>
      <c r="S941" s="231"/>
      <c r="T941" s="231"/>
      <c r="U941" s="231"/>
      <c r="V941" s="231"/>
      <c r="W941" s="231"/>
      <c r="X941" s="231"/>
      <c r="Y941" s="231"/>
    </row>
    <row r="942" spans="1:25" ht="15.75" hidden="1" customHeight="1" x14ac:dyDescent="0.2">
      <c r="A942" s="231"/>
      <c r="B942" s="224"/>
      <c r="C942" s="225"/>
      <c r="D942" s="225"/>
      <c r="E942" s="225"/>
      <c r="F942" s="177"/>
      <c r="G942" s="177"/>
      <c r="H942" s="177"/>
      <c r="I942" s="177"/>
      <c r="J942" s="223"/>
      <c r="K942" s="231"/>
      <c r="L942" s="231"/>
      <c r="M942" s="231"/>
      <c r="N942" s="231"/>
      <c r="O942" s="231"/>
      <c r="P942" s="231"/>
      <c r="Q942" s="231"/>
      <c r="R942" s="231"/>
      <c r="S942" s="231"/>
      <c r="T942" s="231"/>
      <c r="U942" s="231"/>
      <c r="V942" s="231"/>
      <c r="W942" s="231"/>
      <c r="X942" s="231"/>
      <c r="Y942" s="231"/>
    </row>
    <row r="943" spans="1:25" ht="15.75" hidden="1" customHeight="1" x14ac:dyDescent="0.2">
      <c r="A943" s="231"/>
      <c r="B943" s="224"/>
      <c r="C943" s="225"/>
      <c r="D943" s="225"/>
      <c r="E943" s="225"/>
      <c r="F943" s="177"/>
      <c r="G943" s="177"/>
      <c r="H943" s="177"/>
      <c r="I943" s="177"/>
      <c r="J943" s="223"/>
      <c r="K943" s="231"/>
      <c r="L943" s="231"/>
      <c r="M943" s="231"/>
      <c r="N943" s="231"/>
      <c r="O943" s="231"/>
      <c r="P943" s="231"/>
      <c r="Q943" s="231"/>
      <c r="R943" s="231"/>
      <c r="S943" s="231"/>
      <c r="T943" s="231"/>
      <c r="U943" s="231"/>
      <c r="V943" s="231"/>
      <c r="W943" s="231"/>
      <c r="X943" s="231"/>
      <c r="Y943" s="231"/>
    </row>
    <row r="944" spans="1:25" ht="15.75" hidden="1" customHeight="1" x14ac:dyDescent="0.2">
      <c r="A944" s="231"/>
      <c r="B944" s="224"/>
      <c r="C944" s="225"/>
      <c r="D944" s="225"/>
      <c r="E944" s="225"/>
      <c r="F944" s="177"/>
      <c r="G944" s="177"/>
      <c r="H944" s="177"/>
      <c r="I944" s="177"/>
      <c r="J944" s="223"/>
      <c r="K944" s="231"/>
      <c r="L944" s="231"/>
      <c r="M944" s="231"/>
      <c r="N944" s="231"/>
      <c r="O944" s="231"/>
      <c r="P944" s="231"/>
      <c r="Q944" s="231"/>
      <c r="R944" s="231"/>
      <c r="S944" s="231"/>
      <c r="T944" s="231"/>
      <c r="U944" s="231"/>
      <c r="V944" s="231"/>
      <c r="W944" s="231"/>
      <c r="X944" s="231"/>
      <c r="Y944" s="231"/>
    </row>
    <row r="945" spans="1:25" ht="15.75" hidden="1" customHeight="1" x14ac:dyDescent="0.2">
      <c r="A945" s="231"/>
      <c r="B945" s="224"/>
      <c r="C945" s="225"/>
      <c r="D945" s="225"/>
      <c r="E945" s="225"/>
      <c r="F945" s="177"/>
      <c r="G945" s="177"/>
      <c r="H945" s="177"/>
      <c r="I945" s="177"/>
      <c r="J945" s="223"/>
      <c r="K945" s="231"/>
      <c r="L945" s="231"/>
      <c r="M945" s="231"/>
      <c r="N945" s="231"/>
      <c r="O945" s="231"/>
      <c r="P945" s="231"/>
      <c r="Q945" s="231"/>
      <c r="R945" s="231"/>
      <c r="S945" s="231"/>
      <c r="T945" s="231"/>
      <c r="U945" s="231"/>
      <c r="V945" s="231"/>
      <c r="W945" s="231"/>
      <c r="X945" s="231"/>
      <c r="Y945" s="231"/>
    </row>
    <row r="946" spans="1:25" ht="15.75" hidden="1" customHeight="1" x14ac:dyDescent="0.2">
      <c r="A946" s="231"/>
      <c r="B946" s="224"/>
      <c r="C946" s="225"/>
      <c r="D946" s="225"/>
      <c r="E946" s="225"/>
      <c r="F946" s="177"/>
      <c r="G946" s="177"/>
      <c r="H946" s="177"/>
      <c r="I946" s="177"/>
      <c r="J946" s="223"/>
      <c r="K946" s="231"/>
      <c r="L946" s="231"/>
      <c r="M946" s="231"/>
      <c r="N946" s="231"/>
      <c r="O946" s="231"/>
      <c r="P946" s="231"/>
      <c r="Q946" s="231"/>
      <c r="R946" s="231"/>
      <c r="S946" s="231"/>
      <c r="T946" s="231"/>
      <c r="U946" s="231"/>
      <c r="V946" s="231"/>
      <c r="W946" s="231"/>
      <c r="X946" s="231"/>
      <c r="Y946" s="231"/>
    </row>
    <row r="947" spans="1:25" ht="15.75" hidden="1" customHeight="1" x14ac:dyDescent="0.2">
      <c r="A947" s="231"/>
      <c r="B947" s="224"/>
      <c r="C947" s="225"/>
      <c r="D947" s="225"/>
      <c r="E947" s="225"/>
      <c r="F947" s="177"/>
      <c r="G947" s="177"/>
      <c r="H947" s="177"/>
      <c r="I947" s="177"/>
      <c r="J947" s="223"/>
      <c r="K947" s="231"/>
      <c r="L947" s="231"/>
      <c r="M947" s="231"/>
      <c r="N947" s="231"/>
      <c r="O947" s="231"/>
      <c r="P947" s="231"/>
      <c r="Q947" s="231"/>
      <c r="R947" s="231"/>
      <c r="S947" s="231"/>
      <c r="T947" s="231"/>
      <c r="U947" s="231"/>
      <c r="V947" s="231"/>
      <c r="W947" s="231"/>
      <c r="X947" s="231"/>
      <c r="Y947" s="231"/>
    </row>
    <row r="948" spans="1:25" ht="15.75" hidden="1" customHeight="1" x14ac:dyDescent="0.2">
      <c r="A948" s="231"/>
      <c r="B948" s="224"/>
      <c r="C948" s="225"/>
      <c r="D948" s="225"/>
      <c r="E948" s="225"/>
      <c r="F948" s="177"/>
      <c r="G948" s="177"/>
      <c r="H948" s="177"/>
      <c r="I948" s="177"/>
      <c r="J948" s="223"/>
      <c r="K948" s="231"/>
      <c r="L948" s="231"/>
      <c r="M948" s="231"/>
      <c r="N948" s="231"/>
      <c r="O948" s="231"/>
      <c r="P948" s="231"/>
      <c r="Q948" s="231"/>
      <c r="R948" s="231"/>
      <c r="S948" s="231"/>
      <c r="T948" s="231"/>
      <c r="U948" s="231"/>
      <c r="V948" s="231"/>
      <c r="W948" s="231"/>
      <c r="X948" s="231"/>
      <c r="Y948" s="231"/>
    </row>
    <row r="949" spans="1:25" ht="15.75" hidden="1" customHeight="1" x14ac:dyDescent="0.2">
      <c r="A949" s="231"/>
      <c r="B949" s="224"/>
      <c r="C949" s="225"/>
      <c r="D949" s="225"/>
      <c r="E949" s="225"/>
      <c r="F949" s="177"/>
      <c r="G949" s="177"/>
      <c r="H949" s="177"/>
      <c r="I949" s="177"/>
      <c r="J949" s="223"/>
      <c r="K949" s="231"/>
      <c r="L949" s="231"/>
      <c r="M949" s="231"/>
      <c r="N949" s="231"/>
      <c r="O949" s="231"/>
      <c r="P949" s="231"/>
      <c r="Q949" s="231"/>
      <c r="R949" s="231"/>
      <c r="S949" s="231"/>
      <c r="T949" s="231"/>
      <c r="U949" s="231"/>
      <c r="V949" s="231"/>
      <c r="W949" s="231"/>
      <c r="X949" s="231"/>
      <c r="Y949" s="231"/>
    </row>
    <row r="950" spans="1:25" ht="15.75" hidden="1" customHeight="1" x14ac:dyDescent="0.2">
      <c r="A950" s="231"/>
      <c r="B950" s="224"/>
      <c r="C950" s="225"/>
      <c r="D950" s="225"/>
      <c r="E950" s="225"/>
      <c r="F950" s="177"/>
      <c r="G950" s="177"/>
      <c r="H950" s="177"/>
      <c r="I950" s="177"/>
      <c r="J950" s="223"/>
      <c r="K950" s="231"/>
      <c r="L950" s="231"/>
      <c r="M950" s="231"/>
      <c r="N950" s="231"/>
      <c r="O950" s="231"/>
      <c r="P950" s="231"/>
      <c r="Q950" s="231"/>
      <c r="R950" s="231"/>
      <c r="S950" s="231"/>
      <c r="T950" s="231"/>
      <c r="U950" s="231"/>
      <c r="V950" s="231"/>
      <c r="W950" s="231"/>
      <c r="X950" s="231"/>
      <c r="Y950" s="231"/>
    </row>
    <row r="951" spans="1:25" ht="15.75" hidden="1" customHeight="1" x14ac:dyDescent="0.2">
      <c r="A951" s="231"/>
      <c r="B951" s="224"/>
      <c r="C951" s="225"/>
      <c r="D951" s="225"/>
      <c r="E951" s="225"/>
      <c r="F951" s="177"/>
      <c r="G951" s="177"/>
      <c r="H951" s="177"/>
      <c r="I951" s="177"/>
      <c r="J951" s="223"/>
      <c r="K951" s="231"/>
      <c r="L951" s="231"/>
      <c r="M951" s="231"/>
      <c r="N951" s="231"/>
      <c r="O951" s="231"/>
      <c r="P951" s="231"/>
      <c r="Q951" s="231"/>
      <c r="R951" s="231"/>
      <c r="S951" s="231"/>
      <c r="T951" s="231"/>
      <c r="U951" s="231"/>
      <c r="V951" s="231"/>
      <c r="W951" s="231"/>
      <c r="X951" s="231"/>
      <c r="Y951" s="231"/>
    </row>
    <row r="952" spans="1:25" ht="15.75" hidden="1" customHeight="1" x14ac:dyDescent="0.2">
      <c r="A952" s="231"/>
      <c r="B952" s="224"/>
      <c r="C952" s="225"/>
      <c r="D952" s="225"/>
      <c r="E952" s="225"/>
      <c r="F952" s="177"/>
      <c r="G952" s="177"/>
      <c r="H952" s="177"/>
      <c r="I952" s="177"/>
      <c r="J952" s="223"/>
      <c r="K952" s="231"/>
      <c r="L952" s="231"/>
      <c r="M952" s="231"/>
      <c r="N952" s="231"/>
      <c r="O952" s="231"/>
      <c r="P952" s="231"/>
      <c r="Q952" s="231"/>
      <c r="R952" s="231"/>
      <c r="S952" s="231"/>
      <c r="T952" s="231"/>
      <c r="U952" s="231"/>
      <c r="V952" s="231"/>
      <c r="W952" s="231"/>
      <c r="X952" s="231"/>
      <c r="Y952" s="231"/>
    </row>
    <row r="953" spans="1:25" ht="15.75" hidden="1" customHeight="1" x14ac:dyDescent="0.2">
      <c r="A953" s="231"/>
      <c r="B953" s="224"/>
      <c r="C953" s="225"/>
      <c r="D953" s="225"/>
      <c r="E953" s="225"/>
      <c r="F953" s="177"/>
      <c r="G953" s="177"/>
      <c r="H953" s="177"/>
      <c r="I953" s="177"/>
      <c r="J953" s="223"/>
      <c r="K953" s="231"/>
      <c r="L953" s="231"/>
      <c r="M953" s="231"/>
      <c r="N953" s="231"/>
      <c r="O953" s="231"/>
      <c r="P953" s="231"/>
      <c r="Q953" s="231"/>
      <c r="R953" s="231"/>
      <c r="S953" s="231"/>
      <c r="T953" s="231"/>
      <c r="U953" s="231"/>
      <c r="V953" s="231"/>
      <c r="W953" s="231"/>
      <c r="X953" s="231"/>
      <c r="Y953" s="231"/>
    </row>
    <row r="954" spans="1:25" ht="15.75" hidden="1" customHeight="1" x14ac:dyDescent="0.2">
      <c r="A954" s="231"/>
      <c r="B954" s="224"/>
      <c r="C954" s="225"/>
      <c r="D954" s="225"/>
      <c r="E954" s="225"/>
      <c r="F954" s="177"/>
      <c r="G954" s="177"/>
      <c r="H954" s="177"/>
      <c r="I954" s="177"/>
      <c r="J954" s="223"/>
      <c r="K954" s="231"/>
      <c r="L954" s="231"/>
      <c r="M954" s="231"/>
      <c r="N954" s="231"/>
      <c r="O954" s="231"/>
      <c r="P954" s="231"/>
      <c r="Q954" s="231"/>
      <c r="R954" s="231"/>
      <c r="S954" s="231"/>
      <c r="T954" s="231"/>
      <c r="U954" s="231"/>
      <c r="V954" s="231"/>
      <c r="W954" s="231"/>
      <c r="X954" s="231"/>
      <c r="Y954" s="231"/>
    </row>
    <row r="955" spans="1:25" ht="15.75" hidden="1" customHeight="1" x14ac:dyDescent="0.2">
      <c r="A955" s="231"/>
      <c r="B955" s="224"/>
      <c r="C955" s="225"/>
      <c r="D955" s="225"/>
      <c r="E955" s="225"/>
      <c r="F955" s="177"/>
      <c r="G955" s="177"/>
      <c r="H955" s="177"/>
      <c r="I955" s="177"/>
      <c r="J955" s="223"/>
      <c r="K955" s="231"/>
      <c r="L955" s="231"/>
      <c r="M955" s="231"/>
      <c r="N955" s="231"/>
      <c r="O955" s="231"/>
      <c r="P955" s="231"/>
      <c r="Q955" s="231"/>
      <c r="R955" s="231"/>
      <c r="S955" s="231"/>
      <c r="T955" s="231"/>
      <c r="U955" s="231"/>
      <c r="V955" s="231"/>
      <c r="W955" s="231"/>
      <c r="X955" s="231"/>
      <c r="Y955" s="231"/>
    </row>
    <row r="956" spans="1:25" ht="15.75" hidden="1" customHeight="1" x14ac:dyDescent="0.2">
      <c r="A956" s="231"/>
      <c r="B956" s="224"/>
      <c r="C956" s="225"/>
      <c r="D956" s="225"/>
      <c r="E956" s="225"/>
      <c r="F956" s="177"/>
      <c r="G956" s="177"/>
      <c r="H956" s="177"/>
      <c r="I956" s="177"/>
      <c r="J956" s="223"/>
      <c r="K956" s="231"/>
      <c r="L956" s="231"/>
      <c r="M956" s="231"/>
      <c r="N956" s="231"/>
      <c r="O956" s="231"/>
      <c r="P956" s="231"/>
      <c r="Q956" s="231"/>
      <c r="R956" s="231"/>
      <c r="S956" s="231"/>
      <c r="T956" s="231"/>
      <c r="U956" s="231"/>
      <c r="V956" s="231"/>
      <c r="W956" s="231"/>
      <c r="X956" s="231"/>
      <c r="Y956" s="231"/>
    </row>
    <row r="957" spans="1:25" ht="15.75" hidden="1" customHeight="1" x14ac:dyDescent="0.2">
      <c r="A957" s="231"/>
      <c r="B957" s="224"/>
      <c r="C957" s="225"/>
      <c r="D957" s="225"/>
      <c r="E957" s="225"/>
      <c r="F957" s="177"/>
      <c r="G957" s="177"/>
      <c r="H957" s="177"/>
      <c r="I957" s="177"/>
      <c r="J957" s="223"/>
      <c r="K957" s="231"/>
      <c r="L957" s="231"/>
      <c r="M957" s="231"/>
      <c r="N957" s="231"/>
      <c r="O957" s="231"/>
      <c r="P957" s="231"/>
      <c r="Q957" s="231"/>
      <c r="R957" s="231"/>
      <c r="S957" s="231"/>
      <c r="T957" s="231"/>
      <c r="U957" s="231"/>
      <c r="V957" s="231"/>
      <c r="W957" s="231"/>
      <c r="X957" s="231"/>
      <c r="Y957" s="231"/>
    </row>
    <row r="958" spans="1:25" ht="15.75" hidden="1" customHeight="1" x14ac:dyDescent="0.2">
      <c r="A958" s="231"/>
      <c r="B958" s="224"/>
      <c r="C958" s="225"/>
      <c r="D958" s="225"/>
      <c r="E958" s="225"/>
      <c r="F958" s="177"/>
      <c r="G958" s="177"/>
      <c r="H958" s="177"/>
      <c r="I958" s="177"/>
      <c r="J958" s="223"/>
      <c r="K958" s="231"/>
      <c r="L958" s="231"/>
      <c r="M958" s="231"/>
      <c r="N958" s="231"/>
      <c r="O958" s="231"/>
      <c r="P958" s="231"/>
      <c r="Q958" s="231"/>
      <c r="R958" s="231"/>
      <c r="S958" s="231"/>
      <c r="T958" s="231"/>
      <c r="U958" s="231"/>
      <c r="V958" s="231"/>
      <c r="W958" s="231"/>
      <c r="X958" s="231"/>
      <c r="Y958" s="231"/>
    </row>
    <row r="959" spans="1:25" ht="15.75" hidden="1" customHeight="1" x14ac:dyDescent="0.2">
      <c r="A959" s="231"/>
      <c r="B959" s="224"/>
      <c r="C959" s="225"/>
      <c r="D959" s="225"/>
      <c r="E959" s="225"/>
      <c r="F959" s="177"/>
      <c r="G959" s="177"/>
      <c r="H959" s="177"/>
      <c r="I959" s="177"/>
      <c r="J959" s="223"/>
      <c r="K959" s="231"/>
      <c r="L959" s="231"/>
      <c r="M959" s="231"/>
      <c r="N959" s="231"/>
      <c r="O959" s="231"/>
      <c r="P959" s="231"/>
      <c r="Q959" s="231"/>
      <c r="R959" s="231"/>
      <c r="S959" s="231"/>
      <c r="T959" s="231"/>
      <c r="U959" s="231"/>
      <c r="V959" s="231"/>
      <c r="W959" s="231"/>
      <c r="X959" s="231"/>
      <c r="Y959" s="231"/>
    </row>
    <row r="960" spans="1:25" ht="15.75" hidden="1" customHeight="1" x14ac:dyDescent="0.2">
      <c r="A960" s="231"/>
      <c r="B960" s="224"/>
      <c r="C960" s="225"/>
      <c r="D960" s="225"/>
      <c r="E960" s="225"/>
      <c r="F960" s="177"/>
      <c r="G960" s="177"/>
      <c r="H960" s="177"/>
      <c r="I960" s="177"/>
      <c r="J960" s="223"/>
      <c r="K960" s="231"/>
      <c r="L960" s="231"/>
      <c r="M960" s="231"/>
      <c r="N960" s="231"/>
      <c r="O960" s="231"/>
      <c r="P960" s="231"/>
      <c r="Q960" s="231"/>
      <c r="R960" s="231"/>
      <c r="S960" s="231"/>
      <c r="T960" s="231"/>
      <c r="U960" s="231"/>
      <c r="V960" s="231"/>
      <c r="W960" s="231"/>
      <c r="X960" s="231"/>
      <c r="Y960" s="231"/>
    </row>
    <row r="961" spans="1:25" ht="15.75" hidden="1" customHeight="1" x14ac:dyDescent="0.2">
      <c r="A961" s="231"/>
      <c r="B961" s="224"/>
      <c r="C961" s="225"/>
      <c r="D961" s="225"/>
      <c r="E961" s="225"/>
      <c r="F961" s="177"/>
      <c r="G961" s="177"/>
      <c r="H961" s="177"/>
      <c r="I961" s="177"/>
      <c r="J961" s="223"/>
      <c r="K961" s="231"/>
      <c r="L961" s="231"/>
      <c r="M961" s="231"/>
      <c r="N961" s="231"/>
      <c r="O961" s="231"/>
      <c r="P961" s="231"/>
      <c r="Q961" s="231"/>
      <c r="R961" s="231"/>
      <c r="S961" s="231"/>
      <c r="T961" s="231"/>
      <c r="U961" s="231"/>
      <c r="V961" s="231"/>
      <c r="W961" s="231"/>
      <c r="X961" s="231"/>
      <c r="Y961" s="231"/>
    </row>
    <row r="962" spans="1:25" ht="15.75" hidden="1" customHeight="1" x14ac:dyDescent="0.2">
      <c r="A962" s="231"/>
      <c r="B962" s="224"/>
      <c r="C962" s="225"/>
      <c r="D962" s="225"/>
      <c r="E962" s="225"/>
      <c r="F962" s="177"/>
      <c r="G962" s="177"/>
      <c r="H962" s="177"/>
      <c r="I962" s="177"/>
      <c r="J962" s="223"/>
      <c r="K962" s="231"/>
      <c r="L962" s="231"/>
      <c r="M962" s="231"/>
      <c r="N962" s="231"/>
      <c r="O962" s="231"/>
      <c r="P962" s="231"/>
      <c r="Q962" s="231"/>
      <c r="R962" s="231"/>
      <c r="S962" s="231"/>
      <c r="T962" s="231"/>
      <c r="U962" s="231"/>
      <c r="V962" s="231"/>
      <c r="W962" s="231"/>
      <c r="X962" s="231"/>
      <c r="Y962" s="231"/>
    </row>
    <row r="963" spans="1:25" ht="15.75" hidden="1" customHeight="1" x14ac:dyDescent="0.2">
      <c r="A963" s="231"/>
      <c r="B963" s="224"/>
      <c r="C963" s="225"/>
      <c r="D963" s="225"/>
      <c r="E963" s="225"/>
      <c r="F963" s="177"/>
      <c r="G963" s="177"/>
      <c r="H963" s="177"/>
      <c r="I963" s="177"/>
      <c r="J963" s="223"/>
      <c r="K963" s="231"/>
      <c r="L963" s="231"/>
      <c r="M963" s="231"/>
      <c r="N963" s="231"/>
      <c r="O963" s="231"/>
      <c r="P963" s="231"/>
      <c r="Q963" s="231"/>
      <c r="R963" s="231"/>
      <c r="S963" s="231"/>
      <c r="T963" s="231"/>
      <c r="U963" s="231"/>
      <c r="V963" s="231"/>
      <c r="W963" s="231"/>
      <c r="X963" s="231"/>
      <c r="Y963" s="231"/>
    </row>
    <row r="964" spans="1:25" ht="15.75" hidden="1" customHeight="1" x14ac:dyDescent="0.2">
      <c r="A964" s="231"/>
      <c r="B964" s="224"/>
      <c r="C964" s="225"/>
      <c r="D964" s="225"/>
      <c r="E964" s="225"/>
      <c r="F964" s="177"/>
      <c r="G964" s="177"/>
      <c r="H964" s="177"/>
      <c r="I964" s="177"/>
      <c r="J964" s="223"/>
      <c r="K964" s="231"/>
      <c r="L964" s="231"/>
      <c r="M964" s="231"/>
      <c r="N964" s="231"/>
      <c r="O964" s="231"/>
      <c r="P964" s="231"/>
      <c r="Q964" s="231"/>
      <c r="R964" s="231"/>
      <c r="S964" s="231"/>
      <c r="T964" s="231"/>
      <c r="U964" s="231"/>
      <c r="V964" s="231"/>
      <c r="W964" s="231"/>
      <c r="X964" s="231"/>
      <c r="Y964" s="231"/>
    </row>
    <row r="965" spans="1:25" ht="15.75" hidden="1" customHeight="1" x14ac:dyDescent="0.2">
      <c r="A965" s="231"/>
      <c r="B965" s="224"/>
      <c r="C965" s="225"/>
      <c r="D965" s="225"/>
      <c r="E965" s="225"/>
      <c r="F965" s="177"/>
      <c r="G965" s="177"/>
      <c r="H965" s="177"/>
      <c r="I965" s="177"/>
      <c r="J965" s="223"/>
      <c r="K965" s="231"/>
      <c r="L965" s="231"/>
      <c r="M965" s="231"/>
      <c r="N965" s="231"/>
      <c r="O965" s="231"/>
      <c r="P965" s="231"/>
      <c r="Q965" s="231"/>
      <c r="R965" s="231"/>
      <c r="S965" s="231"/>
      <c r="T965" s="231"/>
      <c r="U965" s="231"/>
      <c r="V965" s="231"/>
      <c r="W965" s="231"/>
      <c r="X965" s="231"/>
      <c r="Y965" s="231"/>
    </row>
    <row r="966" spans="1:25" ht="15.75" hidden="1" customHeight="1" x14ac:dyDescent="0.2">
      <c r="A966" s="231"/>
      <c r="B966" s="224"/>
      <c r="C966" s="225"/>
      <c r="D966" s="225"/>
      <c r="E966" s="225"/>
      <c r="F966" s="177"/>
      <c r="G966" s="177"/>
      <c r="H966" s="177"/>
      <c r="I966" s="177"/>
      <c r="J966" s="223"/>
      <c r="K966" s="231"/>
      <c r="L966" s="231"/>
      <c r="M966" s="231"/>
      <c r="N966" s="231"/>
      <c r="O966" s="231"/>
      <c r="P966" s="231"/>
      <c r="Q966" s="231"/>
      <c r="R966" s="231"/>
      <c r="S966" s="231"/>
      <c r="T966" s="231"/>
      <c r="U966" s="231"/>
      <c r="V966" s="231"/>
      <c r="W966" s="231"/>
      <c r="X966" s="231"/>
      <c r="Y966" s="231"/>
    </row>
    <row r="967" spans="1:25" ht="15.75" hidden="1" customHeight="1" x14ac:dyDescent="0.2">
      <c r="A967" s="231"/>
      <c r="B967" s="224"/>
      <c r="C967" s="225"/>
      <c r="D967" s="225"/>
      <c r="E967" s="225"/>
      <c r="F967" s="177"/>
      <c r="G967" s="177"/>
      <c r="H967" s="177"/>
      <c r="I967" s="177"/>
      <c r="J967" s="223"/>
      <c r="K967" s="231"/>
      <c r="L967" s="231"/>
      <c r="M967" s="231"/>
      <c r="N967" s="231"/>
      <c r="O967" s="231"/>
      <c r="P967" s="231"/>
      <c r="Q967" s="231"/>
      <c r="R967" s="231"/>
      <c r="S967" s="231"/>
      <c r="T967" s="231"/>
      <c r="U967" s="231"/>
      <c r="V967" s="231"/>
      <c r="W967" s="231"/>
      <c r="X967" s="231"/>
      <c r="Y967" s="231"/>
    </row>
    <row r="968" spans="1:25" ht="15.75" hidden="1" customHeight="1" x14ac:dyDescent="0.2">
      <c r="A968" s="231"/>
      <c r="B968" s="224"/>
      <c r="C968" s="225"/>
      <c r="D968" s="225"/>
      <c r="E968" s="225"/>
      <c r="F968" s="177"/>
      <c r="G968" s="177"/>
      <c r="H968" s="177"/>
      <c r="I968" s="177"/>
      <c r="J968" s="223"/>
      <c r="K968" s="231"/>
      <c r="L968" s="231"/>
      <c r="M968" s="231"/>
      <c r="N968" s="231"/>
      <c r="O968" s="231"/>
      <c r="P968" s="231"/>
      <c r="Q968" s="231"/>
      <c r="R968" s="231"/>
      <c r="S968" s="231"/>
      <c r="T968" s="231"/>
      <c r="U968" s="231"/>
      <c r="V968" s="231"/>
      <c r="W968" s="231"/>
      <c r="X968" s="231"/>
      <c r="Y968" s="231"/>
    </row>
    <row r="969" spans="1:25" ht="15.75" hidden="1" customHeight="1" x14ac:dyDescent="0.2">
      <c r="A969" s="231"/>
      <c r="B969" s="224"/>
      <c r="C969" s="225"/>
      <c r="D969" s="225"/>
      <c r="E969" s="225"/>
      <c r="F969" s="177"/>
      <c r="G969" s="177"/>
      <c r="H969" s="177"/>
      <c r="I969" s="177"/>
      <c r="J969" s="223"/>
      <c r="K969" s="231"/>
      <c r="L969" s="231"/>
      <c r="M969" s="231"/>
      <c r="N969" s="231"/>
      <c r="O969" s="231"/>
      <c r="P969" s="231"/>
      <c r="Q969" s="231"/>
      <c r="R969" s="231"/>
      <c r="S969" s="231"/>
      <c r="T969" s="231"/>
      <c r="U969" s="231"/>
      <c r="V969" s="231"/>
      <c r="W969" s="231"/>
      <c r="X969" s="231"/>
      <c r="Y969" s="231"/>
    </row>
    <row r="970" spans="1:25" ht="15.75" hidden="1" customHeight="1" x14ac:dyDescent="0.2">
      <c r="A970" s="231"/>
      <c r="B970" s="224"/>
      <c r="C970" s="225"/>
      <c r="D970" s="225"/>
      <c r="E970" s="225"/>
      <c r="F970" s="177"/>
      <c r="G970" s="177"/>
      <c r="H970" s="177"/>
      <c r="I970" s="177"/>
      <c r="J970" s="223"/>
      <c r="K970" s="231"/>
      <c r="L970" s="231"/>
      <c r="M970" s="231"/>
      <c r="N970" s="231"/>
      <c r="O970" s="231"/>
      <c r="P970" s="231"/>
      <c r="Q970" s="231"/>
      <c r="R970" s="231"/>
      <c r="S970" s="231"/>
      <c r="T970" s="231"/>
      <c r="U970" s="231"/>
      <c r="V970" s="231"/>
      <c r="W970" s="231"/>
      <c r="X970" s="231"/>
      <c r="Y970" s="231"/>
    </row>
    <row r="971" spans="1:25" ht="15.75" hidden="1" customHeight="1" x14ac:dyDescent="0.2">
      <c r="A971" s="231"/>
      <c r="B971" s="224"/>
      <c r="C971" s="225"/>
      <c r="D971" s="225"/>
      <c r="E971" s="225"/>
      <c r="F971" s="177"/>
      <c r="G971" s="177"/>
      <c r="H971" s="177"/>
      <c r="I971" s="177"/>
      <c r="J971" s="223"/>
      <c r="K971" s="231"/>
      <c r="L971" s="231"/>
      <c r="M971" s="231"/>
      <c r="N971" s="231"/>
      <c r="O971" s="231"/>
      <c r="P971" s="231"/>
      <c r="Q971" s="231"/>
      <c r="R971" s="231"/>
      <c r="S971" s="231"/>
      <c r="T971" s="231"/>
      <c r="U971" s="231"/>
      <c r="V971" s="231"/>
      <c r="W971" s="231"/>
      <c r="X971" s="231"/>
      <c r="Y971" s="231"/>
    </row>
    <row r="972" spans="1:25" ht="15.75" hidden="1" customHeight="1" x14ac:dyDescent="0.2">
      <c r="A972" s="231"/>
      <c r="B972" s="224"/>
      <c r="C972" s="225"/>
      <c r="D972" s="225"/>
      <c r="E972" s="225"/>
      <c r="F972" s="177"/>
      <c r="G972" s="177"/>
      <c r="H972" s="177"/>
      <c r="I972" s="177"/>
      <c r="J972" s="223"/>
      <c r="K972" s="231"/>
      <c r="L972" s="231"/>
      <c r="M972" s="231"/>
      <c r="N972" s="231"/>
      <c r="O972" s="231"/>
      <c r="P972" s="231"/>
      <c r="Q972" s="231"/>
      <c r="R972" s="231"/>
      <c r="S972" s="231"/>
      <c r="T972" s="231"/>
      <c r="U972" s="231"/>
      <c r="V972" s="231"/>
      <c r="W972" s="231"/>
      <c r="X972" s="231"/>
      <c r="Y972" s="231"/>
    </row>
    <row r="973" spans="1:25" ht="15.75" hidden="1" customHeight="1" x14ac:dyDescent="0.2">
      <c r="A973" s="231"/>
      <c r="B973" s="224"/>
      <c r="C973" s="225"/>
      <c r="D973" s="225"/>
      <c r="E973" s="225"/>
      <c r="F973" s="177"/>
      <c r="G973" s="177"/>
      <c r="H973" s="177"/>
      <c r="I973" s="177"/>
      <c r="J973" s="223"/>
      <c r="K973" s="231"/>
      <c r="L973" s="231"/>
      <c r="M973" s="231"/>
      <c r="N973" s="231"/>
      <c r="O973" s="231"/>
      <c r="P973" s="231"/>
      <c r="Q973" s="231"/>
      <c r="R973" s="231"/>
      <c r="S973" s="231"/>
      <c r="T973" s="231"/>
      <c r="U973" s="231"/>
      <c r="V973" s="231"/>
      <c r="W973" s="231"/>
      <c r="X973" s="231"/>
      <c r="Y973" s="231"/>
    </row>
    <row r="974" spans="1:25" ht="15.75" hidden="1" customHeight="1" x14ac:dyDescent="0.2">
      <c r="A974" s="231"/>
      <c r="B974" s="224"/>
      <c r="C974" s="225"/>
      <c r="D974" s="225"/>
      <c r="E974" s="225"/>
      <c r="F974" s="177"/>
      <c r="G974" s="177"/>
      <c r="H974" s="177"/>
      <c r="I974" s="177"/>
      <c r="J974" s="223"/>
      <c r="K974" s="231"/>
      <c r="L974" s="231"/>
      <c r="M974" s="231"/>
      <c r="N974" s="231"/>
      <c r="O974" s="231"/>
      <c r="P974" s="231"/>
      <c r="Q974" s="231"/>
      <c r="R974" s="231"/>
      <c r="S974" s="231"/>
      <c r="T974" s="231"/>
      <c r="U974" s="231"/>
      <c r="V974" s="231"/>
      <c r="W974" s="231"/>
      <c r="X974" s="231"/>
      <c r="Y974" s="231"/>
    </row>
    <row r="975" spans="1:25" ht="15.75" hidden="1" customHeight="1" x14ac:dyDescent="0.2">
      <c r="A975" s="231"/>
      <c r="B975" s="224"/>
      <c r="C975" s="225"/>
      <c r="D975" s="225"/>
      <c r="E975" s="225"/>
      <c r="F975" s="177"/>
      <c r="G975" s="177"/>
      <c r="H975" s="177"/>
      <c r="I975" s="177"/>
      <c r="J975" s="223"/>
      <c r="K975" s="231"/>
      <c r="L975" s="231"/>
      <c r="M975" s="231"/>
      <c r="N975" s="231"/>
      <c r="O975" s="231"/>
      <c r="P975" s="231"/>
      <c r="Q975" s="231"/>
      <c r="R975" s="231"/>
      <c r="S975" s="231"/>
      <c r="T975" s="231"/>
      <c r="U975" s="231"/>
      <c r="V975" s="231"/>
      <c r="W975" s="231"/>
      <c r="X975" s="231"/>
      <c r="Y975" s="231"/>
    </row>
    <row r="976" spans="1:25" ht="15.75" hidden="1" customHeight="1" x14ac:dyDescent="0.2">
      <c r="A976" s="231"/>
      <c r="B976" s="224"/>
      <c r="C976" s="225"/>
      <c r="D976" s="225"/>
      <c r="E976" s="225"/>
      <c r="F976" s="177"/>
      <c r="G976" s="177"/>
      <c r="H976" s="177"/>
      <c r="I976" s="177"/>
      <c r="J976" s="223"/>
      <c r="K976" s="231"/>
      <c r="L976" s="231"/>
      <c r="M976" s="231"/>
      <c r="N976" s="231"/>
      <c r="O976" s="231"/>
      <c r="P976" s="231"/>
      <c r="Q976" s="231"/>
      <c r="R976" s="231"/>
      <c r="S976" s="231"/>
      <c r="T976" s="231"/>
      <c r="U976" s="231"/>
      <c r="V976" s="231"/>
      <c r="W976" s="231"/>
      <c r="X976" s="231"/>
      <c r="Y976" s="231"/>
    </row>
    <row r="977" spans="1:25" ht="15.75" hidden="1" customHeight="1" x14ac:dyDescent="0.2">
      <c r="A977" s="231"/>
      <c r="B977" s="224"/>
      <c r="C977" s="225"/>
      <c r="D977" s="225"/>
      <c r="E977" s="225"/>
      <c r="F977" s="177"/>
      <c r="G977" s="177"/>
      <c r="H977" s="177"/>
      <c r="I977" s="177"/>
      <c r="J977" s="223"/>
      <c r="K977" s="231"/>
      <c r="L977" s="231"/>
      <c r="M977" s="231"/>
      <c r="N977" s="231"/>
      <c r="O977" s="231"/>
      <c r="P977" s="231"/>
      <c r="Q977" s="231"/>
      <c r="R977" s="231"/>
      <c r="S977" s="231"/>
      <c r="T977" s="231"/>
      <c r="U977" s="231"/>
      <c r="V977" s="231"/>
      <c r="W977" s="231"/>
      <c r="X977" s="231"/>
      <c r="Y977" s="231"/>
    </row>
    <row r="978" spans="1:25" ht="15.75" hidden="1" customHeight="1" x14ac:dyDescent="0.2"/>
    <row r="979" spans="1:25" ht="15.75" hidden="1" customHeight="1" x14ac:dyDescent="0.2"/>
    <row r="980" spans="1:25" ht="15.75" hidden="1" customHeight="1" x14ac:dyDescent="0.2"/>
    <row r="981" spans="1:25" ht="15.75" hidden="1" customHeight="1" x14ac:dyDescent="0.2"/>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7C8F-5440-4448-94A5-32CE0B63B959}">
  <dimension ref="A2:C23"/>
  <sheetViews>
    <sheetView workbookViewId="0">
      <pane ySplit="6" topLeftCell="A7" activePane="bottomLeft" state="frozen"/>
      <selection activeCell="B6" sqref="B6:B7"/>
      <selection pane="bottomLeft" activeCell="B6" sqref="B6:B7"/>
    </sheetView>
  </sheetViews>
  <sheetFormatPr baseColWidth="10" defaultRowHeight="15" x14ac:dyDescent="0.25"/>
  <cols>
    <col min="1" max="1" width="8.28515625" customWidth="1"/>
    <col min="2" max="2" width="51.42578125" customWidth="1"/>
    <col min="3" max="3" width="104.7109375" customWidth="1"/>
  </cols>
  <sheetData>
    <row r="2" spans="1:3" x14ac:dyDescent="0.25">
      <c r="A2" s="39" t="s">
        <v>557</v>
      </c>
      <c r="B2" t="s">
        <v>558</v>
      </c>
    </row>
    <row r="3" spans="1:3" x14ac:dyDescent="0.25">
      <c r="B3" s="40" t="s">
        <v>559</v>
      </c>
    </row>
    <row r="4" spans="1:3" x14ac:dyDescent="0.25">
      <c r="B4" s="40" t="s">
        <v>560</v>
      </c>
    </row>
    <row r="5" spans="1:3" ht="15.75" thickBot="1" x14ac:dyDescent="0.3"/>
    <row r="6" spans="1:3" ht="21.75" customHeight="1" thickBot="1" x14ac:dyDescent="0.3">
      <c r="B6" s="41" t="s">
        <v>561</v>
      </c>
      <c r="C6" s="42" t="s">
        <v>562</v>
      </c>
    </row>
    <row r="7" spans="1:3" ht="60" x14ac:dyDescent="0.25">
      <c r="A7" s="43"/>
      <c r="B7" s="44" t="s">
        <v>563</v>
      </c>
      <c r="C7" s="45" t="s">
        <v>564</v>
      </c>
    </row>
    <row r="8" spans="1:3" ht="60" x14ac:dyDescent="0.25">
      <c r="A8" s="43"/>
      <c r="B8" s="46" t="s">
        <v>565</v>
      </c>
      <c r="C8" s="47" t="s">
        <v>566</v>
      </c>
    </row>
    <row r="9" spans="1:3" ht="60" x14ac:dyDescent="0.25">
      <c r="A9" s="43"/>
      <c r="B9" s="46" t="s">
        <v>567</v>
      </c>
      <c r="C9" s="47" t="s">
        <v>568</v>
      </c>
    </row>
    <row r="10" spans="1:3" ht="45" x14ac:dyDescent="0.25">
      <c r="A10" s="43"/>
      <c r="B10" s="46" t="s">
        <v>569</v>
      </c>
      <c r="C10" s="47" t="s">
        <v>570</v>
      </c>
    </row>
    <row r="11" spans="1:3" ht="60" x14ac:dyDescent="0.25">
      <c r="A11" s="43"/>
      <c r="B11" s="46" t="s">
        <v>571</v>
      </c>
      <c r="C11" s="47" t="s">
        <v>572</v>
      </c>
    </row>
    <row r="12" spans="1:3" ht="60" x14ac:dyDescent="0.25">
      <c r="A12" s="43"/>
      <c r="B12" s="46" t="s">
        <v>573</v>
      </c>
      <c r="C12" s="47" t="s">
        <v>574</v>
      </c>
    </row>
    <row r="13" spans="1:3" ht="60" x14ac:dyDescent="0.25">
      <c r="A13" s="43"/>
      <c r="B13" s="46" t="s">
        <v>575</v>
      </c>
      <c r="C13" s="47" t="s">
        <v>576</v>
      </c>
    </row>
    <row r="14" spans="1:3" ht="60" x14ac:dyDescent="0.25">
      <c r="A14" s="43"/>
      <c r="B14" s="46" t="s">
        <v>577</v>
      </c>
      <c r="C14" s="47" t="s">
        <v>578</v>
      </c>
    </row>
    <row r="15" spans="1:3" ht="60" x14ac:dyDescent="0.25">
      <c r="A15" s="43"/>
      <c r="B15" s="46" t="s">
        <v>579</v>
      </c>
      <c r="C15" s="47" t="s">
        <v>580</v>
      </c>
    </row>
    <row r="16" spans="1:3" ht="60" x14ac:dyDescent="0.25">
      <c r="A16" s="43"/>
      <c r="B16" s="46" t="s">
        <v>581</v>
      </c>
      <c r="C16" s="47" t="s">
        <v>582</v>
      </c>
    </row>
    <row r="17" spans="1:3" ht="60" x14ac:dyDescent="0.25">
      <c r="A17" s="43"/>
      <c r="B17" s="46" t="s">
        <v>583</v>
      </c>
      <c r="C17" s="47" t="s">
        <v>584</v>
      </c>
    </row>
    <row r="18" spans="1:3" ht="45" x14ac:dyDescent="0.25">
      <c r="A18" s="43"/>
      <c r="B18" s="46" t="s">
        <v>585</v>
      </c>
      <c r="C18" s="47" t="s">
        <v>586</v>
      </c>
    </row>
    <row r="19" spans="1:3" ht="60" x14ac:dyDescent="0.25">
      <c r="A19" s="43"/>
      <c r="B19" s="46" t="s">
        <v>587</v>
      </c>
      <c r="C19" s="47" t="s">
        <v>588</v>
      </c>
    </row>
    <row r="20" spans="1:3" ht="60" x14ac:dyDescent="0.25">
      <c r="A20" s="43"/>
      <c r="B20" s="46" t="s">
        <v>589</v>
      </c>
      <c r="C20" s="47" t="s">
        <v>590</v>
      </c>
    </row>
    <row r="21" spans="1:3" ht="75" x14ac:dyDescent="0.25">
      <c r="A21" s="43"/>
      <c r="B21" s="46" t="s">
        <v>591</v>
      </c>
      <c r="C21" s="47" t="s">
        <v>592</v>
      </c>
    </row>
    <row r="22" spans="1:3" ht="69" customHeight="1" x14ac:dyDescent="0.25">
      <c r="A22" s="43"/>
      <c r="B22" s="46" t="s">
        <v>593</v>
      </c>
      <c r="C22" s="47" t="s">
        <v>594</v>
      </c>
    </row>
    <row r="23" spans="1:3" ht="120.75" thickBot="1" x14ac:dyDescent="0.3">
      <c r="A23" s="43"/>
      <c r="B23" s="48" t="s">
        <v>595</v>
      </c>
      <c r="C23" s="49" t="s">
        <v>596</v>
      </c>
    </row>
  </sheetData>
  <hyperlinks>
    <hyperlink ref="B3" r:id="rId1" xr:uid="{4952D786-7392-4131-AFBF-21A12DB01ED0}"/>
    <hyperlink ref="B4" r:id="rId2" xr:uid="{191910E9-34A2-47B1-942F-CCA006C2CDA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CEAA-73DE-4312-BC92-60ECA2BF34CC}">
  <sheetPr filterMode="1"/>
  <dimension ref="A1:C38"/>
  <sheetViews>
    <sheetView workbookViewId="0">
      <selection activeCell="B6" sqref="B6:B7"/>
    </sheetView>
  </sheetViews>
  <sheetFormatPr baseColWidth="10" defaultRowHeight="15" x14ac:dyDescent="0.25"/>
  <cols>
    <col min="2" max="2" width="115.28515625" customWidth="1"/>
    <col min="3" max="3" width="8.28515625" style="50" customWidth="1"/>
  </cols>
  <sheetData>
    <row r="1" spans="1:3" x14ac:dyDescent="0.25">
      <c r="A1" t="s">
        <v>597</v>
      </c>
      <c r="B1" t="s">
        <v>598</v>
      </c>
    </row>
    <row r="2" spans="1:3" x14ac:dyDescent="0.25">
      <c r="B2" s="40" t="s">
        <v>599</v>
      </c>
    </row>
    <row r="3" spans="1:3" x14ac:dyDescent="0.25">
      <c r="C3" s="51" t="s">
        <v>600</v>
      </c>
    </row>
    <row r="4" spans="1:3" x14ac:dyDescent="0.25">
      <c r="A4" s="52" t="s">
        <v>601</v>
      </c>
      <c r="B4" s="53" t="s">
        <v>602</v>
      </c>
      <c r="C4" s="51" t="s">
        <v>603</v>
      </c>
    </row>
    <row r="5" spans="1:3" ht="30" hidden="1" x14ac:dyDescent="0.25">
      <c r="A5" s="870" t="s">
        <v>604</v>
      </c>
      <c r="B5" s="54" t="s">
        <v>605</v>
      </c>
      <c r="C5" s="51" t="s">
        <v>606</v>
      </c>
    </row>
    <row r="6" spans="1:3" hidden="1" x14ac:dyDescent="0.25">
      <c r="A6" s="870"/>
      <c r="B6" s="54" t="s">
        <v>607</v>
      </c>
      <c r="C6" s="51" t="s">
        <v>606</v>
      </c>
    </row>
    <row r="7" spans="1:3" ht="45" x14ac:dyDescent="0.25">
      <c r="A7" s="870"/>
      <c r="B7" s="54" t="s">
        <v>608</v>
      </c>
      <c r="C7" s="51" t="s">
        <v>603</v>
      </c>
    </row>
    <row r="8" spans="1:3" ht="30" hidden="1" x14ac:dyDescent="0.25">
      <c r="A8" s="870"/>
      <c r="B8" s="54" t="s">
        <v>609</v>
      </c>
      <c r="C8" s="51" t="s">
        <v>606</v>
      </c>
    </row>
    <row r="9" spans="1:3" ht="30" x14ac:dyDescent="0.25">
      <c r="A9" s="870"/>
      <c r="B9" s="54" t="s">
        <v>610</v>
      </c>
      <c r="C9" s="51" t="s">
        <v>603</v>
      </c>
    </row>
    <row r="10" spans="1:3" hidden="1" x14ac:dyDescent="0.25">
      <c r="A10" s="870"/>
      <c r="B10" s="54" t="s">
        <v>611</v>
      </c>
      <c r="C10" s="51" t="s">
        <v>606</v>
      </c>
    </row>
    <row r="11" spans="1:3" ht="30" hidden="1" x14ac:dyDescent="0.25">
      <c r="A11" s="870"/>
      <c r="B11" s="54" t="s">
        <v>612</v>
      </c>
      <c r="C11" s="51" t="s">
        <v>606</v>
      </c>
    </row>
    <row r="12" spans="1:3" hidden="1" x14ac:dyDescent="0.25">
      <c r="A12" s="870"/>
      <c r="B12" s="54" t="s">
        <v>613</v>
      </c>
      <c r="C12" s="51" t="s">
        <v>606</v>
      </c>
    </row>
    <row r="13" spans="1:3" ht="30" x14ac:dyDescent="0.25">
      <c r="A13" s="870"/>
      <c r="B13" s="54" t="s">
        <v>614</v>
      </c>
      <c r="C13" s="51" t="s">
        <v>603</v>
      </c>
    </row>
    <row r="14" spans="1:3" x14ac:dyDescent="0.25">
      <c r="A14" s="870"/>
      <c r="B14" s="54" t="s">
        <v>615</v>
      </c>
      <c r="C14" s="51" t="s">
        <v>603</v>
      </c>
    </row>
    <row r="15" spans="1:3" hidden="1" x14ac:dyDescent="0.25">
      <c r="A15" s="870"/>
      <c r="B15" s="54" t="s">
        <v>616</v>
      </c>
      <c r="C15" s="51" t="s">
        <v>606</v>
      </c>
    </row>
    <row r="16" spans="1:3" ht="30" hidden="1" x14ac:dyDescent="0.25">
      <c r="A16" s="870"/>
      <c r="B16" s="54" t="s">
        <v>617</v>
      </c>
      <c r="C16" s="51" t="s">
        <v>606</v>
      </c>
    </row>
    <row r="17" spans="1:3" x14ac:dyDescent="0.25">
      <c r="A17" s="55" t="s">
        <v>618</v>
      </c>
      <c r="B17" s="53" t="s">
        <v>619</v>
      </c>
      <c r="C17" s="51" t="s">
        <v>603</v>
      </c>
    </row>
    <row r="18" spans="1:3" ht="30" hidden="1" x14ac:dyDescent="0.25">
      <c r="A18" s="870" t="s">
        <v>604</v>
      </c>
      <c r="B18" s="54" t="s">
        <v>620</v>
      </c>
      <c r="C18" s="51" t="s">
        <v>606</v>
      </c>
    </row>
    <row r="19" spans="1:3" ht="30" x14ac:dyDescent="0.25">
      <c r="A19" s="870"/>
      <c r="B19" s="54" t="s">
        <v>621</v>
      </c>
      <c r="C19" s="51" t="s">
        <v>603</v>
      </c>
    </row>
    <row r="20" spans="1:3" ht="30" hidden="1" x14ac:dyDescent="0.25">
      <c r="A20" s="870"/>
      <c r="B20" s="54" t="s">
        <v>622</v>
      </c>
      <c r="C20" s="51" t="s">
        <v>606</v>
      </c>
    </row>
    <row r="21" spans="1:3" ht="30" hidden="1" x14ac:dyDescent="0.25">
      <c r="A21" s="870"/>
      <c r="B21" s="54" t="s">
        <v>623</v>
      </c>
      <c r="C21" s="51" t="s">
        <v>606</v>
      </c>
    </row>
    <row r="22" spans="1:3" hidden="1" x14ac:dyDescent="0.25">
      <c r="A22" s="870"/>
      <c r="B22" s="54" t="s">
        <v>624</v>
      </c>
      <c r="C22" s="51" t="s">
        <v>606</v>
      </c>
    </row>
    <row r="23" spans="1:3" ht="30" x14ac:dyDescent="0.25">
      <c r="A23" s="870"/>
      <c r="B23" s="56" t="s">
        <v>625</v>
      </c>
      <c r="C23" s="51" t="s">
        <v>603</v>
      </c>
    </row>
    <row r="24" spans="1:3" ht="30" hidden="1" x14ac:dyDescent="0.25">
      <c r="A24" s="870"/>
      <c r="B24" s="54" t="s">
        <v>626</v>
      </c>
      <c r="C24" s="51" t="s">
        <v>606</v>
      </c>
    </row>
    <row r="25" spans="1:3" x14ac:dyDescent="0.25">
      <c r="A25" s="870"/>
      <c r="B25" s="54" t="s">
        <v>627</v>
      </c>
      <c r="C25" s="51" t="s">
        <v>603</v>
      </c>
    </row>
    <row r="26" spans="1:3" x14ac:dyDescent="0.25">
      <c r="A26" s="55" t="s">
        <v>628</v>
      </c>
      <c r="B26" s="53" t="s">
        <v>629</v>
      </c>
      <c r="C26" s="51" t="s">
        <v>603</v>
      </c>
    </row>
    <row r="27" spans="1:3" ht="30" hidden="1" x14ac:dyDescent="0.25">
      <c r="A27" s="870" t="s">
        <v>604</v>
      </c>
      <c r="B27" s="54" t="s">
        <v>630</v>
      </c>
      <c r="C27" s="51" t="s">
        <v>606</v>
      </c>
    </row>
    <row r="28" spans="1:3" ht="30" x14ac:dyDescent="0.25">
      <c r="A28" s="870"/>
      <c r="B28" s="54" t="s">
        <v>631</v>
      </c>
      <c r="C28" s="51" t="s">
        <v>603</v>
      </c>
    </row>
    <row r="29" spans="1:3" ht="30" x14ac:dyDescent="0.25">
      <c r="A29" s="870"/>
      <c r="B29" s="54" t="s">
        <v>632</v>
      </c>
      <c r="C29" s="51" t="s">
        <v>603</v>
      </c>
    </row>
    <row r="30" spans="1:3" ht="30" hidden="1" x14ac:dyDescent="0.25">
      <c r="A30" s="870"/>
      <c r="B30" s="54" t="s">
        <v>633</v>
      </c>
      <c r="C30" s="51" t="s">
        <v>606</v>
      </c>
    </row>
    <row r="31" spans="1:3" ht="30" hidden="1" x14ac:dyDescent="0.25">
      <c r="A31" s="870"/>
      <c r="B31" s="54" t="s">
        <v>634</v>
      </c>
      <c r="C31" s="51" t="s">
        <v>606</v>
      </c>
    </row>
    <row r="32" spans="1:3" hidden="1" x14ac:dyDescent="0.25">
      <c r="A32" s="55" t="s">
        <v>635</v>
      </c>
      <c r="B32" s="53" t="s">
        <v>636</v>
      </c>
      <c r="C32" s="51" t="s">
        <v>606</v>
      </c>
    </row>
    <row r="33" spans="1:3" ht="45" hidden="1" x14ac:dyDescent="0.25">
      <c r="A33" s="57" t="s">
        <v>604</v>
      </c>
      <c r="B33" s="54" t="s">
        <v>637</v>
      </c>
      <c r="C33" s="51" t="s">
        <v>606</v>
      </c>
    </row>
    <row r="34" spans="1:3" x14ac:dyDescent="0.25">
      <c r="A34" s="55" t="s">
        <v>638</v>
      </c>
      <c r="B34" s="53" t="s">
        <v>639</v>
      </c>
      <c r="C34" s="51" t="s">
        <v>603</v>
      </c>
    </row>
    <row r="35" spans="1:3" ht="30" x14ac:dyDescent="0.25">
      <c r="A35" s="870" t="s">
        <v>604</v>
      </c>
      <c r="B35" s="56" t="s">
        <v>640</v>
      </c>
      <c r="C35" s="51" t="s">
        <v>603</v>
      </c>
    </row>
    <row r="36" spans="1:3" ht="30" hidden="1" x14ac:dyDescent="0.25">
      <c r="A36" s="870"/>
      <c r="B36" s="56" t="s">
        <v>641</v>
      </c>
      <c r="C36" s="51" t="s">
        <v>606</v>
      </c>
    </row>
    <row r="37" spans="1:3" x14ac:dyDescent="0.25">
      <c r="A37" s="870"/>
      <c r="B37" s="56" t="s">
        <v>642</v>
      </c>
      <c r="C37" s="51" t="s">
        <v>603</v>
      </c>
    </row>
    <row r="38" spans="1:3" x14ac:dyDescent="0.25">
      <c r="A38" s="870"/>
      <c r="B38" s="56" t="s">
        <v>643</v>
      </c>
      <c r="C38" s="51" t="s">
        <v>603</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9E3F72FF-24ED-4003-A5D5-942B8E1CBBBA}"/>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7D49-7EA2-468B-BDC9-B01357C5BE6D}">
  <dimension ref="A1:C21"/>
  <sheetViews>
    <sheetView workbookViewId="0">
      <selection activeCell="B6" sqref="B6:B7"/>
    </sheetView>
  </sheetViews>
  <sheetFormatPr baseColWidth="10" defaultRowHeight="15" x14ac:dyDescent="0.25"/>
  <cols>
    <col min="1" max="1" width="9.28515625" customWidth="1"/>
    <col min="2" max="3" width="37.85546875" style="58" customWidth="1"/>
  </cols>
  <sheetData>
    <row r="1" spans="1:3" ht="38.25" customHeight="1" x14ac:dyDescent="0.25">
      <c r="A1" s="50" t="s">
        <v>597</v>
      </c>
      <c r="B1" s="871" t="s">
        <v>644</v>
      </c>
      <c r="C1" s="871"/>
    </row>
    <row r="2" spans="1:3" ht="15.75" thickBot="1" x14ac:dyDescent="0.3"/>
    <row r="3" spans="1:3" ht="21.75" customHeight="1" thickBot="1" x14ac:dyDescent="0.3">
      <c r="B3" s="59" t="s">
        <v>645</v>
      </c>
      <c r="C3" s="60" t="s">
        <v>646</v>
      </c>
    </row>
    <row r="4" spans="1:3" x14ac:dyDescent="0.25">
      <c r="B4" s="872" t="s">
        <v>647</v>
      </c>
      <c r="C4" s="61" t="s">
        <v>648</v>
      </c>
    </row>
    <row r="5" spans="1:3" x14ac:dyDescent="0.25">
      <c r="B5" s="873"/>
      <c r="C5" s="62" t="s">
        <v>649</v>
      </c>
    </row>
    <row r="6" spans="1:3" ht="21" customHeight="1" x14ac:dyDescent="0.25">
      <c r="B6" s="873" t="s">
        <v>650</v>
      </c>
      <c r="C6" s="62" t="s">
        <v>651</v>
      </c>
    </row>
    <row r="7" spans="1:3" ht="30" x14ac:dyDescent="0.25">
      <c r="B7" s="873"/>
      <c r="C7" s="62" t="s">
        <v>652</v>
      </c>
    </row>
    <row r="8" spans="1:3" ht="30" x14ac:dyDescent="0.25">
      <c r="B8" s="873" t="s">
        <v>653</v>
      </c>
      <c r="C8" s="62" t="s">
        <v>654</v>
      </c>
    </row>
    <row r="9" spans="1:3" x14ac:dyDescent="0.25">
      <c r="B9" s="873"/>
      <c r="C9" s="62" t="s">
        <v>655</v>
      </c>
    </row>
    <row r="10" spans="1:3" x14ac:dyDescent="0.25">
      <c r="B10" s="873"/>
      <c r="C10" s="62" t="s">
        <v>656</v>
      </c>
    </row>
    <row r="11" spans="1:3" x14ac:dyDescent="0.25">
      <c r="B11" s="873"/>
      <c r="C11" s="62" t="s">
        <v>657</v>
      </c>
    </row>
    <row r="12" spans="1:3" x14ac:dyDescent="0.25">
      <c r="B12" s="873"/>
      <c r="C12" s="62" t="s">
        <v>658</v>
      </c>
    </row>
    <row r="13" spans="1:3" x14ac:dyDescent="0.25">
      <c r="B13" s="873"/>
      <c r="C13" s="62" t="s">
        <v>659</v>
      </c>
    </row>
    <row r="14" spans="1:3" x14ac:dyDescent="0.25">
      <c r="B14" s="873"/>
      <c r="C14" s="62" t="s">
        <v>660</v>
      </c>
    </row>
    <row r="15" spans="1:3" ht="30" x14ac:dyDescent="0.25">
      <c r="B15" s="873"/>
      <c r="C15" s="62" t="s">
        <v>661</v>
      </c>
    </row>
    <row r="16" spans="1:3" ht="30" x14ac:dyDescent="0.25">
      <c r="B16" s="63" t="s">
        <v>662</v>
      </c>
      <c r="C16" s="62" t="s">
        <v>663</v>
      </c>
    </row>
    <row r="17" spans="2:3" x14ac:dyDescent="0.25">
      <c r="B17" s="873" t="s">
        <v>664</v>
      </c>
      <c r="C17" s="62" t="s">
        <v>665</v>
      </c>
    </row>
    <row r="18" spans="2:3" ht="30" x14ac:dyDescent="0.25">
      <c r="B18" s="873"/>
      <c r="C18" s="62" t="s">
        <v>666</v>
      </c>
    </row>
    <row r="19" spans="2:3" x14ac:dyDescent="0.25">
      <c r="B19" s="873"/>
      <c r="C19" s="62" t="s">
        <v>667</v>
      </c>
    </row>
    <row r="20" spans="2:3" ht="30" x14ac:dyDescent="0.25">
      <c r="B20" s="63" t="s">
        <v>668</v>
      </c>
      <c r="C20" s="62" t="s">
        <v>668</v>
      </c>
    </row>
    <row r="21" spans="2:3" ht="15.75" thickBot="1" x14ac:dyDescent="0.3">
      <c r="B21" s="64" t="s">
        <v>669</v>
      </c>
      <c r="C21" s="65" t="s">
        <v>669</v>
      </c>
    </row>
  </sheetData>
  <mergeCells count="5">
    <mergeCell ref="B1:C1"/>
    <mergeCell ref="B4:B5"/>
    <mergeCell ref="B6:B7"/>
    <mergeCell ref="B8:B15"/>
    <mergeCell ref="B17:B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609E-BD51-4C29-8789-FA26687F033A}">
  <dimension ref="A1:H23"/>
  <sheetViews>
    <sheetView workbookViewId="0">
      <selection activeCell="A19" sqref="A19"/>
    </sheetView>
  </sheetViews>
  <sheetFormatPr baseColWidth="10" defaultRowHeight="12" x14ac:dyDescent="0.2"/>
  <cols>
    <col min="1" max="1" width="59.140625" style="6" customWidth="1"/>
    <col min="2" max="2" width="2.5703125" style="6" customWidth="1"/>
    <col min="3" max="3" width="125.7109375" style="6" customWidth="1"/>
    <col min="4" max="4" width="5.140625" style="6" customWidth="1"/>
    <col min="5" max="7" width="4.5703125" style="6" customWidth="1"/>
    <col min="8" max="8" width="5.140625" style="6" customWidth="1"/>
    <col min="9" max="16384" width="11.42578125" style="6"/>
  </cols>
  <sheetData>
    <row r="1" spans="1:8" x14ac:dyDescent="0.2">
      <c r="D1" s="11" t="s">
        <v>66</v>
      </c>
      <c r="E1" s="11" t="s">
        <v>67</v>
      </c>
      <c r="F1" s="11" t="s">
        <v>68</v>
      </c>
      <c r="G1" s="11" t="s">
        <v>69</v>
      </c>
      <c r="H1" s="11" t="s">
        <v>70</v>
      </c>
    </row>
    <row r="2" spans="1:8" x14ac:dyDescent="0.2">
      <c r="A2" s="8" t="s">
        <v>43</v>
      </c>
      <c r="C2" s="8" t="s">
        <v>57</v>
      </c>
      <c r="D2" s="14" t="str">
        <f>+C3</f>
        <v>1. Consolidar una oferta de contenidos de interés ciudadano en diferentes formatos y plataformas que promuevan la participación de la ciudadanía.</v>
      </c>
      <c r="E2" s="14" t="str">
        <f>+C4</f>
        <v>2. Implementar prácticas de innovación en diseño, gestión, producción y circulación de contenidos para el posicionamiento del Sistema de Comunicación Pública en la Bogotá Región y la generación de múltiples audiencias ciudadanas.</v>
      </c>
      <c r="F2" s="14" t="str">
        <f>+C5</f>
        <v xml:space="preserve">3. Generar una cultura digital y de gestión del conocimiento para la optimización de los procesos internos y externos.  </v>
      </c>
      <c r="G2" s="14" t="str">
        <f>+C6</f>
        <v xml:space="preserve">4. Consolidar a Capital como una empresa que desarrolla nuevas estrategias de negocios de comunicación pública. </v>
      </c>
      <c r="H2" s="14" t="str">
        <f>+C7</f>
        <v xml:space="preserve">5. Fortalecer la capacidad organizacional de Capital para ser una empresa transparente, eficiente y sostenible. </v>
      </c>
    </row>
    <row r="3" spans="1:8" x14ac:dyDescent="0.2">
      <c r="A3" s="7" t="s">
        <v>46</v>
      </c>
      <c r="C3" s="7" t="s">
        <v>38</v>
      </c>
      <c r="D3" s="12" t="str">
        <f>+C10</f>
        <v>1. Diseñar y desarrollar actividades de cocreación con las audiencias y el sector para ser una marca querida por la ciudadanía, reconocida por la industria y creadora de contenidos innovadores y de calidad.</v>
      </c>
      <c r="E3" s="12" t="str">
        <f>+C10</f>
        <v>1. Diseñar y desarrollar actividades de cocreación con las audiencias y el sector para ser una marca querida por la ciudadanía, reconocida por la industria y creadora de contenidos innovadores y de calidad.</v>
      </c>
      <c r="F3" s="12" t="str">
        <f>+C14</f>
        <v>5. Realizar el diagnóstico, diseño e implementación de una estructura administrativa acorde a las necesidades de Capital.</v>
      </c>
      <c r="G3" s="12" t="str">
        <f>+C12</f>
        <v>3. Realizar el diseño, desarrollo, producción y programación en diferentes plataformas para audiencias por nichos.</v>
      </c>
      <c r="H3" s="12" t="str">
        <f>+C14</f>
        <v>5. Realizar el diagnóstico, diseño e implementación de una estructura administrativa acorde a las necesidades de Capital.</v>
      </c>
    </row>
    <row r="4" spans="1:8" x14ac:dyDescent="0.2">
      <c r="A4" s="7" t="s">
        <v>47</v>
      </c>
      <c r="C4" s="7" t="s">
        <v>39</v>
      </c>
      <c r="D4" s="12" t="str">
        <f>+C11</f>
        <v>2. Conocer audiencias potenciales de Bogotá-Región en las distintas plataformas. (Identificar, caracterizar y perfilar).</v>
      </c>
      <c r="E4" s="12" t="str">
        <f>+C13</f>
        <v>4. Diseñar y desarrollar mecanismos de apropiación de la marca Capital por parte de la ciudadanía.</v>
      </c>
      <c r="F4" s="12" t="str">
        <f>+C15</f>
        <v>6. Articular los procesos y flujos de trabajo a la estructura de Capital.</v>
      </c>
      <c r="G4" s="12" t="str">
        <f>+C13</f>
        <v>4. Diseñar y desarrollar mecanismos de apropiación de la marca Capital por parte de la ciudadanía.</v>
      </c>
      <c r="H4" s="12" t="str">
        <f>+C15</f>
        <v>6. Articular los procesos y flujos de trabajo a la estructura de Capital.</v>
      </c>
    </row>
    <row r="5" spans="1:8" x14ac:dyDescent="0.2">
      <c r="A5" s="7" t="s">
        <v>48</v>
      </c>
      <c r="C5" s="7" t="s">
        <v>40</v>
      </c>
      <c r="D5" s="12" t="str">
        <f>+C12</f>
        <v>3. Realizar el diseño, desarrollo, producción y programación en diferentes plataformas para audiencias por nichos.</v>
      </c>
      <c r="E5" s="12" t="str">
        <f>+C14</f>
        <v>5. Realizar el diagnóstico, diseño e implementación de una estructura administrativa acorde a las necesidades de Capital.</v>
      </c>
      <c r="F5" s="12" t="str">
        <f>+C16</f>
        <v>7. Adelantar fases de diagnóstico, actualización e implementación de una cultura digital y de gestión del conocimiento.</v>
      </c>
      <c r="G5" s="12" t="str">
        <f>+C17</f>
        <v>8. Lograr una articulación estratégica con aliados públicos y privados, gracias a la gestión de un modelo de industria eficiente, productiva y sostenible.</v>
      </c>
      <c r="H5" s="12" t="str">
        <f>+C16</f>
        <v>7. Adelantar fases de diagnóstico, actualización e implementación de una cultura digital y de gestión del conocimiento.</v>
      </c>
    </row>
    <row r="6" spans="1:8" x14ac:dyDescent="0.2">
      <c r="C6" s="7" t="s">
        <v>41</v>
      </c>
      <c r="D6" s="12" t="str">
        <f>+C13</f>
        <v>4. Diseñar y desarrollar mecanismos de apropiación de la marca Capital por parte de la ciudadanía.</v>
      </c>
      <c r="E6" s="12" t="str">
        <f>+C18</f>
        <v>9. Promover el relacionamiento con la ciudadanía y grupos poblacionales, a través de diferentes mecanismos, plataformas y herramientas.</v>
      </c>
      <c r="F6" s="12"/>
      <c r="G6" s="12" t="str">
        <f>+C18</f>
        <v>9. Promover el relacionamiento con la ciudadanía y grupos poblacionales, a través de diferentes mecanismos, plataformas y herramientas.</v>
      </c>
      <c r="H6" s="12"/>
    </row>
    <row r="7" spans="1:8" x14ac:dyDescent="0.2">
      <c r="A7" s="8" t="s">
        <v>45</v>
      </c>
      <c r="C7" s="7" t="s">
        <v>42</v>
      </c>
      <c r="D7" s="12" t="str">
        <f>+C18</f>
        <v>9. Promover el relacionamiento con la ciudadanía y grupos poblacionales, a través de diferentes mecanismos, plataformas y herramientas.</v>
      </c>
      <c r="E7" s="13"/>
      <c r="F7" s="13"/>
      <c r="G7" s="13"/>
      <c r="H7" s="13"/>
    </row>
    <row r="8" spans="1:8" x14ac:dyDescent="0.2">
      <c r="A8" s="7" t="s">
        <v>49</v>
      </c>
    </row>
    <row r="9" spans="1:8" x14ac:dyDescent="0.2">
      <c r="A9" s="7" t="s">
        <v>50</v>
      </c>
      <c r="C9" s="8" t="s">
        <v>58</v>
      </c>
    </row>
    <row r="10" spans="1:8" x14ac:dyDescent="0.2">
      <c r="A10" s="7" t="s">
        <v>51</v>
      </c>
      <c r="C10" s="12" t="s">
        <v>59</v>
      </c>
    </row>
    <row r="11" spans="1:8" x14ac:dyDescent="0.2">
      <c r="C11" s="12" t="s">
        <v>60</v>
      </c>
    </row>
    <row r="12" spans="1:8" x14ac:dyDescent="0.2">
      <c r="A12" s="8" t="s">
        <v>56</v>
      </c>
      <c r="C12" s="12" t="s">
        <v>63</v>
      </c>
    </row>
    <row r="13" spans="1:8" x14ac:dyDescent="0.2">
      <c r="A13" s="9" t="s">
        <v>52</v>
      </c>
      <c r="C13" s="12" t="s">
        <v>62</v>
      </c>
    </row>
    <row r="14" spans="1:8" x14ac:dyDescent="0.2">
      <c r="A14" s="9" t="s">
        <v>53</v>
      </c>
      <c r="C14" s="12" t="s">
        <v>88</v>
      </c>
    </row>
    <row r="15" spans="1:8" x14ac:dyDescent="0.2">
      <c r="A15" s="9" t="s">
        <v>54</v>
      </c>
      <c r="C15" s="12" t="s">
        <v>61</v>
      </c>
    </row>
    <row r="16" spans="1:8" x14ac:dyDescent="0.2">
      <c r="A16" s="9" t="s">
        <v>55</v>
      </c>
      <c r="C16" s="12" t="s">
        <v>65</v>
      </c>
    </row>
    <row r="17" spans="1:3" x14ac:dyDescent="0.2">
      <c r="C17" s="12" t="s">
        <v>64</v>
      </c>
    </row>
    <row r="18" spans="1:3" x14ac:dyDescent="0.2">
      <c r="A18" s="8" t="s">
        <v>1063</v>
      </c>
      <c r="C18" s="12" t="s">
        <v>829</v>
      </c>
    </row>
    <row r="19" spans="1:3" x14ac:dyDescent="0.2">
      <c r="A19" s="9" t="s">
        <v>1112</v>
      </c>
    </row>
    <row r="20" spans="1:3" x14ac:dyDescent="0.2">
      <c r="A20" s="452" t="s">
        <v>23</v>
      </c>
    </row>
    <row r="21" spans="1:3" x14ac:dyDescent="0.2">
      <c r="A21" s="9" t="s">
        <v>24</v>
      </c>
    </row>
    <row r="22" spans="1:3" x14ac:dyDescent="0.2">
      <c r="A22" s="9" t="s">
        <v>25</v>
      </c>
    </row>
    <row r="23" spans="1:3" x14ac:dyDescent="0.2">
      <c r="A23" s="9" t="s">
        <v>26</v>
      </c>
    </row>
  </sheetData>
  <phoneticPr fontId="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E802E-1286-4492-ADC1-406CD062867A}">
  <dimension ref="A1:T45"/>
  <sheetViews>
    <sheetView showGridLines="0" zoomScale="90" zoomScaleNormal="90" workbookViewId="0">
      <selection activeCell="J14" sqref="J14"/>
    </sheetView>
  </sheetViews>
  <sheetFormatPr baseColWidth="10" defaultColWidth="0" defaultRowHeight="15" customHeight="1" zeroHeight="1" x14ac:dyDescent="0.25"/>
  <cols>
    <col min="1" max="1" width="2.5703125" customWidth="1"/>
    <col min="2" max="2" width="5" customWidth="1"/>
    <col min="3" max="3" width="42.28515625" customWidth="1"/>
    <col min="4" max="8" width="13" customWidth="1"/>
    <col min="9" max="9" width="6" customWidth="1"/>
    <col min="10" max="10" width="20.7109375" customWidth="1"/>
    <col min="11" max="11" width="10.42578125" customWidth="1"/>
    <col min="12" max="12" width="5.85546875" customWidth="1"/>
    <col min="13" max="13" width="11.42578125" customWidth="1"/>
    <col min="14" max="14" width="17.5703125" customWidth="1"/>
    <col min="15" max="19" width="11.42578125" customWidth="1"/>
    <col min="20" max="20" width="2.5703125" customWidth="1"/>
    <col min="21" max="16384" width="11.42578125" hidden="1"/>
  </cols>
  <sheetData>
    <row r="1" spans="3:11" ht="7.5" customHeight="1" thickBot="1" x14ac:dyDescent="0.3"/>
    <row r="2" spans="3:11" ht="26.25" thickBot="1" x14ac:dyDescent="0.3">
      <c r="C2" s="454" t="s">
        <v>10</v>
      </c>
      <c r="D2" s="500" t="s">
        <v>1082</v>
      </c>
      <c r="E2" s="484" t="s">
        <v>25</v>
      </c>
      <c r="F2" s="485" t="s">
        <v>24</v>
      </c>
      <c r="G2" s="486" t="s">
        <v>23</v>
      </c>
      <c r="H2" s="487" t="s">
        <v>1064</v>
      </c>
    </row>
    <row r="3" spans="3:11" ht="42.75" customHeight="1" x14ac:dyDescent="0.25">
      <c r="C3" s="481" t="s">
        <v>1080</v>
      </c>
      <c r="D3" s="455">
        <v>10</v>
      </c>
      <c r="E3" s="456">
        <v>2</v>
      </c>
      <c r="F3" s="456" t="s">
        <v>1065</v>
      </c>
      <c r="G3" s="456" t="s">
        <v>1065</v>
      </c>
      <c r="H3" s="457">
        <v>1</v>
      </c>
    </row>
    <row r="4" spans="3:11" ht="68.25" customHeight="1" x14ac:dyDescent="0.25">
      <c r="C4" s="482" t="s">
        <v>1066</v>
      </c>
      <c r="D4" s="455">
        <v>4</v>
      </c>
      <c r="E4" s="456">
        <v>1</v>
      </c>
      <c r="F4" s="456" t="s">
        <v>1065</v>
      </c>
      <c r="G4" s="456" t="s">
        <v>1065</v>
      </c>
      <c r="H4" s="457" t="s">
        <v>1065</v>
      </c>
    </row>
    <row r="5" spans="3:11" ht="46.5" customHeight="1" x14ac:dyDescent="0.25">
      <c r="C5" s="482" t="s">
        <v>1067</v>
      </c>
      <c r="D5" s="455">
        <v>1</v>
      </c>
      <c r="E5" s="456">
        <v>1</v>
      </c>
      <c r="F5" s="456">
        <v>1</v>
      </c>
      <c r="G5" s="456" t="s">
        <v>1065</v>
      </c>
      <c r="H5" s="457">
        <v>2</v>
      </c>
    </row>
    <row r="6" spans="3:11" ht="60" customHeight="1" x14ac:dyDescent="0.25">
      <c r="C6" s="482" t="s">
        <v>1068</v>
      </c>
      <c r="D6" s="455">
        <v>13</v>
      </c>
      <c r="E6" s="456" t="s">
        <v>1065</v>
      </c>
      <c r="F6" s="456" t="s">
        <v>1065</v>
      </c>
      <c r="G6" s="456" t="s">
        <v>1065</v>
      </c>
      <c r="H6" s="457" t="s">
        <v>1065</v>
      </c>
    </row>
    <row r="7" spans="3:11" ht="42" customHeight="1" x14ac:dyDescent="0.25">
      <c r="C7" s="482" t="s">
        <v>1069</v>
      </c>
      <c r="D7" s="455">
        <v>3</v>
      </c>
      <c r="E7" s="456">
        <v>1</v>
      </c>
      <c r="F7" s="456" t="s">
        <v>1065</v>
      </c>
      <c r="G7" s="456">
        <v>2</v>
      </c>
      <c r="H7" s="457" t="s">
        <v>1065</v>
      </c>
    </row>
    <row r="8" spans="3:11" ht="30.75" customHeight="1" thickBot="1" x14ac:dyDescent="0.3">
      <c r="C8" s="483" t="s">
        <v>669</v>
      </c>
      <c r="D8" s="458">
        <v>2</v>
      </c>
      <c r="E8" s="459" t="s">
        <v>1065</v>
      </c>
      <c r="F8" s="459" t="s">
        <v>1065</v>
      </c>
      <c r="G8" s="459" t="s">
        <v>1065</v>
      </c>
      <c r="H8" s="460">
        <v>4</v>
      </c>
    </row>
    <row r="9" spans="3:11" x14ac:dyDescent="0.25"/>
    <row r="10" spans="3:11" x14ac:dyDescent="0.25">
      <c r="C10" s="461">
        <f>G16/(D16*F11)</f>
        <v>0.78645833333333337</v>
      </c>
      <c r="D10" s="462" t="s">
        <v>1070</v>
      </c>
      <c r="E10" s="462" t="s">
        <v>1071</v>
      </c>
      <c r="F10" s="463" t="s">
        <v>682</v>
      </c>
      <c r="G10" s="462" t="s">
        <v>1072</v>
      </c>
      <c r="J10" s="464" t="s">
        <v>1073</v>
      </c>
      <c r="K10" s="465">
        <v>0.3</v>
      </c>
    </row>
    <row r="11" spans="3:11" x14ac:dyDescent="0.25">
      <c r="C11" s="466" t="s">
        <v>26</v>
      </c>
      <c r="D11" s="462">
        <f>SUM(D3:D8)</f>
        <v>33</v>
      </c>
      <c r="E11" s="467">
        <f>D11/$D$16</f>
        <v>0.6875</v>
      </c>
      <c r="F11" s="51">
        <v>4</v>
      </c>
      <c r="G11" s="51">
        <f>D11*F11</f>
        <v>132</v>
      </c>
      <c r="J11" s="468" t="s">
        <v>24</v>
      </c>
      <c r="K11" s="465">
        <v>0.3</v>
      </c>
    </row>
    <row r="12" spans="3:11" x14ac:dyDescent="0.25">
      <c r="C12" s="469" t="s">
        <v>25</v>
      </c>
      <c r="D12" s="462">
        <f>SUM(E3:E8)</f>
        <v>5</v>
      </c>
      <c r="E12" s="467">
        <f t="shared" ref="E12:E15" si="0">D12/$D$16</f>
        <v>0.10416666666666667</v>
      </c>
      <c r="F12" s="51">
        <v>3</v>
      </c>
      <c r="G12" s="51">
        <f>D12*F12</f>
        <v>15</v>
      </c>
      <c r="J12" s="470" t="s">
        <v>25</v>
      </c>
      <c r="K12" s="465">
        <v>0.3</v>
      </c>
    </row>
    <row r="13" spans="3:11" x14ac:dyDescent="0.25">
      <c r="C13" s="471" t="s">
        <v>24</v>
      </c>
      <c r="D13" s="462">
        <f>SUM(F3:F8)</f>
        <v>1</v>
      </c>
      <c r="E13" s="467">
        <f t="shared" si="0"/>
        <v>2.0833333333333332E-2</v>
      </c>
      <c r="F13" s="51">
        <v>2</v>
      </c>
      <c r="G13" s="51">
        <f>D13*F13</f>
        <v>2</v>
      </c>
      <c r="J13" s="472" t="s">
        <v>26</v>
      </c>
      <c r="K13" s="465">
        <v>0.1</v>
      </c>
    </row>
    <row r="14" spans="3:11" x14ac:dyDescent="0.25">
      <c r="C14" s="473" t="s">
        <v>23</v>
      </c>
      <c r="D14" s="462">
        <f>SUM(G3:G8)</f>
        <v>2</v>
      </c>
      <c r="E14" s="467">
        <f t="shared" si="0"/>
        <v>4.1666666666666664E-2</v>
      </c>
      <c r="F14" s="51">
        <v>1</v>
      </c>
      <c r="G14" s="51">
        <f>D14*F14</f>
        <v>2</v>
      </c>
      <c r="J14" s="462" t="s">
        <v>1074</v>
      </c>
      <c r="K14" s="474">
        <f>SUM(K10:K13)</f>
        <v>0.99999999999999989</v>
      </c>
    </row>
    <row r="15" spans="3:11" x14ac:dyDescent="0.25">
      <c r="C15" s="488" t="s">
        <v>1064</v>
      </c>
      <c r="D15" s="462">
        <f>SUM(H3:H8)</f>
        <v>7</v>
      </c>
      <c r="E15" s="467">
        <f t="shared" si="0"/>
        <v>0.14583333333333334</v>
      </c>
      <c r="F15" s="51">
        <v>0</v>
      </c>
      <c r="G15" s="51">
        <f>D15*F15</f>
        <v>0</v>
      </c>
      <c r="J15" s="501"/>
      <c r="K15" s="502"/>
    </row>
    <row r="16" spans="3:11" x14ac:dyDescent="0.25">
      <c r="C16" s="475" t="s">
        <v>1074</v>
      </c>
      <c r="D16" s="476">
        <f>SUM(D11:D15)</f>
        <v>48</v>
      </c>
      <c r="E16" s="477"/>
      <c r="F16" s="43"/>
      <c r="G16" s="476">
        <f>SUM(G11:G15)</f>
        <v>151</v>
      </c>
      <c r="J16" s="537" t="s">
        <v>1075</v>
      </c>
      <c r="K16" s="538">
        <f>C10</f>
        <v>0.78645833333333337</v>
      </c>
    </row>
    <row r="17" spans="2:11" x14ac:dyDescent="0.25">
      <c r="J17" s="537" t="s">
        <v>1077</v>
      </c>
      <c r="K17" s="539">
        <f>K16-K18/2</f>
        <v>0.77645833333333336</v>
      </c>
    </row>
    <row r="18" spans="2:11" x14ac:dyDescent="0.25">
      <c r="C18" s="476" t="s">
        <v>1076</v>
      </c>
      <c r="D18" s="479">
        <f>C10*25%</f>
        <v>0.19661458333333334</v>
      </c>
      <c r="J18" s="537" t="s">
        <v>1078</v>
      </c>
      <c r="K18" s="540">
        <v>0.02</v>
      </c>
    </row>
    <row r="19" spans="2:11" x14ac:dyDescent="0.25">
      <c r="C19" s="476"/>
      <c r="D19" s="479"/>
      <c r="J19" s="537" t="s">
        <v>1079</v>
      </c>
      <c r="K19" s="539">
        <f>SUM(K10:K14)-K17-K18</f>
        <v>1.2035416666666663</v>
      </c>
    </row>
    <row r="20" spans="2:11" ht="15.75" thickBot="1" x14ac:dyDescent="0.3"/>
    <row r="21" spans="2:11" ht="26.25" thickBot="1" x14ac:dyDescent="0.3">
      <c r="B21" s="683" t="s">
        <v>1</v>
      </c>
      <c r="C21" s="684"/>
      <c r="D21" s="512" t="s">
        <v>1082</v>
      </c>
      <c r="E21" s="489" t="s">
        <v>25</v>
      </c>
      <c r="F21" s="490" t="s">
        <v>24</v>
      </c>
      <c r="G21" s="491" t="s">
        <v>23</v>
      </c>
      <c r="H21" s="507" t="s">
        <v>1064</v>
      </c>
      <c r="I21" s="508" t="s">
        <v>1074</v>
      </c>
      <c r="J21" s="509" t="s">
        <v>1084</v>
      </c>
      <c r="K21" s="510" t="s">
        <v>1083</v>
      </c>
    </row>
    <row r="22" spans="2:11" ht="58.5" customHeight="1" x14ac:dyDescent="0.25">
      <c r="B22" s="522" t="s">
        <v>1085</v>
      </c>
      <c r="C22" s="523" t="s">
        <v>38</v>
      </c>
      <c r="D22" s="513">
        <v>4</v>
      </c>
      <c r="E22" s="496">
        <v>1</v>
      </c>
      <c r="F22" s="496">
        <v>0</v>
      </c>
      <c r="G22" s="496">
        <v>0</v>
      </c>
      <c r="H22" s="496">
        <v>0</v>
      </c>
      <c r="I22" s="494">
        <f>SUM(D22:H22)</f>
        <v>5</v>
      </c>
      <c r="J22" s="511" t="s">
        <v>1082</v>
      </c>
      <c r="K22" s="506">
        <f>((D22*$F$11)+(E22*$F$12)+(F22*$F$13)+(G22*$F$14)+(H22*$F$15))/(I22*$F$11)</f>
        <v>0.95</v>
      </c>
    </row>
    <row r="23" spans="2:11" ht="83.25" customHeight="1" x14ac:dyDescent="0.25">
      <c r="B23" s="518" t="s">
        <v>1086</v>
      </c>
      <c r="C23" s="519" t="s">
        <v>39</v>
      </c>
      <c r="D23" s="514">
        <v>3</v>
      </c>
      <c r="E23" s="456">
        <v>0</v>
      </c>
      <c r="F23" s="456">
        <v>0</v>
      </c>
      <c r="G23" s="456">
        <v>0</v>
      </c>
      <c r="H23" s="456">
        <v>0</v>
      </c>
      <c r="I23" s="51">
        <f t="shared" ref="I23:I26" si="1">SUM(D23:H23)</f>
        <v>3</v>
      </c>
      <c r="J23" s="503" t="s">
        <v>1082</v>
      </c>
      <c r="K23" s="504">
        <f>((D23*$F$11)+(E23*$F$12)+(F23*$F$13)+(G23*$F$14)+(H23*$F$15))/(I23*$F$11)</f>
        <v>1</v>
      </c>
    </row>
    <row r="24" spans="2:11" ht="43.5" customHeight="1" x14ac:dyDescent="0.25">
      <c r="B24" s="518" t="s">
        <v>1087</v>
      </c>
      <c r="C24" s="519" t="s">
        <v>40</v>
      </c>
      <c r="D24" s="514">
        <v>5</v>
      </c>
      <c r="E24" s="456">
        <v>0</v>
      </c>
      <c r="F24" s="456">
        <v>0</v>
      </c>
      <c r="G24" s="456">
        <v>0</v>
      </c>
      <c r="H24" s="456">
        <v>0</v>
      </c>
      <c r="I24" s="51">
        <f t="shared" si="1"/>
        <v>5</v>
      </c>
      <c r="J24" s="503" t="s">
        <v>1082</v>
      </c>
      <c r="K24" s="504">
        <f>((D24*$F$11)+(E24*$F$12)+(F24*$F$13)+(G24*$F$14)+(H24*$F$15))/(I24*$F$11)</f>
        <v>1</v>
      </c>
    </row>
    <row r="25" spans="2:11" ht="43.5" customHeight="1" x14ac:dyDescent="0.25">
      <c r="B25" s="518" t="s">
        <v>1088</v>
      </c>
      <c r="C25" s="519" t="s">
        <v>41</v>
      </c>
      <c r="D25" s="514">
        <v>0</v>
      </c>
      <c r="E25" s="456">
        <v>1</v>
      </c>
      <c r="F25" s="456">
        <v>0</v>
      </c>
      <c r="G25" s="456">
        <v>0</v>
      </c>
      <c r="H25" s="456">
        <v>1</v>
      </c>
      <c r="I25" s="51">
        <f t="shared" si="1"/>
        <v>2</v>
      </c>
      <c r="J25" s="468" t="s">
        <v>24</v>
      </c>
      <c r="K25" s="516">
        <f>((D25*$F$11)+(E25*$F$12)+(F25*$F$13)+(G25*$F$14)+(H25*$F$15))/(I25*$F$11)</f>
        <v>0.375</v>
      </c>
    </row>
    <row r="26" spans="2:11" ht="46.5" customHeight="1" thickBot="1" x14ac:dyDescent="0.3">
      <c r="B26" s="520" t="s">
        <v>1089</v>
      </c>
      <c r="C26" s="521" t="s">
        <v>42</v>
      </c>
      <c r="D26" s="517">
        <v>21</v>
      </c>
      <c r="E26" s="459">
        <v>3</v>
      </c>
      <c r="F26" s="459">
        <v>1</v>
      </c>
      <c r="G26" s="459">
        <v>2</v>
      </c>
      <c r="H26" s="459">
        <v>6</v>
      </c>
      <c r="I26" s="495">
        <f t="shared" si="1"/>
        <v>33</v>
      </c>
      <c r="J26" s="515" t="s">
        <v>25</v>
      </c>
      <c r="K26" s="505">
        <f>((D26*$F$11)+(E26*$F$12)+(F26*$F$13)+(G26*$F$14)+(H26*$F$15))/(I26*$F$11)</f>
        <v>0.73484848484848486</v>
      </c>
    </row>
    <row r="27" spans="2:11" x14ac:dyDescent="0.25">
      <c r="D27" s="417">
        <f>SUM(D22:D26)</f>
        <v>33</v>
      </c>
      <c r="E27" s="417">
        <f>SUM(E22:E26)</f>
        <v>5</v>
      </c>
      <c r="F27" s="417">
        <f>SUM(F22:F26)</f>
        <v>1</v>
      </c>
      <c r="G27" s="417">
        <f>SUM(G22:G26)</f>
        <v>2</v>
      </c>
      <c r="H27" s="417">
        <f>SUM(H22:H26)</f>
        <v>7</v>
      </c>
      <c r="J27" s="478"/>
      <c r="K27" s="480"/>
    </row>
    <row r="28" spans="2:11" ht="15.75" thickBot="1" x14ac:dyDescent="0.3">
      <c r="J28" s="478"/>
      <c r="K28" s="480"/>
    </row>
    <row r="29" spans="2:11" ht="26.25" thickBot="1" x14ac:dyDescent="0.3">
      <c r="C29" s="454" t="s">
        <v>1081</v>
      </c>
      <c r="D29" s="500" t="s">
        <v>1082</v>
      </c>
      <c r="E29" s="484" t="s">
        <v>25</v>
      </c>
      <c r="F29" s="485" t="s">
        <v>24</v>
      </c>
      <c r="G29" s="486" t="s">
        <v>23</v>
      </c>
      <c r="H29" s="487" t="s">
        <v>1064</v>
      </c>
      <c r="I29" s="508" t="s">
        <v>1074</v>
      </c>
      <c r="J29" s="509" t="s">
        <v>1084</v>
      </c>
      <c r="K29" s="510" t="s">
        <v>1083</v>
      </c>
    </row>
    <row r="30" spans="2:11" ht="67.5" customHeight="1" x14ac:dyDescent="0.25">
      <c r="C30" s="481" t="s">
        <v>59</v>
      </c>
      <c r="D30" s="497">
        <v>2</v>
      </c>
      <c r="E30" s="498">
        <v>0</v>
      </c>
      <c r="F30" s="498">
        <v>0</v>
      </c>
      <c r="G30" s="498">
        <v>0</v>
      </c>
      <c r="H30" s="499">
        <v>0</v>
      </c>
      <c r="I30" s="526">
        <f>SUM(D30:H30)</f>
        <v>2</v>
      </c>
      <c r="J30" s="527" t="s">
        <v>1082</v>
      </c>
      <c r="K30" s="528">
        <f>((D30*$F$11)+(E30*$F$12)+(F30*$F$13)+(G30*$F$14)+(H30*$F$15))/(I30*$F$11)</f>
        <v>1</v>
      </c>
    </row>
    <row r="31" spans="2:11" ht="42" customHeight="1" x14ac:dyDescent="0.25">
      <c r="C31" s="482" t="s">
        <v>60</v>
      </c>
      <c r="D31" s="455">
        <v>2</v>
      </c>
      <c r="E31" s="456">
        <v>0</v>
      </c>
      <c r="F31" s="456">
        <v>0</v>
      </c>
      <c r="G31" s="456">
        <v>0</v>
      </c>
      <c r="H31" s="457">
        <v>0</v>
      </c>
      <c r="I31" s="493">
        <f t="shared" ref="I31:I38" si="2">SUM(D31:H31)</f>
        <v>2</v>
      </c>
      <c r="J31" s="511" t="s">
        <v>1082</v>
      </c>
      <c r="K31" s="506">
        <f t="shared" ref="K31:K38" si="3">((D31*$F$11)+(E31*$F$12)+(F31*$F$13)+(G31*$F$14)+(H31*$F$15))/(I31*$F$11)</f>
        <v>1</v>
      </c>
    </row>
    <row r="32" spans="2:11" ht="42.75" customHeight="1" x14ac:dyDescent="0.25">
      <c r="C32" s="482" t="s">
        <v>63</v>
      </c>
      <c r="D32" s="455">
        <v>1</v>
      </c>
      <c r="E32" s="456">
        <v>1</v>
      </c>
      <c r="F32" s="456">
        <v>0</v>
      </c>
      <c r="G32" s="456">
        <v>0</v>
      </c>
      <c r="H32" s="457">
        <v>0</v>
      </c>
      <c r="I32" s="493">
        <f t="shared" si="2"/>
        <v>2</v>
      </c>
      <c r="J32" s="524" t="s">
        <v>25</v>
      </c>
      <c r="K32" s="506">
        <f t="shared" si="3"/>
        <v>0.875</v>
      </c>
    </row>
    <row r="33" spans="3:11" ht="45" customHeight="1" x14ac:dyDescent="0.25">
      <c r="C33" s="482" t="s">
        <v>62</v>
      </c>
      <c r="D33" s="455">
        <v>1</v>
      </c>
      <c r="E33" s="456">
        <v>1</v>
      </c>
      <c r="F33" s="456">
        <v>0</v>
      </c>
      <c r="G33" s="456">
        <v>0</v>
      </c>
      <c r="H33" s="457">
        <v>0</v>
      </c>
      <c r="I33" s="493">
        <f t="shared" si="2"/>
        <v>2</v>
      </c>
      <c r="J33" s="524" t="s">
        <v>25</v>
      </c>
      <c r="K33" s="506">
        <f t="shared" si="3"/>
        <v>0.875</v>
      </c>
    </row>
    <row r="34" spans="3:11" ht="54.75" customHeight="1" x14ac:dyDescent="0.25">
      <c r="C34" s="482" t="s">
        <v>88</v>
      </c>
      <c r="D34" s="455">
        <v>8</v>
      </c>
      <c r="E34" s="456">
        <v>2</v>
      </c>
      <c r="F34" s="456">
        <v>0</v>
      </c>
      <c r="G34" s="456">
        <v>2</v>
      </c>
      <c r="H34" s="457">
        <v>1</v>
      </c>
      <c r="I34" s="493">
        <f t="shared" si="2"/>
        <v>13</v>
      </c>
      <c r="J34" s="524" t="s">
        <v>25</v>
      </c>
      <c r="K34" s="506">
        <f t="shared" si="3"/>
        <v>0.76923076923076927</v>
      </c>
    </row>
    <row r="35" spans="3:11" ht="39.75" customHeight="1" x14ac:dyDescent="0.25">
      <c r="C35" s="482" t="s">
        <v>61</v>
      </c>
      <c r="D35" s="455">
        <v>14</v>
      </c>
      <c r="E35" s="456">
        <v>0</v>
      </c>
      <c r="F35" s="456">
        <v>1</v>
      </c>
      <c r="G35" s="456">
        <v>0</v>
      </c>
      <c r="H35" s="457">
        <v>5</v>
      </c>
      <c r="I35" s="493">
        <f t="shared" si="2"/>
        <v>20</v>
      </c>
      <c r="J35" s="524" t="s">
        <v>25</v>
      </c>
      <c r="K35" s="506">
        <f t="shared" si="3"/>
        <v>0.72499999999999998</v>
      </c>
    </row>
    <row r="36" spans="3:11" ht="47.25" customHeight="1" x14ac:dyDescent="0.25">
      <c r="C36" s="482" t="s">
        <v>65</v>
      </c>
      <c r="D36" s="455">
        <v>3</v>
      </c>
      <c r="E36" s="456">
        <v>1</v>
      </c>
      <c r="F36" s="456">
        <v>0</v>
      </c>
      <c r="G36" s="456">
        <v>0</v>
      </c>
      <c r="H36" s="457">
        <v>0</v>
      </c>
      <c r="I36" s="493">
        <f t="shared" si="2"/>
        <v>4</v>
      </c>
      <c r="J36" s="511" t="s">
        <v>1082</v>
      </c>
      <c r="K36" s="506">
        <f t="shared" si="3"/>
        <v>0.9375</v>
      </c>
    </row>
    <row r="37" spans="3:11" ht="55.5" customHeight="1" x14ac:dyDescent="0.25">
      <c r="C37" s="482" t="s">
        <v>64</v>
      </c>
      <c r="D37" s="455">
        <v>0</v>
      </c>
      <c r="E37" s="456">
        <v>0</v>
      </c>
      <c r="F37" s="456">
        <v>0</v>
      </c>
      <c r="G37" s="456">
        <v>0</v>
      </c>
      <c r="H37" s="457">
        <v>1</v>
      </c>
      <c r="I37" s="493">
        <f t="shared" si="2"/>
        <v>1</v>
      </c>
      <c r="J37" s="525" t="s">
        <v>1064</v>
      </c>
      <c r="K37" s="532">
        <f t="shared" si="3"/>
        <v>0</v>
      </c>
    </row>
    <row r="38" spans="3:11" ht="57" customHeight="1" thickBot="1" x14ac:dyDescent="0.3">
      <c r="C38" s="492" t="s">
        <v>829</v>
      </c>
      <c r="D38" s="458">
        <v>2</v>
      </c>
      <c r="E38" s="459">
        <v>0</v>
      </c>
      <c r="F38" s="459">
        <v>0</v>
      </c>
      <c r="G38" s="459">
        <v>0</v>
      </c>
      <c r="H38" s="460">
        <v>0</v>
      </c>
      <c r="I38" s="529">
        <f t="shared" si="2"/>
        <v>2</v>
      </c>
      <c r="J38" s="530" t="s">
        <v>1082</v>
      </c>
      <c r="K38" s="531">
        <f t="shared" si="3"/>
        <v>1</v>
      </c>
    </row>
    <row r="39" spans="3:11" x14ac:dyDescent="0.25">
      <c r="D39" s="417">
        <v>33</v>
      </c>
      <c r="E39" s="417">
        <v>5</v>
      </c>
      <c r="F39" s="417">
        <v>1</v>
      </c>
      <c r="G39" s="417">
        <v>2</v>
      </c>
      <c r="H39" s="417">
        <v>7</v>
      </c>
      <c r="J39" s="478"/>
      <c r="K39" s="480"/>
    </row>
    <row r="40" spans="3:11" x14ac:dyDescent="0.25">
      <c r="J40" s="478"/>
      <c r="K40" s="480"/>
    </row>
    <row r="41" spans="3:11" x14ac:dyDescent="0.25">
      <c r="J41" s="478"/>
      <c r="K41" s="480"/>
    </row>
    <row r="42" spans="3:11" x14ac:dyDescent="0.25">
      <c r="J42" s="478"/>
      <c r="K42" s="480"/>
    </row>
    <row r="43" spans="3:11" x14ac:dyDescent="0.25">
      <c r="J43" s="478"/>
      <c r="K43" s="480"/>
    </row>
    <row r="44" spans="3:11" x14ac:dyDescent="0.25"/>
    <row r="45" spans="3:11" ht="15" customHeight="1" x14ac:dyDescent="0.25"/>
  </sheetData>
  <mergeCells count="1">
    <mergeCell ref="B21:C21"/>
  </mergeCells>
  <phoneticPr fontId="3" type="noConversion"/>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EA0F6-4E06-4D33-AA6E-0035788FED24}">
  <dimension ref="A1:T50"/>
  <sheetViews>
    <sheetView showGridLines="0" view="pageBreakPreview" zoomScale="85" zoomScaleNormal="85" zoomScaleSheetLayoutView="85" workbookViewId="0">
      <selection activeCell="G15" sqref="G15"/>
    </sheetView>
  </sheetViews>
  <sheetFormatPr baseColWidth="10" defaultColWidth="0" defaultRowHeight="0" customHeight="1" zeroHeight="1" x14ac:dyDescent="0.25"/>
  <cols>
    <col min="1" max="1" width="2.5703125" customWidth="1"/>
    <col min="2" max="2" width="5" customWidth="1"/>
    <col min="3" max="3" width="42.7109375" customWidth="1"/>
    <col min="4" max="7" width="13" customWidth="1"/>
    <col min="8" max="8" width="13.42578125" customWidth="1"/>
    <col min="9" max="9" width="6" customWidth="1"/>
    <col min="10" max="10" width="20.7109375" customWidth="1"/>
    <col min="11" max="11" width="10.42578125" customWidth="1"/>
    <col min="12" max="12" width="5.85546875" customWidth="1"/>
    <col min="13" max="13" width="11.42578125" customWidth="1"/>
    <col min="14" max="14" width="17.5703125" customWidth="1"/>
    <col min="15" max="17" width="11.42578125" customWidth="1"/>
    <col min="18" max="18" width="11.42578125" hidden="1" customWidth="1"/>
    <col min="19" max="20" width="0" hidden="1" customWidth="1"/>
    <col min="21" max="16384" width="11.42578125" hidden="1"/>
  </cols>
  <sheetData>
    <row r="1" spans="2:11" ht="7.5" customHeight="1" thickBot="1" x14ac:dyDescent="0.3"/>
    <row r="2" spans="2:11" ht="34.5" customHeight="1" thickBot="1" x14ac:dyDescent="0.3">
      <c r="B2" s="876" t="s">
        <v>10</v>
      </c>
      <c r="C2" s="877"/>
      <c r="D2" s="570" t="s">
        <v>1082</v>
      </c>
      <c r="E2" s="489" t="s">
        <v>25</v>
      </c>
      <c r="F2" s="490" t="s">
        <v>24</v>
      </c>
      <c r="G2" s="491" t="s">
        <v>23</v>
      </c>
      <c r="H2" s="571" t="s">
        <v>1112</v>
      </c>
    </row>
    <row r="3" spans="2:11" ht="17.25" customHeight="1" x14ac:dyDescent="0.25">
      <c r="B3" s="878" t="s">
        <v>1178</v>
      </c>
      <c r="C3" s="879"/>
      <c r="D3" s="903">
        <f>COUNTIFS('Matriz de Seguimiento'!$AB$6:$AB$53,'Gráficos y Tablas'!$B3,'Matriz de Seguimiento'!$AR$6:$AR$53,'Gráficos y Tablas'!D$2)</f>
        <v>11</v>
      </c>
      <c r="E3" s="905">
        <f>COUNTIFS('Matriz de Seguimiento'!$AB$6:$AB$53,'Gráficos y Tablas'!$B3,'Matriz de Seguimiento'!$AR$6:$AR$53,'Gráficos y Tablas'!E$2)</f>
        <v>2</v>
      </c>
      <c r="F3" s="905">
        <f>COUNTIFS('Matriz de Seguimiento'!$AB$6:$AB$53,'Gráficos y Tablas'!$B3,'Matriz de Seguimiento'!$AR$6:$AR$53,'Gráficos y Tablas'!F$2)</f>
        <v>0</v>
      </c>
      <c r="G3" s="905">
        <f>COUNTIFS('Matriz de Seguimiento'!$AB$6:$AB$53,'Gráficos y Tablas'!$B3,'Matriz de Seguimiento'!$AR$6:$AR$53,'Gráficos y Tablas'!G$2)</f>
        <v>0</v>
      </c>
      <c r="H3" s="907">
        <f>COUNTIFS('Matriz de Seguimiento'!$AB$6:$AB$53,'Gráficos y Tablas'!$B3,'Matriz de Seguimiento'!$AR$6:$AR$53,'Gráficos y Tablas'!H$2)</f>
        <v>0</v>
      </c>
    </row>
    <row r="4" spans="2:11" ht="32.25" customHeight="1" x14ac:dyDescent="0.25">
      <c r="B4" s="899" t="s">
        <v>1171</v>
      </c>
      <c r="C4" s="900"/>
      <c r="D4" s="904"/>
      <c r="E4" s="906"/>
      <c r="F4" s="906"/>
      <c r="G4" s="906"/>
      <c r="H4" s="908"/>
    </row>
    <row r="5" spans="2:11" ht="17.25" customHeight="1" x14ac:dyDescent="0.25">
      <c r="B5" s="880" t="s">
        <v>1170</v>
      </c>
      <c r="C5" s="881"/>
      <c r="D5" s="904">
        <f>COUNTIFS('Matriz de Seguimiento'!$AB$6:$AB$53,'Gráficos y Tablas'!$B5,'Matriz de Seguimiento'!$AR$6:$AR$53,'Gráficos y Tablas'!D$2)</f>
        <v>5</v>
      </c>
      <c r="E5" s="906">
        <f>COUNTIFS('Matriz de Seguimiento'!$AB$6:$AB$53,'Gráficos y Tablas'!$B5,'Matriz de Seguimiento'!$AR$6:$AR$53,'Gráficos y Tablas'!E$2)</f>
        <v>0</v>
      </c>
      <c r="F5" s="906">
        <f>COUNTIFS('Matriz de Seguimiento'!$AB$6:$AB$53,'Gráficos y Tablas'!$B5,'Matriz de Seguimiento'!$AR$6:$AR$53,'Gráficos y Tablas'!F$2)</f>
        <v>0</v>
      </c>
      <c r="G5" s="906">
        <f>COUNTIFS('Matriz de Seguimiento'!$AB$6:$AB$53,'Gráficos y Tablas'!$B5,'Matriz de Seguimiento'!$AR$6:$AR$53,'Gráficos y Tablas'!G$2)</f>
        <v>0</v>
      </c>
      <c r="H5" s="908">
        <f>COUNTIFS('Matriz de Seguimiento'!$AB$6:$AB$53,'Gráficos y Tablas'!$B5,'Matriz de Seguimiento'!$AR$6:$AR$53,'Gráficos y Tablas'!H$2)</f>
        <v>0</v>
      </c>
    </row>
    <row r="6" spans="2:11" ht="32.25" customHeight="1" x14ac:dyDescent="0.25">
      <c r="B6" s="901" t="s">
        <v>1172</v>
      </c>
      <c r="C6" s="902"/>
      <c r="D6" s="904"/>
      <c r="E6" s="906"/>
      <c r="F6" s="906"/>
      <c r="G6" s="906"/>
      <c r="H6" s="908"/>
    </row>
    <row r="7" spans="2:11" ht="17.25" customHeight="1" x14ac:dyDescent="0.25">
      <c r="B7" s="880" t="s">
        <v>1173</v>
      </c>
      <c r="C7" s="882"/>
      <c r="D7" s="904">
        <f>COUNTIFS('Matriz de Seguimiento'!$AB$6:$AB$53,'Gráficos y Tablas'!$B7,'Matriz de Seguimiento'!$AR$6:$AR$53,'Gráficos y Tablas'!D$2)</f>
        <v>2</v>
      </c>
      <c r="E7" s="906">
        <f>COUNTIFS('Matriz de Seguimiento'!$AB$6:$AB$53,'Gráficos y Tablas'!$B7,'Matriz de Seguimiento'!$AR$6:$AR$53,'Gráficos y Tablas'!E$2)</f>
        <v>2</v>
      </c>
      <c r="F7" s="906">
        <f>COUNTIFS('Matriz de Seguimiento'!$AB$6:$AB$53,'Gráficos y Tablas'!$B7,'Matriz de Seguimiento'!$AR$6:$AR$53,'Gráficos y Tablas'!F$2)</f>
        <v>0</v>
      </c>
      <c r="G7" s="906">
        <f>COUNTIFS('Matriz de Seguimiento'!$AB$6:$AB$53,'Gráficos y Tablas'!$B7,'Matriz de Seguimiento'!$AR$6:$AR$53,'Gráficos y Tablas'!G$2)</f>
        <v>1</v>
      </c>
      <c r="H7" s="908">
        <f>COUNTIFS('Matriz de Seguimiento'!$AB$6:$AB$53,'Gráficos y Tablas'!$B7,'Matriz de Seguimiento'!$AR$6:$AR$53,'Gráficos y Tablas'!H$2)</f>
        <v>0</v>
      </c>
    </row>
    <row r="8" spans="2:11" ht="32.25" customHeight="1" x14ac:dyDescent="0.25">
      <c r="B8" s="899" t="s">
        <v>1183</v>
      </c>
      <c r="C8" s="900"/>
      <c r="D8" s="904"/>
      <c r="E8" s="906"/>
      <c r="F8" s="906"/>
      <c r="G8" s="906"/>
      <c r="H8" s="908"/>
    </row>
    <row r="9" spans="2:11" ht="17.25" customHeight="1" x14ac:dyDescent="0.25">
      <c r="B9" s="880" t="s">
        <v>1174</v>
      </c>
      <c r="C9" s="882"/>
      <c r="D9" s="904">
        <f>COUNTIFS('Matriz de Seguimiento'!$AB$6:$AB$53,'Gráficos y Tablas'!$B9,'Matriz de Seguimiento'!$AR$6:$AR$53,'Gráficos y Tablas'!D$2)</f>
        <v>12</v>
      </c>
      <c r="E9" s="906">
        <f>COUNTIFS('Matriz de Seguimiento'!$AB$6:$AB$53,'Gráficos y Tablas'!$B9,'Matriz de Seguimiento'!$AR$6:$AR$53,'Gráficos y Tablas'!E$2)</f>
        <v>1</v>
      </c>
      <c r="F9" s="906">
        <f>COUNTIFS('Matriz de Seguimiento'!$AB$6:$AB$53,'Gráficos y Tablas'!$B9,'Matriz de Seguimiento'!$AR$6:$AR$53,'Gráficos y Tablas'!F$2)</f>
        <v>0</v>
      </c>
      <c r="G9" s="906">
        <f>COUNTIFS('Matriz de Seguimiento'!$AB$6:$AB$53,'Gráficos y Tablas'!$B9,'Matriz de Seguimiento'!$AR$6:$AR$53,'Gráficos y Tablas'!G$2)</f>
        <v>0</v>
      </c>
      <c r="H9" s="908">
        <f>COUNTIFS('Matriz de Seguimiento'!$AB$6:$AB$53,'Gráficos y Tablas'!$B9,'Matriz de Seguimiento'!$AR$6:$AR$53,'Gráficos y Tablas'!H$2)</f>
        <v>0</v>
      </c>
    </row>
    <row r="10" spans="2:11" ht="32.25" customHeight="1" x14ac:dyDescent="0.25">
      <c r="B10" s="899" t="s">
        <v>1175</v>
      </c>
      <c r="C10" s="900"/>
      <c r="D10" s="904"/>
      <c r="E10" s="906"/>
      <c r="F10" s="906"/>
      <c r="G10" s="906"/>
      <c r="H10" s="908"/>
    </row>
    <row r="11" spans="2:11" ht="17.25" customHeight="1" x14ac:dyDescent="0.25">
      <c r="B11" s="880" t="s">
        <v>1176</v>
      </c>
      <c r="C11" s="882"/>
      <c r="D11" s="904">
        <f>COUNTIFS('Matriz de Seguimiento'!$AB$6:$AB$53,'Gráficos y Tablas'!$B11,'Matriz de Seguimiento'!$AR$6:$AR$53,'Gráficos y Tablas'!D$2)</f>
        <v>3</v>
      </c>
      <c r="E11" s="906">
        <f>COUNTIFS('Matriz de Seguimiento'!$AB$6:$AB$53,'Gráficos y Tablas'!$B11,'Matriz de Seguimiento'!$AR$6:$AR$53,'Gráficos y Tablas'!E$2)</f>
        <v>1</v>
      </c>
      <c r="F11" s="906">
        <f>COUNTIFS('Matriz de Seguimiento'!$AB$6:$AB$53,'Gráficos y Tablas'!$B11,'Matriz de Seguimiento'!$AR$6:$AR$53,'Gráficos y Tablas'!F$2)</f>
        <v>1</v>
      </c>
      <c r="G11" s="906">
        <f>COUNTIFS('Matriz de Seguimiento'!$AB$6:$AB$53,'Gráficos y Tablas'!$B11,'Matriz de Seguimiento'!$AR$6:$AR$53,'Gráficos y Tablas'!G$2)</f>
        <v>1</v>
      </c>
      <c r="H11" s="908">
        <f>COUNTIFS('Matriz de Seguimiento'!$AB$6:$AB$53,'Gráficos y Tablas'!$B11,'Matriz de Seguimiento'!$AR$6:$AR$53,'Gráficos y Tablas'!H$2)</f>
        <v>0</v>
      </c>
    </row>
    <row r="12" spans="2:11" ht="32.25" customHeight="1" x14ac:dyDescent="0.25">
      <c r="B12" s="899" t="s">
        <v>1177</v>
      </c>
      <c r="C12" s="900"/>
      <c r="D12" s="904"/>
      <c r="E12" s="906"/>
      <c r="F12" s="906"/>
      <c r="G12" s="906"/>
      <c r="H12" s="908"/>
    </row>
    <row r="13" spans="2:11" ht="30.75" customHeight="1" thickBot="1" x14ac:dyDescent="0.3">
      <c r="B13" s="883" t="s">
        <v>669</v>
      </c>
      <c r="C13" s="884"/>
      <c r="D13" s="517">
        <f>COUNTIFS('Matriz de Seguimiento'!$AB$6:$AB$53,'Gráficos y Tablas'!$B13,'Matriz de Seguimiento'!$AR$6:$AR$53,'Gráficos y Tablas'!D$2)</f>
        <v>4</v>
      </c>
      <c r="E13" s="459">
        <f>COUNTIFS('Matriz de Seguimiento'!$AB$6:$AB$53,'Gráficos y Tablas'!$B13,'Matriz de Seguimiento'!$AR$6:$AR$53,'Gráficos y Tablas'!E$2)</f>
        <v>1</v>
      </c>
      <c r="F13" s="459">
        <f>COUNTIFS('Matriz de Seguimiento'!$AB$6:$AB$53,'Gráficos y Tablas'!$B13,'Matriz de Seguimiento'!$AR$6:$AR$53,'Gráficos y Tablas'!F$2)</f>
        <v>0</v>
      </c>
      <c r="G13" s="459">
        <f>COUNTIFS('Matriz de Seguimiento'!$AB$6:$AB$53,'Gráficos y Tablas'!$B13,'Matriz de Seguimiento'!$AR$6:$AR$53,'Gráficos y Tablas'!G$2)</f>
        <v>1</v>
      </c>
      <c r="H13" s="460">
        <f>COUNTIFS('Matriz de Seguimiento'!$AB$6:$AB$53,'Gráficos y Tablas'!$B13,'Matriz de Seguimiento'!$AR$6:$AR$53,'Gráficos y Tablas'!H$2)</f>
        <v>0</v>
      </c>
    </row>
    <row r="14" spans="2:11" ht="15" x14ac:dyDescent="0.25"/>
    <row r="15" spans="2:11" ht="15" x14ac:dyDescent="0.25">
      <c r="B15" s="885">
        <f>G21/(D21*F16)</f>
        <v>0.90625</v>
      </c>
      <c r="C15" s="885"/>
      <c r="D15" s="462" t="s">
        <v>1070</v>
      </c>
      <c r="E15" s="462" t="s">
        <v>1071</v>
      </c>
      <c r="F15" s="463" t="s">
        <v>682</v>
      </c>
      <c r="G15" s="462" t="s">
        <v>1072</v>
      </c>
      <c r="J15" s="464" t="s">
        <v>1073</v>
      </c>
      <c r="K15" s="465">
        <v>0.3</v>
      </c>
    </row>
    <row r="16" spans="2:11" ht="15" x14ac:dyDescent="0.25">
      <c r="B16" s="886" t="s">
        <v>1090</v>
      </c>
      <c r="C16" s="886"/>
      <c r="D16" s="462">
        <f>SUM(D3:D13)</f>
        <v>37</v>
      </c>
      <c r="E16" s="467">
        <f>D16/$D$21</f>
        <v>0.77083333333333337</v>
      </c>
      <c r="F16" s="51">
        <v>4</v>
      </c>
      <c r="G16" s="51">
        <f>D16*F16</f>
        <v>148</v>
      </c>
      <c r="J16" s="468" t="s">
        <v>24</v>
      </c>
      <c r="K16" s="465">
        <v>0.3</v>
      </c>
    </row>
    <row r="17" spans="2:11" ht="15" x14ac:dyDescent="0.25">
      <c r="B17" s="887" t="s">
        <v>1091</v>
      </c>
      <c r="C17" s="887"/>
      <c r="D17" s="462">
        <f>SUM(E3:E13)</f>
        <v>7</v>
      </c>
      <c r="E17" s="467">
        <f t="shared" ref="E17:E20" si="0">D17/$D$21</f>
        <v>0.14583333333333334</v>
      </c>
      <c r="F17" s="51">
        <v>3</v>
      </c>
      <c r="G17" s="51">
        <f>D17*F17</f>
        <v>21</v>
      </c>
      <c r="J17" s="470" t="s">
        <v>25</v>
      </c>
      <c r="K17" s="465">
        <v>0.3</v>
      </c>
    </row>
    <row r="18" spans="2:11" ht="15" x14ac:dyDescent="0.25">
      <c r="B18" s="888" t="s">
        <v>1092</v>
      </c>
      <c r="C18" s="888"/>
      <c r="D18" s="462">
        <f>SUM(F3:F13)</f>
        <v>1</v>
      </c>
      <c r="E18" s="467">
        <f t="shared" si="0"/>
        <v>2.0833333333333332E-2</v>
      </c>
      <c r="F18" s="51">
        <v>2</v>
      </c>
      <c r="G18" s="51">
        <f>D18*F18</f>
        <v>2</v>
      </c>
      <c r="J18" s="472" t="s">
        <v>26</v>
      </c>
      <c r="K18" s="465">
        <v>0.1</v>
      </c>
    </row>
    <row r="19" spans="2:11" ht="15" x14ac:dyDescent="0.25">
      <c r="B19" s="889" t="s">
        <v>1093</v>
      </c>
      <c r="C19" s="889"/>
      <c r="D19" s="462">
        <f>SUM(G3:G13)</f>
        <v>3</v>
      </c>
      <c r="E19" s="467">
        <f t="shared" si="0"/>
        <v>6.25E-2</v>
      </c>
      <c r="F19" s="51">
        <v>1</v>
      </c>
      <c r="G19" s="51">
        <f>D19*F19</f>
        <v>3</v>
      </c>
      <c r="J19" s="462" t="s">
        <v>1074</v>
      </c>
      <c r="K19" s="474">
        <f>SUM(K15:K18)</f>
        <v>0.99999999999999989</v>
      </c>
    </row>
    <row r="20" spans="2:11" ht="15" x14ac:dyDescent="0.25">
      <c r="B20" s="890" t="s">
        <v>1112</v>
      </c>
      <c r="C20" s="890"/>
      <c r="D20" s="462">
        <f>SUM(H3:H13)</f>
        <v>0</v>
      </c>
      <c r="E20" s="467">
        <f t="shared" si="0"/>
        <v>0</v>
      </c>
      <c r="F20" s="51">
        <v>0</v>
      </c>
      <c r="G20" s="51">
        <f>D20*F20</f>
        <v>0</v>
      </c>
      <c r="J20" s="501"/>
      <c r="K20" s="502"/>
    </row>
    <row r="21" spans="2:11" ht="15" x14ac:dyDescent="0.25">
      <c r="B21" s="891" t="s">
        <v>1074</v>
      </c>
      <c r="C21" s="891"/>
      <c r="D21" s="476">
        <f>SUM(D16:D20)</f>
        <v>48</v>
      </c>
      <c r="E21" s="477"/>
      <c r="F21" s="43"/>
      <c r="G21" s="476">
        <f>SUM(G16:G20)</f>
        <v>174</v>
      </c>
      <c r="J21" s="537" t="s">
        <v>1075</v>
      </c>
      <c r="K21" s="538">
        <f>B15</f>
        <v>0.90625</v>
      </c>
    </row>
    <row r="22" spans="2:11" ht="15" x14ac:dyDescent="0.25">
      <c r="J22" s="537" t="s">
        <v>1077</v>
      </c>
      <c r="K22" s="539">
        <f>K21-K23/2</f>
        <v>0.89624999999999999</v>
      </c>
    </row>
    <row r="23" spans="2:11" ht="15" x14ac:dyDescent="0.25">
      <c r="B23" s="892" t="s">
        <v>1076</v>
      </c>
      <c r="C23" s="892"/>
      <c r="D23" s="572">
        <f>B15*50%</f>
        <v>0.453125</v>
      </c>
      <c r="J23" s="537" t="s">
        <v>1078</v>
      </c>
      <c r="K23" s="540">
        <v>0.02</v>
      </c>
    </row>
    <row r="24" spans="2:11" ht="15" x14ac:dyDescent="0.25">
      <c r="C24" s="476"/>
      <c r="D24" s="479"/>
      <c r="J24" s="537" t="s">
        <v>1079</v>
      </c>
      <c r="K24" s="539">
        <f>SUM(K15:K19)-K22-K23</f>
        <v>1.0837499999999998</v>
      </c>
    </row>
    <row r="25" spans="2:11" ht="15.75" thickBot="1" x14ac:dyDescent="0.3"/>
    <row r="26" spans="2:11" ht="26.25" thickBot="1" x14ac:dyDescent="0.3">
      <c r="B26" s="874" t="s">
        <v>1</v>
      </c>
      <c r="C26" s="875"/>
      <c r="D26" s="591" t="s">
        <v>1082</v>
      </c>
      <c r="E26" s="542" t="s">
        <v>25</v>
      </c>
      <c r="F26" s="543" t="s">
        <v>24</v>
      </c>
      <c r="G26" s="544" t="s">
        <v>23</v>
      </c>
      <c r="H26" s="592" t="s">
        <v>1112</v>
      </c>
      <c r="I26" s="553" t="s">
        <v>1074</v>
      </c>
      <c r="J26" s="546" t="s">
        <v>1084</v>
      </c>
      <c r="K26" s="547" t="s">
        <v>1083</v>
      </c>
    </row>
    <row r="27" spans="2:11" ht="58.5" customHeight="1" x14ac:dyDescent="0.25">
      <c r="B27" s="567" t="s">
        <v>1085</v>
      </c>
      <c r="C27" s="593" t="s">
        <v>38</v>
      </c>
      <c r="D27" s="497">
        <f>COUNTIFS('Matriz de Seguimiento'!$F$6:$F$53,'Gráficos y Tablas'!$C27,'Matriz de Seguimiento'!$AR$6:$AR$53,'Gráficos y Tablas'!D$26)</f>
        <v>5</v>
      </c>
      <c r="E27" s="498">
        <f>COUNTIFS('Matriz de Seguimiento'!$F$6:$F$53,'Gráficos y Tablas'!$C27,'Matriz de Seguimiento'!$AR$6:$AR$53,'Gráficos y Tablas'!E$26)</f>
        <v>0</v>
      </c>
      <c r="F27" s="498">
        <f>COUNTIFS('Matriz de Seguimiento'!$F$6:$F$53,'Gráficos y Tablas'!$C27,'Matriz de Seguimiento'!$AR$6:$AR$53,'Gráficos y Tablas'!F$26)</f>
        <v>0</v>
      </c>
      <c r="G27" s="498">
        <f>COUNTIFS('Matriz de Seguimiento'!$F$6:$F$53,'Gráficos y Tablas'!$C27,'Matriz de Seguimiento'!$AR$6:$AR$53,'Gráficos y Tablas'!G$26)</f>
        <v>0</v>
      </c>
      <c r="H27" s="499">
        <f>COUNTIFS('Matriz de Seguimiento'!$F$6:$F$53,'Gráficos y Tablas'!$C27,'Matriz de Seguimiento'!$AR$6:$AR$53,'Gráficos y Tablas'!H$26)</f>
        <v>0</v>
      </c>
      <c r="I27" s="596">
        <f>SUM(D27:G27)</f>
        <v>5</v>
      </c>
      <c r="J27" s="527" t="s">
        <v>1082</v>
      </c>
      <c r="K27" s="528">
        <f>((D27*$F$16)+(E27*$F$17)+(F27*$F$18)+(G27*$F$19))/(I27*$F$16)</f>
        <v>1</v>
      </c>
    </row>
    <row r="28" spans="2:11" ht="77.25" customHeight="1" x14ac:dyDescent="0.25">
      <c r="B28" s="568" t="s">
        <v>1086</v>
      </c>
      <c r="C28" s="594" t="s">
        <v>39</v>
      </c>
      <c r="D28" s="455">
        <f>COUNTIFS('Matriz de Seguimiento'!$F$6:$F$53,'Gráficos y Tablas'!$C28,'Matriz de Seguimiento'!$AR$6:$AR$53,'Gráficos y Tablas'!D$26)</f>
        <v>3</v>
      </c>
      <c r="E28" s="456">
        <f>COUNTIFS('Matriz de Seguimiento'!$F$6:$F$53,'Gráficos y Tablas'!$C28,'Matriz de Seguimiento'!$AR$6:$AR$53,'Gráficos y Tablas'!E$26)</f>
        <v>0</v>
      </c>
      <c r="F28" s="456">
        <f>COUNTIFS('Matriz de Seguimiento'!$F$6:$F$53,'Gráficos y Tablas'!$C28,'Matriz de Seguimiento'!$AR$6:$AR$53,'Gráficos y Tablas'!F$26)</f>
        <v>0</v>
      </c>
      <c r="G28" s="456">
        <f>COUNTIFS('Matriz de Seguimiento'!$F$6:$F$53,'Gráficos y Tablas'!$C28,'Matriz de Seguimiento'!$AR$6:$AR$53,'Gráficos y Tablas'!G$26)</f>
        <v>0</v>
      </c>
      <c r="H28" s="457">
        <f>COUNTIFS('Matriz de Seguimiento'!$F$6:$F$53,'Gráficos y Tablas'!$C28,'Matriz de Seguimiento'!$AR$6:$AR$53,'Gráficos y Tablas'!H$26)</f>
        <v>0</v>
      </c>
      <c r="I28" s="597">
        <f t="shared" ref="I28:I31" si="1">SUM(D28:G28)</f>
        <v>3</v>
      </c>
      <c r="J28" s="503" t="s">
        <v>1082</v>
      </c>
      <c r="K28" s="504">
        <f t="shared" ref="K28:K31" si="2">((D28*$F$16)+(E28*$F$17)+(F28*$F$18)+(G28*$F$19))/(I28*$F$16)</f>
        <v>1</v>
      </c>
    </row>
    <row r="29" spans="2:11" ht="43.5" customHeight="1" x14ac:dyDescent="0.25">
      <c r="B29" s="568" t="s">
        <v>1087</v>
      </c>
      <c r="C29" s="594" t="s">
        <v>40</v>
      </c>
      <c r="D29" s="455">
        <f>COUNTIFS('Matriz de Seguimiento'!$F$6:$F$53,'Gráficos y Tablas'!$C29,'Matriz de Seguimiento'!$AR$6:$AR$53,'Gráficos y Tablas'!D$26)</f>
        <v>5</v>
      </c>
      <c r="E29" s="456">
        <f>COUNTIFS('Matriz de Seguimiento'!$F$6:$F$53,'Gráficos y Tablas'!$C29,'Matriz de Seguimiento'!$AR$6:$AR$53,'Gráficos y Tablas'!E$26)</f>
        <v>0</v>
      </c>
      <c r="F29" s="456">
        <f>COUNTIFS('Matriz de Seguimiento'!$F$6:$F$53,'Gráficos y Tablas'!$C29,'Matriz de Seguimiento'!$AR$6:$AR$53,'Gráficos y Tablas'!F$26)</f>
        <v>0</v>
      </c>
      <c r="G29" s="456">
        <f>COUNTIFS('Matriz de Seguimiento'!$F$6:$F$53,'Gráficos y Tablas'!$C29,'Matriz de Seguimiento'!$AR$6:$AR$53,'Gráficos y Tablas'!G$26)</f>
        <v>0</v>
      </c>
      <c r="H29" s="457">
        <f>COUNTIFS('Matriz de Seguimiento'!$F$6:$F$53,'Gráficos y Tablas'!$C29,'Matriz de Seguimiento'!$AR$6:$AR$53,'Gráficos y Tablas'!H$26)</f>
        <v>0</v>
      </c>
      <c r="I29" s="597">
        <f t="shared" si="1"/>
        <v>5</v>
      </c>
      <c r="J29" s="503" t="s">
        <v>1082</v>
      </c>
      <c r="K29" s="504">
        <f t="shared" si="2"/>
        <v>1</v>
      </c>
    </row>
    <row r="30" spans="2:11" ht="43.5" customHeight="1" x14ac:dyDescent="0.25">
      <c r="B30" s="568" t="s">
        <v>1088</v>
      </c>
      <c r="C30" s="594" t="s">
        <v>41</v>
      </c>
      <c r="D30" s="455">
        <f>COUNTIFS('Matriz de Seguimiento'!$F$6:$F$53,'Gráficos y Tablas'!$C30,'Matriz de Seguimiento'!$AR$6:$AR$53,'Gráficos y Tablas'!D$26)</f>
        <v>1</v>
      </c>
      <c r="E30" s="456">
        <f>COUNTIFS('Matriz de Seguimiento'!$F$6:$F$53,'Gráficos y Tablas'!$C30,'Matriz de Seguimiento'!$AR$6:$AR$53,'Gráficos y Tablas'!E$26)</f>
        <v>1</v>
      </c>
      <c r="F30" s="456">
        <f>COUNTIFS('Matriz de Seguimiento'!$F$6:$F$53,'Gráficos y Tablas'!$C30,'Matriz de Seguimiento'!$AR$6:$AR$53,'Gráficos y Tablas'!F$26)</f>
        <v>0</v>
      </c>
      <c r="G30" s="456">
        <f>COUNTIFS('Matriz de Seguimiento'!$F$6:$F$53,'Gráficos y Tablas'!$C30,'Matriz de Seguimiento'!$AR$6:$AR$53,'Gráficos y Tablas'!G$26)</f>
        <v>0</v>
      </c>
      <c r="H30" s="457">
        <f>COUNTIFS('Matriz de Seguimiento'!$F$6:$F$53,'Gráficos y Tablas'!$C30,'Matriz de Seguimiento'!$AR$6:$AR$53,'Gráficos y Tablas'!H$26)</f>
        <v>0</v>
      </c>
      <c r="I30" s="597">
        <f t="shared" si="1"/>
        <v>2</v>
      </c>
      <c r="J30" s="470" t="s">
        <v>25</v>
      </c>
      <c r="K30" s="554">
        <f t="shared" si="2"/>
        <v>0.875</v>
      </c>
    </row>
    <row r="31" spans="2:11" ht="46.5" customHeight="1" thickBot="1" x14ac:dyDescent="0.3">
      <c r="B31" s="569" t="s">
        <v>1089</v>
      </c>
      <c r="C31" s="595" t="s">
        <v>42</v>
      </c>
      <c r="D31" s="458">
        <f>COUNTIFS('Matriz de Seguimiento'!$F$6:$F$53,'Gráficos y Tablas'!$C31,'Matriz de Seguimiento'!$AR$6:$AR$53,'Gráficos y Tablas'!D$26)</f>
        <v>23</v>
      </c>
      <c r="E31" s="459">
        <f>COUNTIFS('Matriz de Seguimiento'!$F$6:$F$53,'Gráficos y Tablas'!$C31,'Matriz de Seguimiento'!$AR$6:$AR$53,'Gráficos y Tablas'!E$26)</f>
        <v>6</v>
      </c>
      <c r="F31" s="459">
        <f>COUNTIFS('Matriz de Seguimiento'!$F$6:$F$53,'Gráficos y Tablas'!$C31,'Matriz de Seguimiento'!$AR$6:$AR$53,'Gráficos y Tablas'!F$26)</f>
        <v>1</v>
      </c>
      <c r="G31" s="459">
        <f>COUNTIFS('Matriz de Seguimiento'!$F$6:$F$53,'Gráficos y Tablas'!$C31,'Matriz de Seguimiento'!$AR$6:$AR$53,'Gráficos y Tablas'!G$26)</f>
        <v>3</v>
      </c>
      <c r="H31" s="460">
        <f>COUNTIFS('Matriz de Seguimiento'!$F$6:$F$53,'Gráficos y Tablas'!$C31,'Matriz de Seguimiento'!$AR$6:$AR$53,'Gráficos y Tablas'!H$26)</f>
        <v>0</v>
      </c>
      <c r="I31" s="598">
        <f t="shared" si="1"/>
        <v>33</v>
      </c>
      <c r="J31" s="515" t="s">
        <v>25</v>
      </c>
      <c r="K31" s="555">
        <f t="shared" si="2"/>
        <v>0.87121212121212122</v>
      </c>
    </row>
    <row r="32" spans="2:11" ht="15" x14ac:dyDescent="0.25">
      <c r="D32" s="417"/>
      <c r="E32" s="417"/>
      <c r="F32" s="417"/>
      <c r="G32" s="417"/>
      <c r="H32" s="417"/>
      <c r="J32" s="478"/>
      <c r="K32" s="480"/>
    </row>
    <row r="33" spans="2:11" ht="15.75" thickBot="1" x14ac:dyDescent="0.3">
      <c r="J33" s="478"/>
      <c r="K33" s="480"/>
    </row>
    <row r="34" spans="2:11" ht="30.75" customHeight="1" thickBot="1" x14ac:dyDescent="0.3">
      <c r="B34" s="874" t="s">
        <v>1081</v>
      </c>
      <c r="C34" s="875"/>
      <c r="D34" s="591" t="s">
        <v>1082</v>
      </c>
      <c r="E34" s="542" t="s">
        <v>25</v>
      </c>
      <c r="F34" s="543" t="s">
        <v>24</v>
      </c>
      <c r="G34" s="544" t="s">
        <v>23</v>
      </c>
      <c r="H34" s="592" t="s">
        <v>1112</v>
      </c>
      <c r="I34" s="545" t="s">
        <v>1074</v>
      </c>
      <c r="J34" s="546" t="s">
        <v>1084</v>
      </c>
      <c r="K34" s="547" t="s">
        <v>1083</v>
      </c>
    </row>
    <row r="35" spans="2:11" ht="67.5" customHeight="1" x14ac:dyDescent="0.25">
      <c r="B35" s="893" t="s">
        <v>59</v>
      </c>
      <c r="C35" s="894"/>
      <c r="D35" s="497">
        <f>COUNTIFS('Matriz de Seguimiento'!$G$6:$G$53,'Gráficos y Tablas'!$B35,'Matriz de Seguimiento'!$AR$6:$AR$53,'Gráficos y Tablas'!D$34)</f>
        <v>2</v>
      </c>
      <c r="E35" s="498">
        <f>COUNTIFS('Matriz de Seguimiento'!$G$6:$G$53,'Gráficos y Tablas'!$B35,'Matriz de Seguimiento'!$AR$6:$AR$53,'Gráficos y Tablas'!E$34)</f>
        <v>0</v>
      </c>
      <c r="F35" s="498">
        <f>COUNTIFS('Matriz de Seguimiento'!$G$6:$G$53,'Gráficos y Tablas'!$B35,'Matriz de Seguimiento'!$AR$6:$AR$53,'Gráficos y Tablas'!F$34)</f>
        <v>0</v>
      </c>
      <c r="G35" s="498">
        <f>COUNTIFS('Matriz de Seguimiento'!$G$6:$G$53,'Gráficos y Tablas'!$B35,'Matriz de Seguimiento'!$AR$6:$AR$53,'Gráficos y Tablas'!G$34)</f>
        <v>0</v>
      </c>
      <c r="H35" s="499">
        <f>COUNTIFS('Matriz de Seguimiento'!$G$6:$G$53,'Gráficos y Tablas'!$B35,'Matriz de Seguimiento'!$AR$6:$AR$53,'Gráficos y Tablas'!H$34)</f>
        <v>0</v>
      </c>
      <c r="I35" s="526">
        <f>SUM(D35:G35)</f>
        <v>2</v>
      </c>
      <c r="J35" s="527" t="s">
        <v>1082</v>
      </c>
      <c r="K35" s="528">
        <f>((D35*$F$16)+(E35*$F$17)+(F35*$F$18)+(G35*$F$19))/(I35*$F$16)</f>
        <v>1</v>
      </c>
    </row>
    <row r="36" spans="2:11" ht="42" customHeight="1" x14ac:dyDescent="0.25">
      <c r="B36" s="895" t="s">
        <v>60</v>
      </c>
      <c r="C36" s="896"/>
      <c r="D36" s="455">
        <f>COUNTIFS('Matriz de Seguimiento'!$G$6:$G$53,'Gráficos y Tablas'!$B36,'Matriz de Seguimiento'!$AR$6:$AR$53,'Gráficos y Tablas'!D$34)</f>
        <v>2</v>
      </c>
      <c r="E36" s="456">
        <f>COUNTIFS('Matriz de Seguimiento'!$G$6:$G$53,'Gráficos y Tablas'!$B36,'Matriz de Seguimiento'!$AR$6:$AR$53,'Gráficos y Tablas'!E$34)</f>
        <v>0</v>
      </c>
      <c r="F36" s="456">
        <f>COUNTIFS('Matriz de Seguimiento'!$G$6:$G$53,'Gráficos y Tablas'!$B36,'Matriz de Seguimiento'!$AR$6:$AR$53,'Gráficos y Tablas'!F$34)</f>
        <v>0</v>
      </c>
      <c r="G36" s="456">
        <f>COUNTIFS('Matriz de Seguimiento'!$G$6:$G$53,'Gráficos y Tablas'!$B36,'Matriz de Seguimiento'!$AR$6:$AR$53,'Gráficos y Tablas'!G$34)</f>
        <v>0</v>
      </c>
      <c r="H36" s="457">
        <f>COUNTIFS('Matriz de Seguimiento'!$G$6:$G$53,'Gráficos y Tablas'!$B36,'Matriz de Seguimiento'!$AR$6:$AR$53,'Gráficos y Tablas'!H$34)</f>
        <v>0</v>
      </c>
      <c r="I36" s="551">
        <f t="shared" ref="I36:I43" si="3">SUM(D36:G36)</f>
        <v>2</v>
      </c>
      <c r="J36" s="503" t="s">
        <v>1082</v>
      </c>
      <c r="K36" s="504">
        <f t="shared" ref="K36:K43" si="4">((D36*$F$16)+(E36*$F$17)+(F36*$F$18)+(G36*$F$19))/(I36*$F$16)</f>
        <v>1</v>
      </c>
    </row>
    <row r="37" spans="2:11" ht="42.75" customHeight="1" x14ac:dyDescent="0.25">
      <c r="B37" s="895" t="s">
        <v>63</v>
      </c>
      <c r="C37" s="896"/>
      <c r="D37" s="455">
        <f>COUNTIFS('Matriz de Seguimiento'!$G$6:$G$53,'Gráficos y Tablas'!$B37,'Matriz de Seguimiento'!$AR$6:$AR$53,'Gráficos y Tablas'!D$34)</f>
        <v>2</v>
      </c>
      <c r="E37" s="456">
        <f>COUNTIFS('Matriz de Seguimiento'!$G$6:$G$53,'Gráficos y Tablas'!$B37,'Matriz de Seguimiento'!$AR$6:$AR$53,'Gráficos y Tablas'!E$34)</f>
        <v>0</v>
      </c>
      <c r="F37" s="456">
        <f>COUNTIFS('Matriz de Seguimiento'!$G$6:$G$53,'Gráficos y Tablas'!$B37,'Matriz de Seguimiento'!$AR$6:$AR$53,'Gráficos y Tablas'!F$34)</f>
        <v>0</v>
      </c>
      <c r="G37" s="456">
        <f>COUNTIFS('Matriz de Seguimiento'!$G$6:$G$53,'Gráficos y Tablas'!$B37,'Matriz de Seguimiento'!$AR$6:$AR$53,'Gráficos y Tablas'!G$34)</f>
        <v>0</v>
      </c>
      <c r="H37" s="457">
        <f>COUNTIFS('Matriz de Seguimiento'!$G$6:$G$53,'Gráficos y Tablas'!$B37,'Matriz de Seguimiento'!$AR$6:$AR$53,'Gráficos y Tablas'!H$34)</f>
        <v>0</v>
      </c>
      <c r="I37" s="551">
        <f t="shared" si="3"/>
        <v>2</v>
      </c>
      <c r="J37" s="503" t="s">
        <v>1082</v>
      </c>
      <c r="K37" s="504">
        <f t="shared" si="4"/>
        <v>1</v>
      </c>
    </row>
    <row r="38" spans="2:11" ht="45" customHeight="1" x14ac:dyDescent="0.25">
      <c r="B38" s="895" t="s">
        <v>62</v>
      </c>
      <c r="C38" s="896"/>
      <c r="D38" s="455">
        <f>COUNTIFS('Matriz de Seguimiento'!$G$6:$G$53,'Gráficos y Tablas'!$B38,'Matriz de Seguimiento'!$AR$6:$AR$53,'Gráficos y Tablas'!D$34)</f>
        <v>1</v>
      </c>
      <c r="E38" s="456">
        <f>COUNTIFS('Matriz de Seguimiento'!$G$6:$G$53,'Gráficos y Tablas'!$B38,'Matriz de Seguimiento'!$AR$6:$AR$53,'Gráficos y Tablas'!E$34)</f>
        <v>1</v>
      </c>
      <c r="F38" s="456">
        <f>COUNTIFS('Matriz de Seguimiento'!$G$6:$G$53,'Gráficos y Tablas'!$B38,'Matriz de Seguimiento'!$AR$6:$AR$53,'Gráficos y Tablas'!F$34)</f>
        <v>0</v>
      </c>
      <c r="G38" s="456">
        <f>COUNTIFS('Matriz de Seguimiento'!$G$6:$G$53,'Gráficos y Tablas'!$B38,'Matriz de Seguimiento'!$AR$6:$AR$53,'Gráficos y Tablas'!G$34)</f>
        <v>0</v>
      </c>
      <c r="H38" s="457">
        <f>COUNTIFS('Matriz de Seguimiento'!$G$6:$G$53,'Gráficos y Tablas'!$B38,'Matriz de Seguimiento'!$AR$6:$AR$53,'Gráficos y Tablas'!H$34)</f>
        <v>0</v>
      </c>
      <c r="I38" s="551">
        <f t="shared" si="3"/>
        <v>2</v>
      </c>
      <c r="J38" s="548" t="s">
        <v>25</v>
      </c>
      <c r="K38" s="541">
        <f t="shared" si="4"/>
        <v>0.875</v>
      </c>
    </row>
    <row r="39" spans="2:11" ht="54.75" customHeight="1" x14ac:dyDescent="0.25">
      <c r="B39" s="895" t="s">
        <v>88</v>
      </c>
      <c r="C39" s="896"/>
      <c r="D39" s="455">
        <f>COUNTIFS('Matriz de Seguimiento'!$G$6:$G$53,'Gráficos y Tablas'!$B39,'Matriz de Seguimiento'!$AR$6:$AR$53,'Gráficos y Tablas'!D$34)</f>
        <v>8</v>
      </c>
      <c r="E39" s="456">
        <f>COUNTIFS('Matriz de Seguimiento'!$G$6:$G$53,'Gráficos y Tablas'!$B39,'Matriz de Seguimiento'!$AR$6:$AR$53,'Gráficos y Tablas'!E$34)</f>
        <v>3</v>
      </c>
      <c r="F39" s="456">
        <f>COUNTIFS('Matriz de Seguimiento'!$G$6:$G$53,'Gráficos y Tablas'!$B39,'Matriz de Seguimiento'!$AR$6:$AR$53,'Gráficos y Tablas'!F$34)</f>
        <v>1</v>
      </c>
      <c r="G39" s="456">
        <f>COUNTIFS('Matriz de Seguimiento'!$G$6:$G$53,'Gráficos y Tablas'!$B39,'Matriz de Seguimiento'!$AR$6:$AR$53,'Gráficos y Tablas'!G$34)</f>
        <v>1</v>
      </c>
      <c r="H39" s="457">
        <f>COUNTIFS('Matriz de Seguimiento'!$G$6:$G$53,'Gráficos y Tablas'!$B39,'Matriz de Seguimiento'!$AR$6:$AR$53,'Gráficos y Tablas'!H$34)</f>
        <v>0</v>
      </c>
      <c r="I39" s="551">
        <f t="shared" si="3"/>
        <v>13</v>
      </c>
      <c r="J39" s="548" t="s">
        <v>25</v>
      </c>
      <c r="K39" s="541">
        <f t="shared" si="4"/>
        <v>0.84615384615384615</v>
      </c>
    </row>
    <row r="40" spans="2:11" ht="39.75" customHeight="1" x14ac:dyDescent="0.25">
      <c r="B40" s="895" t="s">
        <v>61</v>
      </c>
      <c r="C40" s="896"/>
      <c r="D40" s="455">
        <f>COUNTIFS('Matriz de Seguimiento'!$G$6:$G$53,'Gráficos y Tablas'!$B40,'Matriz de Seguimiento'!$AR$6:$AR$53,'Gráficos y Tablas'!D$34)</f>
        <v>16</v>
      </c>
      <c r="E40" s="456">
        <f>COUNTIFS('Matriz de Seguimiento'!$G$6:$G$53,'Gráficos y Tablas'!$B40,'Matriz de Seguimiento'!$AR$6:$AR$53,'Gráficos y Tablas'!E$34)</f>
        <v>2</v>
      </c>
      <c r="F40" s="456">
        <f>COUNTIFS('Matriz de Seguimiento'!$G$6:$G$53,'Gráficos y Tablas'!$B40,'Matriz de Seguimiento'!$AR$6:$AR$53,'Gráficos y Tablas'!F$34)</f>
        <v>0</v>
      </c>
      <c r="G40" s="456">
        <f>COUNTIFS('Matriz de Seguimiento'!$G$6:$G$53,'Gráficos y Tablas'!$B40,'Matriz de Seguimiento'!$AR$6:$AR$53,'Gráficos y Tablas'!G$34)</f>
        <v>2</v>
      </c>
      <c r="H40" s="457">
        <f>COUNTIFS('Matriz de Seguimiento'!$G$6:$G$53,'Gráficos y Tablas'!$B40,'Matriz de Seguimiento'!$AR$6:$AR$53,'Gráficos y Tablas'!H$34)</f>
        <v>0</v>
      </c>
      <c r="I40" s="551">
        <f t="shared" si="3"/>
        <v>20</v>
      </c>
      <c r="J40" s="503" t="s">
        <v>1082</v>
      </c>
      <c r="K40" s="504">
        <f t="shared" si="4"/>
        <v>0.9</v>
      </c>
    </row>
    <row r="41" spans="2:11" ht="47.25" customHeight="1" x14ac:dyDescent="0.25">
      <c r="B41" s="895" t="s">
        <v>65</v>
      </c>
      <c r="C41" s="896"/>
      <c r="D41" s="455">
        <f>COUNTIFS('Matriz de Seguimiento'!$G$6:$G$53,'Gráficos y Tablas'!$B41,'Matriz de Seguimiento'!$AR$6:$AR$53,'Gráficos y Tablas'!D$34)</f>
        <v>3</v>
      </c>
      <c r="E41" s="456">
        <f>COUNTIFS('Matriz de Seguimiento'!$G$6:$G$53,'Gráficos y Tablas'!$B41,'Matriz de Seguimiento'!$AR$6:$AR$53,'Gráficos y Tablas'!E$34)</f>
        <v>1</v>
      </c>
      <c r="F41" s="456">
        <f>COUNTIFS('Matriz de Seguimiento'!$G$6:$G$53,'Gráficos y Tablas'!$B41,'Matriz de Seguimiento'!$AR$6:$AR$53,'Gráficos y Tablas'!F$34)</f>
        <v>0</v>
      </c>
      <c r="G41" s="456">
        <f>COUNTIFS('Matriz de Seguimiento'!$G$6:$G$53,'Gráficos y Tablas'!$B41,'Matriz de Seguimiento'!$AR$6:$AR$53,'Gráficos y Tablas'!G$34)</f>
        <v>0</v>
      </c>
      <c r="H41" s="457">
        <f>COUNTIFS('Matriz de Seguimiento'!$G$6:$G$53,'Gráficos y Tablas'!$B41,'Matriz de Seguimiento'!$AR$6:$AR$53,'Gráficos y Tablas'!H$34)</f>
        <v>0</v>
      </c>
      <c r="I41" s="551">
        <f t="shared" si="3"/>
        <v>4</v>
      </c>
      <c r="J41" s="503" t="s">
        <v>1082</v>
      </c>
      <c r="K41" s="504">
        <f t="shared" si="4"/>
        <v>0.9375</v>
      </c>
    </row>
    <row r="42" spans="2:11" ht="55.5" customHeight="1" x14ac:dyDescent="0.25">
      <c r="B42" s="895" t="s">
        <v>64</v>
      </c>
      <c r="C42" s="896"/>
      <c r="D42" s="455">
        <f>COUNTIFS('Matriz de Seguimiento'!$G$6:$G$53,'Gráficos y Tablas'!$B42,'Matriz de Seguimiento'!$AR$6:$AR$53,'Gráficos y Tablas'!D$34)</f>
        <v>1</v>
      </c>
      <c r="E42" s="456">
        <f>COUNTIFS('Matriz de Seguimiento'!$G$6:$G$53,'Gráficos y Tablas'!$B42,'Matriz de Seguimiento'!$AR$6:$AR$53,'Gráficos y Tablas'!E$34)</f>
        <v>0</v>
      </c>
      <c r="F42" s="456">
        <f>COUNTIFS('Matriz de Seguimiento'!$G$6:$G$53,'Gráficos y Tablas'!$B42,'Matriz de Seguimiento'!$AR$6:$AR$53,'Gráficos y Tablas'!F$34)</f>
        <v>0</v>
      </c>
      <c r="G42" s="456">
        <f>COUNTIFS('Matriz de Seguimiento'!$G$6:$G$53,'Gráficos y Tablas'!$B42,'Matriz de Seguimiento'!$AR$6:$AR$53,'Gráficos y Tablas'!G$34)</f>
        <v>0</v>
      </c>
      <c r="H42" s="457">
        <f>COUNTIFS('Matriz de Seguimiento'!$G$6:$G$53,'Gráficos y Tablas'!$B42,'Matriz de Seguimiento'!$AR$6:$AR$53,'Gráficos y Tablas'!H$34)</f>
        <v>0</v>
      </c>
      <c r="I42" s="551">
        <f t="shared" si="3"/>
        <v>1</v>
      </c>
      <c r="J42" s="503" t="s">
        <v>1082</v>
      </c>
      <c r="K42" s="504">
        <f t="shared" si="4"/>
        <v>1</v>
      </c>
    </row>
    <row r="43" spans="2:11" ht="57" customHeight="1" thickBot="1" x14ac:dyDescent="0.3">
      <c r="B43" s="897" t="s">
        <v>829</v>
      </c>
      <c r="C43" s="898"/>
      <c r="D43" s="458">
        <f>COUNTIFS('Matriz de Seguimiento'!$G$6:$G$53,'Gráficos y Tablas'!$B43,'Matriz de Seguimiento'!$AR$6:$AR$53,'Gráficos y Tablas'!D$34)</f>
        <v>2</v>
      </c>
      <c r="E43" s="459">
        <f>COUNTIFS('Matriz de Seguimiento'!$G$6:$G$53,'Gráficos y Tablas'!$B43,'Matriz de Seguimiento'!$AR$6:$AR$53,'Gráficos y Tablas'!E$34)</f>
        <v>0</v>
      </c>
      <c r="F43" s="459">
        <f>COUNTIFS('Matriz de Seguimiento'!$G$6:$G$53,'Gráficos y Tablas'!$B43,'Matriz de Seguimiento'!$AR$6:$AR$53,'Gráficos y Tablas'!F$34)</f>
        <v>0</v>
      </c>
      <c r="G43" s="459">
        <f>COUNTIFS('Matriz de Seguimiento'!$G$6:$G$53,'Gráficos y Tablas'!$B43,'Matriz de Seguimiento'!$AR$6:$AR$53,'Gráficos y Tablas'!G$34)</f>
        <v>0</v>
      </c>
      <c r="H43" s="460">
        <f>COUNTIFS('Matriz de Seguimiento'!$G$6:$G$53,'Gráficos y Tablas'!$B43,'Matriz de Seguimiento'!$AR$6:$AR$53,'Gráficos y Tablas'!H$34)</f>
        <v>0</v>
      </c>
      <c r="I43" s="552">
        <f t="shared" si="3"/>
        <v>2</v>
      </c>
      <c r="J43" s="549" t="s">
        <v>1082</v>
      </c>
      <c r="K43" s="550">
        <f t="shared" si="4"/>
        <v>1</v>
      </c>
    </row>
    <row r="44" spans="2:11" ht="15" x14ac:dyDescent="0.25">
      <c r="D44" s="417"/>
      <c r="E44" s="417"/>
      <c r="F44" s="417"/>
      <c r="G44" s="417"/>
      <c r="H44" s="417"/>
      <c r="J44" s="478"/>
      <c r="K44" s="480"/>
    </row>
    <row r="45" spans="2:11" ht="15" x14ac:dyDescent="0.25">
      <c r="J45" s="478"/>
      <c r="K45" s="480"/>
    </row>
    <row r="46" spans="2:11" ht="15" x14ac:dyDescent="0.25">
      <c r="J46" s="478"/>
      <c r="K46" s="480"/>
    </row>
    <row r="47" spans="2:11" ht="15" x14ac:dyDescent="0.25">
      <c r="J47" s="478"/>
      <c r="K47" s="480"/>
    </row>
    <row r="48" spans="2:11" ht="15" x14ac:dyDescent="0.25">
      <c r="J48" s="478"/>
      <c r="K48" s="480"/>
    </row>
    <row r="49" ht="15" x14ac:dyDescent="0.25"/>
    <row r="50" ht="15" customHeight="1" x14ac:dyDescent="0.25"/>
  </sheetData>
  <mergeCells count="56">
    <mergeCell ref="D11:D12"/>
    <mergeCell ref="E11:E12"/>
    <mergeCell ref="F11:F12"/>
    <mergeCell ref="G11:G12"/>
    <mergeCell ref="H11:H12"/>
    <mergeCell ref="D9:D10"/>
    <mergeCell ref="E9:E10"/>
    <mergeCell ref="F9:F10"/>
    <mergeCell ref="G9:G10"/>
    <mergeCell ref="H9:H10"/>
    <mergeCell ref="H5:H6"/>
    <mergeCell ref="E7:E8"/>
    <mergeCell ref="F7:F8"/>
    <mergeCell ref="G7:G8"/>
    <mergeCell ref="H7:H8"/>
    <mergeCell ref="D5:D6"/>
    <mergeCell ref="D7:D8"/>
    <mergeCell ref="E5:E6"/>
    <mergeCell ref="F5:F6"/>
    <mergeCell ref="G5:G6"/>
    <mergeCell ref="D3:D4"/>
    <mergeCell ref="E3:E4"/>
    <mergeCell ref="F3:F4"/>
    <mergeCell ref="G3:G4"/>
    <mergeCell ref="H3:H4"/>
    <mergeCell ref="B4:C4"/>
    <mergeCell ref="B6:C6"/>
    <mergeCell ref="B8:C8"/>
    <mergeCell ref="B10:C10"/>
    <mergeCell ref="B12:C12"/>
    <mergeCell ref="B39:C39"/>
    <mergeCell ref="B40:C40"/>
    <mergeCell ref="B41:C41"/>
    <mergeCell ref="B42:C42"/>
    <mergeCell ref="B43:C43"/>
    <mergeCell ref="B34:C34"/>
    <mergeCell ref="B35:C35"/>
    <mergeCell ref="B36:C36"/>
    <mergeCell ref="B37:C37"/>
    <mergeCell ref="B38:C38"/>
    <mergeCell ref="B26:C26"/>
    <mergeCell ref="B2:C2"/>
    <mergeCell ref="B3:C3"/>
    <mergeCell ref="B5:C5"/>
    <mergeCell ref="B7:C7"/>
    <mergeCell ref="B9:C9"/>
    <mergeCell ref="B11:C11"/>
    <mergeCell ref="B13:C13"/>
    <mergeCell ref="B15:C15"/>
    <mergeCell ref="B16:C16"/>
    <mergeCell ref="B17:C17"/>
    <mergeCell ref="B18:C18"/>
    <mergeCell ref="B19:C19"/>
    <mergeCell ref="B20:C20"/>
    <mergeCell ref="B21:C21"/>
    <mergeCell ref="B23:C23"/>
  </mergeCells>
  <pageMargins left="0.22" right="0.1" top="0.59" bottom="0.67" header="0.2" footer="0.31496062992125984"/>
  <pageSetup scale="60" orientation="landscape" r:id="rId1"/>
  <rowBreaks count="1" manualBreakCount="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25C49-2F99-4F40-970A-63CCC9F0103C}">
  <dimension ref="A1:AT57"/>
  <sheetViews>
    <sheetView showGridLines="0" view="pageBreakPreview" zoomScale="80" zoomScaleNormal="80" zoomScaleSheetLayoutView="80" workbookViewId="0">
      <selection activeCell="AR45" sqref="AR45"/>
    </sheetView>
  </sheetViews>
  <sheetFormatPr baseColWidth="10" defaultColWidth="11.42578125" defaultRowHeight="0" customHeight="1" zeroHeight="1" x14ac:dyDescent="0.2"/>
  <cols>
    <col min="1" max="1" width="8.140625" style="1" customWidth="1"/>
    <col min="2" max="4" width="26.42578125" style="22" hidden="1" customWidth="1"/>
    <col min="5" max="5" width="7.42578125" style="22" customWidth="1"/>
    <col min="6" max="7" width="25.5703125" style="22" customWidth="1"/>
    <col min="8" max="8" width="18.7109375" style="22" hidden="1" customWidth="1"/>
    <col min="9" max="9" width="23.7109375" style="22" customWidth="1"/>
    <col min="10" max="10" width="31.85546875" style="22" hidden="1" customWidth="1"/>
    <col min="11" max="11" width="24.42578125" style="22" bestFit="1" customWidth="1"/>
    <col min="12" max="12" width="19.42578125" style="22" hidden="1" customWidth="1"/>
    <col min="13" max="13" width="58.85546875" style="22" hidden="1" customWidth="1"/>
    <col min="14" max="15" width="24.42578125" style="22" customWidth="1"/>
    <col min="16" max="17" width="24.42578125" style="22" hidden="1" customWidth="1"/>
    <col min="18" max="18" width="20.140625" style="22" hidden="1" customWidth="1"/>
    <col min="19" max="19" width="13.7109375" style="22" customWidth="1"/>
    <col min="20" max="20" width="70.7109375" style="22" customWidth="1"/>
    <col min="21" max="24" width="20.42578125" style="22" hidden="1" customWidth="1"/>
    <col min="25" max="25" width="75.140625" style="22" hidden="1" customWidth="1"/>
    <col min="26" max="26" width="19" style="22" hidden="1" customWidth="1"/>
    <col min="27" max="27" width="68.28515625" style="22" hidden="1" customWidth="1"/>
    <col min="28" max="29" width="19.42578125" style="22" customWidth="1"/>
    <col min="30" max="30" width="8.140625" style="22" customWidth="1"/>
    <col min="31" max="33" width="9.7109375" style="22" customWidth="1"/>
    <col min="34" max="36" width="8.5703125" style="22" customWidth="1"/>
    <col min="37" max="42" width="8.5703125" style="22" hidden="1" customWidth="1"/>
    <col min="43" max="43" width="236.28515625" style="22" customWidth="1"/>
    <col min="44" max="44" width="13.5703125" style="22" customWidth="1"/>
    <col min="45" max="45" width="3.7109375" style="22" customWidth="1"/>
    <col min="46" max="47" width="11.42578125" style="1" customWidth="1"/>
    <col min="48" max="16384" width="11.42578125" style="1"/>
  </cols>
  <sheetData>
    <row r="1" spans="1:46" ht="64.5" customHeight="1" thickBot="1" x14ac:dyDescent="0.25">
      <c r="A1" s="634" t="s">
        <v>1111</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6"/>
      <c r="AD1" s="634" t="str">
        <f>A1</f>
        <v>MATRIZ DE SEGUIMIENTO AL PLAN DE ACCIÓN INSTITUCIONAL
CAPITAL - SISTEMA DE COMUNICACIÓN PÚBLICA
Corte: 30 de junio de 2022</v>
      </c>
      <c r="AE1" s="635"/>
      <c r="AF1" s="635"/>
      <c r="AG1" s="635"/>
      <c r="AH1" s="635"/>
      <c r="AI1" s="635"/>
      <c r="AJ1" s="635"/>
      <c r="AK1" s="635"/>
      <c r="AL1" s="635"/>
      <c r="AM1" s="635"/>
      <c r="AN1" s="635"/>
      <c r="AO1" s="635"/>
      <c r="AP1" s="635"/>
      <c r="AQ1" s="635"/>
      <c r="AR1" s="636"/>
      <c r="AS1" s="1"/>
    </row>
    <row r="2" spans="1:46" ht="6.75" customHeight="1" thickBot="1" x14ac:dyDescent="0.25">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8"/>
      <c r="AD2" s="534"/>
      <c r="AE2" s="409"/>
      <c r="AF2" s="409"/>
      <c r="AG2" s="409"/>
      <c r="AH2" s="409"/>
      <c r="AI2" s="409"/>
      <c r="AJ2" s="409"/>
      <c r="AK2" s="409"/>
      <c r="AL2" s="409"/>
      <c r="AM2" s="409"/>
      <c r="AN2" s="409"/>
      <c r="AO2" s="409"/>
      <c r="AP2" s="409"/>
      <c r="AQ2" s="409"/>
      <c r="AR2" s="409"/>
      <c r="AS2" s="1"/>
    </row>
    <row r="3" spans="1:46" ht="16.5" hidden="1" customHeight="1" thickBot="1" x14ac:dyDescent="0.25">
      <c r="A3" s="446">
        <v>1</v>
      </c>
      <c r="B3" s="446">
        <v>2</v>
      </c>
      <c r="C3" s="446">
        <v>3</v>
      </c>
      <c r="D3" s="446">
        <v>4</v>
      </c>
      <c r="E3" s="446">
        <v>5</v>
      </c>
      <c r="F3" s="446">
        <v>6</v>
      </c>
      <c r="G3" s="446">
        <v>7</v>
      </c>
      <c r="H3" s="446">
        <v>8</v>
      </c>
      <c r="I3" s="446">
        <v>9</v>
      </c>
      <c r="J3" s="446">
        <v>10</v>
      </c>
      <c r="K3" s="446">
        <v>11</v>
      </c>
      <c r="L3" s="446">
        <v>12</v>
      </c>
      <c r="M3" s="446">
        <v>13</v>
      </c>
      <c r="N3" s="446">
        <v>14</v>
      </c>
      <c r="O3" s="446">
        <v>15</v>
      </c>
      <c r="P3" s="446">
        <v>16</v>
      </c>
      <c r="Q3" s="446">
        <v>17</v>
      </c>
      <c r="R3" s="446">
        <v>18</v>
      </c>
      <c r="S3" s="446">
        <v>19</v>
      </c>
      <c r="T3" s="446">
        <v>20</v>
      </c>
      <c r="U3" s="446">
        <v>21</v>
      </c>
      <c r="V3" s="446">
        <v>22</v>
      </c>
      <c r="W3" s="446">
        <v>23</v>
      </c>
      <c r="X3" s="446">
        <v>24</v>
      </c>
      <c r="Y3" s="446">
        <v>25</v>
      </c>
      <c r="Z3" s="446">
        <v>26</v>
      </c>
      <c r="AA3" s="446">
        <v>27</v>
      </c>
      <c r="AB3" s="446">
        <v>28</v>
      </c>
      <c r="AC3" s="446">
        <v>29</v>
      </c>
      <c r="AD3" s="446"/>
      <c r="AE3" s="446"/>
      <c r="AF3" s="446"/>
      <c r="AG3" s="446"/>
      <c r="AH3" s="446"/>
      <c r="AI3" s="446"/>
      <c r="AJ3" s="446"/>
      <c r="AK3" s="446"/>
      <c r="AL3" s="446"/>
      <c r="AM3" s="446"/>
      <c r="AN3" s="446"/>
      <c r="AO3" s="446"/>
      <c r="AP3" s="446"/>
      <c r="AQ3" s="446"/>
      <c r="AR3" s="446"/>
      <c r="AS3" s="1"/>
    </row>
    <row r="4" spans="1:46" ht="15" customHeight="1" x14ac:dyDescent="0.2">
      <c r="A4" s="639" t="s">
        <v>44</v>
      </c>
      <c r="B4" s="626" t="s">
        <v>15</v>
      </c>
      <c r="C4" s="626" t="s">
        <v>16</v>
      </c>
      <c r="D4" s="626" t="s">
        <v>17</v>
      </c>
      <c r="E4" s="626" t="s">
        <v>1</v>
      </c>
      <c r="F4" s="626"/>
      <c r="G4" s="626" t="s">
        <v>796</v>
      </c>
      <c r="H4" s="626" t="s">
        <v>44</v>
      </c>
      <c r="I4" s="626" t="s">
        <v>2</v>
      </c>
      <c r="J4" s="626" t="s">
        <v>21</v>
      </c>
      <c r="K4" s="626" t="s">
        <v>20</v>
      </c>
      <c r="L4" s="626" t="s">
        <v>22</v>
      </c>
      <c r="M4" s="620" t="s">
        <v>3</v>
      </c>
      <c r="N4" s="626" t="s">
        <v>4</v>
      </c>
      <c r="O4" s="626"/>
      <c r="P4" s="620" t="s">
        <v>6</v>
      </c>
      <c r="Q4" s="620" t="s">
        <v>30</v>
      </c>
      <c r="R4" s="620" t="s">
        <v>8</v>
      </c>
      <c r="S4" s="620" t="s">
        <v>31</v>
      </c>
      <c r="T4" s="620"/>
      <c r="U4" s="620" t="s">
        <v>27</v>
      </c>
      <c r="V4" s="620"/>
      <c r="W4" s="620"/>
      <c r="X4" s="620"/>
      <c r="Y4" s="620" t="s">
        <v>5</v>
      </c>
      <c r="Z4" s="620" t="s">
        <v>7</v>
      </c>
      <c r="AA4" s="620" t="s">
        <v>9</v>
      </c>
      <c r="AB4" s="626" t="s">
        <v>1181</v>
      </c>
      <c r="AC4" s="655" t="s">
        <v>11</v>
      </c>
      <c r="AD4" s="652" t="s">
        <v>44</v>
      </c>
      <c r="AE4" s="654" t="s">
        <v>1060</v>
      </c>
      <c r="AF4" s="626"/>
      <c r="AG4" s="626"/>
      <c r="AH4" s="626"/>
      <c r="AI4" s="626"/>
      <c r="AJ4" s="626"/>
      <c r="AK4" s="626"/>
      <c r="AL4" s="626"/>
      <c r="AM4" s="626"/>
      <c r="AN4" s="626"/>
      <c r="AO4" s="626"/>
      <c r="AP4" s="655"/>
      <c r="AQ4" s="650" t="s">
        <v>1061</v>
      </c>
      <c r="AR4" s="650" t="s">
        <v>1062</v>
      </c>
      <c r="AS4" s="1"/>
      <c r="AT4" s="3"/>
    </row>
    <row r="5" spans="1:46" ht="15.75" customHeight="1" thickBot="1" x14ac:dyDescent="0.25">
      <c r="A5" s="640"/>
      <c r="B5" s="627"/>
      <c r="C5" s="627"/>
      <c r="D5" s="627"/>
      <c r="E5" s="627"/>
      <c r="F5" s="627"/>
      <c r="G5" s="627"/>
      <c r="H5" s="627"/>
      <c r="I5" s="627"/>
      <c r="J5" s="627"/>
      <c r="K5" s="621"/>
      <c r="L5" s="627"/>
      <c r="M5" s="621"/>
      <c r="N5" s="410" t="s">
        <v>28</v>
      </c>
      <c r="O5" s="410" t="s">
        <v>29</v>
      </c>
      <c r="P5" s="621"/>
      <c r="Q5" s="621"/>
      <c r="R5" s="621"/>
      <c r="S5" s="411" t="s">
        <v>32</v>
      </c>
      <c r="T5" s="411" t="s">
        <v>0</v>
      </c>
      <c r="U5" s="411" t="s">
        <v>23</v>
      </c>
      <c r="V5" s="411" t="s">
        <v>24</v>
      </c>
      <c r="W5" s="411" t="s">
        <v>25</v>
      </c>
      <c r="X5" s="411" t="s">
        <v>26</v>
      </c>
      <c r="Y5" s="621"/>
      <c r="Z5" s="621"/>
      <c r="AA5" s="621"/>
      <c r="AB5" s="627"/>
      <c r="AC5" s="657"/>
      <c r="AD5" s="653"/>
      <c r="AE5" s="556" t="s">
        <v>1048</v>
      </c>
      <c r="AF5" s="412" t="s">
        <v>1049</v>
      </c>
      <c r="AG5" s="412" t="s">
        <v>1050</v>
      </c>
      <c r="AH5" s="412" t="s">
        <v>1051</v>
      </c>
      <c r="AI5" s="412" t="s">
        <v>1052</v>
      </c>
      <c r="AJ5" s="412" t="s">
        <v>1053</v>
      </c>
      <c r="AK5" s="412" t="s">
        <v>1054</v>
      </c>
      <c r="AL5" s="412" t="s">
        <v>1055</v>
      </c>
      <c r="AM5" s="412" t="s">
        <v>1056</v>
      </c>
      <c r="AN5" s="412" t="s">
        <v>1057</v>
      </c>
      <c r="AO5" s="412" t="s">
        <v>1058</v>
      </c>
      <c r="AP5" s="450" t="s">
        <v>1059</v>
      </c>
      <c r="AQ5" s="651"/>
      <c r="AR5" s="656"/>
      <c r="AS5" s="1"/>
      <c r="AT5" s="3"/>
    </row>
    <row r="6" spans="1:46" ht="153.75" customHeight="1" x14ac:dyDescent="0.2">
      <c r="A6" s="10" t="str">
        <f>H6</f>
        <v>1.9.1</v>
      </c>
      <c r="B6" s="447" t="str">
        <f>'PAI 2022 - V3'!A8</f>
        <v>5. Igualdad de Género.
10. Reducción de las desigualdades.
11. Ciudades y comunidades sostenibles.
17. Alianzas para lograr los objetivos.</v>
      </c>
      <c r="C6" s="335" t="str">
        <f>'PAI 2022 - V3'!B8</f>
        <v>Propósito 1
Logro de ciudad: 3 - 9 - 10
Propósito 3
Logro de ciudad: 22 - 23
Propósito 5
Logro de ciudad: 30</v>
      </c>
      <c r="D6" s="335" t="str">
        <f>'PAI 2022 - V3'!C8</f>
        <v>Participación ciudadana en la gestión pública.</v>
      </c>
      <c r="E6" s="10" t="str">
        <f>'PAI 2022 - V3'!D8</f>
        <v>OE_1</v>
      </c>
      <c r="F6" s="400" t="str">
        <f>'PAI 2022 - V3'!E8</f>
        <v>1. Consolidar una oferta de contenidos de interés ciudadano en diferentes formatos y plataformas que promuevan la participación de la ciudadanía.</v>
      </c>
      <c r="G6" s="400" t="str">
        <f>'PAI 2022 - V3'!F8</f>
        <v>9. Promover el relacionamiento con la ciudadanía y grupos poblacionales, a través de diferentes mecanismos, plataformas y herramientas.</v>
      </c>
      <c r="H6" s="10" t="str">
        <f>'PAI 2022 - V3'!G8</f>
        <v>1.9.1</v>
      </c>
      <c r="I6" s="273" t="str">
        <f>'PAI 2022 - V3'!H8</f>
        <v>Capital plural</v>
      </c>
      <c r="J6" s="335" t="str">
        <f>'PAI 2022 - V3'!I8</f>
        <v>Desarrollar un plan de acción interno y externo para la transversalización de las políticas públicas poblacionales y de medios comunitarios, en las prácticas de gestión y misionales propias de Capital.</v>
      </c>
      <c r="K6" s="335" t="str">
        <f>'PAI 2022 - V3'!J8</f>
        <v>Gestión de compromisos poblacionales y de medios comunitarios.</v>
      </c>
      <c r="L6" s="400" t="str">
        <f>'PAI 2022 - V3'!K8</f>
        <v>1 Eficacia: Cumplimiento de metas</v>
      </c>
      <c r="M6" s="335" t="str">
        <f>'PAI 2022 - V3'!L8</f>
        <v>Medir las gestiones adelantadas para el cumplimiento de compromisos sobre políticas públicas poblacionales y medios comunitarios.
Se parte de la atención a los compromisos sobre 6 grupos étnicos, 7 grupos sociales, y medios comunitarios.</v>
      </c>
      <c r="N6" s="273" t="str">
        <f>'PAI 2022 - V3'!M8</f>
        <v>Actividades de gestión adelantadas sobre compromisos poblacionales y de medios comunitarios</v>
      </c>
      <c r="O6" s="273" t="str">
        <f>'PAI 2022 - V3'!N8</f>
        <v>Compromisos adquiridos para grupos poblacionales y de medios comunitarios.</v>
      </c>
      <c r="P6" s="273" t="str">
        <f>'PAI 2022 - V3'!O8</f>
        <v>Porcentaje (%).</v>
      </c>
      <c r="Q6" s="10" t="str">
        <f>'PAI 2022 - V3'!P8</f>
        <v>1 Creciente: El resultado tiende a crecer en el tiempo</v>
      </c>
      <c r="R6" s="274">
        <f>'PAI 2022 - V3'!Q8</f>
        <v>0.95</v>
      </c>
      <c r="S6" s="274">
        <f>'PAI 2022 - V3'!R8</f>
        <v>1</v>
      </c>
      <c r="T6" s="335" t="str">
        <f>'PAI 2022 - V3'!S8</f>
        <v>Atender el 100% de los compromisos adquiridos por parte de Capital en el marco de las políticas públicas poblacionales y medios comunitarios.</v>
      </c>
      <c r="U6" s="273" t="str">
        <f>'PAI 2022 - V3'!T8</f>
        <v>Menos de 70%</v>
      </c>
      <c r="V6" s="273" t="str">
        <f>'PAI 2022 - V3'!U8</f>
        <v>71% - 80%</v>
      </c>
      <c r="W6" s="273" t="str">
        <f>'PAI 2022 - V3'!V8</f>
        <v>81% - 99%</v>
      </c>
      <c r="X6" s="274">
        <f>'PAI 2022 - V3'!W8</f>
        <v>1</v>
      </c>
      <c r="Y6" s="335" t="str">
        <f>'PAI 2022 - V3'!X8</f>
        <v>• Gestionar la generación de contenidos por medio del desarrollo colectivo de proyectos en conjunto con los grupos poblacionales y gestión de recursos sostenibles.
* Apoyar la visibilización de las prácticas, liderazgos y productos de comunicación de los grupo poblacionales y medios comunitarios en las plataformas digitales, señal abierta y en los entornos sonoros.
* Acompañar el fortalecimiento de capacidades del equipo humano de capital en derechos humanos desde una perspectiva plural.
* Promover la transformación e implementación de procesos y procedimientos en el sistema de gestión para la transversalización de los enfoques de política pública orientados a las poblaciones y a la comunicación comunitaria.</v>
      </c>
      <c r="Z6" s="10" t="str">
        <f>'PAI 2022 - V3'!Y8</f>
        <v>3 Trimestral</v>
      </c>
      <c r="AA6" s="335" t="str">
        <f>'PAI 2022 - V3'!Z8</f>
        <v>Podrán reportarse acciones e iniciativas adicionales que se deriven del accionar estratégico de la entidad y que aportan a la visibilización y gestiones de los compromisos definidos.</v>
      </c>
      <c r="AB6" s="273" t="str">
        <f>'PAI 2022 - V3'!AA8</f>
        <v>Gerencia General</v>
      </c>
      <c r="AC6" s="448" t="str">
        <f>'PAI 2022 - V3'!AB8</f>
        <v>Asesor poblacional y de medios comunitarios.</v>
      </c>
      <c r="AD6" s="562" t="str">
        <f>A6</f>
        <v>1.9.1</v>
      </c>
      <c r="AE6" s="647">
        <f>10/10</f>
        <v>1</v>
      </c>
      <c r="AF6" s="647"/>
      <c r="AG6" s="647"/>
      <c r="AH6" s="647">
        <f>10/10</f>
        <v>1</v>
      </c>
      <c r="AI6" s="647"/>
      <c r="AJ6" s="647"/>
      <c r="AK6" s="647"/>
      <c r="AL6" s="647"/>
      <c r="AM6" s="647"/>
      <c r="AN6" s="647"/>
      <c r="AO6" s="647"/>
      <c r="AP6" s="647"/>
      <c r="AQ6" s="536" t="s">
        <v>1110</v>
      </c>
      <c r="AR6" s="563" t="s">
        <v>26</v>
      </c>
    </row>
    <row r="7" spans="1:46" ht="87" customHeight="1" x14ac:dyDescent="0.2">
      <c r="A7" s="10" t="str">
        <f t="shared" ref="A7:A53" si="0">H7</f>
        <v>1.2.2</v>
      </c>
      <c r="B7" s="333" t="str">
        <f>'PAI 2022 - V3'!A9</f>
        <v>3. Salud y bienestar.
4. Educación de calidad.
5. Igualdad de Género.
9. Industria, innovación e infraestructura.
10. Reducción de las desigualdades.
17. Alianzas para lograr los objetivos.</v>
      </c>
      <c r="C7" s="334" t="str">
        <f>'PAI 2022 - V3'!B9</f>
        <v>Propósito 1
Logro de ciudad: 3 - 9 - 10
Propósito 3
Logro de ciudad: 22 - 23
Propósito 5
Logro de ciudad: 30</v>
      </c>
      <c r="D7" s="334" t="str">
        <f>'PAI 2022 - V3'!C9</f>
        <v>Participación ciudadana en la gestión pública.</v>
      </c>
      <c r="E7" s="10" t="str">
        <f>'PAI 2022 - V3'!D9</f>
        <v>OE_1</v>
      </c>
      <c r="F7" s="400" t="str">
        <f>'PAI 2022 - V3'!E9</f>
        <v>1. Consolidar una oferta de contenidos de interés ciudadano en diferentes formatos y plataformas que promuevan la participación de la ciudadanía.</v>
      </c>
      <c r="G7" s="400" t="str">
        <f>'PAI 2022 - V3'!F9</f>
        <v>2. Conocer audiencias potenciales de Bogotá-Región en las distintas plataformas. (Identificar, caracterizar y perfilar).</v>
      </c>
      <c r="H7" s="10" t="str">
        <f>'PAI 2022 - V3'!G9</f>
        <v>1.2.2</v>
      </c>
      <c r="I7" s="273" t="str">
        <f>'PAI 2022 - V3'!H9</f>
        <v>Conocimiento de audiencias a través de la estrategia inbound (caracterización de audiencias)</v>
      </c>
      <c r="J7" s="335" t="str">
        <f>'PAI 2022 - V3'!I9</f>
        <v>Conocer y caracterizar las audiencias de Capital, para contar con información que permita desarrollar productos y contenidos enfocados al cliente final.</v>
      </c>
      <c r="K7" s="335" t="str">
        <f>'PAI 2022 - V3'!J9</f>
        <v>Audiencias caracterizadas</v>
      </c>
      <c r="L7" s="400" t="str">
        <f>'PAI 2022 - V3'!K9</f>
        <v>3 Efectividad: Impacto o beneficios generados.</v>
      </c>
      <c r="M7" s="335" t="str">
        <f>'PAI 2022 - V3'!L9</f>
        <v>Capital pretende identificar, a través de este indicador, la caracterización de nuestras audiencias para de esa manera producir y circular contenido de valor para cada una de ellas y sus necesidades. Asimismo, Capital podrá entregar contenido uno a uno con cada ciudadano o ciudadana interesados en la entidad.</v>
      </c>
      <c r="N7" s="273" t="str">
        <f>'PAI 2022 - V3'!M9</f>
        <v>Número de leads convertidos</v>
      </c>
      <c r="O7" s="273" t="str">
        <f>'PAI 2022 - V3'!N9</f>
        <v>Número de visitantes a las plataformas de Capital</v>
      </c>
      <c r="P7" s="273" t="str">
        <f>'PAI 2022 - V3'!O9</f>
        <v>Porcentaje (%)</v>
      </c>
      <c r="Q7" s="10" t="str">
        <f>'PAI 2022 - V3'!P9</f>
        <v>1 Creciente: El resultado tiende a crecer en el tiempo</v>
      </c>
      <c r="R7" s="274" t="str">
        <f>'PAI 2022 - V3'!Q9</f>
        <v>No aplica</v>
      </c>
      <c r="S7" s="336">
        <f>'PAI 2022 - V3'!R9</f>
        <v>1.0333333333333333E-4</v>
      </c>
      <c r="T7" s="335" t="str">
        <f>'PAI 2022 - V3'!S9</f>
        <v>Lograr una tasa de conversión de 0.01% de visitantes a los contenidos de Capital</v>
      </c>
      <c r="U7" s="273" t="str">
        <f>'PAI 2022 - V3'!T9</f>
        <v>&lt;0.0052%</v>
      </c>
      <c r="V7" s="337">
        <f>'PAI 2022 - V3'!U9</f>
        <v>5.1666666666666664E-5</v>
      </c>
      <c r="W7" s="337">
        <f>'PAI 2022 - V3'!V9</f>
        <v>7.2333333333333321E-5</v>
      </c>
      <c r="X7" s="337">
        <f>'PAI 2022 - V3'!W9</f>
        <v>9.8166666666666663E-5</v>
      </c>
      <c r="Y7" s="335" t="str">
        <f>'PAI 2022 - V3'!X9</f>
        <v>1. Diseñar formularios para el registro de datos de las audiencias de Capital.
2. Desarrollar landing pages con contenido atractivo para promover el intercambio de datos.
3. Implementar planes de pauta digital segmentada para cada uno de nuestros proyectos con el fin de finalizar visitantes y convertirlos en leads y leads calificados (sujeto a disponibilidad de recursos).</v>
      </c>
      <c r="Z7" s="10" t="str">
        <f>'PAI 2022 - V3'!Y9</f>
        <v>3 Trimestral</v>
      </c>
      <c r="AA7" s="335" t="str">
        <f>'PAI 2022 - V3'!Z9</f>
        <v>No aplica</v>
      </c>
      <c r="AB7" s="273" t="str">
        <f>'PAI 2022 - V3'!AA9</f>
        <v>Gerencia General</v>
      </c>
      <c r="AC7" s="448" t="str">
        <f>'PAI 2022 - V3'!AB9</f>
        <v>Asesor de Gerencia - Líder del equipo digital</v>
      </c>
      <c r="AD7" s="564" t="str">
        <f t="shared" ref="AD7:AD53" si="1">A7</f>
        <v>1.2.2</v>
      </c>
      <c r="AE7" s="648">
        <f>157/1177977</f>
        <v>1.3327934246593949E-4</v>
      </c>
      <c r="AF7" s="648"/>
      <c r="AG7" s="648"/>
      <c r="AH7" s="648">
        <f>2546/822916</f>
        <v>3.0938759241526475E-3</v>
      </c>
      <c r="AI7" s="648"/>
      <c r="AJ7" s="648"/>
      <c r="AK7" s="649"/>
      <c r="AL7" s="649"/>
      <c r="AM7" s="649"/>
      <c r="AN7" s="649"/>
      <c r="AO7" s="649"/>
      <c r="AP7" s="649"/>
      <c r="AQ7" s="599" t="s">
        <v>1184</v>
      </c>
      <c r="AR7" s="565" t="s">
        <v>26</v>
      </c>
    </row>
    <row r="8" spans="1:46" ht="234.75" customHeight="1" x14ac:dyDescent="0.2">
      <c r="A8" s="10" t="str">
        <f t="shared" si="0"/>
        <v>1.2.3</v>
      </c>
      <c r="B8" s="333" t="str">
        <f>'PAI 2022 - V3'!A10</f>
        <v>3. Salud y bienestar.
4. Educación de calidad.
5. Igualdad de Género.
9. Industria, innovación e infraestructura.
10. Reducción de las desigualdades.
17. Alianzas para lograr los objetivos.</v>
      </c>
      <c r="C8" s="334" t="str">
        <f>'PAI 2022 - V3'!B10</f>
        <v>Propósito 1
Logro de ciudad: 3 - 9 - 10
Propósito 3
Logro de ciudad: 22 - 23
Propósito 5
Logro de ciudad: 30</v>
      </c>
      <c r="D8" s="334" t="str">
        <f>'PAI 2022 - V3'!C10</f>
        <v>Participación ciudadana en la gestión pública.</v>
      </c>
      <c r="E8" s="10" t="str">
        <f>'PAI 2022 - V3'!D10</f>
        <v>OE_1</v>
      </c>
      <c r="F8" s="400" t="str">
        <f>'PAI 2022 - V3'!E10</f>
        <v>1. Consolidar una oferta de contenidos de interés ciudadano en diferentes formatos y plataformas que promuevan la participación de la ciudadanía.</v>
      </c>
      <c r="G8" s="400" t="str">
        <f>'PAI 2022 - V3'!F10</f>
        <v>2. Conocer audiencias potenciales de Bogotá-Región en las distintas plataformas. (Identificar, caracterizar y perfilar).</v>
      </c>
      <c r="H8" s="10" t="str">
        <f>'PAI 2022 - V3'!G10</f>
        <v>1.2.3</v>
      </c>
      <c r="I8" s="273" t="str">
        <f>'PAI 2022 - V3'!H10</f>
        <v>Conocimiento de audiencias a través de la estrategia inbound (desarrollo de proyectos)</v>
      </c>
      <c r="J8" s="335" t="str">
        <f>'PAI 2022 - V3'!I10</f>
        <v>Conocer y caracterizar las audiencias de Capital, para contar con información que permita desarrollar productos y contenidos enfocados al cliente final.</v>
      </c>
      <c r="K8" s="334" t="str">
        <f>'PAI 2022 - V3'!J10</f>
        <v>Proyectos desarrollados a través de la estrategia inbound</v>
      </c>
      <c r="L8" s="400" t="str">
        <f>'PAI 2022 - V3'!K10</f>
        <v>2 Eficiencia: Uso de los recursos.</v>
      </c>
      <c r="M8" s="334" t="str">
        <f>'PAI 2022 - V3'!L10</f>
        <v>Con este indicador, Capital quiere segmentar e identificar los intereses de la ciudadanía en cada uno de los proyectos que tiene la entidad y el estado de avance de los mismos.</v>
      </c>
      <c r="N8" s="275" t="str">
        <f>'PAI 2022 - V3'!M10</f>
        <v xml:space="preserve">Porcentaje de avance en los proyectos </v>
      </c>
      <c r="O8" s="275" t="str">
        <f>'PAI 2022 - V3'!N10</f>
        <v>Número de proyectos a adelantar en la vigencia</v>
      </c>
      <c r="P8" s="273" t="str">
        <f>'PAI 2022 - V3'!O10</f>
        <v>Porcentaje (%)</v>
      </c>
      <c r="Q8" s="10" t="str">
        <f>'PAI 2022 - V3'!P10</f>
        <v>1 Creciente: El resultado tiende a crecer en el tiempo</v>
      </c>
      <c r="R8" s="274" t="str">
        <f>'PAI 2022 - V3'!Q10</f>
        <v>No aplica</v>
      </c>
      <c r="S8" s="338">
        <f>'PAI 2022 - V3'!R10</f>
        <v>0.95</v>
      </c>
      <c r="T8" s="334" t="str">
        <f>'PAI 2022 - V3'!S10</f>
        <v xml:space="preserve">Lograr el 95% de avance en la ejecución de los proyectos de Capital </v>
      </c>
      <c r="U8" s="275" t="str">
        <f>'PAI 2022 - V3'!T10</f>
        <v>&lt;40%</v>
      </c>
      <c r="V8" s="275" t="str">
        <f>'PAI 2022 - V3'!U10</f>
        <v>40% - 70%</v>
      </c>
      <c r="W8" s="338" t="str">
        <f>'PAI 2022 - V3'!V10</f>
        <v>70% - 94%</v>
      </c>
      <c r="X8" s="338">
        <f>'PAI 2022 - V3'!W10</f>
        <v>0.95</v>
      </c>
      <c r="Y8" s="334" t="str">
        <f>'PAI 2022 - V3'!X10</f>
        <v>1. Adelantar 4 proyectos de inbound marketing para las áreas de Eureka, Comunicaciones y Proyectos estratégicos.
2. Semanalmente se adelantan comités de inbound marketing para analizar el avance en la implementación de los proyectos.
3. Trimestralmente se consolida y reporta el avance en los 4 proyectos.</v>
      </c>
      <c r="Z8" s="10" t="str">
        <f>'PAI 2022 - V3'!Y10</f>
        <v>3 Trimestral</v>
      </c>
      <c r="AA8" s="335" t="str">
        <f>'PAI 2022 - V3'!Z10</f>
        <v>No aplica</v>
      </c>
      <c r="AB8" s="273" t="str">
        <f>'PAI 2022 - V3'!AA10</f>
        <v>Gerencia General</v>
      </c>
      <c r="AC8" s="448" t="str">
        <f>'PAI 2022 - V3'!AB10</f>
        <v>Asesor de Gerencia - Líder del equipo digital</v>
      </c>
      <c r="AD8" s="564" t="str">
        <f t="shared" si="1"/>
        <v>1.2.3</v>
      </c>
      <c r="AE8" s="645">
        <f>((1*100%)+(1*100%)+(1*40%)+(1*40%))/4</f>
        <v>0.7</v>
      </c>
      <c r="AF8" s="645"/>
      <c r="AG8" s="645"/>
      <c r="AH8" s="645">
        <f>((1*100%)+(1*100%)+(1*80%)+(1*100%))/4</f>
        <v>0.95</v>
      </c>
      <c r="AI8" s="645"/>
      <c r="AJ8" s="645"/>
      <c r="AK8" s="645"/>
      <c r="AL8" s="645"/>
      <c r="AM8" s="645"/>
      <c r="AN8" s="645"/>
      <c r="AO8" s="645"/>
      <c r="AP8" s="645"/>
      <c r="AQ8" s="599" t="s">
        <v>1185</v>
      </c>
      <c r="AR8" s="565" t="s">
        <v>26</v>
      </c>
    </row>
    <row r="9" spans="1:46" ht="116.25" customHeight="1" x14ac:dyDescent="0.2">
      <c r="A9" s="10" t="str">
        <f t="shared" si="0"/>
        <v>5.7.1</v>
      </c>
      <c r="B9" s="402" t="str">
        <f>'PAI 2022 - V3'!A11</f>
        <v>3. Salud y bienestar.
16. Paz, justicia e instituciones sólidas.</v>
      </c>
      <c r="C9" s="400" t="str">
        <f>'PAI 2022 - V3'!B11</f>
        <v>Propósito 1
Logro de ciudad: 3 - 5
Propósito 5
Logro de ciudad: 30</v>
      </c>
      <c r="D9" s="400" t="str">
        <f>'PAI 2022 - V3'!C11</f>
        <v>Gestión del conocimiento y la innovación.</v>
      </c>
      <c r="E9" s="10" t="str">
        <f>'PAI 2022 - V3'!D11</f>
        <v>OE_5</v>
      </c>
      <c r="F9" s="400" t="str">
        <f>'PAI 2022 - V3'!E11</f>
        <v xml:space="preserve">5. Fortalecer la capacidad organizacional de Capital para ser una empresa transparente, eficiente y sostenible. </v>
      </c>
      <c r="G9" s="400" t="str">
        <f>'PAI 2022 - V3'!F11</f>
        <v>7. Adelantar fases de diagnóstico, actualización e implementación de una cultura digital y de gestión del conocimiento.</v>
      </c>
      <c r="H9" s="10" t="str">
        <f>'PAI 2022 - V3'!G11</f>
        <v>5.7.1</v>
      </c>
      <c r="I9" s="10" t="str">
        <f>'PAI 2022 - V3'!H11</f>
        <v>Impulso y apropiación de herramientas de lecciones aprendidas.</v>
      </c>
      <c r="J9" s="400" t="str">
        <f>'PAI 2022 - V3'!I11</f>
        <v>Posicionar al interior de Capital la cultura de gestión del conocimiento</v>
      </c>
      <c r="K9" s="400" t="str">
        <f>'PAI 2022 - V3'!J11</f>
        <v>Lecciones aprendidas consolidadas.</v>
      </c>
      <c r="L9" s="400" t="str">
        <f>'PAI 2022 - V3'!K11</f>
        <v>1 Eficacia: Cumplimiento de metas</v>
      </c>
      <c r="M9" s="400" t="str">
        <f>'PAI 2022 - V3'!L11</f>
        <v>Medir la cantidad de lecciones aprendidas que se consolidan en la herramienta.</v>
      </c>
      <c r="N9" s="10" t="str">
        <f>'PAI 2022 - V3'!M11</f>
        <v>Lecciones aprendidas documentadas</v>
      </c>
      <c r="O9" s="10" t="str">
        <f>'PAI 2022 - V3'!N11</f>
        <v>Lecciones aprendidas identificadas para documentar.</v>
      </c>
      <c r="P9" s="10" t="str">
        <f>'PAI 2022 - V3'!O11</f>
        <v>Porcentaje (%)</v>
      </c>
      <c r="Q9" s="10" t="str">
        <f>'PAI 2022 - V3'!P11</f>
        <v>1 Creciente: El resultado tiende a crecer en el tiempo</v>
      </c>
      <c r="R9" s="10">
        <f>'PAI 2022 - V3'!Q11</f>
        <v>2</v>
      </c>
      <c r="S9" s="10">
        <f>'PAI 2022 - V3'!R11</f>
        <v>2</v>
      </c>
      <c r="T9" s="400" t="str">
        <f>'PAI 2022 - V3'!S11</f>
        <v>Adelantar la documentación y análisis de dos (2) experiencias al interior de la entidad que puedan ser catalogadas como lecciones aprendidas, de acuerdo con las gestiones adelantadas en la vigencia 2021 y experiencias de la vigencia 2022.</v>
      </c>
      <c r="U9" s="19">
        <f>'PAI 2022 - V3'!T11</f>
        <v>0.3</v>
      </c>
      <c r="V9" s="10" t="str">
        <f>'PAI 2022 - V3'!U11</f>
        <v>31% - 60%</v>
      </c>
      <c r="W9" s="10" t="str">
        <f>'PAI 2022 - V3'!V11</f>
        <v>61% - 90%</v>
      </c>
      <c r="X9" s="19">
        <f>'PAI 2022 - V3'!W11</f>
        <v>1</v>
      </c>
      <c r="Y9" s="400" t="str">
        <f>'PAI 2022 - V3'!X11</f>
        <v xml:space="preserve">1. Definición de los proyectos a los cuales se les documentará lecciones aprendidas.
2. Elaboración de los documentos de lecciones aprendidas.
3. Presentación de resultados. </v>
      </c>
      <c r="Z9" s="10" t="str">
        <f>'PAI 2022 - V3'!Y11</f>
        <v>3 Trimestral</v>
      </c>
      <c r="AA9" s="400" t="str">
        <f>'PAI 2022 - V3'!Z11</f>
        <v>Esta acción se llevará a cabo en colaboración con el área de sistemas de la Subdirección Administrativa.</v>
      </c>
      <c r="AB9" s="10" t="str">
        <f>'PAI 2022 - V3'!AA11</f>
        <v>Gerencia General</v>
      </c>
      <c r="AC9" s="448" t="str">
        <f>'PAI 2022 - V3'!AB11</f>
        <v>Asesora de Planeación - Profesional de Apoyo de Planeación.</v>
      </c>
      <c r="AD9" s="564" t="str">
        <f t="shared" si="1"/>
        <v>5.7.1</v>
      </c>
      <c r="AE9" s="645">
        <f>((1*40%)+(1*0%))/2</f>
        <v>0.2</v>
      </c>
      <c r="AF9" s="645"/>
      <c r="AG9" s="645"/>
      <c r="AH9" s="645">
        <f>((1*50%)+(1*20%))/2</f>
        <v>0.35</v>
      </c>
      <c r="AI9" s="645"/>
      <c r="AJ9" s="645"/>
      <c r="AK9" s="645"/>
      <c r="AL9" s="645"/>
      <c r="AM9" s="645"/>
      <c r="AN9" s="645"/>
      <c r="AO9" s="645"/>
      <c r="AP9" s="645"/>
      <c r="AQ9" s="535" t="s">
        <v>1113</v>
      </c>
      <c r="AR9" s="565" t="s">
        <v>25</v>
      </c>
    </row>
    <row r="10" spans="1:46" ht="114" customHeight="1" x14ac:dyDescent="0.2">
      <c r="A10" s="10" t="str">
        <f t="shared" si="0"/>
        <v>5.6.2</v>
      </c>
      <c r="B10" s="403" t="str">
        <f>'PAI 2022 - V3'!A12</f>
        <v>16. Paz, justicia e instituciones sólidas.</v>
      </c>
      <c r="C10" s="399" t="str">
        <f>'PAI 2022 - V3'!B12</f>
        <v>Propósito 5 
Logro de ciudad: 30</v>
      </c>
      <c r="D10" s="399" t="str">
        <f>'PAI 2022 - V3'!C12</f>
        <v>Planeación estratégica.
Seguimiento y evaluación del desempeño institucional</v>
      </c>
      <c r="E10" s="401" t="str">
        <f>'PAI 2022 - V3'!D12</f>
        <v>OE_5</v>
      </c>
      <c r="F10" s="399" t="str">
        <f>'PAI 2022 - V3'!E12</f>
        <v xml:space="preserve">5. Fortalecer la capacidad organizacional de Capital para ser una empresa transparente, eficiente y sostenible. </v>
      </c>
      <c r="G10" s="399" t="str">
        <f>'PAI 2022 - V3'!F12</f>
        <v>6. Articular los procesos y flujos de trabajo a la estructura de Capital.</v>
      </c>
      <c r="H10" s="401" t="str">
        <f>'PAI 2022 - V3'!G12</f>
        <v>5.6.2</v>
      </c>
      <c r="I10" s="401" t="str">
        <f>'PAI 2022 - V3'!H12</f>
        <v>Plan de Fortalecimiento Institucional - PFI (Anexo 1)</v>
      </c>
      <c r="J10" s="399" t="str">
        <f>'PAI 2022 - V3'!I12</f>
        <v>Hacer seguimiento a la implementación de las acciones definidas para el cumplimiento del Modelo Integrado de Planeación y Gestión - MIPG, a través del Plan de Fortalecimiento Institucional - PFI.</v>
      </c>
      <c r="K10" s="399" t="str">
        <f>'PAI 2022 - V3'!J12</f>
        <v>Porcentaje de cumplimiento de los resultados del plan de fortalecimiento institucional.</v>
      </c>
      <c r="L10" s="399" t="str">
        <f>'PAI 2022 - V3'!K12</f>
        <v>2 Eficiencia: Uso de los recursos.</v>
      </c>
      <c r="M10" s="399" t="str">
        <f>'PAI 2022 - V3'!L12</f>
        <v>Realizar seguimientos sobre los avances mensuales a los resultados del plan de fortalecimiento institucional, con el fin de cumplir los requisitos de implementación y mantenimiento del Modelo Integrado de Planeación y Gestión - MIPG.</v>
      </c>
      <c r="N10" s="401" t="str">
        <f>'PAI 2022 - V3'!M12</f>
        <v>Porcentaje de avances ejecutado para el mes</v>
      </c>
      <c r="O10" s="401" t="str">
        <f>'PAI 2022 - V3'!N12</f>
        <v>Porcentaje de avances programado para el mes</v>
      </c>
      <c r="P10" s="401" t="str">
        <f>'PAI 2022 - V3'!O12</f>
        <v>Porcentaje (%)</v>
      </c>
      <c r="Q10" s="401" t="str">
        <f>'PAI 2022 - V3'!P12</f>
        <v>1 Creciente: El resultado tiende a crecer en el tiempo</v>
      </c>
      <c r="R10" s="16">
        <f>'PAI 2022 - V3'!Q12</f>
        <v>0.98629999999999995</v>
      </c>
      <c r="S10" s="15">
        <f>'PAI 2022 - V3'!R12</f>
        <v>0.9</v>
      </c>
      <c r="T10" s="399" t="str">
        <f>'PAI 2022 - V3'!S12</f>
        <v>Lograr como mínimo el cumplimiento del 90% de los compromisos establecidos en el Plan de Fortalecimiento Institucional - PFI para la implementación del Modelo Integrado de Planeación y Gestión en la vigencia 2022.</v>
      </c>
      <c r="U10" s="15">
        <f>'PAI 2022 - V3'!T12</f>
        <v>0.3</v>
      </c>
      <c r="V10" s="401" t="str">
        <f>'PAI 2022 - V3'!U12</f>
        <v>31% - 60%</v>
      </c>
      <c r="W10" s="401" t="str">
        <f>'PAI 2022 - V3'!V12</f>
        <v>61% - 90%</v>
      </c>
      <c r="X10" s="15">
        <f>'PAI 2022 - V3'!W12</f>
        <v>0.9</v>
      </c>
      <c r="Y10" s="399" t="str">
        <f>'PAI 2022 - V3'!X12</f>
        <v>1. Mensualmente adelantar seguimiento a los resultados del PFI para reporte al SPI.
2. Trimestralmente consolidar el avance para el reporte a proyectos de inversión en SEGPLAN.</v>
      </c>
      <c r="Z10" s="401" t="str">
        <f>'PAI 2022 - V3'!Y12</f>
        <v>1 Mensual</v>
      </c>
      <c r="AA10" s="399" t="str">
        <f>'PAI 2022 - V3'!Z12</f>
        <v>No aplica</v>
      </c>
      <c r="AB10" s="401" t="str">
        <f>'PAI 2022 - V3'!AA12</f>
        <v>Gerencia General</v>
      </c>
      <c r="AC10" s="449" t="str">
        <f>'PAI 2022 - V3'!AB12</f>
        <v>Asesora de Planeación - Profesional de Apoyo de Planeación.</v>
      </c>
      <c r="AD10" s="564" t="str">
        <f t="shared" si="1"/>
        <v>5.6.2</v>
      </c>
      <c r="AE10" s="557">
        <f>0.58/0.58</f>
        <v>1</v>
      </c>
      <c r="AF10" s="557">
        <f>5.37/5.37</f>
        <v>1</v>
      </c>
      <c r="AG10" s="557">
        <f>20.43/19.28</f>
        <v>1.0596473029045643</v>
      </c>
      <c r="AH10" s="557">
        <f>27.44/27.21</f>
        <v>1.0084527747151784</v>
      </c>
      <c r="AI10" s="557">
        <f>38/38.59</f>
        <v>0.98471106504275707</v>
      </c>
      <c r="AJ10" s="557">
        <f>47.07/51.1</f>
        <v>0.92113502935420744</v>
      </c>
      <c r="AK10" s="557"/>
      <c r="AL10" s="557"/>
      <c r="AM10" s="557"/>
      <c r="AN10" s="557"/>
      <c r="AO10" s="557"/>
      <c r="AP10" s="557"/>
      <c r="AQ10" s="535" t="s">
        <v>1114</v>
      </c>
      <c r="AR10" s="565" t="s">
        <v>26</v>
      </c>
    </row>
    <row r="11" spans="1:46" ht="115.5" customHeight="1" x14ac:dyDescent="0.2">
      <c r="A11" s="10" t="str">
        <f t="shared" si="0"/>
        <v>5.5.3</v>
      </c>
      <c r="B11" s="403" t="str">
        <f>'PAI 2022 - V3'!A13</f>
        <v>5. Igualdad de Género.
10. Reducción de las desigualdades.
11. Ciudades y comunidades sostenibles.
16. Paz, justicia e instituciones sólidas.
17. Alianzas para lograr los objetivos.</v>
      </c>
      <c r="C11" s="399" t="str">
        <f>'PAI 2022 - V3'!B13</f>
        <v>Propósito 1
Logro de ciudad: 3 - 9 - 10
Propósito 3
Logro de ciudad: 22 - 23
Propósito 5
Logro de ciudad: 30</v>
      </c>
      <c r="D11" s="399" t="str">
        <f>'PAI 2022 - V3'!C13</f>
        <v>Planeación estratégica.
Seguimiento y evaluación del desempeño institucional
Participación ciudadana en la gestión pública.</v>
      </c>
      <c r="E11" s="401" t="str">
        <f>'PAI 2022 - V3'!D13</f>
        <v>OE_5</v>
      </c>
      <c r="F11" s="399" t="str">
        <f>'PAI 2022 - V3'!E13</f>
        <v xml:space="preserve">5. Fortalecer la capacidad organizacional de Capital para ser una empresa transparente, eficiente y sostenible. </v>
      </c>
      <c r="G11" s="399" t="str">
        <f>'PAI 2022 - V3'!F13</f>
        <v>5. Realizar el diagnóstico, diseño e implementación de una estructura administrativa acorde a las necesidades de Capital.</v>
      </c>
      <c r="H11" s="401" t="str">
        <f>'PAI 2022 - V3'!G13</f>
        <v>5.5.3</v>
      </c>
      <c r="I11" s="401" t="str">
        <f>'PAI 2022 - V3'!H13</f>
        <v xml:space="preserve">Implementación y seguimiento al cronograma de informes de segunda línea de defensa a cargo de planeación </v>
      </c>
      <c r="J11" s="399" t="str">
        <f>'PAI 2022 - V3'!I13</f>
        <v>Identificar las diferentes temáticas de gestión que se desarrollan desde planeación y que son articuladas en el cronograma de informes de segunda línea de defensa a cargo de planeación.</v>
      </c>
      <c r="K11" s="399" t="str">
        <f>'PAI 2022 - V3'!J13</f>
        <v xml:space="preserve">Porcentaje del cumplimiento oportuno del cronograma de informes a cargo de planeación </v>
      </c>
      <c r="L11" s="399" t="str">
        <f>'PAI 2022 - V3'!K13</f>
        <v>1 Eficacia: Cumplimiento de metas</v>
      </c>
      <c r="M11" s="399" t="str">
        <f>'PAI 2022 - V3'!L13</f>
        <v xml:space="preserve">Con este indicador se pretende medir la oportunidad en los reportes de información respecto a la planeación establecida para el seguimiento a las diferentes temáticas de planeación, permitiendo generar alertas tempranas a posibles incumplimientos. </v>
      </c>
      <c r="N11" s="401" t="str">
        <f>'PAI 2022 - V3'!M13</f>
        <v xml:space="preserve">Número de informes o reportes ejecutados oportunamente por planeación </v>
      </c>
      <c r="O11" s="401" t="str">
        <f>'PAI 2022 - V3'!N13</f>
        <v xml:space="preserve">Número de informes o reportes programados para ser ejecutados por planeación </v>
      </c>
      <c r="P11" s="401" t="str">
        <f>'PAI 2022 - V3'!O13</f>
        <v>Porcentaje (%)</v>
      </c>
      <c r="Q11" s="401" t="str">
        <f>'PAI 2022 - V3'!P13</f>
        <v>2 Constante: Se espera un valor o rango de resultado estable en el tiempo</v>
      </c>
      <c r="R11" s="16">
        <f>'PAI 2022 - V3'!Q13</f>
        <v>0.96699999999999997</v>
      </c>
      <c r="S11" s="15">
        <f>'PAI 2022 - V3'!R13</f>
        <v>1</v>
      </c>
      <c r="T11" s="399" t="str">
        <f>'PAI 2022 - V3'!S13</f>
        <v xml:space="preserve">Dar cumplimiento al 100% de los compromisos de planeación en la presentación de informes o reportes asignados al área  </v>
      </c>
      <c r="U11" s="15">
        <f>'PAI 2022 - V3'!T13</f>
        <v>0.3</v>
      </c>
      <c r="V11" s="401" t="str">
        <f>'PAI 2022 - V3'!U13</f>
        <v>31% - 70%</v>
      </c>
      <c r="W11" s="401" t="str">
        <f>'PAI 2022 - V3'!V13</f>
        <v>71% - 99%</v>
      </c>
      <c r="X11" s="15">
        <f>'PAI 2022 - V3'!W13</f>
        <v>1</v>
      </c>
      <c r="Y11" s="399" t="str">
        <f>'PAI 2022 - V3'!X13</f>
        <v>1. Publicar y socializar el cronograma de informes de segunda línea de defensa (20%). 
2. Llevar a cabo los seguimientos programados según las temáticas definidas a cargo de planeación (60%). 
3. Revisar y analizar posibles mejoras a partir de los seguimientos a través del Plan de Acción Institucional (20%).</v>
      </c>
      <c r="Z11" s="401" t="str">
        <f>'PAI 2022 - V3'!Y13</f>
        <v>3 Trimestral</v>
      </c>
      <c r="AA11" s="399" t="str">
        <f>'PAI 2022 - V3'!Z13</f>
        <v>No aplica</v>
      </c>
      <c r="AB11" s="401" t="str">
        <f>'PAI 2022 - V3'!AA13</f>
        <v>Gerencia General</v>
      </c>
      <c r="AC11" s="449" t="str">
        <f>'PAI 2022 - V3'!AB13</f>
        <v>Asesora de Planeación - Profesional de Apoyo de Planeación.</v>
      </c>
      <c r="AD11" s="564" t="str">
        <f t="shared" si="1"/>
        <v>5.5.3</v>
      </c>
      <c r="AE11" s="645">
        <f>35/35</f>
        <v>1</v>
      </c>
      <c r="AF11" s="645"/>
      <c r="AG11" s="645"/>
      <c r="AH11" s="645">
        <f>24/24</f>
        <v>1</v>
      </c>
      <c r="AI11" s="645"/>
      <c r="AJ11" s="645"/>
      <c r="AK11" s="645"/>
      <c r="AL11" s="645"/>
      <c r="AM11" s="645"/>
      <c r="AN11" s="645"/>
      <c r="AO11" s="645"/>
      <c r="AP11" s="645"/>
      <c r="AQ11" s="535" t="s">
        <v>1115</v>
      </c>
      <c r="AR11" s="565" t="s">
        <v>26</v>
      </c>
    </row>
    <row r="12" spans="1:46" ht="105.75" customHeight="1" x14ac:dyDescent="0.2">
      <c r="A12" s="10" t="str">
        <f t="shared" si="0"/>
        <v>5.5.4</v>
      </c>
      <c r="B12" s="403" t="str">
        <f>'PAI 2022 - V3'!A14</f>
        <v>16. Paz, justicia e instituciones sólidas.</v>
      </c>
      <c r="C12" s="399" t="str">
        <f>'PAI 2022 - V3'!B14</f>
        <v>Propósito 5 
Logro de ciudad: 30</v>
      </c>
      <c r="D12" s="399" t="str">
        <f>'PAI 2022 - V3'!C14</f>
        <v>Planeación estratégica.
Seguimiento y evaluación del desempeño institucional</v>
      </c>
      <c r="E12" s="401" t="str">
        <f>'PAI 2022 - V3'!D14</f>
        <v>OE_5</v>
      </c>
      <c r="F12" s="399" t="str">
        <f>'PAI 2022 - V3'!E14</f>
        <v xml:space="preserve">5. Fortalecer la capacidad organizacional de Capital para ser una empresa transparente, eficiente y sostenible. </v>
      </c>
      <c r="G12" s="399" t="str">
        <f>'PAI 2022 - V3'!F14</f>
        <v>5. Realizar el diagnóstico, diseño e implementación de una estructura administrativa acorde a las necesidades de Capital.</v>
      </c>
      <c r="H12" s="401" t="str">
        <f>'PAI 2022 - V3'!G14</f>
        <v>5.5.4</v>
      </c>
      <c r="I12" s="401" t="str">
        <f>'PAI 2022 - V3'!H14</f>
        <v>Seguimiento a la ejecución de recursos del Plan Anual de Adquisiciones - PAA.</v>
      </c>
      <c r="J12" s="399" t="str">
        <f>'PAI 2022 - V3'!I14</f>
        <v>Medir el nivel de cumplimiento en la ejecución de los recursos sobre las adquisiciones planeadas para la vigencia</v>
      </c>
      <c r="K12" s="399" t="str">
        <f>'PAI 2022 - V3'!J14</f>
        <v xml:space="preserve">Porcentaje de cumplimiento del Plan Anual de Adquisiciones </v>
      </c>
      <c r="L12" s="399" t="str">
        <f>'PAI 2022 - V3'!K14</f>
        <v>2 Eficiencia: Uso de los recursos.</v>
      </c>
      <c r="M12" s="399" t="str">
        <f>'PAI 2022 - V3'!L14</f>
        <v>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v>
      </c>
      <c r="N12" s="401" t="str">
        <f>'PAI 2022 - V3'!M14</f>
        <v>Recursos ejecutados del Plan Anual de Adquisiciones - PAA de la vigencia 2022</v>
      </c>
      <c r="O12" s="401" t="str">
        <f>'PAI 2022 - V3'!N14</f>
        <v>Total de recursos programados en el Plan Anual de Adquisiciones - PAA para la vigencia 2022</v>
      </c>
      <c r="P12" s="401" t="str">
        <f>'PAI 2022 - V3'!O14</f>
        <v>Porcentaje (%)</v>
      </c>
      <c r="Q12" s="401" t="str">
        <f>'PAI 2022 - V3'!P14</f>
        <v>1 Creciente: El resultado tiende a crecer en el tiempo</v>
      </c>
      <c r="R12" s="16">
        <f>'PAI 2022 - V3'!Q14</f>
        <v>0.95240000000000002</v>
      </c>
      <c r="S12" s="15">
        <f>'PAI 2022 - V3'!R14</f>
        <v>0.9</v>
      </c>
      <c r="T12" s="399" t="str">
        <f>'PAI 2022 - V3'!S14</f>
        <v>Lograr la ejecución presupuestal como mínimo al 90% de acuerdo con la programación establecida en el Plan Anual de Adquisiciones - PAA.</v>
      </c>
      <c r="U12" s="15">
        <f>'PAI 2022 - V3'!T14</f>
        <v>0.3</v>
      </c>
      <c r="V12" s="401" t="str">
        <f>'PAI 2022 - V3'!U14</f>
        <v>31% - 60%</v>
      </c>
      <c r="W12" s="401" t="str">
        <f>'PAI 2022 - V3'!V14</f>
        <v>61% - 90%</v>
      </c>
      <c r="X12" s="15">
        <f>'PAI 2022 - V3'!W14</f>
        <v>0.9</v>
      </c>
      <c r="Y12" s="399" t="str">
        <f>'PAI 2022 - V3'!X14</f>
        <v>1. Elaboración del Plan Anual de Adquisiciones - PAA de acuerdo con el presupuesto (40%). 
2. Actualizar el Plan Anual de Adquisiciones - PAA de acuerdo con los reportes del BOGDATA (30%)
3. Actualizaciones del Plan Anual de Adquisiciones PAA según solicitudes generadas por la diferentes áreas (30%).</v>
      </c>
      <c r="Z12" s="401" t="str">
        <f>'PAI 2022 - V3'!Y14</f>
        <v>3 Trimestral</v>
      </c>
      <c r="AA12" s="399" t="str">
        <f>'PAI 2022 - V3'!Z14</f>
        <v xml:space="preserve">No aplica </v>
      </c>
      <c r="AB12" s="401" t="str">
        <f>'PAI 2022 - V3'!AA14</f>
        <v>Gerencia General</v>
      </c>
      <c r="AC12" s="449" t="str">
        <f>'PAI 2022 - V3'!AB14</f>
        <v>Asesora de planeación -Profesional de Planeación.</v>
      </c>
      <c r="AD12" s="564" t="str">
        <f t="shared" si="1"/>
        <v>5.5.4</v>
      </c>
      <c r="AE12" s="645">
        <f>14992384843/29425936359</f>
        <v>0.50949559123934351</v>
      </c>
      <c r="AF12" s="645"/>
      <c r="AG12" s="645"/>
      <c r="AH12" s="645">
        <f>19511125262/33941050529</f>
        <v>0.57485331060478684</v>
      </c>
      <c r="AI12" s="645"/>
      <c r="AJ12" s="645"/>
      <c r="AK12" s="645"/>
      <c r="AL12" s="645"/>
      <c r="AM12" s="645"/>
      <c r="AN12" s="645"/>
      <c r="AO12" s="645"/>
      <c r="AP12" s="645"/>
      <c r="AQ12" s="535" t="s">
        <v>1119</v>
      </c>
      <c r="AR12" s="565" t="s">
        <v>26</v>
      </c>
    </row>
    <row r="13" spans="1:46" ht="140.25" customHeight="1" x14ac:dyDescent="0.2">
      <c r="A13" s="10" t="str">
        <f t="shared" si="0"/>
        <v>2.9.1</v>
      </c>
      <c r="B13" s="403" t="str">
        <f>'PAI 2022 - V3'!A15</f>
        <v>11. Ciudades y comunidades sostenibles.
17. Alianzas para lograr los objetivos.</v>
      </c>
      <c r="C13" s="399" t="str">
        <f>'PAI 2022 - V3'!B15</f>
        <v>Propósito 5
Logro de ciudad: 27 - 30</v>
      </c>
      <c r="D13" s="399" t="str">
        <f>'PAI 2022 - V3'!C15</f>
        <v>Transparencia, acceso a la información y lucha contra la corrupción.</v>
      </c>
      <c r="E13" s="401" t="str">
        <f>'PAI 2022 - V3'!D15</f>
        <v>OE_2</v>
      </c>
      <c r="F13" s="399" t="str">
        <f>'PAI 2022 - V3'!E15</f>
        <v>2. Implementar prácticas de innovación en diseño, gestión, producción y circulación de contenidos para el posicionamiento del Sistema de Comunicación Pública en la Bogotá Región y la generación de múltiples audiencias ciudadanas.</v>
      </c>
      <c r="G13" s="399" t="str">
        <f>'PAI 2022 - V3'!F15</f>
        <v>9. Promover el relacionamiento con la ciudadanía y grupos poblacionales, a través de diferentes mecanismos, plataformas y herramientas.</v>
      </c>
      <c r="H13" s="401" t="str">
        <f>'PAI 2022 - V3'!G15</f>
        <v>2.9.1</v>
      </c>
      <c r="I13" s="401" t="str">
        <f>'PAI 2022 - V3'!H15</f>
        <v>Plan de Comunicaciones externas - informes mensuales de trabajo conjunto con entidades.</v>
      </c>
      <c r="J13" s="399" t="str">
        <f>'PAI 2022 - V3'!I15</f>
        <v>Impulsar el posicionamiento de Capital en las diferentes entidades del orden Distrital, Regional y Nacional.
Con este se busca crear trabajo conjunto con las áreas creativas de Capital, las entidades del Distrito, canales regionales y aliados.</v>
      </c>
      <c r="K13" s="405" t="str">
        <f>'PAI 2022 - V3'!J15</f>
        <v>Informe mensual que exponga el trabajo conjunto con las entidades.</v>
      </c>
      <c r="L13" s="399" t="str">
        <f>'PAI 2022 - V3'!K15</f>
        <v>2 Eficiencia: Uso de los recursos.</v>
      </c>
      <c r="M13" s="399" t="str">
        <f>'PAI 2022 - V3'!L15</f>
        <v>La medición para el producto propuesto consiste en la elaboración de un documento que reúna las actividades realizadas con insumos. (piezas, imágenes, links).</v>
      </c>
      <c r="N13" s="401" t="str">
        <f>'PAI 2022 - V3'!M15</f>
        <v>Informes elaborados, que den cuenta de las actividades adelantadas</v>
      </c>
      <c r="O13" s="401" t="str">
        <f>'PAI 2022 - V3'!N15</f>
        <v>Número de informes planeados.</v>
      </c>
      <c r="P13" s="401" t="str">
        <f>'PAI 2022 - V3'!O15</f>
        <v>Porcentaje (%).</v>
      </c>
      <c r="Q13" s="401" t="str">
        <f>'PAI 2022 - V3'!P15</f>
        <v>2 Constante: Se espera un valor o rango de resultado estable en el tiempo</v>
      </c>
      <c r="R13" s="401" t="str">
        <f>'PAI 2022 - V3'!Q15</f>
        <v>No aplica</v>
      </c>
      <c r="S13" s="401">
        <f>'PAI 2022 - V3'!R15</f>
        <v>12</v>
      </c>
      <c r="T13" s="399" t="str">
        <f>'PAI 2022 - V3'!S15</f>
        <v>Elaborar doce (12) informes, uno cada mes, con la información de la gestión realizada en cada uno de ellos. Estos informes son de carácter cuantitativo y cualitativo en tanto que responden a cifras y descripciones.</v>
      </c>
      <c r="U13" s="15">
        <f>'PAI 2022 - V3'!T15</f>
        <v>0.3</v>
      </c>
      <c r="V13" s="401" t="str">
        <f>'PAI 2022 - V3'!U15</f>
        <v>31%-60%</v>
      </c>
      <c r="W13" s="401" t="str">
        <f>'PAI 2022 - V3'!V15</f>
        <v>61%-90%</v>
      </c>
      <c r="X13" s="15">
        <f>'PAI 2022 - V3'!W15</f>
        <v>0.91</v>
      </c>
      <c r="Y13" s="399" t="str">
        <f>'PAI 2022 - V3'!X15</f>
        <v>1. Levantamiento base de datos de aliados, entidades distritales y canales regionales.
2. Acompañamiento trabajo conjunto áreas de Capital y entidades objetivo.</v>
      </c>
      <c r="Z13" s="401" t="str">
        <f>'PAI 2022 - V3'!Y15</f>
        <v>3 Trimestral</v>
      </c>
      <c r="AA13" s="399" t="str">
        <f>'PAI 2022 - V3'!Z15</f>
        <v>No aplica</v>
      </c>
      <c r="AB13" s="401" t="str">
        <f>'PAI 2022 - V3'!AA15</f>
        <v>Gerencia General</v>
      </c>
      <c r="AC13" s="449" t="str">
        <f>'PAI 2022 - V3'!AB15</f>
        <v>Asesor de Comunicaciones - Profesional especializado de Prensa y Comunicaciones</v>
      </c>
      <c r="AD13" s="564" t="str">
        <f t="shared" si="1"/>
        <v>2.9.1</v>
      </c>
      <c r="AE13" s="645">
        <f>3/3</f>
        <v>1</v>
      </c>
      <c r="AF13" s="645"/>
      <c r="AG13" s="645"/>
      <c r="AH13" s="645">
        <f>10/10</f>
        <v>1</v>
      </c>
      <c r="AI13" s="645"/>
      <c r="AJ13" s="645"/>
      <c r="AK13" s="645"/>
      <c r="AL13" s="645"/>
      <c r="AM13" s="645"/>
      <c r="AN13" s="645"/>
      <c r="AO13" s="645"/>
      <c r="AP13" s="645"/>
      <c r="AQ13" s="535" t="s">
        <v>1116</v>
      </c>
      <c r="AR13" s="565" t="s">
        <v>26</v>
      </c>
    </row>
    <row r="14" spans="1:46" ht="147.75" customHeight="1" x14ac:dyDescent="0.2">
      <c r="A14" s="10" t="str">
        <f t="shared" si="0"/>
        <v>2.4.2</v>
      </c>
      <c r="B14" s="403" t="str">
        <f>'PAI 2022 - V3'!A16</f>
        <v>11. Ciudades y comunidades sostenibles.
17. Alianzas para lograr los objetivos.</v>
      </c>
      <c r="C14" s="399" t="str">
        <f>'PAI 2022 - V3'!B16</f>
        <v>Propósito 5
Logro de ciudad: 27 - 30</v>
      </c>
      <c r="D14" s="399" t="str">
        <f>'PAI 2022 - V3'!C16</f>
        <v>Transparencia, acceso a la información y lucha contra la corrupción.</v>
      </c>
      <c r="E14" s="401" t="str">
        <f>'PAI 2022 - V3'!D16</f>
        <v>OE_2</v>
      </c>
      <c r="F14" s="399" t="str">
        <f>'PAI 2022 - V3'!E16</f>
        <v>2. Implementar prácticas de innovación en diseño, gestión, producción y circulación de contenidos para el posicionamiento del Sistema de Comunicación Pública en la Bogotá Región y la generación de múltiples audiencias ciudadanas.</v>
      </c>
      <c r="G14" s="399" t="str">
        <f>'PAI 2022 - V3'!F16</f>
        <v>4. Diseñar y desarrollar mecanismos de apropiación de la marca Capital por parte de la ciudadanía.</v>
      </c>
      <c r="H14" s="401" t="str">
        <f>'PAI 2022 - V3'!G16</f>
        <v>2.4.2</v>
      </c>
      <c r="I14" s="401" t="str">
        <f>'PAI 2022 - V3'!H16</f>
        <v>Plan de Comunicaciones externas - Publicaciones free press</v>
      </c>
      <c r="J14" s="399" t="str">
        <f>'PAI 2022 - V3'!I16</f>
        <v>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v>
      </c>
      <c r="K14" s="405" t="str">
        <f>'PAI 2022 - V3'!J16</f>
        <v>Publicaciones free press gestionadas</v>
      </c>
      <c r="L14" s="399" t="str">
        <f>'PAI 2022 - V3'!K16</f>
        <v>1 Eficacia: Cumplimiento de metas</v>
      </c>
      <c r="M14" s="399" t="str">
        <f>'PAI 2022 - V3'!L16</f>
        <v>Publicaciones logradas por el trabajo de free press en los diferentes medios de comunicación.</v>
      </c>
      <c r="N14" s="401" t="str">
        <f>'PAI 2022 - V3'!M16</f>
        <v>Número de publicaciones alcanzadas</v>
      </c>
      <c r="O14" s="401" t="str">
        <f>'PAI 2022 - V3'!N16</f>
        <v>Número de publicaciones proyectadas</v>
      </c>
      <c r="P14" s="401" t="str">
        <f>'PAI 2022 - V3'!O16</f>
        <v>Porcentaje (%).</v>
      </c>
      <c r="Q14" s="401" t="str">
        <f>'PAI 2022 - V3'!P16</f>
        <v>1 Creciente: El resultado tiende a crecer en el tiempo</v>
      </c>
      <c r="R14" s="401">
        <f>'PAI 2022 - V3'!Q16</f>
        <v>331</v>
      </c>
      <c r="S14" s="401">
        <f>'PAI 2022 - V3'!R16</f>
        <v>320</v>
      </c>
      <c r="T14" s="399" t="str">
        <f>'PAI 2022 - V3'!S16</f>
        <v>Lograr 320 impactos positivos en distintos medios de comunicación.</v>
      </c>
      <c r="U14" s="15">
        <f>'PAI 2022 - V3'!T16</f>
        <v>0.3</v>
      </c>
      <c r="V14" s="401" t="str">
        <f>'PAI 2022 - V3'!U16</f>
        <v>31%-60%</v>
      </c>
      <c r="W14" s="401" t="str">
        <f>'PAI 2022 - V3'!V16</f>
        <v>61%-90%</v>
      </c>
      <c r="X14" s="15">
        <f>'PAI 2022 - V3'!W16</f>
        <v>0.91</v>
      </c>
      <c r="Y14" s="399" t="str">
        <f>'PAI 2022 - V3'!X16</f>
        <v>1. Recopilación de la información. 
2. Redacción de artículos / boletines.
3. Aprobación del producto.
4. Envío a medios.
5. Seguimiento.
6. Materialización de la publicación y/o entrevista.
7. Elaboración del informe de gestión.</v>
      </c>
      <c r="Z14" s="401" t="str">
        <f>'PAI 2022 - V3'!Y16</f>
        <v>3 Trimestral</v>
      </c>
      <c r="AA14" s="399" t="str">
        <f>'PAI 2022 - V3'!Z16</f>
        <v>No aplica</v>
      </c>
      <c r="AB14" s="401" t="str">
        <f>'PAI 2022 - V3'!AA16</f>
        <v>Gerencia General</v>
      </c>
      <c r="AC14" s="449" t="str">
        <f>'PAI 2022 - V3'!AB16</f>
        <v>Asesor de Comunicaciones - Jefe de Prensa</v>
      </c>
      <c r="AD14" s="564" t="str">
        <f t="shared" si="1"/>
        <v>2.4.2</v>
      </c>
      <c r="AE14" s="645">
        <f>101/80</f>
        <v>1.2625</v>
      </c>
      <c r="AF14" s="645"/>
      <c r="AG14" s="645"/>
      <c r="AH14" s="645">
        <f>151/80</f>
        <v>1.8875</v>
      </c>
      <c r="AI14" s="645"/>
      <c r="AJ14" s="645"/>
      <c r="AK14" s="645"/>
      <c r="AL14" s="645"/>
      <c r="AM14" s="645"/>
      <c r="AN14" s="645"/>
      <c r="AO14" s="645"/>
      <c r="AP14" s="645"/>
      <c r="AQ14" s="535" t="s">
        <v>1117</v>
      </c>
      <c r="AR14" s="565" t="s">
        <v>26</v>
      </c>
    </row>
    <row r="15" spans="1:46" ht="93" customHeight="1" x14ac:dyDescent="0.2">
      <c r="A15" s="10" t="str">
        <f t="shared" si="0"/>
        <v>5.6.5</v>
      </c>
      <c r="B15" s="403" t="str">
        <f>'PAI 2022 - V3'!A17</f>
        <v>11. Ciudades y comunidades sostenibles.
17. Alianzas para lograr los objetivos.</v>
      </c>
      <c r="C15" s="399" t="str">
        <f>'PAI 2022 - V3'!B17</f>
        <v>Propósito 5
Logro de ciudad: 27 - 30</v>
      </c>
      <c r="D15" s="399" t="str">
        <f>'PAI 2022 - V3'!C17</f>
        <v>Transparencia, acceso a la información y lucha contra la corrupción.
Fortalecimiento organizacional y simplificación de procesos.</v>
      </c>
      <c r="E15" s="401" t="str">
        <f>'PAI 2022 - V3'!D17</f>
        <v>OE_5</v>
      </c>
      <c r="F15" s="399" t="str">
        <f>'PAI 2022 - V3'!E17</f>
        <v xml:space="preserve">5. Fortalecer la capacidad organizacional de Capital para ser una empresa transparente, eficiente y sostenible. </v>
      </c>
      <c r="G15" s="399" t="str">
        <f>'PAI 2022 - V3'!F17</f>
        <v>6. Articular los procesos y flujos de trabajo a la estructura de Capital.</v>
      </c>
      <c r="H15" s="401" t="str">
        <f>'PAI 2022 - V3'!G17</f>
        <v>5.6.5</v>
      </c>
      <c r="I15" s="18" t="str">
        <f>'PAI 2022 - V3'!H17</f>
        <v>Plan de Comunicaciones internas - Gestión de comunicaciones internas.</v>
      </c>
      <c r="J15" s="405" t="str">
        <f>'PAI 2022 - V3'!I17</f>
        <v>Definir un plan integral que incluya las acciones internas y externas, en lo concerniente al apoyo transversal y la asesoría de comunicación que se dé en el marco de las solicitudes de las distintas áreas de Capital.
Analizar, potenciar y crear, si es necesario y se cuenta con los recursos para ello, canales de comunicación interna que generen y compartan mensajes integrales, de pertenencia y de marca.</v>
      </c>
      <c r="K15" s="405" t="str">
        <f>'PAI 2022 - V3'!J17</f>
        <v>Gestión de comunicaciones internas adelantadas</v>
      </c>
      <c r="L15" s="399" t="str">
        <f>'PAI 2022 - V3'!K17</f>
        <v>3 Efectividad: Impacto o beneficios generados.</v>
      </c>
      <c r="M15" s="405" t="str">
        <f>'PAI 2022 - V3'!L17</f>
        <v>Realizar gestión oportuna sobre los requerimientos y necesidades internas de comunicación, recibida por parte de las áreas de Capital.</v>
      </c>
      <c r="N15" s="18" t="str">
        <f>'PAI 2022 - V3'!M17</f>
        <v>Número de solicitudes de comunicaciones internas atendidas</v>
      </c>
      <c r="O15" s="18" t="str">
        <f>'PAI 2022 - V3'!N17</f>
        <v xml:space="preserve">
Número de solicitudes de comunicaciones internas recibidas.</v>
      </c>
      <c r="P15" s="401" t="str">
        <f>'PAI 2022 - V3'!O17</f>
        <v>Porcentaje (%).</v>
      </c>
      <c r="Q15" s="401" t="str">
        <f>'PAI 2022 - V3'!P17</f>
        <v>2 Constante: Se espera un valor o rango de resultado estable en el tiempo</v>
      </c>
      <c r="R15" s="401" t="str">
        <f>'PAI 2022 - V3'!Q17</f>
        <v>No aplica</v>
      </c>
      <c r="S15" s="17">
        <f>'PAI 2022 - V3'!R17</f>
        <v>0.9</v>
      </c>
      <c r="T15" s="405" t="str">
        <f>'PAI 2022 - V3'!S17</f>
        <v>Se espera cumplir al menos, en un 90% de las solicitudes de comunicaciones internas recibidas</v>
      </c>
      <c r="U15" s="15">
        <f>'PAI 2022 - V3'!T17</f>
        <v>0.3</v>
      </c>
      <c r="V15" s="401" t="str">
        <f>'PAI 2022 - V3'!U17</f>
        <v>31%-60%</v>
      </c>
      <c r="W15" s="401" t="str">
        <f>'PAI 2022 - V3'!V17</f>
        <v>61%-90%</v>
      </c>
      <c r="X15" s="15">
        <f>'PAI 2022 - V3'!W17</f>
        <v>0.91</v>
      </c>
      <c r="Y15" s="399" t="str">
        <f>'PAI 2022 - V3'!X17</f>
        <v>Realizar Informes trimestrales que expongan el trabajo conjunto con las áreas transversales, las evidencias realizadas y el resultado de la medición de impacto (o percepción). También se adelantará encuesta de impacto trimestral que mida canal y comunicación. ¿Cuál canal tiene mejor acogida? ¿Por dónde se enteró…?
1. Aplicación de la encuesta
2. Análisis de medios 
3. Intervención - mejora</v>
      </c>
      <c r="Z15" s="401" t="str">
        <f>'PAI 2022 - V3'!Y17</f>
        <v>3 Trimestral</v>
      </c>
      <c r="AA15" s="399" t="str">
        <f>'PAI 2022 - V3'!Z17</f>
        <v>No aplica</v>
      </c>
      <c r="AB15" s="401" t="str">
        <f>'PAI 2022 - V3'!AA17</f>
        <v>Gerencia General</v>
      </c>
      <c r="AC15" s="449" t="str">
        <f>'PAI 2022 - V3'!AB17</f>
        <v>Asesor de Comunicaciones - Profesional de Comunicaciones Internas</v>
      </c>
      <c r="AD15" s="564" t="str">
        <f t="shared" si="1"/>
        <v>5.6.5</v>
      </c>
      <c r="AE15" s="645">
        <f>27/27</f>
        <v>1</v>
      </c>
      <c r="AF15" s="645"/>
      <c r="AG15" s="645"/>
      <c r="AH15" s="645">
        <f>36/36</f>
        <v>1</v>
      </c>
      <c r="AI15" s="645"/>
      <c r="AJ15" s="645"/>
      <c r="AK15" s="645"/>
      <c r="AL15" s="645"/>
      <c r="AM15" s="645"/>
      <c r="AN15" s="645"/>
      <c r="AO15" s="645"/>
      <c r="AP15" s="645"/>
      <c r="AQ15" s="535" t="s">
        <v>1118</v>
      </c>
      <c r="AR15" s="565" t="s">
        <v>26</v>
      </c>
    </row>
    <row r="16" spans="1:46" ht="102" customHeight="1" x14ac:dyDescent="0.2">
      <c r="A16" s="10" t="str">
        <f t="shared" si="0"/>
        <v>5.6.6</v>
      </c>
      <c r="B16" s="403" t="str">
        <f>'PAI 2022 - V3'!A18</f>
        <v>11. Ciudades y comunidades sostenibles.
17. Alianzas para lograr los objetivos.</v>
      </c>
      <c r="C16" s="399" t="str">
        <f>'PAI 2022 - V3'!B18</f>
        <v>Propósito 5
Logro de ciudad: 27 - 30</v>
      </c>
      <c r="D16" s="399" t="str">
        <f>'PAI 2022 - V3'!C18</f>
        <v>Transparencia, acceso a la información y lucha contra la corrupción.
Fortalecimiento organizacional y simplificación de procesos.</v>
      </c>
      <c r="E16" s="401" t="str">
        <f>'PAI 2022 - V3'!D18</f>
        <v>OE_5</v>
      </c>
      <c r="F16" s="399" t="str">
        <f>'PAI 2022 - V3'!E18</f>
        <v xml:space="preserve">5. Fortalecer la capacidad organizacional de Capital para ser una empresa transparente, eficiente y sostenible. </v>
      </c>
      <c r="G16" s="399" t="str">
        <f>'PAI 2022 - V3'!F18</f>
        <v>6. Articular los procesos y flujos de trabajo a la estructura de Capital.</v>
      </c>
      <c r="H16" s="401" t="str">
        <f>'PAI 2022 - V3'!G18</f>
        <v>5.6.6</v>
      </c>
      <c r="I16" s="18" t="str">
        <f>'PAI 2022 - V3'!H18</f>
        <v>Plan de Comunicaciones - Sentido de pertenencia</v>
      </c>
      <c r="J16" s="399" t="str">
        <f>'PAI 2022 - V3'!I18</f>
        <v>Definir un plan integral que incluya las acciones internas y externas a desarrollarse en el año 2022, haciendo énfasis en el sentido de pertenencia por la marca.
Trabajar con el área de Talento Humano para fortalecer la Cultura Organizacional y fomentar el sentido de pertenencia</v>
      </c>
      <c r="K16" s="405" t="str">
        <f>'PAI 2022 - V3'!J18</f>
        <v>Gestión de comunicaciones internas adelantadas en el fortalecimiento de la Cultura Organizacional y el sentido de pertenencia.</v>
      </c>
      <c r="L16" s="399" t="str">
        <f>'PAI 2022 - V3'!K18</f>
        <v>1 Eficacia: Cumplimiento de metas</v>
      </c>
      <c r="M16" s="399" t="str">
        <f>'PAI 2022 - V3'!L18</f>
        <v>Realizar publicaciones, campañas, boletines y/o comunicados que ayuden a fomentar la cultura organizacional y el sentido de pertenencia.</v>
      </c>
      <c r="N16" s="18" t="str">
        <f>'PAI 2022 - V3'!M18</f>
        <v>Número de comunicaciones gestionadas sobre cultura organizacional y sentido de pertenencia</v>
      </c>
      <c r="O16" s="18" t="str">
        <f>'PAI 2022 - V3'!N18</f>
        <v>Número de solicitudes de comunicación recibidas sobre cultura organizacional y sentido de pertenencia.</v>
      </c>
      <c r="P16" s="401" t="str">
        <f>'PAI 2022 - V3'!O18</f>
        <v>Porcentaje (%).</v>
      </c>
      <c r="Q16" s="401" t="str">
        <f>'PAI 2022 - V3'!P18</f>
        <v>2 Constante: Se espera un valor o rango de resultado estable en el tiempo</v>
      </c>
      <c r="R16" s="15">
        <f>'PAI 2022 - V3'!Q18</f>
        <v>1</v>
      </c>
      <c r="S16" s="15">
        <f>'PAI 2022 - V3'!R18</f>
        <v>0.9</v>
      </c>
      <c r="T16" s="405" t="str">
        <f>'PAI 2022 - V3'!S18</f>
        <v>Se espera cumplir, al menos con el 90% de las solicitudes de comunicaciones internas recibidas sobre cultura organizacional y sentido de pertenencia.</v>
      </c>
      <c r="U16" s="15">
        <f>'PAI 2022 - V3'!T18</f>
        <v>0.3</v>
      </c>
      <c r="V16" s="401" t="str">
        <f>'PAI 2022 - V3'!U18</f>
        <v>31%-60%</v>
      </c>
      <c r="W16" s="401" t="str">
        <f>'PAI 2022 - V3'!V18</f>
        <v>61%-90%</v>
      </c>
      <c r="X16" s="15">
        <f>'PAI 2022 - V3'!W18</f>
        <v>0.91</v>
      </c>
      <c r="Y16" s="399" t="str">
        <f>'PAI 2022 - V3'!X18</f>
        <v>1. Definición de acciones con RRHH.
2. Recopilación de información
3. Realización de piezas gráficas.
4. Socialización</v>
      </c>
      <c r="Z16" s="401" t="str">
        <f>'PAI 2022 - V3'!Y18</f>
        <v>3 Trimestral</v>
      </c>
      <c r="AA16" s="399" t="str">
        <f>'PAI 2022 - V3'!Z18</f>
        <v>No aplica</v>
      </c>
      <c r="AB16" s="401" t="str">
        <f>'PAI 2022 - V3'!AA18</f>
        <v>Gerencia General</v>
      </c>
      <c r="AC16" s="449" t="str">
        <f>'PAI 2022 - V3'!AB18</f>
        <v>Asesor de Comunicaciones - Profesional de Comunicaciones Internas</v>
      </c>
      <c r="AD16" s="564" t="str">
        <f t="shared" si="1"/>
        <v>5.6.6</v>
      </c>
      <c r="AE16" s="645">
        <f>8/8</f>
        <v>1</v>
      </c>
      <c r="AF16" s="645"/>
      <c r="AG16" s="645"/>
      <c r="AH16" s="645">
        <f>17/17</f>
        <v>1</v>
      </c>
      <c r="AI16" s="645"/>
      <c r="AJ16" s="645"/>
      <c r="AK16" s="645"/>
      <c r="AL16" s="645"/>
      <c r="AM16" s="645"/>
      <c r="AN16" s="645"/>
      <c r="AO16" s="645"/>
      <c r="AP16" s="645"/>
      <c r="AQ16" s="535" t="s">
        <v>1120</v>
      </c>
      <c r="AR16" s="565" t="s">
        <v>26</v>
      </c>
    </row>
    <row r="17" spans="1:44" ht="304.5" customHeight="1" x14ac:dyDescent="0.2">
      <c r="A17" s="10" t="str">
        <f t="shared" si="0"/>
        <v>4.4.1</v>
      </c>
      <c r="B17" s="403" t="str">
        <f>'PAI 2022 - V3'!A19</f>
        <v>3. Salud y bienestar.
4. Educación de calidad.
5. Igualdad de Género.
9. Industria, innovación e infraestructura.
10. Reducción de las desigualdades.
17. Alianzas para lograr los objetivos.</v>
      </c>
      <c r="C17" s="399" t="str">
        <f>'PAI 2022 - V3'!B19</f>
        <v>Propósito 1
Logro de ciudad: 3 - 9 - 10
Propósito 3
Logro de ciudad: 22 - 23
Propósito 5
Logro de ciudad: 30</v>
      </c>
      <c r="D17" s="399" t="str">
        <f>'PAI 2022 - V3'!C19</f>
        <v>Participación ciudadana en la gestión pública.</v>
      </c>
      <c r="E17" s="401" t="str">
        <f>'PAI 2022 - V3'!D19</f>
        <v>OE_4</v>
      </c>
      <c r="F17" s="399" t="str">
        <f>'PAI 2022 - V3'!E19</f>
        <v xml:space="preserve">4. Consolidar a Capital como una empresa que desarrolla nuevas estrategias de negocios de comunicación pública. </v>
      </c>
      <c r="G17" s="399" t="str">
        <f>'PAI 2022 - V3'!F19</f>
        <v>4. Diseñar y desarrollar mecanismos de apropiación de la marca Capital por parte de la ciudadanía.</v>
      </c>
      <c r="H17" s="401" t="str">
        <f>'PAI 2022 - V3'!G19</f>
        <v>4.4.1</v>
      </c>
      <c r="I17" s="401" t="str">
        <f>'PAI 2022 - V3'!H19</f>
        <v>Estrategia de marketing, Capital Social y relaciones públicas (avance en la estrategia).</v>
      </c>
      <c r="J17" s="399" t="str">
        <f>'PAI 2022 - V3'!I19</f>
        <v>Promover a Capital entre potenciales clientes / aliados y directivos del sector público, como una empresa idónea para el desarrollo de estrategias de comunicación y relaciones públicas, así mismo gestionar una estrategia de negocios bajo un modelo de "Capital Social".</v>
      </c>
      <c r="K17" s="335" t="str">
        <f>'PAI 2022 - V3'!J19</f>
        <v>Porcentaje de avance de la Estrategia Capital Social y relaciones públicas</v>
      </c>
      <c r="L17" s="335" t="str">
        <f>'PAI 2022 - V3'!K19</f>
        <v>1 Eficacia: Cumplimiento de metas</v>
      </c>
      <c r="M17" s="335" t="str">
        <f>'PAI 2022 - V3'!L19</f>
        <v>Con base en la Estrategia Capital Social y relaciones públicas 2022 se realizará el monitoreo de los resultados del indicador.
Los resultados parciales mensualmente definidos en la estratégica, serán sumados trimestralmente para obtener los resultados de este reporte. El resultado obtenido en diciembre de 2022 corresponderá a la sumatoria de los resultados trimestrales reportados.</v>
      </c>
      <c r="N17" s="273" t="str">
        <f>'PAI 2022 - V3'!M19</f>
        <v xml:space="preserve">Porcentaje de avance de la formulación y ejecución de la Estrategia Capital Social y relaciones públicas. </v>
      </c>
      <c r="O17" s="273" t="str">
        <f>'PAI 2022 - V3'!N19</f>
        <v xml:space="preserve">Porcentaje total de avance  planeada para 2022 para la  formulación y ejecución de la Estrategia Capital Social y relaciones públicas.  </v>
      </c>
      <c r="P17" s="273" t="str">
        <f>'PAI 2022 - V3'!O19</f>
        <v>Porcentaje (%).</v>
      </c>
      <c r="Q17" s="273" t="str">
        <f>'PAI 2022 - V3'!P19</f>
        <v>1 Creciente: El resultado tiende a crecer en el tiempo</v>
      </c>
      <c r="R17" s="274">
        <f>'PAI 2022 - V3'!Q19</f>
        <v>1</v>
      </c>
      <c r="S17" s="274">
        <f>'PAI 2022 - V3'!R19</f>
        <v>1</v>
      </c>
      <c r="T17" s="339" t="str">
        <f>'PAI 2022 - V3'!S19</f>
        <v>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Capital Social y relaciones públicas, aun no deben iniciar.
2. Los porcentajes de cada trimestre corresponderán al avance alcanzado de acuerdo con Estrategia Capital Social y relaciones públicas establecidas para la vigencia.
3. Al final de la vigencia, la sumatoria del resultado de cada trimestre corresponderá a la meta establecida, es decir 100 %. Los resultados parciales (cada trimestre) serán definidos de acuerdo Estrategia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Capital Social y relaciones públicas.</v>
      </c>
      <c r="U17" s="340" t="str">
        <f>'PAI 2022 - V3'!T19</f>
        <v>&lt; 70 %</v>
      </c>
      <c r="V17" s="340" t="str">
        <f>'PAI 2022 - V3'!U19</f>
        <v>70 % - 99,5 %</v>
      </c>
      <c r="W17" s="341" t="str">
        <f>'PAI 2022 - V3'!V19</f>
        <v>99,6 -100%</v>
      </c>
      <c r="X17" s="340" t="str">
        <f>'PAI 2022 - V3'!W19</f>
        <v>&gt; 100%</v>
      </c>
      <c r="Y17" s="335" t="str">
        <f>'PAI 2022 - V3'!X19</f>
        <v>La estrategia estará dividida en tres componentes, a continuación se describen las actividades definidas para cada uno de ellos:
Para el componente de Mejoramiento de los productos y servicios misionales:
1.  Organizar los procesos del área y del equipo 
Para el componente "Seguimiento a Capital Social"
1. Estructuración modelo de negocio
2. Comercializadores
3. Campaña de posicionamiento
4. Salir al aire
5. Inbound Marketing
6. Producción de comerciales CS
7. Seguimiento de pauta CS
8. Evaluación, divulgación del modelo y planeación 2023
Para el componente "Estrategia de relaciones públicas con Directivas de entidades públicas"
1. Acercamiento a las entidades (Transmilenio, ERU, Movilidad, Metro, Desarrollo Económico e Integración social)
2. Presentación y ajuste de propuestas a las Directivas de las entidades públicas
3. Firma de contratos y ejecución
4. Balance de la estrategia y planeación para 2023.</v>
      </c>
      <c r="Z17" s="273" t="str">
        <f>'PAI 2022 - V3'!Y19</f>
        <v>3 Trimestral</v>
      </c>
      <c r="AA17" s="399" t="str">
        <f>'PAI 2022 - V3'!Z19</f>
        <v>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marketing, Capital Social y relaciones públicas, aun no deben iniciar.
2. Los porcentajes de cada trimestre corresponderán al avance alcanzado de acuerdo con Estrategia de marketing, Capital Social y relaciones públicas establecidas para la vigencia.
3. Al final de la vigencia, la sumatoria del resultado de cada trimestre corresponderá a la meta establecida, es decir 100 %. Los resultados parciales (cada trimestre) serán definidos de acuerdo Estrategia de marketing,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de marketing, Capital Social y relaciones públicas.</v>
      </c>
      <c r="AB17" s="401" t="str">
        <f>'PAI 2022 - V3'!AA19</f>
        <v>Gerencia General</v>
      </c>
      <c r="AC17" s="449" t="str">
        <f>'PAI 2022 - V3'!AB19</f>
        <v>Profesional de ventas y mercadeo y equipo de comunicación pública, según corresponda</v>
      </c>
      <c r="AD17" s="564" t="str">
        <f t="shared" si="1"/>
        <v>4.4.1</v>
      </c>
      <c r="AE17" s="645">
        <f>(50%+19.16%+0%)/3</f>
        <v>0.23053333333333334</v>
      </c>
      <c r="AF17" s="645"/>
      <c r="AG17" s="645"/>
      <c r="AH17" s="646">
        <f>(50%+36%+15%)/3</f>
        <v>0.33666666666666667</v>
      </c>
      <c r="AI17" s="646"/>
      <c r="AJ17" s="646"/>
      <c r="AK17" s="645"/>
      <c r="AL17" s="645"/>
      <c r="AM17" s="645"/>
      <c r="AN17" s="645"/>
      <c r="AO17" s="645"/>
      <c r="AP17" s="645"/>
      <c r="AQ17" s="535" t="s">
        <v>1122</v>
      </c>
      <c r="AR17" s="565" t="s">
        <v>25</v>
      </c>
    </row>
    <row r="18" spans="1:44" ht="315.75" customHeight="1" x14ac:dyDescent="0.2">
      <c r="A18" s="10" t="str">
        <f t="shared" si="0"/>
        <v>4.8.2</v>
      </c>
      <c r="B18" s="403" t="str">
        <f>'PAI 2022 - V3'!A20</f>
        <v>3. Salud y bienestar.
4. Educación de calidad.
5. Igualdad de Género.
9. Industria, innovación e infraestructura.
10. Reducción de las desigualdades.
17. Alianzas para lograr los objetivos.</v>
      </c>
      <c r="C18" s="399" t="str">
        <f>'PAI 2022 - V3'!B20</f>
        <v>Propósito 1
Logro de ciudad: 3 - 9 - 10
Propósito 3
Logro de ciudad: 22 - 23
Propósito 5
Logro de ciudad: 30</v>
      </c>
      <c r="D18" s="399" t="str">
        <f>'PAI 2022 - V3'!C20</f>
        <v>Participación ciudadana en la gestión pública.</v>
      </c>
      <c r="E18" s="401" t="str">
        <f>'PAI 2022 - V3'!D20</f>
        <v>OE_4</v>
      </c>
      <c r="F18" s="399" t="str">
        <f>'PAI 2022 - V3'!E20</f>
        <v xml:space="preserve">4. Consolidar a Capital como una empresa que desarrolla nuevas estrategias de negocios de comunicación pública. </v>
      </c>
      <c r="G18" s="399" t="str">
        <f>'PAI 2022 - V3'!F20</f>
        <v>8. Lograr una articulación estratégica con aliados públicos y privados, gracias a la gestión de un modelo de industria eficiente, productiva y sostenible.</v>
      </c>
      <c r="H18" s="401" t="str">
        <f>'PAI 2022 - V3'!G20</f>
        <v>4.8.2</v>
      </c>
      <c r="I18" s="401" t="str">
        <f>'PAI 2022 - V3'!H20</f>
        <v>Estrategia de marketing, Capital Social y relaciones públicas (cumplimiento de ventas)</v>
      </c>
      <c r="J18" s="399" t="str">
        <f>'PAI 2022 - V3'!I20</f>
        <v>Promover a Capital entre potenciales clientes / aliados y directivos del sector público, como una empresa idónea para el desarrollo de estrategias de comunicación y relaciones públicas, así mismo gestionar una estrategia de negocios bajo un modelo de "Capital Social".</v>
      </c>
      <c r="K18" s="334" t="str">
        <f>'PAI 2022 - V3'!J20</f>
        <v>Porcentaje de cumplimiento de la meta de ventas para el 2022.</v>
      </c>
      <c r="L18" s="334" t="str">
        <f>'PAI 2022 - V3'!K20</f>
        <v>2 Eficiencia: Uso de los recursos.</v>
      </c>
      <c r="M18" s="335" t="str">
        <f>'PAI 2022 - V3'!L20</f>
        <v>Da cuenta del avance en las ventas a través de suscripción de contratos, adiciones contractuales, ofertas comerciales (comunicación pública, ATL, BTL, producción audiovisual, transmisiones audiovisuales, estrategias 360o) y recaudos de pauta digital en plataformas y redes sociales de Capital.</v>
      </c>
      <c r="N18" s="275" t="str">
        <f>'PAI 2022 - V3'!M20</f>
        <v xml:space="preserve">Valor en pesos de la venta cuatrimetral (BTL, ATL, Digital, pauta canal, transmisiones, proyecto audiovisual y recaudo pauta digital)
</v>
      </c>
      <c r="O18" s="275" t="str">
        <f>'PAI 2022 - V3'!N20</f>
        <v>Valor en pesos de las ventas cuatrimetral proyectadas de Capital (BTL, ATL, Digital, pauta canal, transmisiones, proyecto audiovisual y recaudo pauta digital) * 60%.</v>
      </c>
      <c r="P18" s="273" t="str">
        <f>'PAI 2022 - V3'!O20</f>
        <v>Porcentaje (%).</v>
      </c>
      <c r="Q18" s="273" t="str">
        <f>'PAI 2022 - V3'!P20</f>
        <v>1 Creciente: El resultado tiende a crecer en el tiempo</v>
      </c>
      <c r="R18" s="274" t="str">
        <f>'PAI 2022 - V3'!Q20</f>
        <v>0%
La línea base en cero ya que este indicador no fue medido en la vigencia 2021 y la dinámica de 2020 fue atípica para ser tenida en cuenta como línea base.</v>
      </c>
      <c r="S18" s="274" t="str">
        <f>'PAI 2022 - V3'!R20</f>
        <v>60%
($5.010.000.000)</v>
      </c>
      <c r="T18" s="339" t="str">
        <f>'PAI 2022 - V3'!S20</f>
        <v>Este indicador se plantea con base en el cumplimiento del 60% de la meta de ventas establecida por Capital, para la vigencia 2022, a partir de un análisis histórico del comportamiento de las ventas, entre 2020 y 2021.
Este análisis también arroja que las ventas tienen un mejor comportamiento durante el segundo semestre que en el primer semestre de cada vigencia. Por lo anterior, los resultados esperados por semestre será así:
Primer cuatrimestre: Ventas por el 10% del indicador ($501.000.000)
Segundo cuatrimestre: Ventas por el 20% del indicador ($1.002.000.000)
Tercer cuatrimestre: Ventas por el 70% del indicador ($3.507.000.000)
El valor reportado corresponderá a la gestión de contratos (suscritos) en un porcentaje mínimo del 60% respecto a la meta anual de ventas definida por Capital.
Nota 1: este resultado incluye el valor recaudado por pauta digital.
Nota 2: el valor de la meta anual y los rangos de tolerancia establecidos en la columna T, U, V y W de este archivo, corresponden a la meta anual y no a las esperadas para cada cuatrimestre.
Nota 3: Los valores que se registrarán incluyen IVA, para efectos de validación de datos respecto al control de los contratos suscritos con los clientes</v>
      </c>
      <c r="U18" s="340" t="str">
        <f>'PAI 2022 - V3'!T20</f>
        <v>&lt;20%</v>
      </c>
      <c r="V18" s="340" t="str">
        <f>'PAI 2022 - V3'!U20</f>
        <v>40% -60%</v>
      </c>
      <c r="W18" s="341" t="str">
        <f>'PAI 2022 - V3'!V20</f>
        <v>60 -100%</v>
      </c>
      <c r="X18" s="340" t="str">
        <f>'PAI 2022 - V3'!W20</f>
        <v>&gt; 100%</v>
      </c>
      <c r="Y18" s="335" t="str">
        <f>'PAI 2022 - V3'!X20</f>
        <v>* Diseñar la Estrategia Capital Social y relaciones públicas  de Capital.
* Ejecutar la Estrategia Capital Social y relaciones públicas  de Capital.
* Suscripción de contratos y ejecución según Estrategia Capital Social y relaciones públicas de Capital.</v>
      </c>
      <c r="Z18" s="273" t="str">
        <f>'PAI 2022 - V3'!Y20</f>
        <v>4 Cuatrimestral</v>
      </c>
      <c r="AA18" s="405" t="str">
        <f>'PAI 2022 - V3'!Z20</f>
        <v>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a las medidas para la contención de la pandemia asociadas a COVID 19.
6. Implementación de nuevas prácticas o tecnologías implementadas por Capital o los clientes para la suscripción del contrato
Algunos de estos serán claves al momento del monitoreo y reporte, así como de la necesidad de ajuste a lo largo de la vigencia.</v>
      </c>
      <c r="AB18" s="401" t="str">
        <f>'PAI 2022 - V3'!AA20</f>
        <v>Gerencia General</v>
      </c>
      <c r="AC18" s="449" t="str">
        <f>'PAI 2022 - V3'!AB20</f>
        <v>Profesional de ventas y mercadeo y equipo de comunicación pública, según corresponda</v>
      </c>
      <c r="AD18" s="564" t="str">
        <f t="shared" si="1"/>
        <v>4.8.2</v>
      </c>
      <c r="AE18" s="645">
        <f>1575102766/5010000000</f>
        <v>0.31439176966067867</v>
      </c>
      <c r="AF18" s="645"/>
      <c r="AG18" s="645"/>
      <c r="AH18" s="645"/>
      <c r="AI18" s="645"/>
      <c r="AJ18" s="645"/>
      <c r="AK18" s="645"/>
      <c r="AL18" s="645"/>
      <c r="AM18" s="645"/>
      <c r="AN18" s="645"/>
      <c r="AO18" s="645"/>
      <c r="AP18" s="645"/>
      <c r="AQ18" s="535" t="s">
        <v>1123</v>
      </c>
      <c r="AR18" s="565" t="s">
        <v>26</v>
      </c>
    </row>
    <row r="19" spans="1:44" ht="186" customHeight="1" x14ac:dyDescent="0.2">
      <c r="A19" s="10" t="str">
        <f t="shared" si="0"/>
        <v>2.1.3</v>
      </c>
      <c r="B19" s="403" t="str">
        <f>'PAI 2022 - V3'!A21</f>
        <v>3. Salud y bienestar.
4. Educación de calidad.
5. Igualdad de Género.
9. Industria, innovación e infraestructura.
10. Reducción de las desigualdades.
17. Alianzas para lograr los objetivos.</v>
      </c>
      <c r="C19" s="399" t="str">
        <f>'PAI 2022 - V3'!B21</f>
        <v>Propósito 1
Logro de ciudad: 3 - 9 - 10
Propósito 3
Logro de ciudad: 22 - 23
Propósito 5
Logro de ciudad: 30</v>
      </c>
      <c r="D19" s="399" t="str">
        <f>'PAI 2022 - V3'!C21</f>
        <v>Participación ciudadana en la gestión pública.</v>
      </c>
      <c r="E19" s="401" t="str">
        <f>'PAI 2022 - V3'!D21</f>
        <v>OE_2</v>
      </c>
      <c r="F19" s="399" t="str">
        <f>'PAI 2022 - V3'!E21</f>
        <v>2. Implementar prácticas de innovación en diseño, gestión, producción y circulación de contenidos para el posicionamiento del Sistema de Comunicación Pública en la Bogotá Región y la generación de múltiples audiencias ciudadanas.</v>
      </c>
      <c r="G19" s="399" t="str">
        <f>'PAI 2022 - V3'!F21</f>
        <v>1. Diseñar y desarrollar actividades de cocreación con las audiencias y el sector para ser una marca querida por la ciudadanía, reconocida por la industria y creadora de contenidos innovadores y de calidad.</v>
      </c>
      <c r="H19" s="401" t="str">
        <f>'PAI 2022 - V3'!G21</f>
        <v>2.1.3</v>
      </c>
      <c r="I19" s="560" t="str">
        <f>'PAI 2022 - V3'!H21</f>
        <v>Proyecto audiovisual de cocreación de contenidos con el sector audiovisual local.</v>
      </c>
      <c r="J19" s="601" t="str">
        <f>'PAI 2022 - V3'!I21</f>
        <v>Realizar llamados públicos  en búsqueda de invitar al sector audiovisual local para Cocrear (a partir de un detonante creativo generado por Capital) proyectos audiovisuales que deberán ser ejecutados bajo la supervisión de Capital.</v>
      </c>
      <c r="K19" s="399" t="str">
        <f>'PAI 2022 - V3'!J21</f>
        <v>Gestión presupuestal para llamados públicos</v>
      </c>
      <c r="L19" s="399" t="str">
        <f>'PAI 2022 - V3'!K21</f>
        <v>1 Eficacia: Cumplimiento de metas</v>
      </c>
      <c r="M19" s="399" t="str">
        <f>'PAI 2022 - V3'!L21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N19" s="401" t="str">
        <f>'PAI 2022 - V3'!M21</f>
        <v xml:space="preserve">Presupuesto diseñado, apropiado y/o comprometido para llamados públicos de cocreación con sector audiovisual local </v>
      </c>
      <c r="O19" s="401" t="str">
        <f>'PAI 2022 - V3'!N21</f>
        <v>Presupuesto total para la producción de contenidos propios recursos hacienda y FuTic plan de inversión</v>
      </c>
      <c r="P19" s="401" t="str">
        <f>'PAI 2022 - V3'!O21</f>
        <v>Porcentaje (%).</v>
      </c>
      <c r="Q19" s="401" t="str">
        <f>'PAI 2022 - V3'!P21</f>
        <v>2 Constante: Se espera un valor o rango de resultado estable en el tiempo</v>
      </c>
      <c r="R19" s="401" t="str">
        <f>'PAI 2022 - V3'!Q21</f>
        <v>Rango entre 25 % al 40%</v>
      </c>
      <c r="S19" s="401" t="str">
        <f>'PAI 2022 - V3'!R21</f>
        <v>Rango entre 25 % al 35,9 %</v>
      </c>
      <c r="T19" s="399" t="str">
        <f>'PAI 2022 - V3'!S21</f>
        <v>Se realizará la medición teniendo en cuenta el intervalo de cumplimiento entre 25 % al 35,9 % del presupuesto total asignado a la Dirección Operativa, asignado a los llamados públicos.</v>
      </c>
      <c r="U19" s="401" t="str">
        <f>'PAI 2022 - V3'!T21</f>
        <v>&lt; 23 %</v>
      </c>
      <c r="V19" s="401" t="str">
        <f>'PAI 2022 - V3'!U21</f>
        <v>23 % al 24,9 %</v>
      </c>
      <c r="W19" s="401" t="str">
        <f>'PAI 2022 - V3'!V21</f>
        <v>Rango entre 25 % al 35,9 %</v>
      </c>
      <c r="X19" s="401" t="str">
        <f>'PAI 2022 - V3'!W21</f>
        <v>Entre 36 % y 40 %</v>
      </c>
      <c r="Y19" s="408" t="str">
        <f>'PAI 2022 - V3'!X21</f>
        <v>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v>
      </c>
      <c r="Z19" s="401" t="str">
        <f>'PAI 2022 - V3'!Y21</f>
        <v>3 Trimestral</v>
      </c>
      <c r="AA19" s="399" t="str">
        <f>'PAI 2022 - V3'!Z21</f>
        <v>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v>
      </c>
      <c r="AB19" s="401" t="str">
        <f>'PAI 2022 - V3'!AA21</f>
        <v>Dirección Operativa</v>
      </c>
      <c r="AC19" s="449" t="str">
        <f>'PAI 2022 - V3'!AB21</f>
        <v xml:space="preserve">Contratista que asesora los procesos de la Dirección operativa </v>
      </c>
      <c r="AD19" s="564" t="str">
        <f t="shared" si="1"/>
        <v>2.1.3</v>
      </c>
      <c r="AE19" s="645">
        <f>4522000000/15280132250</f>
        <v>0.2959398469865992</v>
      </c>
      <c r="AF19" s="645"/>
      <c r="AG19" s="645"/>
      <c r="AH19" s="645">
        <f>4132000000/11738998505</f>
        <v>0.35198914100210971</v>
      </c>
      <c r="AI19" s="645"/>
      <c r="AJ19" s="645"/>
      <c r="AK19" s="645"/>
      <c r="AL19" s="645"/>
      <c r="AM19" s="645"/>
      <c r="AN19" s="645"/>
      <c r="AO19" s="645"/>
      <c r="AP19" s="645"/>
      <c r="AQ19" s="535" t="s">
        <v>1135</v>
      </c>
      <c r="AR19" s="565" t="s">
        <v>26</v>
      </c>
    </row>
    <row r="20" spans="1:44" ht="120" customHeight="1" x14ac:dyDescent="0.2">
      <c r="A20" s="10" t="str">
        <f t="shared" si="0"/>
        <v>1.3.4</v>
      </c>
      <c r="B20" s="403" t="str">
        <f>'PAI 2022 - V3'!A22</f>
        <v>3. Salud y bienestar.
4. Educación de calidad.
5. Igualdad de Género.
9. Industria, innovación e infraestructura.
10. Reducción de las desigualdades.
17. Alianzas para lograr los objetivos.</v>
      </c>
      <c r="C20" s="399" t="str">
        <f>'PAI 2022 - V3'!B22</f>
        <v>Propósito 1
Logro de ciudad: 3 - 9 - 10
Propósito 3
Logro de ciudad: 22 - 23
Propósito 5
Logro de ciudad: 30</v>
      </c>
      <c r="D20" s="399" t="str">
        <f>'PAI 2022 - V3'!C22</f>
        <v>Participación ciudadana en la gestión pública.</v>
      </c>
      <c r="E20" s="401" t="str">
        <f>'PAI 2022 - V3'!D22</f>
        <v>OE_1</v>
      </c>
      <c r="F20" s="399" t="str">
        <f>'PAI 2022 - V3'!E22</f>
        <v>1. Consolidar una oferta de contenidos de interés ciudadano en diferentes formatos y plataformas que promuevan la participación de la ciudadanía.</v>
      </c>
      <c r="G20" s="399" t="str">
        <f>'PAI 2022 - V3'!F22</f>
        <v>3. Realizar el diseño, desarrollo, producción y programación en diferentes plataformas para audiencias por nichos.</v>
      </c>
      <c r="H20" s="401" t="str">
        <f>'PAI 2022 - V3'!G22</f>
        <v>1.3.4</v>
      </c>
      <c r="I20" s="560" t="str">
        <f>'PAI 2022 - V3'!H21</f>
        <v>Proyecto audiovisual de cocreación de contenidos con el sector audiovisual local.</v>
      </c>
      <c r="J20" s="601" t="str">
        <f>'PAI 2022 - V3'!I21</f>
        <v>Realizar llamados públicos  en búsqueda de invitar al sector audiovisual local para Cocrear (a partir de un detonante creativo generado por Capital) proyectos audiovisuales que deberán ser ejecutados bajo la supervisión de Capital.</v>
      </c>
      <c r="K20" s="399" t="str">
        <f>'PAI 2022 - V3'!J22</f>
        <v>Programación infantil y adolescentes en la pantalla principal de Capital</v>
      </c>
      <c r="L20" s="399" t="str">
        <f>'PAI 2022 - V3'!K22</f>
        <v>1 Eficacia: Cumplimiento de metas</v>
      </c>
      <c r="M20" s="405" t="str">
        <f>'PAI 2022 - V3'!L22</f>
        <v>Medir la participación de la programación infantil y adolescente en la pantalla principal de Capital, en cumplimiento del objeto del proceso de diseño y creación de contenidos y el desarrollo de las actividades descritas en el procedimiento "MDCC-PD-002 GESTIÓN DE PROGRAMACIÓN PARA EL SERVICIO DE TELEVISIÓN", en cuanto se refiere a la programación mensual.</v>
      </c>
      <c r="N20" s="401" t="str">
        <f>'PAI 2022 - V3'!M22</f>
        <v>(Promedio de horas de contenido infantil emitidas en el trimestre + promedio de horas de contenido para adolescente emitidas en el trimestre)</v>
      </c>
      <c r="O20" s="401" t="str">
        <f>'PAI 2022 - V3'!N22</f>
        <v>(Promedio de horas totales emitidos en el trimestre)</v>
      </c>
      <c r="P20" s="401" t="str">
        <f>'PAI 2022 - V3'!O22</f>
        <v>Porcentaje (%)</v>
      </c>
      <c r="Q20" s="401" t="str">
        <f>'PAI 2022 - V3'!P22</f>
        <v>2 Constante: Se espera un valor o rango de resultado estable en el tiempo</v>
      </c>
      <c r="R20" s="401" t="str">
        <f>'PAI 2022 - V3'!Q22</f>
        <v>Rango entre 
20 % al 30 %</v>
      </c>
      <c r="S20" s="401" t="str">
        <f>'PAI 2022 - V3'!R22</f>
        <v>Rango entre 
20 % al 30 %</v>
      </c>
      <c r="T20" s="399" t="str">
        <f>'PAI 2022 - V3'!S22</f>
        <v>Emitir programación infantil y adolescente en la pantalla principal de Capital, de tal manera que entre el 20 % y el 30 % de los contenidos que están en pantalla entre las 6:00 y las 24:00 correspondan a este tipo de programación.</v>
      </c>
      <c r="U20" s="401" t="str">
        <f>'PAI 2022 - V3'!T22</f>
        <v>&lt; 15 %</v>
      </c>
      <c r="V20" s="401" t="str">
        <f>'PAI 2022 - V3'!U22</f>
        <v>15 % al 19.9 %</v>
      </c>
      <c r="W20" s="401" t="str">
        <f>'PAI 2022 - V3'!V22</f>
        <v>20 % al 30 %</v>
      </c>
      <c r="X20" s="401" t="str">
        <f>'PAI 2022 - V3'!W22</f>
        <v>entre 31 % y 40 %</v>
      </c>
      <c r="Y20" s="399" t="str">
        <f>'PAI 2022 - V3'!X22</f>
        <v>1. Cumplimiento del objeto del proceso de diseño y creación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v>
      </c>
      <c r="Z20" s="401" t="str">
        <f>'PAI 2022 - V3'!Y22</f>
        <v>3 Trimestral</v>
      </c>
      <c r="AA20" s="399" t="str">
        <f>'PAI 2022 - V3'!Z22</f>
        <v>Para el reporte de esta actividad se tendrá en cuenta el total de horas emitidas se tomará con base en 18 horas del total de la programación (de 6 am a las 23:59) emitidas en la pantalla principal de Capital (no incluye los indicadores del Canal Eureka)</v>
      </c>
      <c r="AB20" s="401" t="str">
        <f>'PAI 2022 - V3'!AA22</f>
        <v>Dirección Operativa</v>
      </c>
      <c r="AC20" s="449" t="str">
        <f>'PAI 2022 - V3'!AB22</f>
        <v>Profesional especializado de Programación.</v>
      </c>
      <c r="AD20" s="564" t="str">
        <f t="shared" si="1"/>
        <v>1.3.4</v>
      </c>
      <c r="AE20" s="645">
        <f>130.33/546.33</f>
        <v>0.23855545183314114</v>
      </c>
      <c r="AF20" s="645"/>
      <c r="AG20" s="645"/>
      <c r="AH20" s="645">
        <f>187/555</f>
        <v>0.33693693693693694</v>
      </c>
      <c r="AI20" s="645"/>
      <c r="AJ20" s="645"/>
      <c r="AK20" s="645"/>
      <c r="AL20" s="645"/>
      <c r="AM20" s="645"/>
      <c r="AN20" s="645"/>
      <c r="AO20" s="645"/>
      <c r="AP20" s="645"/>
      <c r="AQ20" s="535" t="s">
        <v>1138</v>
      </c>
      <c r="AR20" s="565" t="s">
        <v>26</v>
      </c>
    </row>
    <row r="21" spans="1:44" ht="375.75" customHeight="1" x14ac:dyDescent="0.2">
      <c r="A21" s="10" t="str">
        <f t="shared" si="0"/>
        <v>1.1.5</v>
      </c>
      <c r="B21" s="403" t="str">
        <f>'PAI 2022 - V3'!A23</f>
        <v>3. Salud y bienestar.
4. Educación de calidad.
5. Igualdad de Género.
9. Industria, innovación e infraestructura.
10. Reducción de las desigualdades.
17. Alianzas para lograr los objetivos.</v>
      </c>
      <c r="C21" s="399" t="str">
        <f>'PAI 2022 - V3'!B23</f>
        <v>Propósito 1
Logro de ciudad: 3 - 9 - 10
Propósito 3
Logro de ciudad: 22 - 23
Propósito 5
Logro de ciudad: 30</v>
      </c>
      <c r="D21" s="399" t="str">
        <f>'PAI 2022 - V3'!C23</f>
        <v>Participación ciudadana en la gestión pública.
Gestión del conocimiento y la innovación.
Gobierno Abierto.</v>
      </c>
      <c r="E21" s="401" t="str">
        <f>'PAI 2022 - V3'!D23</f>
        <v>OE_1</v>
      </c>
      <c r="F21" s="399" t="str">
        <f>'PAI 2022 - V3'!E23</f>
        <v>1. Consolidar una oferta de contenidos de interés ciudadano en diferentes formatos y plataformas que promuevan la participación de la ciudadanía.</v>
      </c>
      <c r="G21" s="399" t="str">
        <f>'PAI 2022 - V3'!F23</f>
        <v>1. Diseñar y desarrollar actividades de cocreación con las audiencias y el sector para ser una marca querida por la ciudadanía, reconocida por la industria y creadora de contenidos innovadores y de calidad.</v>
      </c>
      <c r="H21" s="401" t="str">
        <f>'PAI 2022 - V3'!G23</f>
        <v>1.1.5</v>
      </c>
      <c r="I21" s="401" t="str">
        <f>'PAI 2022 - V3'!H23</f>
        <v xml:space="preserve">Estrategia de cocreación de contenidos con la ciudadanía </v>
      </c>
      <c r="J21" s="399" t="str">
        <f>'PAI 2022 - V3'!I23</f>
        <v xml:space="preserve">Gestionar una estrategia que incluya la participación activa de la ciudadania infantil en el diseño, producción y/o circulación del contenidos de Capital y de Eureka </v>
      </c>
      <c r="K21" s="399" t="str">
        <f>'PAI 2022 - V3'!J23</f>
        <v>Porcentaje de avance de la estrategia que incluya la participación activa de la ciudadanía infantil en alguna o varias etapas definidas para su ejecución</v>
      </c>
      <c r="L21" s="399" t="str">
        <f>'PAI 2022 - V3'!K23</f>
        <v>1 Eficacia: Cumplimiento de metas</v>
      </c>
      <c r="M21" s="399" t="str">
        <f>'PAI 2022 - V3'!L23</f>
        <v>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v>
      </c>
      <c r="N21" s="401" t="str">
        <f>'PAI 2022 - V3'!M23</f>
        <v>Porcentaje de avance en la ejecución del proyecto que incluya participación ciudadana infantil</v>
      </c>
      <c r="O21" s="401" t="str">
        <f>'PAI 2022 - V3'!N23</f>
        <v>Porcentaje total planeado de ejecución del proyecto audiovisual que incluyen la participación activa de la ciudadanía infantil</v>
      </c>
      <c r="P21" s="401" t="str">
        <f>'PAI 2022 - V3'!O23</f>
        <v>Porcentaje (%).</v>
      </c>
      <c r="Q21" s="401" t="str">
        <f>'PAI 2022 - V3'!P23</f>
        <v>1 Creciente: El resultado tiende a crecer en el tiempo</v>
      </c>
      <c r="R21" s="20">
        <f>'PAI 2022 - V3'!Q23</f>
        <v>1</v>
      </c>
      <c r="S21" s="20">
        <f>'PAI 2022 - V3'!R23</f>
        <v>1</v>
      </c>
      <c r="T21" s="399" t="str">
        <f>'PAI 2022 - V3'!S23</f>
        <v>Lograr el cumplimiento al 100% para la  ejecución del proyecto audiovisual que incluya la participación activa de la ciudadanía infantil</v>
      </c>
      <c r="U21" s="401" t="str">
        <f>'PAI 2022 - V3'!T23</f>
        <v>&lt; 70 %</v>
      </c>
      <c r="V21" s="401" t="str">
        <f>'PAI 2022 - V3'!U23</f>
        <v>70 % - 99,9 %</v>
      </c>
      <c r="W21" s="401">
        <f>'PAI 2022 - V3'!V23</f>
        <v>1</v>
      </c>
      <c r="X21" s="401" t="str">
        <f>'PAI 2022 - V3'!W23</f>
        <v>&gt; 100%</v>
      </c>
      <c r="Y21" s="399" t="str">
        <f>'PAI 2022 - V3'!X23</f>
        <v>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v>
      </c>
      <c r="Z21" s="401" t="str">
        <f>'PAI 2022 - V3'!Y23</f>
        <v>3 Trimestral</v>
      </c>
      <c r="AA21" s="405" t="str">
        <f>'PAI 2022 - V3'!Z23</f>
        <v>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2022, por cuanto el porcentaje de avance de cada trimestre puede variar de acuerdo a las condiciones del proyecto.</v>
      </c>
      <c r="AB21" s="401" t="str">
        <f>'PAI 2022 - V3'!AA23</f>
        <v>Dirección Operativa</v>
      </c>
      <c r="AC21" s="449" t="str">
        <f>'PAI 2022 - V3'!AB23</f>
        <v xml:space="preserve">Contratista que asesora los procesos de la Dirección operativa </v>
      </c>
      <c r="AD21" s="564" t="str">
        <f t="shared" si="1"/>
        <v>1.1.5</v>
      </c>
      <c r="AE21" s="645">
        <f>25/25</f>
        <v>1</v>
      </c>
      <c r="AF21" s="645"/>
      <c r="AG21" s="645"/>
      <c r="AH21" s="645">
        <f>25/25</f>
        <v>1</v>
      </c>
      <c r="AI21" s="645"/>
      <c r="AJ21" s="645"/>
      <c r="AK21" s="645"/>
      <c r="AL21" s="645"/>
      <c r="AM21" s="645"/>
      <c r="AN21" s="645"/>
      <c r="AO21" s="645"/>
      <c r="AP21" s="645"/>
      <c r="AQ21" s="535" t="s">
        <v>1136</v>
      </c>
      <c r="AR21" s="565" t="s">
        <v>26</v>
      </c>
    </row>
    <row r="22" spans="1:44" ht="165.75" customHeight="1" x14ac:dyDescent="0.2">
      <c r="A22" s="10" t="str">
        <f t="shared" si="0"/>
        <v>3.3.1</v>
      </c>
      <c r="B22" s="403" t="str">
        <f>'PAI 2022 - V3'!A24</f>
        <v>9. Industria, innovación e infraestructura.
16. Paz, justicia e instituciones sólidas.</v>
      </c>
      <c r="C22" s="399" t="str">
        <f>'PAI 2022 - V3'!B24</f>
        <v>Propósito 1
Logro de ciudad: 5
Propósito 5
Logro de ciudad: 29 - 30</v>
      </c>
      <c r="D22" s="399" t="str">
        <f>'PAI 2022 - V3'!C24</f>
        <v>Gobierno Digital.</v>
      </c>
      <c r="E22" s="401" t="str">
        <f>'PAI 2022 - V3'!D24</f>
        <v>OE_3</v>
      </c>
      <c r="F22" s="399" t="str">
        <f>'PAI 2022 - V3'!E24</f>
        <v xml:space="preserve">3. Generar una cultura digital y de gestión del conocimiento para la optimización de los procesos internos y externos.  </v>
      </c>
      <c r="G22" s="399" t="str">
        <f>'PAI 2022 - V3'!F24</f>
        <v>3. Realizar el diseño, desarrollo, producción y programación en diferentes plataformas para audiencias por nichos.</v>
      </c>
      <c r="H22" s="401" t="str">
        <f>'PAI 2022 - V3'!G24</f>
        <v>3.3.1</v>
      </c>
      <c r="I22" s="401" t="str">
        <f>'PAI 2022 - V3'!H24</f>
        <v xml:space="preserve">Rediseño de página web y optimización del canal de YouTube de capital </v>
      </c>
      <c r="J22" s="399" t="str">
        <f>'PAI 2022 - V3'!I24</f>
        <v>Realizar acciones que potencialicen los recursos internos disponibles por Capital para unificar las páginas web de capital en una sola y cumplir con los lineamientos de gobierno en línea</v>
      </c>
      <c r="K22" s="399" t="str">
        <f>'PAI 2022 - V3'!J24</f>
        <v>Porcentaje de avance en las plataformas digitales optimizadas para la publicación de contenidos (2)</v>
      </c>
      <c r="L22" s="399" t="str">
        <f>'PAI 2022 - V3'!K24</f>
        <v>1 Eficacia: Cumplimiento de metas</v>
      </c>
      <c r="M22" s="399" t="str">
        <f>'PAI 2022 - V3'!L24</f>
        <v>Hace referencia al porcentaje de avance en las actividades de intervención de las plataformas tecnológicas, durante la vigencia, para  unificar las páginas web de capital en una sola que cumpla con los lineamientos de gobierno en línea, así como del canal de YouTube.</v>
      </c>
      <c r="N22" s="401" t="str">
        <f>'PAI 2022 - V3'!M24</f>
        <v>Porcentaje de avance en la intervención de las plataformas</v>
      </c>
      <c r="O22" s="401" t="str">
        <f>'PAI 2022 - V3'!N24</f>
        <v>Porcentaje programado para 2022 de actividades de rediseño en las plataformas a intervenir (página web y canal de YouTube)</v>
      </c>
      <c r="P22" s="401" t="str">
        <f>'PAI 2022 - V3'!O24</f>
        <v>Porcentaje (%).</v>
      </c>
      <c r="Q22" s="401" t="str">
        <f>'PAI 2022 - V3'!P24</f>
        <v>1 Creciente: El resultado tiende a crecer en el tiempo</v>
      </c>
      <c r="R22" s="20">
        <f>'PAI 2022 - V3'!Q24</f>
        <v>1</v>
      </c>
      <c r="S22" s="20">
        <f>'PAI 2022 - V3'!R24</f>
        <v>1</v>
      </c>
      <c r="T22" s="399" t="str">
        <f>'PAI 2022 - V3'!S24</f>
        <v>Lograr el cumplimiento al 100% de las actividades de rediseño en las plataformas a intervenir para la vigencia 2022.</v>
      </c>
      <c r="U22" s="401" t="str">
        <f>'PAI 2022 - V3'!T24</f>
        <v>&lt; 70 %</v>
      </c>
      <c r="V22" s="401" t="str">
        <f>'PAI 2022 - V3'!U24</f>
        <v>70 % - 99,9 %</v>
      </c>
      <c r="W22" s="15">
        <f>'PAI 2022 - V3'!V24</f>
        <v>1</v>
      </c>
      <c r="X22" s="401" t="str">
        <f>'PAI 2022 - V3'!W24</f>
        <v>&gt; 100%</v>
      </c>
      <c r="Y22" s="399" t="str">
        <f>'PAI 2022 - V3'!X24</f>
        <v>1. Definir plan de trabajo interno para el rediseño de la página web y el correspondiente a la fortalecimiento del canal de YouTube respecto a los recursos y decisiones administrativas de Capital
2. Ejecutar plan de trabajo de intervención de las plataformas a optimizar
3. Realizar las etapas técnicas concernientes a la producción de las plataformas.
Nota 1: La persona designada por la Dirección Operativa para la consolidación y reporte de este indicador será el contratista que asesora los procesos que pertenecen a dicha instancia.
Nota 2: El equipo de producción digital,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v>
      </c>
      <c r="Z22" s="401" t="str">
        <f>'PAI 2022 - V3'!Y24</f>
        <v>3 Trimestral</v>
      </c>
      <c r="AA22" s="405" t="str">
        <f>'PAI 2022 - V3'!Z24</f>
        <v>1. Los rangos de tolerancia establecidos solo aplicarán para el resultado final del indicador con corte a 31 de diciembre de 2022, por cuanto el porcentaje de avance de cada trimestre puede variar de acuerdo a las condiciones del proyecto.</v>
      </c>
      <c r="AB22" s="401" t="str">
        <f>'PAI 2022 - V3'!AA24</f>
        <v>Dirección Operativa</v>
      </c>
      <c r="AC22" s="449" t="str">
        <f>'PAI 2022 - V3'!AB24</f>
        <v xml:space="preserve">Contratista que asesora los procesos de la Dirección operativa </v>
      </c>
      <c r="AD22" s="564" t="str">
        <f t="shared" si="1"/>
        <v>3.3.1</v>
      </c>
      <c r="AE22" s="645">
        <f>25/25</f>
        <v>1</v>
      </c>
      <c r="AF22" s="645"/>
      <c r="AG22" s="645"/>
      <c r="AH22" s="645">
        <f>25/25</f>
        <v>1</v>
      </c>
      <c r="AI22" s="645"/>
      <c r="AJ22" s="645"/>
      <c r="AK22" s="645"/>
      <c r="AL22" s="645"/>
      <c r="AM22" s="645"/>
      <c r="AN22" s="645"/>
      <c r="AO22" s="645"/>
      <c r="AP22" s="645"/>
      <c r="AQ22" s="535" t="s">
        <v>1137</v>
      </c>
      <c r="AR22" s="565" t="s">
        <v>26</v>
      </c>
    </row>
    <row r="23" spans="1:44" ht="99" customHeight="1" x14ac:dyDescent="0.2">
      <c r="A23" s="10" t="str">
        <f t="shared" si="0"/>
        <v>3.6.2</v>
      </c>
      <c r="B23" s="403" t="str">
        <f>'PAI 2022 - V3'!A25</f>
        <v>9. Industria, innovación e infraestructura.
16. Paz, justicia e instituciones sólidas.</v>
      </c>
      <c r="C23" s="399" t="str">
        <f>'PAI 2022 - V3'!B25</f>
        <v>Propósito 1
Logro de ciudad: 5
Propósito 5
Logro de ciudad: 29 - 30</v>
      </c>
      <c r="D23" s="399" t="str">
        <f>'PAI 2022 - V3'!C25</f>
        <v>Gobierno Digital.
Seguridad Digital.</v>
      </c>
      <c r="E23" s="401" t="str">
        <f>'PAI 2022 - V3'!D25</f>
        <v>OE_3</v>
      </c>
      <c r="F23" s="399" t="str">
        <f>'PAI 2022 - V3'!E25</f>
        <v xml:space="preserve">3. Generar una cultura digital y de gestión del conocimiento para la optimización de los procesos internos y externos.  </v>
      </c>
      <c r="G23" s="399" t="str">
        <f>'PAI 2022 - V3'!F25</f>
        <v>6. Articular los procesos y flujos de trabajo a la estructura de Capital.</v>
      </c>
      <c r="H23" s="401" t="str">
        <f>'PAI 2022 - V3'!G25</f>
        <v>3.6.2</v>
      </c>
      <c r="I23" s="401" t="str">
        <f>'PAI 2022 - V3'!H25</f>
        <v>Medición de la continuidad del servicio.</v>
      </c>
      <c r="J23" s="399" t="str">
        <f>'PAI 2022 - V3'!I25</f>
        <v>Garantizar la calidad y continuidad de la señal de transmisión del canal, evaluando y monitoreando el correcto funcionamiento de los equipos técnicos que intervienen en la cadena de emisión y transmisión.</v>
      </c>
      <c r="K23" s="399" t="str">
        <f>'PAI 2022 - V3'!J25</f>
        <v>Continuidad en la prestación del servicio</v>
      </c>
      <c r="L23" s="399" t="str">
        <f>'PAI 2022 - V3'!K25</f>
        <v>3 Efectividad: Impacto o beneficios generados.</v>
      </c>
      <c r="M23" s="399" t="str">
        <f>'PAI 2022 - V3'!L25</f>
        <v>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v>
      </c>
      <c r="N23" s="401" t="str">
        <f>'PAI 2022 - V3'!M25</f>
        <v>100 - ((∑(Tiempo en minutos de falla de la seña del periodo reportado)</v>
      </c>
      <c r="O23" s="401" t="str">
        <f>'PAI 2022 - V3'!N25</f>
        <v>∑(tiempo en minutos de la señal programa total))100%</v>
      </c>
      <c r="P23" s="401" t="str">
        <f>'PAI 2022 - V3'!O25</f>
        <v>Porcentaje (%)</v>
      </c>
      <c r="Q23" s="401" t="str">
        <f>'PAI 2022 - V3'!P25</f>
        <v>2 Constante: Se espera un valor o rango de resultado estable en el tiempo</v>
      </c>
      <c r="R23" s="401" t="str">
        <f>'PAI 2022 - V3'!Q25</f>
        <v>99 % - 100 %</v>
      </c>
      <c r="S23" s="20">
        <f>'PAI 2022 - V3'!R25</f>
        <v>1</v>
      </c>
      <c r="T23" s="399" t="str">
        <f>'PAI 2022 - V3'!S25</f>
        <v>Realizar mediciones y seguimientos en procura de mantener la disponibilidad de la señal en promedio cercana al 100%.</v>
      </c>
      <c r="U23" s="20">
        <f>'PAI 2022 - V3'!T25</f>
        <v>0.85</v>
      </c>
      <c r="V23" s="401" t="str">
        <f>'PAI 2022 - V3'!U25</f>
        <v>86 % - 95 %</v>
      </c>
      <c r="W23" s="401" t="str">
        <f>'PAI 2022 - V3'!V25</f>
        <v>96 % - 100 %</v>
      </c>
      <c r="X23" s="401" t="str">
        <f>'PAI 2022 - V3'!W25</f>
        <v>&gt; 100 %</v>
      </c>
      <c r="Y23" s="399" t="str">
        <f>'PAI 2022 - V3'!X25</f>
        <v>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v>
      </c>
      <c r="Z23" s="401" t="str">
        <f>'PAI 2022 - V3'!Y25</f>
        <v>1 Mensual</v>
      </c>
      <c r="AA23" s="399" t="str">
        <f>'PAI 2022 - V3'!Z25</f>
        <v>1. Se tendrán como exclusiones en la medición los mantenimientos programados que afecten el retorno de señal en alguno de los puntos de monitoreo.
2. El reporte se realizará a planeación de manera trimestral, sin embargo los datos serán reflejados en el reporte por cada uno de los meses.</v>
      </c>
      <c r="AB23" s="401" t="str">
        <f>'PAI 2022 - V3'!AA25</f>
        <v>Dirección Operativa</v>
      </c>
      <c r="AC23" s="449" t="str">
        <f>'PAI 2022 - V3'!AB25</f>
        <v>Profesional especializado del área Técnica</v>
      </c>
      <c r="AD23" s="564" t="str">
        <f t="shared" si="1"/>
        <v>3.6.2</v>
      </c>
      <c r="AE23" s="557">
        <f>100%-(0/44640)</f>
        <v>1</v>
      </c>
      <c r="AF23" s="557">
        <f>100%-(0/40320)</f>
        <v>1</v>
      </c>
      <c r="AG23" s="557">
        <f>100%-(0/44640)</f>
        <v>1</v>
      </c>
      <c r="AH23" s="574">
        <f>100%-(0/43200)</f>
        <v>1</v>
      </c>
      <c r="AI23" s="574">
        <f t="shared" ref="AI23" si="2">100%-(0/44640)</f>
        <v>1</v>
      </c>
      <c r="AJ23" s="574">
        <f>100%-(45.4/43200)</f>
        <v>0.99894907407407407</v>
      </c>
      <c r="AK23" s="557"/>
      <c r="AL23" s="557"/>
      <c r="AM23" s="557"/>
      <c r="AN23" s="557"/>
      <c r="AO23" s="557"/>
      <c r="AP23" s="557"/>
      <c r="AQ23" s="535" t="s">
        <v>1139</v>
      </c>
      <c r="AR23" s="565" t="s">
        <v>26</v>
      </c>
    </row>
    <row r="24" spans="1:44" ht="111.75" customHeight="1" x14ac:dyDescent="0.2">
      <c r="A24" s="10" t="str">
        <f t="shared" si="0"/>
        <v>3.7.3</v>
      </c>
      <c r="B24" s="403" t="str">
        <f>'PAI 2022 - V3'!A26</f>
        <v>9. Industria, innovación e infraestructura.
16. Paz, justicia e instituciones sólidas.</v>
      </c>
      <c r="C24" s="399" t="str">
        <f>'PAI 2022 - V3'!B26</f>
        <v>Propósito 1
Logro de ciudad: 5
Propósito 5
Logro de ciudad: 29 - 30</v>
      </c>
      <c r="D24" s="399" t="str">
        <f>'PAI 2022 - V3'!C26</f>
        <v>Gobierno Digital.
Seguridad Digital.</v>
      </c>
      <c r="E24" s="401" t="str">
        <f>'PAI 2022 - V3'!D26</f>
        <v>OE_3</v>
      </c>
      <c r="F24" s="399" t="str">
        <f>'PAI 2022 - V3'!E26</f>
        <v xml:space="preserve">3. Generar una cultura digital y de gestión del conocimiento para la optimización de los procesos internos y externos.  </v>
      </c>
      <c r="G24" s="399" t="str">
        <f>'PAI 2022 - V3'!F26</f>
        <v>7. Adelantar fases de diagnóstico, actualización e implementación de una cultura digital y de gestión del conocimiento.</v>
      </c>
      <c r="H24" s="401" t="str">
        <f>'PAI 2022 - V3'!G26</f>
        <v>3.7.3</v>
      </c>
      <c r="I24" s="401" t="str">
        <f>'PAI 2022 - V3'!H26</f>
        <v>Plan Estratégico de Tecnologías de la Información - PETI 2022 (Anexo 2)</v>
      </c>
      <c r="J24" s="399" t="str">
        <f>'PAI 2022 - V3'!I26</f>
        <v>Continuar con la planificación estratégica de las tecnologías de la información de Capital, para el período 2022,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v>
      </c>
      <c r="K24" s="399" t="str">
        <f>'PAI 2022 - V3'!J26</f>
        <v>Cumplimiento de actividades del Plan Estratégico de Tecnologías de la Información - PETI 2022</v>
      </c>
      <c r="L24" s="399" t="str">
        <f>'PAI 2022 - V3'!K26</f>
        <v>2 Eficiencia: Uso de los recursos.</v>
      </c>
      <c r="M24" s="399" t="str">
        <f>'PAI 2022 - V3'!L26</f>
        <v>Realizar el seguimiento al cumplimiento de las actividades programadas en el Plan Estratégico de tecnologías de la información - PETI</v>
      </c>
      <c r="N24" s="401" t="str">
        <f>'PAI 2022 - V3'!M26</f>
        <v xml:space="preserve">Porcentaje de avances de las acciones programadas en el Plan Estratégico de tecnologías de la información - PETI </v>
      </c>
      <c r="O24" s="401" t="str">
        <f>'PAI 2022 - V3'!N26</f>
        <v xml:space="preserve">Porcentaje programado de acciones del Plan Estratégico de tecnologías de la información - PETI para la vigencia </v>
      </c>
      <c r="P24" s="401" t="str">
        <f>'PAI 2022 - V3'!O26</f>
        <v>Porcentaje (%).</v>
      </c>
      <c r="Q24" s="401" t="str">
        <f>'PAI 2022 - V3'!P26</f>
        <v>1 Creciente: El resultado tiende a crecer en el tiempo</v>
      </c>
      <c r="R24" s="20">
        <f>'PAI 2022 - V3'!Q26</f>
        <v>0.9</v>
      </c>
      <c r="S24" s="20">
        <f>'PAI 2022 - V3'!R26</f>
        <v>0.95</v>
      </c>
      <c r="T24" s="399" t="str">
        <f>'PAI 2022 - V3'!S26</f>
        <v>Ejecutar como mínimo el 95% de las actividades programadas en el plan de tecnologías de la información (Plan Estratégico de Tecnologías de la Información - PETI).</v>
      </c>
      <c r="U24" s="401" t="str">
        <f>'PAI 2022 - V3'!T26</f>
        <v>&lt;30%</v>
      </c>
      <c r="V24" s="401" t="str">
        <f>'PAI 2022 - V3'!U26</f>
        <v>31% - 70%</v>
      </c>
      <c r="W24" s="401" t="str">
        <f>'PAI 2022 - V3'!V26</f>
        <v>71% - 94%</v>
      </c>
      <c r="X24" s="401" t="str">
        <f>'PAI 2022 - V3'!W26</f>
        <v>&gt;95%</v>
      </c>
      <c r="Y24" s="399" t="str">
        <f>'PAI 2022 - V3'!X26</f>
        <v>1. Planificación (20%)
2. Ejecución (80%)
3. Seguimiento al cumplimiento
4. Análisis y mejoramiento</v>
      </c>
      <c r="Z24" s="401" t="str">
        <f>'PAI 2022 - V3'!Y26</f>
        <v>3 Trimestral</v>
      </c>
      <c r="AA24" s="399" t="str">
        <f>'PAI 2022 - V3'!Z26</f>
        <v xml:space="preserve">No aplica </v>
      </c>
      <c r="AB24" s="401" t="str">
        <f>'PAI 2022 - V3'!AA26</f>
        <v>Subdirección Administrativa</v>
      </c>
      <c r="AC24" s="449" t="str">
        <f>'PAI 2022 - V3'!AB26</f>
        <v>Profesional especializado de Sistemas - Profesional especializado del área técnica</v>
      </c>
      <c r="AD24" s="564" t="str">
        <f t="shared" si="1"/>
        <v>3.7.3</v>
      </c>
      <c r="AE24" s="645">
        <f>23/95</f>
        <v>0.24210526315789474</v>
      </c>
      <c r="AF24" s="645"/>
      <c r="AG24" s="645"/>
      <c r="AH24" s="645">
        <f>46/95</f>
        <v>0.48421052631578948</v>
      </c>
      <c r="AI24" s="645"/>
      <c r="AJ24" s="645"/>
      <c r="AK24" s="645"/>
      <c r="AL24" s="645"/>
      <c r="AM24" s="645"/>
      <c r="AN24" s="645"/>
      <c r="AO24" s="645"/>
      <c r="AP24" s="645"/>
      <c r="AQ24" s="535" t="s">
        <v>1158</v>
      </c>
      <c r="AR24" s="565" t="s">
        <v>26</v>
      </c>
    </row>
    <row r="25" spans="1:44" ht="132" customHeight="1" x14ac:dyDescent="0.2">
      <c r="A25" s="10" t="str">
        <f t="shared" si="0"/>
        <v>3.7.4</v>
      </c>
      <c r="B25" s="403" t="str">
        <f>'PAI 2022 - V3'!A27</f>
        <v>9. Industria, innovación e infraestructura.
16. Paz, justicia e instituciones sólidas.</v>
      </c>
      <c r="C25" s="399" t="str">
        <f>'PAI 2022 - V3'!B27</f>
        <v>Propósito 1
Logro de ciudad: 5
Propósito 5
Logro de ciudad: 29 - 30</v>
      </c>
      <c r="D25" s="399" t="str">
        <f>'PAI 2022 - V3'!C27</f>
        <v>Gobierno Digital.
Seguridad Digital.</v>
      </c>
      <c r="E25" s="401" t="str">
        <f>'PAI 2022 - V3'!D27</f>
        <v>OE_3</v>
      </c>
      <c r="F25" s="399" t="str">
        <f>'PAI 2022 - V3'!E27</f>
        <v xml:space="preserve">3. Generar una cultura digital y de gestión del conocimiento para la optimización de los procesos internos y externos.  </v>
      </c>
      <c r="G25" s="399" t="str">
        <f>'PAI 2022 - V3'!F27</f>
        <v>7. Adelantar fases de diagnóstico, actualización e implementación de una cultura digital y de gestión del conocimiento.</v>
      </c>
      <c r="H25" s="401" t="str">
        <f>'PAI 2022 - V3'!G27</f>
        <v>3.7.4</v>
      </c>
      <c r="I25" s="401" t="str">
        <f>'PAI 2022 - V3'!H27</f>
        <v>Plan de Seguridad y Privacidad de la Información 2022 - PSPI (Anexo 3)</v>
      </c>
      <c r="J25" s="399" t="str">
        <f>'PAI 2022 - V3'!I27</f>
        <v xml:space="preserve">Fortalecer la plataforma tecnológica de la Entidad (Hardware y Software), manteniendo un esquema de alta disponibilidad y seguridad. </v>
      </c>
      <c r="K25" s="399" t="str">
        <f>'PAI 2022 - V3'!J27</f>
        <v>Cumplimiento de actividades del Plan de seguridad y privacidad de la información</v>
      </c>
      <c r="L25" s="399" t="str">
        <f>'PAI 2022 - V3'!K27</f>
        <v>2 Eficiencia: Uso de los recursos.</v>
      </c>
      <c r="M25" s="399" t="str">
        <f>'PAI 2022 - V3'!L27</f>
        <v>Realizar el seguimiento al cumplimiento de las actividades programadas en el Plan de seguridad y privacidad de la información</v>
      </c>
      <c r="N25" s="401" t="str">
        <f>'PAI 2022 - V3'!M27</f>
        <v xml:space="preserve">Porcentaje de avances de las acciones programadas en el Plan de seguridad y privacidad de la información </v>
      </c>
      <c r="O25" s="401" t="str">
        <f>'PAI 2022 - V3'!N27</f>
        <v>Porcentaje programado de acciones del Plan de seguridad y privacidad de la información para la vigencia</v>
      </c>
      <c r="P25" s="401" t="str">
        <f>'PAI 2022 - V3'!O27</f>
        <v>Porcentaje (%).</v>
      </c>
      <c r="Q25" s="401" t="str">
        <f>'PAI 2022 - V3'!P27</f>
        <v>1 Creciente: El resultado tiende a crecer en el tiempo</v>
      </c>
      <c r="R25" s="20">
        <f>'PAI 2022 - V3'!Q27</f>
        <v>0.9</v>
      </c>
      <c r="S25" s="20">
        <f>'PAI 2022 - V3'!R27</f>
        <v>0.95</v>
      </c>
      <c r="T25" s="399" t="str">
        <f>'PAI 2022 - V3'!S27</f>
        <v xml:space="preserve">Ejecutar como mínimo el 95% de las actividades programadas en el Plan de Seguridad y Privacidad de la Información </v>
      </c>
      <c r="U25" s="401" t="str">
        <f>'PAI 2022 - V3'!T27</f>
        <v>&lt;30%</v>
      </c>
      <c r="V25" s="401" t="str">
        <f>'PAI 2022 - V3'!U27</f>
        <v>31% - 70%</v>
      </c>
      <c r="W25" s="401" t="str">
        <f>'PAI 2022 - V3'!V27</f>
        <v>71% - 94%</v>
      </c>
      <c r="X25" s="401" t="str">
        <f>'PAI 2022 - V3'!W27</f>
        <v>&gt;95%</v>
      </c>
      <c r="Y25" s="399" t="str">
        <f>'PAI 2022 - V3'!X27</f>
        <v>1. Planificación (20%)
2. Ejecución (80%)
3. Seguimiento al cumplimiento
4. Análisis y mejoramiento</v>
      </c>
      <c r="Z25" s="401" t="str">
        <f>'PAI 2022 - V3'!Y27</f>
        <v>3 Trimestral</v>
      </c>
      <c r="AA25" s="399" t="str">
        <f>'PAI 2022 - V3'!Z27</f>
        <v xml:space="preserve">No aplica </v>
      </c>
      <c r="AB25" s="401" t="str">
        <f>'PAI 2022 - V3'!AA27</f>
        <v>Subdirección Administrativa</v>
      </c>
      <c r="AC25" s="449" t="str">
        <f>'PAI 2022 - V3'!AB27</f>
        <v>Profesional especializado de Sistemas</v>
      </c>
      <c r="AD25" s="564" t="str">
        <f t="shared" si="1"/>
        <v>3.7.4</v>
      </c>
      <c r="AE25" s="645">
        <f>23/95</f>
        <v>0.24210526315789474</v>
      </c>
      <c r="AF25" s="645"/>
      <c r="AG25" s="645"/>
      <c r="AH25" s="645">
        <f>46/95</f>
        <v>0.48421052631578948</v>
      </c>
      <c r="AI25" s="645"/>
      <c r="AJ25" s="645"/>
      <c r="AK25" s="645"/>
      <c r="AL25" s="645"/>
      <c r="AM25" s="645"/>
      <c r="AN25" s="645"/>
      <c r="AO25" s="645"/>
      <c r="AP25" s="645"/>
      <c r="AQ25" s="535" t="s">
        <v>1159</v>
      </c>
      <c r="AR25" s="565" t="s">
        <v>26</v>
      </c>
    </row>
    <row r="26" spans="1:44" ht="114.75" customHeight="1" x14ac:dyDescent="0.2">
      <c r="A26" s="10" t="str">
        <f t="shared" si="0"/>
        <v>3.7.5</v>
      </c>
      <c r="B26" s="403" t="str">
        <f>'PAI 2022 - V3'!A28</f>
        <v>9. Industria, innovación e infraestructura.
16. Paz, justicia e instituciones sólidas.</v>
      </c>
      <c r="C26" s="399" t="str">
        <f>'PAI 2022 - V3'!B28</f>
        <v>Propósito 1
Logro de ciudad: 5
Propósito 5
Logro de ciudad: 29 - 30</v>
      </c>
      <c r="D26" s="399" t="str">
        <f>'PAI 2022 - V3'!C28</f>
        <v>Gobierno Digital.
Seguridad Digital.</v>
      </c>
      <c r="E26" s="401" t="str">
        <f>'PAI 2022 - V3'!D28</f>
        <v>OE_3</v>
      </c>
      <c r="F26" s="399" t="str">
        <f>'PAI 2022 - V3'!E28</f>
        <v xml:space="preserve">3. Generar una cultura digital y de gestión del conocimiento para la optimización de los procesos internos y externos.  </v>
      </c>
      <c r="G26" s="399" t="str">
        <f>'PAI 2022 - V3'!F28</f>
        <v>7. Adelantar fases de diagnóstico, actualización e implementación de una cultura digital y de gestión del conocimiento.</v>
      </c>
      <c r="H26" s="401" t="str">
        <f>'PAI 2022 - V3'!G28</f>
        <v>3.7.5</v>
      </c>
      <c r="I26" s="401" t="str">
        <f>'PAI 2022 - V3'!H28</f>
        <v>Plan de tratamiento de riesgos de seguridad y privacidad de la información 2022 - PTRSI (Anexo 4)</v>
      </c>
      <c r="J26" s="405" t="str">
        <f>'PAI 2022 - V3'!I28</f>
        <v xml:space="preserve">Fortalecer la gestión y tratamiento de riesgos de seguridad digital en las plataformas tecnológicas de la Entidad (Hardware y Software), manteniendo un esquema de alta disponibilidad y seguridad. </v>
      </c>
      <c r="K26" s="399" t="str">
        <f>'PAI 2022 - V3'!J28</f>
        <v>Cumplimiento de actividades del Plan de tratamiento de riesgos de seguridad y privacidad de la información</v>
      </c>
      <c r="L26" s="399" t="str">
        <f>'PAI 2022 - V3'!K28</f>
        <v>2 Eficiencia: Uso de los recursos.</v>
      </c>
      <c r="M26" s="399" t="str">
        <f>'PAI 2022 - V3'!L28</f>
        <v>Realizar el seguimiento al cumplimiento de las actividades programadas en el Plan de tratamiento de riesgos de seguridad y privacidad de la información</v>
      </c>
      <c r="N26" s="401" t="str">
        <f>'PAI 2022 - V3'!M28</f>
        <v>Porcentaje de avances de las acciones programadas en el Plan de tratamiento de riesgos de seguridad y privacidad de la información.</v>
      </c>
      <c r="O26" s="401" t="str">
        <f>'PAI 2022 - V3'!N28</f>
        <v>Porcentaje programado de acciones del Plan de tratamiento de riesgos de  seguridad y privacidad de la información para la vigencia</v>
      </c>
      <c r="P26" s="401" t="str">
        <f>'PAI 2022 - V3'!O28</f>
        <v>Porcentaje (%).</v>
      </c>
      <c r="Q26" s="401" t="str">
        <f>'PAI 2022 - V3'!P28</f>
        <v>1 Creciente: El resultado tiende a crecer en el tiempo</v>
      </c>
      <c r="R26" s="20">
        <f>'PAI 2022 - V3'!Q28</f>
        <v>0.9</v>
      </c>
      <c r="S26" s="20">
        <f>'PAI 2022 - V3'!R28</f>
        <v>0.95</v>
      </c>
      <c r="T26" s="399" t="str">
        <f>'PAI 2022 - V3'!S28</f>
        <v>Ejecutar como mínimo el 95% de las actividades programadas en el Plan de tratamiento de riesgos de seguridad y privacidad de la información.</v>
      </c>
      <c r="U26" s="401" t="str">
        <f>'PAI 2022 - V3'!T28</f>
        <v>&lt;30%</v>
      </c>
      <c r="V26" s="401" t="str">
        <f>'PAI 2022 - V3'!U28</f>
        <v>31% - 70%</v>
      </c>
      <c r="W26" s="401" t="str">
        <f>'PAI 2022 - V3'!V28</f>
        <v>71% - 94%</v>
      </c>
      <c r="X26" s="401" t="str">
        <f>'PAI 2022 - V3'!W28</f>
        <v>&gt;95%</v>
      </c>
      <c r="Y26" s="399" t="str">
        <f>'PAI 2022 - V3'!X28</f>
        <v>1. Planificación (20%)
2. Ejecución (80%)
3. Seguimiento al cumplimiento
4. Análisis y mejoramiento</v>
      </c>
      <c r="Z26" s="401" t="str">
        <f>'PAI 2022 - V3'!Y28</f>
        <v>3 Trimestral</v>
      </c>
      <c r="AA26" s="399" t="str">
        <f>'PAI 2022 - V3'!Z28</f>
        <v xml:space="preserve">No aplica </v>
      </c>
      <c r="AB26" s="401" t="str">
        <f>'PAI 2022 - V3'!AA28</f>
        <v>Subdirección Administrativa</v>
      </c>
      <c r="AC26" s="449" t="str">
        <f>'PAI 2022 - V3'!AB28</f>
        <v>Profesional especializado de Sistemas</v>
      </c>
      <c r="AD26" s="564" t="str">
        <f t="shared" si="1"/>
        <v>3.7.5</v>
      </c>
      <c r="AE26" s="645">
        <f>23/95</f>
        <v>0.24210526315789474</v>
      </c>
      <c r="AF26" s="645"/>
      <c r="AG26" s="645"/>
      <c r="AH26" s="645">
        <f>46/95</f>
        <v>0.48421052631578948</v>
      </c>
      <c r="AI26" s="645"/>
      <c r="AJ26" s="645"/>
      <c r="AK26" s="645"/>
      <c r="AL26" s="645"/>
      <c r="AM26" s="645"/>
      <c r="AN26" s="645"/>
      <c r="AO26" s="645"/>
      <c r="AP26" s="645"/>
      <c r="AQ26" s="535" t="s">
        <v>1160</v>
      </c>
      <c r="AR26" s="565" t="s">
        <v>26</v>
      </c>
    </row>
    <row r="27" spans="1:44" ht="104.25" customHeight="1" x14ac:dyDescent="0.2">
      <c r="A27" s="10" t="str">
        <f t="shared" si="0"/>
        <v>5.5.7</v>
      </c>
      <c r="B27" s="404" t="str">
        <f>'PAI 2022 - V3'!A29</f>
        <v>6. Agua limpia y saneamiento.
7. Energía asequible y no contaminante.
12. Producción  y consumo responsable.
13. Acción por el clima.
15. Vida de ecosistemas terrestres.</v>
      </c>
      <c r="C27" s="399" t="str">
        <f>'PAI 2022 - V3'!B29</f>
        <v>Propósito 2
Logro de ciudad: 14 - 18 - 20
Propósito 5
Logro de ciudad: 30</v>
      </c>
      <c r="D27" s="405" t="str">
        <f>'PAI 2022 - V3'!C29</f>
        <v>Gestión Ambiental</v>
      </c>
      <c r="E27" s="401" t="str">
        <f>'PAI 2022 - V3'!D29</f>
        <v>OE_5</v>
      </c>
      <c r="F27" s="399" t="str">
        <f>'PAI 2022 - V3'!E29</f>
        <v xml:space="preserve">5. Fortalecer la capacidad organizacional de Capital para ser una empresa transparente, eficiente y sostenible. </v>
      </c>
      <c r="G27" s="399" t="str">
        <f>'PAI 2022 - V3'!F29</f>
        <v>5. Realizar el diagnóstico, diseño e implementación de una estructura administrativa acorde a las necesidades de capital.</v>
      </c>
      <c r="H27" s="401" t="str">
        <f>'PAI 2022 - V3'!G29</f>
        <v>5.5.7</v>
      </c>
      <c r="I27" s="401" t="str">
        <f>'PAI 2022 - V3'!H29</f>
        <v>Plan institucional de Gestión Ambiental - PIGA</v>
      </c>
      <c r="J27" s="399" t="str">
        <f>'PAI 2022 - V3'!I29</f>
        <v>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v>
      </c>
      <c r="K27" s="399" t="str">
        <f>'PAI 2022 - V3'!J29</f>
        <v>Cumplimiento del Plan Institucional de Gestión Ambiental - PIGA</v>
      </c>
      <c r="L27" s="399" t="str">
        <f>'PAI 2022 - V3'!K29</f>
        <v>2 Eficiencia: Uso de los recursos.</v>
      </c>
      <c r="M27" s="399" t="str">
        <f>'PAI 2022 - V3'!L29</f>
        <v>Se espera llevar el seguimiento de la implementación de las acciones establecidas en el Plan de Acción PIGA para cada vigencia en coherencia con la concertación para el periodo 2021-2024</v>
      </c>
      <c r="N27" s="401" t="str">
        <f>'PAI 2022 - V3'!M29</f>
        <v>Número de actividades ejecutadas del Plan Institucional de Gestión Ambiental - PIGA</v>
      </c>
      <c r="O27" s="401" t="str">
        <f>'PAI 2022 - V3'!N29</f>
        <v>Número de actividades programadas del Plan Institucional de Gestión Ambiental - PIGA</v>
      </c>
      <c r="P27" s="401" t="str">
        <f>'PAI 2022 - V3'!O29</f>
        <v>Porcentaje (%)</v>
      </c>
      <c r="Q27" s="401" t="str">
        <f>'PAI 2022 - V3'!P29</f>
        <v>1 Creciente: El resultado tiende a crecer en el tiempo</v>
      </c>
      <c r="R27" s="20">
        <f>'PAI 2022 - V3'!Q29</f>
        <v>0.91</v>
      </c>
      <c r="S27" s="20">
        <f>'PAI 2022 - V3'!R29</f>
        <v>0.9</v>
      </c>
      <c r="T27" s="399" t="str">
        <f>'PAI 2022 - V3'!S29</f>
        <v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v>
      </c>
      <c r="U27" s="401" t="str">
        <f>'PAI 2022 - V3'!T29</f>
        <v>&lt;30%</v>
      </c>
      <c r="V27" s="401" t="str">
        <f>'PAI 2022 - V3'!U29</f>
        <v>31% - 70%</v>
      </c>
      <c r="W27" s="401" t="str">
        <f>'PAI 2022 - V3'!V29</f>
        <v>71% - 89%</v>
      </c>
      <c r="X27" s="401" t="str">
        <f>'PAI 2022 - V3'!W29</f>
        <v>&gt;90%</v>
      </c>
      <c r="Y27" s="399" t="str">
        <f>'PAI 2022 - V3'!X29</f>
        <v>Formulación del Plan de Acción anual PIGA (10%)
Ejecución de las actividades programadas (80%)
Seguimiento semestral del Plan de Acción para informes ante la SDA. (10%)</v>
      </c>
      <c r="Z27" s="401" t="str">
        <f>'PAI 2022 - V3'!Y29</f>
        <v>3 Trimestral</v>
      </c>
      <c r="AA27" s="399" t="str">
        <f>'PAI 2022 - V3'!Z29</f>
        <v xml:space="preserve">No aplica </v>
      </c>
      <c r="AB27" s="401" t="str">
        <f>'PAI 2022 - V3'!AA29</f>
        <v>Subdirección Administrativa</v>
      </c>
      <c r="AC27" s="449" t="str">
        <f>'PAI 2022 - V3'!AB29</f>
        <v xml:space="preserve">Profesional de apoyo de planeación - referente ambiental </v>
      </c>
      <c r="AD27" s="564" t="str">
        <f t="shared" si="1"/>
        <v>5.5.7</v>
      </c>
      <c r="AE27" s="645">
        <f>8/8</f>
        <v>1</v>
      </c>
      <c r="AF27" s="645"/>
      <c r="AG27" s="645"/>
      <c r="AH27" s="645">
        <f>22.3/23</f>
        <v>0.96956521739130441</v>
      </c>
      <c r="AI27" s="645"/>
      <c r="AJ27" s="645"/>
      <c r="AK27" s="645"/>
      <c r="AL27" s="645"/>
      <c r="AM27" s="645"/>
      <c r="AN27" s="645"/>
      <c r="AO27" s="645"/>
      <c r="AP27" s="645"/>
      <c r="AQ27" s="535" t="s">
        <v>1161</v>
      </c>
      <c r="AR27" s="565" t="s">
        <v>26</v>
      </c>
    </row>
    <row r="28" spans="1:44" ht="81.75" customHeight="1" x14ac:dyDescent="0.2">
      <c r="A28" s="10" t="str">
        <f t="shared" si="0"/>
        <v>5.6.8</v>
      </c>
      <c r="B28" s="403" t="str">
        <f>'PAI 2022 - V3'!A30</f>
        <v>11. Ciudades y comunidades sostenibles.
17. Alianzas para lograr los objetivos.</v>
      </c>
      <c r="C28" s="399" t="str">
        <f>'PAI 2022 - V3'!B30</f>
        <v>Propósito 5
Logro de ciudad: 27 - 30</v>
      </c>
      <c r="D28" s="399" t="str">
        <f>'PAI 2022 - V3'!C30</f>
        <v>Gestión documental y archivo.
Seguimiento y evaluación del desempeño institucional.</v>
      </c>
      <c r="E28" s="401" t="str">
        <f>'PAI 2022 - V3'!D30</f>
        <v>OE_5</v>
      </c>
      <c r="F28" s="399" t="str">
        <f>'PAI 2022 - V3'!E30</f>
        <v xml:space="preserve">5. Fortalecer la capacidad organizacional de Capital para ser una empresa transparente, eficiente y sostenible. </v>
      </c>
      <c r="G28" s="399" t="str">
        <f>'PAI 2022 - V3'!F30</f>
        <v>6. Articular los procesos y flujos de trabajo a la estructura de Capital.</v>
      </c>
      <c r="H28" s="401" t="str">
        <f>'PAI 2022 - V3'!G30</f>
        <v>5.6.8</v>
      </c>
      <c r="I28" s="401" t="str">
        <f>'PAI 2022 - V3'!H30</f>
        <v>Plan Institucional de Archivos - PINAR (Anexo 5)</v>
      </c>
      <c r="J28" s="399" t="str">
        <f>'PAI 2022 - V3'!I30</f>
        <v>Ejecutar los planes y proyectos definidos en el Plan Institucional de Archivos PINAR de Canal Capital</v>
      </c>
      <c r="K28" s="399" t="str">
        <f>'PAI 2022 - V3'!J30</f>
        <v>Cumplimiento de lo establecido en el Plan Institucional de Archivos PINAR para la vigencia 2022</v>
      </c>
      <c r="L28" s="399" t="str">
        <f>'PAI 2022 - V3'!K30</f>
        <v>1 Eficacia: Cumplimiento de metas</v>
      </c>
      <c r="M28" s="399" t="str">
        <f>'PAI 2022 - V3'!L30</f>
        <v>En relación a lo definido en el PINAR se presente ejecutar las actividades en cumplimiento de los cronogramas establecidos.</v>
      </c>
      <c r="N28" s="401" t="str">
        <f>'PAI 2022 - V3'!M30</f>
        <v>Número de actividades ejecutadas del Plan Institucional de Archivos PINAR</v>
      </c>
      <c r="O28" s="401" t="str">
        <f>'PAI 2022 - V3'!N30</f>
        <v>Número de actividades programadas del Plan Institucional de Archivos PINAR</v>
      </c>
      <c r="P28" s="401" t="str">
        <f>'PAI 2022 - V3'!O30</f>
        <v>Porcentaje (%).</v>
      </c>
      <c r="Q28" s="401" t="str">
        <f>'PAI 2022 - V3'!P30</f>
        <v>1 Creciente: El resultado tiende a crecer en el tiempo</v>
      </c>
      <c r="R28" s="20">
        <f>'PAI 2022 - V3'!Q30</f>
        <v>0.2</v>
      </c>
      <c r="S28" s="20">
        <f>'PAI 2022 - V3'!R30</f>
        <v>0.9</v>
      </c>
      <c r="T28" s="399" t="str">
        <f>'PAI 2022 - V3'!S30</f>
        <v>Se pretende dar cumplimiento como mínimo al 90% de las actividades establecidas en el Plan Institucional de Archivos PINAR para la vigencia 2022</v>
      </c>
      <c r="U28" s="401" t="str">
        <f>'PAI 2022 - V3'!T30</f>
        <v>&lt;30%</v>
      </c>
      <c r="V28" s="401" t="str">
        <f>'PAI 2022 - V3'!U30</f>
        <v>31% - 70%</v>
      </c>
      <c r="W28" s="401" t="str">
        <f>'PAI 2022 - V3'!V30</f>
        <v>71% - 89%</v>
      </c>
      <c r="X28" s="401" t="str">
        <f>'PAI 2022 - V3'!W30</f>
        <v>&gt;90%</v>
      </c>
      <c r="Y28" s="399" t="str">
        <f>'PAI 2022 - V3'!X30</f>
        <v>1. Actualización Tabla de Retención Documental. (35%)
2. Implementación y ejecución del SGDEA. (35%)
3. Seguimiento al cumplimiento de los planes proyectados.(30%)</v>
      </c>
      <c r="Z28" s="401" t="str">
        <f>'PAI 2022 - V3'!Y30</f>
        <v>3 Trimestral</v>
      </c>
      <c r="AA28" s="399" t="str">
        <f>'PAI 2022 - V3'!Z30</f>
        <v xml:space="preserve">No aplica </v>
      </c>
      <c r="AB28" s="401" t="str">
        <f>'PAI 2022 - V3'!AA30</f>
        <v>Subdirección Administrativa</v>
      </c>
      <c r="AC28" s="449" t="str">
        <f>'PAI 2022 - V3'!AB30</f>
        <v xml:space="preserve">Profesional de Gestión Documental </v>
      </c>
      <c r="AD28" s="564" t="str">
        <f t="shared" si="1"/>
        <v>5.6.8</v>
      </c>
      <c r="AE28" s="645">
        <f>15/15</f>
        <v>1</v>
      </c>
      <c r="AF28" s="645"/>
      <c r="AG28" s="645"/>
      <c r="AH28" s="645">
        <f>20/25</f>
        <v>0.8</v>
      </c>
      <c r="AI28" s="645"/>
      <c r="AJ28" s="645"/>
      <c r="AK28" s="645"/>
      <c r="AL28" s="645"/>
      <c r="AM28" s="645"/>
      <c r="AN28" s="645"/>
      <c r="AO28" s="645"/>
      <c r="AP28" s="645"/>
      <c r="AQ28" s="535" t="s">
        <v>1162</v>
      </c>
      <c r="AR28" s="565" t="s">
        <v>25</v>
      </c>
    </row>
    <row r="29" spans="1:44" ht="87" customHeight="1" x14ac:dyDescent="0.2">
      <c r="A29" s="10" t="str">
        <f t="shared" si="0"/>
        <v>5.5.9</v>
      </c>
      <c r="B29" s="403" t="str">
        <f>'PAI 2022 - V3'!A31</f>
        <v>11. Ciudades y comunidades sostenibles.
17. Alianzas para lograr los objetivos.</v>
      </c>
      <c r="C29" s="399" t="str">
        <f>'PAI 2022 - V3'!B31</f>
        <v>Propósito 5
Logro de ciudad: 29 - 30</v>
      </c>
      <c r="D29" s="399" t="str">
        <f>'PAI 2022 - V3'!C31</f>
        <v>Gestión presupuestal y eficiencia del gasto público.
Seguimiento y evaluación del desempeño institucional.</v>
      </c>
      <c r="E29" s="401" t="str">
        <f>'PAI 2022 - V3'!D31</f>
        <v>OE_5</v>
      </c>
      <c r="F29" s="399" t="str">
        <f>'PAI 2022 - V3'!E31</f>
        <v xml:space="preserve">5. Fortalecer la capacidad organizacional de Capital para ser una empresa transparente, eficiente y sostenible. </v>
      </c>
      <c r="G29" s="399" t="str">
        <f>'PAI 2022 - V3'!F31</f>
        <v>5. Realizar el diagnóstico, diseño e implementación de una estructura administrativa acorde a las necesidades de capital.</v>
      </c>
      <c r="H29" s="401" t="str">
        <f>'PAI 2022 - V3'!G31</f>
        <v>5.5.9</v>
      </c>
      <c r="I29" s="560" t="str">
        <f>'PAI 2022 - V3'!H31</f>
        <v>Plan de Fortalecimiento a la gestión administrativa y operativa de Servicios Administrativos</v>
      </c>
      <c r="J29" s="399" t="str">
        <f>'PAI 2022 - V3'!I31</f>
        <v>Garantizar condiciones adecuadas en la infraestructura física de Canal Capital en sus dos sedes.</v>
      </c>
      <c r="K29" s="399" t="str">
        <f>'PAI 2022 - V3'!J31</f>
        <v>Cumplimiento en los mantenimientos, adecuaciones o reparaciones locativas en la vigencia 2022</v>
      </c>
      <c r="L29" s="399" t="str">
        <f>'PAI 2022 - V3'!K31</f>
        <v>1 Eficacia: Cumplimiento de metas</v>
      </c>
      <c r="M29" s="399" t="str">
        <f>'PAI 2022 - V3'!L31</f>
        <v>Se espera medir el avance en el cumplimiento de las actividades programadas para garantizar y mantener en condiciones adecuadas la infraestructura física de la entidad.</v>
      </c>
      <c r="N29" s="401" t="str">
        <f>'PAI 2022 - V3'!M31</f>
        <v>Número de adecuaciones, mantenimientos o reparaciones ejecutadas</v>
      </c>
      <c r="O29" s="401" t="str">
        <f>'PAI 2022 - V3'!N31</f>
        <v>Número de adecuaciones, mantenimientos o reparaciones programadas</v>
      </c>
      <c r="P29" s="401" t="str">
        <f>'PAI 2022 - V3'!O31</f>
        <v>Porcentaje (%)</v>
      </c>
      <c r="Q29" s="401" t="str">
        <f>'PAI 2022 - V3'!P31</f>
        <v>1 Creciente: El resultado tiende a crecer en el tiempo</v>
      </c>
      <c r="R29" s="20">
        <f>'PAI 2022 - V3'!Q31</f>
        <v>1.1000000000000001</v>
      </c>
      <c r="S29" s="20">
        <f>'PAI 2022 - V3'!R31</f>
        <v>1</v>
      </c>
      <c r="T29" s="399" t="str">
        <f>'PAI 2022 - V3'!S31</f>
        <v>Se pretende mantener en adecuadas condiciones de infraestructura física ambas sedes del canal asegurando espacios idóneos para el normal funcionamiento de la entidad.</v>
      </c>
      <c r="U29" s="401" t="str">
        <f>'PAI 2022 - V3'!T31</f>
        <v>&lt;30%</v>
      </c>
      <c r="V29" s="401" t="str">
        <f>'PAI 2022 - V3'!U31</f>
        <v>31% - 70%</v>
      </c>
      <c r="W29" s="401" t="str">
        <f>'PAI 2022 - V3'!V31</f>
        <v>71% - 99%</v>
      </c>
      <c r="X29" s="15">
        <f>'PAI 2022 - V3'!W31</f>
        <v>1</v>
      </c>
      <c r="Y29" s="399" t="str">
        <f>'PAI 2022 - V3'!X31</f>
        <v>1. Compra e instalación de una cocina integral para el inmueble (50%)
2. Mantenimientos, adecuaciones y/o reparaciones correctivas tanto a la sede calle 26 como al inmueble. (10%)
3. Mantenimientos locativos preventivos tanto a la sede calle 26 como al inmueble (40%)</v>
      </c>
      <c r="Z29" s="401" t="str">
        <f>'PAI 2022 - V3'!Y31</f>
        <v>3 Trimestral</v>
      </c>
      <c r="AA29" s="399" t="str">
        <f>'PAI 2022 - V3'!Z31</f>
        <v>Para ejecutar de manera adecuada las actividades descritas, dependerá de los recursos que se destinen para tal fin y de contar con el personal idóneo para realizarlas.</v>
      </c>
      <c r="AB29" s="401" t="str">
        <f>'PAI 2022 - V3'!AA31</f>
        <v>Subdirección Administrativa</v>
      </c>
      <c r="AC29" s="449" t="str">
        <f>'PAI 2022 - V3'!AB31</f>
        <v>Técnico de Servicios Administrativos</v>
      </c>
      <c r="AD29" s="564" t="str">
        <f t="shared" si="1"/>
        <v>5.5.9</v>
      </c>
      <c r="AE29" s="645">
        <f>3/3</f>
        <v>1</v>
      </c>
      <c r="AF29" s="645"/>
      <c r="AG29" s="645"/>
      <c r="AH29" s="645">
        <f>6/6</f>
        <v>1</v>
      </c>
      <c r="AI29" s="645"/>
      <c r="AJ29" s="645"/>
      <c r="AK29" s="645"/>
      <c r="AL29" s="645"/>
      <c r="AM29" s="645"/>
      <c r="AN29" s="645"/>
      <c r="AO29" s="645"/>
      <c r="AP29" s="645"/>
      <c r="AQ29" s="535" t="s">
        <v>1163</v>
      </c>
      <c r="AR29" s="565" t="s">
        <v>26</v>
      </c>
    </row>
    <row r="30" spans="1:44" ht="99" customHeight="1" x14ac:dyDescent="0.2">
      <c r="A30" s="10" t="str">
        <f t="shared" si="0"/>
        <v>5.5.10</v>
      </c>
      <c r="B30" s="403" t="str">
        <f>'PAI 2022 - V3'!A32</f>
        <v>11. Ciudades y comunidades sostenibles.
17. Alianzas para lograr los objetivos.</v>
      </c>
      <c r="C30" s="399" t="str">
        <f>'PAI 2022 - V3'!B32</f>
        <v>Propósito 5
Logro de ciudad: 29 - 30</v>
      </c>
      <c r="D30" s="399" t="str">
        <f>'PAI 2022 - V3'!C32</f>
        <v>Gestión presupuestal y eficiencia del gasto público.
Seguimiento y evaluación del desempeño institucional.</v>
      </c>
      <c r="E30" s="401" t="str">
        <f>'PAI 2022 - V3'!D32</f>
        <v>OE_5</v>
      </c>
      <c r="F30" s="399" t="str">
        <f>'PAI 2022 - V3'!E32</f>
        <v xml:space="preserve">5. Fortalecer la capacidad organizacional de Capital para ser una empresa transparente, eficiente y sostenible. </v>
      </c>
      <c r="G30" s="399" t="str">
        <f>'PAI 2022 - V3'!F32</f>
        <v>5. Realizar el diagnóstico, diseño e implementación de una estructura administrativa acorde a las necesidades de capital.</v>
      </c>
      <c r="H30" s="401" t="str">
        <f>'PAI 2022 - V3'!G32</f>
        <v>5.5.10</v>
      </c>
      <c r="I30" s="560" t="str">
        <f>'PAI 2022 - V3'!H31</f>
        <v>Plan de Fortalecimiento a la gestión administrativa y operativa de Servicios Administrativos</v>
      </c>
      <c r="J30" s="399" t="str">
        <f>'PAI 2022 - V3'!I32</f>
        <v>Salvaguardar el patrimonio de bienes muebles de Canal Capital evitando detrimentos patrimoniales a la entidad</v>
      </c>
      <c r="K30" s="399" t="str">
        <f>'PAI 2022 - V3'!J32</f>
        <v>Cumplimiento de los cronogramas de Tomas Físicas de Inventarios en la vigencia 2022</v>
      </c>
      <c r="L30" s="399" t="str">
        <f>'PAI 2022 - V3'!K32</f>
        <v>1 Eficacia: Cumplimiento de metas</v>
      </c>
      <c r="M30" s="399" t="str">
        <f>'PAI 2022 - V3'!L32</f>
        <v>Se espera medir el avance en el cumplimiento de las actividades programadas para salvaguardar el patrimonio de bienes muebles de la entidad</v>
      </c>
      <c r="N30" s="401" t="str">
        <f>'PAI 2022 - V3'!M32</f>
        <v xml:space="preserve">Número de tomas físicas ejecutadas </v>
      </c>
      <c r="O30" s="401" t="str">
        <f>'PAI 2022 - V3'!N32</f>
        <v>Número de áreas programadas para tomas físicas</v>
      </c>
      <c r="P30" s="401" t="str">
        <f>'PAI 2022 - V3'!O32</f>
        <v>Porcentaje (%)</v>
      </c>
      <c r="Q30" s="401" t="str">
        <f>'PAI 2022 - V3'!P32</f>
        <v>1 Creciente: El resultado tiende a crecer en el tiempo</v>
      </c>
      <c r="R30" s="15">
        <f>'PAI 2022 - V3'!Q32</f>
        <v>1</v>
      </c>
      <c r="S30" s="20">
        <f>'PAI 2022 - V3'!R32</f>
        <v>1</v>
      </c>
      <c r="T30" s="399" t="str">
        <f>'PAI 2022 - V3'!S32</f>
        <v>Se pretende cuidar y proteger el patrimonio de la entidad realizando revisiones física periódicas.</v>
      </c>
      <c r="U30" s="401" t="str">
        <f>'PAI 2022 - V3'!T32</f>
        <v>&lt;30%</v>
      </c>
      <c r="V30" s="401" t="str">
        <f>'PAI 2022 - V3'!U32</f>
        <v>31% - 70%</v>
      </c>
      <c r="W30" s="401" t="str">
        <f>'PAI 2022 - V3'!V32</f>
        <v>71% - 99%</v>
      </c>
      <c r="X30" s="15">
        <f>'PAI 2022 - V3'!W32</f>
        <v>1</v>
      </c>
      <c r="Y30" s="399" t="str">
        <f>'PAI 2022 - V3'!X32</f>
        <v>1. Realizar una toma física de inventarios a los elementos catalogados como Consumo Controlado de Canal Capital (20%)
2. Realizar una toma física aleatoria a los bienes catalogados como Propiedad, Planta y Equipo de Canal Capital. (20%)
3. Realizar una toma física completa a los bienes catalogados como Propiedad, Planta y Equipo de Canal Capital (60%)</v>
      </c>
      <c r="Z30" s="401" t="str">
        <f>'PAI 2022 - V3'!Y32</f>
        <v>3 Trimestral</v>
      </c>
      <c r="AA30" s="399" t="str">
        <f>'PAI 2022 - V3'!Z32</f>
        <v xml:space="preserve">No aplica </v>
      </c>
      <c r="AB30" s="401" t="str">
        <f>'PAI 2022 - V3'!AA32</f>
        <v>Subdirección Administrativa</v>
      </c>
      <c r="AC30" s="449" t="str">
        <f>'PAI 2022 - V3'!AB32</f>
        <v>Técnico de Servicios Administrativos</v>
      </c>
      <c r="AD30" s="564" t="str">
        <f t="shared" si="1"/>
        <v>5.5.10</v>
      </c>
      <c r="AE30" s="645">
        <f>1/1</f>
        <v>1</v>
      </c>
      <c r="AF30" s="645"/>
      <c r="AG30" s="645"/>
      <c r="AH30" s="645">
        <f>1/1</f>
        <v>1</v>
      </c>
      <c r="AI30" s="645"/>
      <c r="AJ30" s="645"/>
      <c r="AK30" s="645"/>
      <c r="AL30" s="645"/>
      <c r="AM30" s="645"/>
      <c r="AN30" s="645"/>
      <c r="AO30" s="645"/>
      <c r="AP30" s="645"/>
      <c r="AQ30" s="535" t="s">
        <v>1164</v>
      </c>
      <c r="AR30" s="565" t="s">
        <v>26</v>
      </c>
    </row>
    <row r="31" spans="1:44" ht="110.25" customHeight="1" x14ac:dyDescent="0.2">
      <c r="A31" s="10" t="str">
        <f t="shared" si="0"/>
        <v>5.6.11</v>
      </c>
      <c r="B31" s="403" t="str">
        <f>'PAI 2022 - V3'!A33</f>
        <v>3. Salud y bienestar.
16. Paz, justicia e instituciones sólidas.</v>
      </c>
      <c r="C31" s="399" t="str">
        <f>'PAI 2022 - V3'!B33</f>
        <v>Propósito 1
Logro de ciudad: 3 - 5
Propósito 5
Logro de ciudad: 30</v>
      </c>
      <c r="D31" s="399" t="str">
        <f>'PAI 2022 - V3'!C33</f>
        <v>Gestión estratégica del talento humano.
Integridad
Gestión del conocimiento y la innovación.</v>
      </c>
      <c r="E31" s="401" t="str">
        <f>'PAI 2022 - V3'!D33</f>
        <v>OE_5</v>
      </c>
      <c r="F31" s="399" t="str">
        <f>'PAI 2022 - V3'!E33</f>
        <v xml:space="preserve">5. Fortalecer la capacidad organizacional de Capital para ser una empresa transparente, eficiente y sostenible. </v>
      </c>
      <c r="G31" s="399" t="str">
        <f>'PAI 2022 - V3'!F33</f>
        <v>6. Articular los procesos y flujos de trabajo a la estructura de Capital.</v>
      </c>
      <c r="H31" s="401" t="str">
        <f>'PAI 2022 - V3'!G33</f>
        <v>5.6.11</v>
      </c>
      <c r="I31" s="401" t="str">
        <f>'PAI 2022 - V3'!H33</f>
        <v>Plan Institucional de Capacitación - PIC (Anexo 6)</v>
      </c>
      <c r="J31" s="399" t="str">
        <f>'PAI 2022 - V3'!I33</f>
        <v>Fomentar espacios de difusión del conocimiento interno, encaminados a fortalecer las competencias individuales y colectivas de los colaboradores, generando mejores prácticas de gestión.</v>
      </c>
      <c r="K31" s="399" t="str">
        <f>'PAI 2022 - V3'!J33</f>
        <v>Porcentaje de avance en la implementación del plan institucional de capacitación</v>
      </c>
      <c r="L31" s="399" t="str">
        <f>'PAI 2022 - V3'!K33</f>
        <v>1 Eficacia: Cumplimiento de metas</v>
      </c>
      <c r="M31" s="399" t="str">
        <f>'PAI 2022 - V3'!L33</f>
        <v>Realizar el seguimiento al cumplimiento de las acciones definidas en el Plan Institucional de Capacitación de la vigencia 2022.</v>
      </c>
      <c r="N31" s="401" t="str">
        <f>'PAI 2022 - V3'!M33</f>
        <v>Porcentaje de avances en las acciones programadas del Plan Institucional de Capacitación</v>
      </c>
      <c r="O31" s="401" t="str">
        <f>'PAI 2022 - V3'!N33</f>
        <v>Porcentaje programado de acciones del Plan Institucional de Capacitación para la vigencia</v>
      </c>
      <c r="P31" s="401" t="str">
        <f>'PAI 2022 - V3'!O33</f>
        <v>Porcentaje (%)</v>
      </c>
      <c r="Q31" s="401" t="str">
        <f>'PAI 2022 - V3'!P33</f>
        <v>1 Creciente: El resultado tiende a crecer en el tiempo</v>
      </c>
      <c r="R31" s="20">
        <f>'PAI 2022 - V3'!Q33</f>
        <v>1</v>
      </c>
      <c r="S31" s="20">
        <f>'PAI 2022 - V3'!R33</f>
        <v>1</v>
      </c>
      <c r="T31" s="399" t="str">
        <f>'PAI 2022 - V3'!S33</f>
        <v>Se pretende dar cumplimiento al 100% de las actividades establecidas en el plan de capacitación PIC para la vigencia 2022 atendiendo las necesidades de los diferentes grupos de trabajo de la entidad, las ofertas institucionales y el cumplimiento normativo cuando se requiera.</v>
      </c>
      <c r="U31" s="401" t="str">
        <f>'PAI 2022 - V3'!T33</f>
        <v>&lt;30%</v>
      </c>
      <c r="V31" s="401" t="str">
        <f>'PAI 2022 - V3'!U33</f>
        <v>31% - 70%</v>
      </c>
      <c r="W31" s="401" t="str">
        <f>'PAI 2022 - V3'!V33</f>
        <v>71% - 99%</v>
      </c>
      <c r="X31" s="15">
        <f>'PAI 2022 - V3'!W33</f>
        <v>1</v>
      </c>
      <c r="Y31" s="399" t="str">
        <f>'PAI 2022 - V3'!X33</f>
        <v>1.Identificación de necesidades de capacitación (20%)
2.Formulación del Plan de capacitación (10%)
3.Ejecución de las actividades programadas (50%)
4.Seguimiento al plan de capacitación. (20%)</v>
      </c>
      <c r="Z31" s="401" t="str">
        <f>'PAI 2022 - V3'!Y33</f>
        <v>3 Trimestral</v>
      </c>
      <c r="AA31" s="399" t="str">
        <f>'PAI 2022 - V3'!Z33</f>
        <v>No aplica</v>
      </c>
      <c r="AB31" s="401" t="str">
        <f>'PAI 2022 - V3'!AA33</f>
        <v>Subdirección Administrativa</v>
      </c>
      <c r="AC31" s="449" t="str">
        <f>'PAI 2022 - V3'!AB33</f>
        <v>Profesional de Recursos Humanos</v>
      </c>
      <c r="AD31" s="564" t="str">
        <f t="shared" si="1"/>
        <v>5.6.11</v>
      </c>
      <c r="AE31" s="645">
        <f>100/100</f>
        <v>1</v>
      </c>
      <c r="AF31" s="645"/>
      <c r="AG31" s="645"/>
      <c r="AH31" s="645">
        <f>100/100</f>
        <v>1</v>
      </c>
      <c r="AI31" s="645"/>
      <c r="AJ31" s="645"/>
      <c r="AK31" s="645"/>
      <c r="AL31" s="645"/>
      <c r="AM31" s="645"/>
      <c r="AN31" s="645"/>
      <c r="AO31" s="645"/>
      <c r="AP31" s="645"/>
      <c r="AQ31" s="535" t="s">
        <v>1165</v>
      </c>
      <c r="AR31" s="565" t="s">
        <v>26</v>
      </c>
    </row>
    <row r="32" spans="1:44" ht="98.25" customHeight="1" x14ac:dyDescent="0.2">
      <c r="A32" s="10" t="str">
        <f t="shared" si="0"/>
        <v>5.6.12</v>
      </c>
      <c r="B32" s="403" t="str">
        <f>'PAI 2022 - V3'!A34</f>
        <v>3. Salud y bienestar.
8. Trabajo decente y crecimiento económico.
11. Ciudades y comunidades sostenibles.
16. Paz, justicia e instituciones sólidas.</v>
      </c>
      <c r="C32" s="399" t="str">
        <f>'PAI 2022 - V3'!B34</f>
        <v>Propósito 1
Logro de ciudad: 3
Propósito 5
Logro de ciudad: 30</v>
      </c>
      <c r="D32" s="399" t="str">
        <f>'PAI 2022 - V3'!C34</f>
        <v>Gestión estratégica del talento humano.
Integridad</v>
      </c>
      <c r="E32" s="401" t="str">
        <f>'PAI 2022 - V3'!D34</f>
        <v>OE_5</v>
      </c>
      <c r="F32" s="399" t="str">
        <f>'PAI 2022 - V3'!E34</f>
        <v xml:space="preserve">5. Fortalecer la capacidad organizacional de Capital para ser una empresa transparente, eficiente y sostenible. </v>
      </c>
      <c r="G32" s="399" t="str">
        <f>'PAI 2022 - V3'!F34</f>
        <v>6. Articular los procesos y flujos de trabajo a la estructura de Capital.</v>
      </c>
      <c r="H32" s="401" t="str">
        <f>'PAI 2022 - V3'!G34</f>
        <v>5.6.12</v>
      </c>
      <c r="I32" s="401" t="str">
        <f>'PAI 2022 - V3'!H34</f>
        <v>Plan estratégico de Recursos Humanos - PERH (Anexo 7)</v>
      </c>
      <c r="J32" s="399" t="str">
        <f>'PAI 2022 - V3'!I34</f>
        <v>Contribuir al Mejoramiento de la Calidad de vida de los colaboradores de la Entidad, formulando y desarrollando programas que fomenten un ambiente de trabajo positivo generando así articulación y cumplimiento de los diferentes procesos internos.</v>
      </c>
      <c r="K32" s="399" t="str">
        <f>'PAI 2022 - V3'!J34</f>
        <v>Promedio de implementación de resultados del Plan estratégico de Recursos Humanos para las vigencias de medición.</v>
      </c>
      <c r="L32" s="399" t="str">
        <f>'PAI 2022 - V3'!K34</f>
        <v>2 Eficiencia: Uso de los recursos.</v>
      </c>
      <c r="M32" s="399" t="str">
        <f>'PAI 2022 - V3'!L34</f>
        <v>Realizar seguimiento al cumplimiento de las acciones definidas en el Plan Estratégico de Recursos Humanos de la vigencia 2022.</v>
      </c>
      <c r="N32" s="401" t="str">
        <f>'PAI 2022 - V3'!M34</f>
        <v>Porcentaje de avances en las acciones programadas en el Plan Estratégico de Recursos Humanos</v>
      </c>
      <c r="O32" s="401" t="str">
        <f>'PAI 2022 - V3'!N34</f>
        <v>Porcentaje programado de acciones del Plan Estratégico de Recursos Humanos para la vigencia</v>
      </c>
      <c r="P32" s="401" t="str">
        <f>'PAI 2022 - V3'!O34</f>
        <v>Porcentaje (%)</v>
      </c>
      <c r="Q32" s="401" t="str">
        <f>'PAI 2022 - V3'!P34</f>
        <v>1 Creciente: El resultado tiende a crecer en el tiempo</v>
      </c>
      <c r="R32" s="20">
        <f>'PAI 2022 - V3'!Q34</f>
        <v>1</v>
      </c>
      <c r="S32" s="20">
        <f>'PAI 2022 - V3'!R34</f>
        <v>0.9</v>
      </c>
      <c r="T32" s="399" t="str">
        <f>'PAI 2022 - V3'!S34</f>
        <v xml:space="preserve">
Se pretende dar cumplimiento como mínimo del 90% de las actividades establecidas en el plan estratégico de recursos humanos para la vigencia 2022 partiendo de los avances realizados en las vigencias anteriores y la consecución de los objetivos establecidos </v>
      </c>
      <c r="U32" s="401" t="str">
        <f>'PAI 2022 - V3'!T34</f>
        <v>&lt;30%</v>
      </c>
      <c r="V32" s="401" t="str">
        <f>'PAI 2022 - V3'!U34</f>
        <v>31% - 70%</v>
      </c>
      <c r="W32" s="401" t="str">
        <f>'PAI 2022 - V3'!V34</f>
        <v>71% - 89%</v>
      </c>
      <c r="X32" s="401" t="str">
        <f>'PAI 2022 - V3'!W34</f>
        <v>&gt;89%</v>
      </c>
      <c r="Y32" s="399" t="str">
        <f>'PAI 2022 - V3'!X34</f>
        <v>1.Analisis de los resultados obtenidos vigencias anteriores(30%)
3.Ejecución de las actividades programadas (50%)
4.Seguimiento al plan de integridad. (20%)</v>
      </c>
      <c r="Z32" s="401" t="str">
        <f>'PAI 2022 - V3'!Y34</f>
        <v>3 Trimestral</v>
      </c>
      <c r="AA32" s="399" t="str">
        <f>'PAI 2022 - V3'!Z34</f>
        <v>No aplica</v>
      </c>
      <c r="AB32" s="401" t="str">
        <f>'PAI 2022 - V3'!AA34</f>
        <v>Subdirección Administrativa</v>
      </c>
      <c r="AC32" s="449" t="str">
        <f>'PAI 2022 - V3'!AB34</f>
        <v>Profesional de Recursos Humanos</v>
      </c>
      <c r="AD32" s="564" t="str">
        <f t="shared" si="1"/>
        <v>5.6.12</v>
      </c>
      <c r="AE32" s="645">
        <f>50/100</f>
        <v>0.5</v>
      </c>
      <c r="AF32" s="645"/>
      <c r="AG32" s="645"/>
      <c r="AH32" s="645">
        <f>70/100</f>
        <v>0.7</v>
      </c>
      <c r="AI32" s="645"/>
      <c r="AJ32" s="645"/>
      <c r="AK32" s="645"/>
      <c r="AL32" s="645"/>
      <c r="AM32" s="645"/>
      <c r="AN32" s="645"/>
      <c r="AO32" s="645"/>
      <c r="AP32" s="645"/>
      <c r="AQ32" s="535" t="s">
        <v>1166</v>
      </c>
      <c r="AR32" s="565" t="s">
        <v>26</v>
      </c>
    </row>
    <row r="33" spans="1:44" ht="96" customHeight="1" x14ac:dyDescent="0.2">
      <c r="A33" s="10" t="str">
        <f t="shared" si="0"/>
        <v>5.6.13</v>
      </c>
      <c r="B33" s="403" t="str">
        <f>'PAI 2022 - V3'!A35</f>
        <v>3. Salud y bienestar.
8. Trabajo decente y crecimiento económico.
11. Ciudades y comunidades sostenibles.
16. Paz, justicia e instituciones sólidas.</v>
      </c>
      <c r="C33" s="399" t="str">
        <f>'PAI 2022 - V3'!B35</f>
        <v>Propósito 1
Logro de ciudad: 3
Propósito 5
Logro de ciudad: 30</v>
      </c>
      <c r="D33" s="399" t="str">
        <f>'PAI 2022 - V3'!C35</f>
        <v>Gestión estratégica del talento humano.
Integridad</v>
      </c>
      <c r="E33" s="401" t="str">
        <f>'PAI 2022 - V3'!D35</f>
        <v>OE_5</v>
      </c>
      <c r="F33" s="399" t="str">
        <f>'PAI 2022 - V3'!E35</f>
        <v xml:space="preserve">5. Fortalecer la capacidad organizacional de Capital para ser una empresa transparente, eficiente y sostenible. </v>
      </c>
      <c r="G33" s="399" t="str">
        <f>'PAI 2022 - V3'!F35</f>
        <v>6. Articular los procesos y flujos de trabajo a la estructura de Capital.</v>
      </c>
      <c r="H33" s="401" t="str">
        <f>'PAI 2022 - V3'!G35</f>
        <v>5.6.13</v>
      </c>
      <c r="I33" s="401" t="str">
        <f>'PAI 2022 - V3'!H35</f>
        <v>Plan de bienestar e incentivos - PBI (Anexo 8)</v>
      </c>
      <c r="J33" s="399" t="str">
        <f>'PAI 2022 - V3'!I35</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v>
      </c>
      <c r="K33" s="399" t="str">
        <f>'PAI 2022 - V3'!J35</f>
        <v>Cumplimiento del Plan de Bienestar e Incentivos</v>
      </c>
      <c r="L33" s="399" t="str">
        <f>'PAI 2022 - V3'!K35</f>
        <v>1 Eficacia: Cumplimiento de metas</v>
      </c>
      <c r="M33" s="399" t="str">
        <f>'PAI 2022 - V3'!L35</f>
        <v>Realizar el seguimiento al cumplimiento de las acciones definidas en el Plan de Bienestar e incentivos de la vigencia 2022.</v>
      </c>
      <c r="N33" s="401" t="str">
        <f>'PAI 2022 - V3'!M35</f>
        <v>Porcentaje de avances en las acciones programadas en el Plan de bienestar e inventivos</v>
      </c>
      <c r="O33" s="401" t="str">
        <f>'PAI 2022 - V3'!N35</f>
        <v>Porcentaje programado de acciones del Plan de Bienestar e incentivos para la vigencia</v>
      </c>
      <c r="P33" s="401" t="str">
        <f>'PAI 2022 - V3'!O35</f>
        <v>Porcentaje (%)</v>
      </c>
      <c r="Q33" s="401" t="str">
        <f>'PAI 2022 - V3'!P35</f>
        <v>1 Creciente: El resultado tiende a crecer en el tiempo</v>
      </c>
      <c r="R33" s="20">
        <f>'PAI 2022 - V3'!Q35</f>
        <v>1</v>
      </c>
      <c r="S33" s="20">
        <f>'PAI 2022 - V3'!R35</f>
        <v>0.9</v>
      </c>
      <c r="T33" s="399" t="str">
        <f>'PAI 2022 - V3'!S35</f>
        <v xml:space="preserve">Se pretende dar cumplimiento al 90% de las actividades establecidas en el plan de bienestar e incentivos vigencia 2022, identificando las actividades que generan mayor impacto sobre los colaboradores de la entidad y que la evolución de la emergencia sanitaria permita desarrollar.
</v>
      </c>
      <c r="U33" s="401" t="str">
        <f>'PAI 2022 - V3'!T35</f>
        <v>&lt;30%</v>
      </c>
      <c r="V33" s="401" t="str">
        <f>'PAI 2022 - V3'!U35</f>
        <v>31% - 70%</v>
      </c>
      <c r="W33" s="401" t="str">
        <f>'PAI 2022 - V3'!V35</f>
        <v>71% - 89%</v>
      </c>
      <c r="X33" s="401" t="str">
        <f>'PAI 2022 - V3'!W35</f>
        <v>&gt;90%</v>
      </c>
      <c r="Y33" s="399" t="str">
        <f>'PAI 2022 - V3'!X35</f>
        <v>1.Formulación del Plan de bienestar e incentivos (30%)
3.Ejecución de las actividades programadas (50%)
4.Seguimiento al plan de bienestar. (20%)</v>
      </c>
      <c r="Z33" s="401" t="str">
        <f>'PAI 2022 - V3'!Y35</f>
        <v>3 Trimestral</v>
      </c>
      <c r="AA33" s="399" t="str">
        <f>'PAI 2022 - V3'!Z35</f>
        <v>No aplica</v>
      </c>
      <c r="AB33" s="401" t="str">
        <f>'PAI 2022 - V3'!AA35</f>
        <v>Subdirección Administrativa</v>
      </c>
      <c r="AC33" s="449" t="str">
        <f>'PAI 2022 - V3'!AB35</f>
        <v>Profesional de Recursos Humanos</v>
      </c>
      <c r="AD33" s="564" t="str">
        <f t="shared" si="1"/>
        <v>5.6.13</v>
      </c>
      <c r="AE33" s="645">
        <f>100/100</f>
        <v>1</v>
      </c>
      <c r="AF33" s="645"/>
      <c r="AG33" s="645"/>
      <c r="AH33" s="645">
        <f>100/100</f>
        <v>1</v>
      </c>
      <c r="AI33" s="645"/>
      <c r="AJ33" s="645"/>
      <c r="AK33" s="645"/>
      <c r="AL33" s="645"/>
      <c r="AM33" s="645"/>
      <c r="AN33" s="645"/>
      <c r="AO33" s="645"/>
      <c r="AP33" s="645"/>
      <c r="AQ33" s="535" t="s">
        <v>1167</v>
      </c>
      <c r="AR33" s="565" t="s">
        <v>26</v>
      </c>
    </row>
    <row r="34" spans="1:44" ht="91.5" customHeight="1" x14ac:dyDescent="0.2">
      <c r="A34" s="10" t="str">
        <f t="shared" si="0"/>
        <v>5.6.14</v>
      </c>
      <c r="B34" s="403" t="str">
        <f>'PAI 2022 - V3'!A36</f>
        <v>3. Salud y bienestar.
8. Trabajo decente y crecimiento económico.
11. Ciudades y comunidades sostenibles.
16. Paz, justicia e instituciones sólidas.</v>
      </c>
      <c r="C34" s="399" t="str">
        <f>'PAI 2022 - V3'!B36</f>
        <v>Propósito 1
Logro de ciudad: 3
Propósito 5
Logro de ciudad: 30</v>
      </c>
      <c r="D34" s="399" t="str">
        <f>'PAI 2022 - V3'!C36</f>
        <v>Gestión estratégica del talento humano.
Integridad</v>
      </c>
      <c r="E34" s="401" t="str">
        <f>'PAI 2022 - V3'!D36</f>
        <v>OE_5</v>
      </c>
      <c r="F34" s="399" t="str">
        <f>'PAI 2022 - V3'!E36</f>
        <v xml:space="preserve">5. Fortalecer la capacidad organizacional de Capital para ser una empresa transparente, eficiente y sostenible. </v>
      </c>
      <c r="G34" s="399" t="str">
        <f>'PAI 2022 - V3'!F36</f>
        <v>6. Articular los procesos y flujos de trabajo a la estructura de Capital.</v>
      </c>
      <c r="H34" s="401" t="str">
        <f>'PAI 2022 - V3'!G36</f>
        <v>5.6.14</v>
      </c>
      <c r="I34" s="401" t="str">
        <f>'PAI 2022 - V3'!H36</f>
        <v xml:space="preserve"> Plan del Subsistema de Gestión de Seguridad y Salud en el Trabajo, SG-SST (Anexo 9)</v>
      </c>
      <c r="J34" s="399" t="str">
        <f>'PAI 2022 - V3'!I36</f>
        <v>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v>
      </c>
      <c r="K34" s="399" t="str">
        <f>'PAI 2022 - V3'!J36</f>
        <v>Cumplimiento del Plan de Seguridad y Salud formulado e implementado.</v>
      </c>
      <c r="L34" s="399" t="str">
        <f>'PAI 2022 - V3'!K36</f>
        <v>1 Eficacia: Cumplimiento de metas</v>
      </c>
      <c r="M34" s="399" t="str">
        <f>'PAI 2022 - V3'!L36</f>
        <v>Realizar el seguimiento al cumplimiento de las acciones definidas en el Plan de Seguridad y Salud en el trabajo de la vigencia 2022.</v>
      </c>
      <c r="N34" s="401" t="str">
        <f>'PAI 2022 - V3'!M36</f>
        <v>Porcentaje de avances en las acciones programadas en el Plan de Seguridad y Seguridad en el trabajo</v>
      </c>
      <c r="O34" s="401" t="str">
        <f>'PAI 2022 - V3'!N36</f>
        <v>Porcentaje programado de acciones del Plan de Seguridad y Salud en el Trabajo para la vigencia</v>
      </c>
      <c r="P34" s="401" t="str">
        <f>'PAI 2022 - V3'!O36</f>
        <v>Porcentaje (%)</v>
      </c>
      <c r="Q34" s="401" t="str">
        <f>'PAI 2022 - V3'!P36</f>
        <v>1 Creciente: El resultado tiende a crecer en el tiempo</v>
      </c>
      <c r="R34" s="20">
        <f>'PAI 2022 - V3'!Q36</f>
        <v>1</v>
      </c>
      <c r="S34" s="20">
        <f>'PAI 2022 - V3'!R36</f>
        <v>0.9</v>
      </c>
      <c r="T34" s="399" t="str">
        <f>'PAI 2022 - V3'!S36</f>
        <v>Se pretende mantener como mínimo el 90% de avance en la implementación del SGSST con el mantenimiento de acciones adelantadas en vigencias anteriores y el cumplimiento del plan de trabajo proyectado en la vigencia 2022.</v>
      </c>
      <c r="U34" s="401" t="str">
        <f>'PAI 2022 - V3'!T36</f>
        <v>&lt;30%</v>
      </c>
      <c r="V34" s="401" t="str">
        <f>'PAI 2022 - V3'!U36</f>
        <v>31% - 70%</v>
      </c>
      <c r="W34" s="401" t="str">
        <f>'PAI 2022 - V3'!V36</f>
        <v>71% - 89%</v>
      </c>
      <c r="X34" s="401" t="str">
        <f>'PAI 2022 - V3'!W36</f>
        <v>&gt;90%</v>
      </c>
      <c r="Y34" s="399" t="str">
        <f>'PAI 2022 - V3'!X36</f>
        <v>1. Formulación del Plan de reinversión con ARL (150%)
2. Formulación del Plan de trabajo SST  (15%) 
3. Ejecución de las actividades programadas (50%)
4. Seguimiento al plan de trabajo. (20%)</v>
      </c>
      <c r="Z34" s="401" t="str">
        <f>'PAI 2022 - V3'!Y36</f>
        <v>3 Trimestral</v>
      </c>
      <c r="AA34" s="399" t="str">
        <f>'PAI 2022 - V3'!Z36</f>
        <v>No aplica</v>
      </c>
      <c r="AB34" s="401" t="str">
        <f>'PAI 2022 - V3'!AA36</f>
        <v>Subdirección Administrativa</v>
      </c>
      <c r="AC34" s="449" t="str">
        <f>'PAI 2022 - V3'!AB36</f>
        <v>Profesional de Recursos Humanos</v>
      </c>
      <c r="AD34" s="564" t="str">
        <f t="shared" si="1"/>
        <v>5.6.14</v>
      </c>
      <c r="AE34" s="645">
        <f>100/100</f>
        <v>1</v>
      </c>
      <c r="AF34" s="645"/>
      <c r="AG34" s="645"/>
      <c r="AH34" s="645">
        <f>90/100</f>
        <v>0.9</v>
      </c>
      <c r="AI34" s="645"/>
      <c r="AJ34" s="645"/>
      <c r="AK34" s="645"/>
      <c r="AL34" s="645"/>
      <c r="AM34" s="645"/>
      <c r="AN34" s="645"/>
      <c r="AO34" s="645"/>
      <c r="AP34" s="645"/>
      <c r="AQ34" s="535" t="s">
        <v>1168</v>
      </c>
      <c r="AR34" s="565" t="s">
        <v>26</v>
      </c>
    </row>
    <row r="35" spans="1:44" ht="97.5" customHeight="1" x14ac:dyDescent="0.2">
      <c r="A35" s="10" t="str">
        <f t="shared" si="0"/>
        <v>5.6.15</v>
      </c>
      <c r="B35" s="403" t="str">
        <f>'PAI 2022 - V3'!A37</f>
        <v>3. Salud y bienestar.
8. Trabajo decente y crecimiento económico.
11. Ciudades y comunidades sostenibles.
16. Paz, justicia e instituciones sólidas.</v>
      </c>
      <c r="C35" s="399" t="str">
        <f>'PAI 2022 - V3'!B37</f>
        <v>Propósito 1
Logro de ciudad: 3
Propósito 5
Logro de ciudad: 30</v>
      </c>
      <c r="D35" s="399" t="str">
        <f>'PAI 2022 - V3'!C37</f>
        <v>Gestión estratégica del talento humano.
Integridad</v>
      </c>
      <c r="E35" s="401" t="str">
        <f>'PAI 2022 - V3'!D37</f>
        <v>OE_5</v>
      </c>
      <c r="F35" s="399" t="str">
        <f>'PAI 2022 - V3'!E37</f>
        <v xml:space="preserve">5. Fortalecer la capacidad organizacional de Capital para ser una empresa transparente, eficiente y sostenible. </v>
      </c>
      <c r="G35" s="399" t="str">
        <f>'PAI 2022 - V3'!F37</f>
        <v>6. Articular los procesos y flujos de trabajo a la estructura de Capital.</v>
      </c>
      <c r="H35" s="401" t="str">
        <f>'PAI 2022 - V3'!G37</f>
        <v>5.6.15</v>
      </c>
      <c r="I35" s="401" t="str">
        <f>'PAI 2022 - V3'!H37</f>
        <v>Plan de Integridad</v>
      </c>
      <c r="J35" s="399" t="str">
        <f>'PAI 2022 - V3'!I37</f>
        <v>Identificar las acciones encaminadas a la socialización y fortalecimiento del Código de Integridad de Canal Capital.</v>
      </c>
      <c r="K35" s="399" t="str">
        <f>'PAI 2022 - V3'!J37</f>
        <v>Cumplimiento del plan de integridad</v>
      </c>
      <c r="L35" s="399" t="str">
        <f>'PAI 2022 - V3'!K37</f>
        <v>1 Eficacia: Cumplimiento de metas</v>
      </c>
      <c r="M35" s="399" t="str">
        <f>'PAI 2022 - V3'!L37</f>
        <v>Realizar el seguimiento al cumplimiento de las acciones definidas en el Plan de integridad de la vigencia 2022.</v>
      </c>
      <c r="N35" s="401" t="str">
        <f>'PAI 2022 - V3'!M37</f>
        <v>Porcentaje de avances en las acciones programadas en el Plan de integridad</v>
      </c>
      <c r="O35" s="401" t="str">
        <f>'PAI 2022 - V3'!N37</f>
        <v>Porcentaje programado de acciones del Plan de Integridad para la vigencia</v>
      </c>
      <c r="P35" s="401" t="str">
        <f>'PAI 2022 - V3'!O37</f>
        <v>Porcentaje (%)</v>
      </c>
      <c r="Q35" s="401" t="str">
        <f>'PAI 2022 - V3'!P37</f>
        <v>1 Creciente: El resultado tiende a crecer en el tiempo</v>
      </c>
      <c r="R35" s="20">
        <f>'PAI 2022 - V3'!Q37</f>
        <v>1</v>
      </c>
      <c r="S35" s="20">
        <f>'PAI 2022 - V3'!R37</f>
        <v>1</v>
      </c>
      <c r="T35" s="399" t="str">
        <f>'PAI 2022 - V3'!S37</f>
        <v>Se pretende dar cumplimiento al 100% de las actividades establecidas en el plan de integridad vigencia 2022, identificando la apropiación del plan y las actividades que generan mayor impacto sobre los colaboradores de la entidad.</v>
      </c>
      <c r="U35" s="401" t="str">
        <f>'PAI 2022 - V3'!T37</f>
        <v>&lt;30%</v>
      </c>
      <c r="V35" s="401" t="str">
        <f>'PAI 2022 - V3'!U37</f>
        <v>31% - 70%</v>
      </c>
      <c r="W35" s="401" t="str">
        <f>'PAI 2022 - V3'!V37</f>
        <v>71% - 99%</v>
      </c>
      <c r="X35" s="15">
        <f>'PAI 2022 - V3'!W37</f>
        <v>1</v>
      </c>
      <c r="Y35" s="399" t="str">
        <f>'PAI 2022 - V3'!X37</f>
        <v>1.Formulación del Plan de integridad (30%)
3.Ejecución de las actividades programadas (50%)
4.Seguimiento al plan de integridad. (20%)</v>
      </c>
      <c r="Z35" s="401" t="str">
        <f>'PAI 2022 - V3'!Y37</f>
        <v>3 Trimestral</v>
      </c>
      <c r="AA35" s="399" t="str">
        <f>'PAI 2022 - V3'!Z37</f>
        <v>No aplica</v>
      </c>
      <c r="AB35" s="401" t="str">
        <f>'PAI 2022 - V3'!AA37</f>
        <v>Subdirección Administrativa</v>
      </c>
      <c r="AC35" s="449" t="str">
        <f>'PAI 2022 - V3'!AB37</f>
        <v>Profesional de Recursos Humanos</v>
      </c>
      <c r="AD35" s="564" t="str">
        <f t="shared" si="1"/>
        <v>5.6.15</v>
      </c>
      <c r="AE35" s="645">
        <f>100/100</f>
        <v>1</v>
      </c>
      <c r="AF35" s="645"/>
      <c r="AG35" s="645"/>
      <c r="AH35" s="645">
        <f>100/100</f>
        <v>1</v>
      </c>
      <c r="AI35" s="645"/>
      <c r="AJ35" s="645"/>
      <c r="AK35" s="645"/>
      <c r="AL35" s="645"/>
      <c r="AM35" s="645"/>
      <c r="AN35" s="645"/>
      <c r="AO35" s="645"/>
      <c r="AP35" s="645"/>
      <c r="AQ35" s="535" t="s">
        <v>1169</v>
      </c>
      <c r="AR35" s="565" t="s">
        <v>26</v>
      </c>
    </row>
    <row r="36" spans="1:44" ht="141.75" customHeight="1" x14ac:dyDescent="0.2">
      <c r="A36" s="10" t="str">
        <f t="shared" si="0"/>
        <v>5.6.16</v>
      </c>
      <c r="B36" s="403" t="str">
        <f>'PAI 2022 - V3'!A38</f>
        <v>3. Salud y bienestar.
8. Trabajo decente y crecimiento económico.
11. Ciudades y comunidades sostenibles.
16. Paz, justicia e instituciones sólidas.</v>
      </c>
      <c r="C36" s="399" t="str">
        <f>'PAI 2022 - V3'!B38</f>
        <v>Propósito 1
Logro de ciudad: 3
Propósito 5
Logro de ciudad: 30</v>
      </c>
      <c r="D36" s="399" t="str">
        <f>'PAI 2022 - V3'!C38</f>
        <v>Gestión estratégica del talento humano.
Integridad
Gestión presupuestal y eficiencia del gasto público.</v>
      </c>
      <c r="E36" s="401" t="str">
        <f>'PAI 2022 - V3'!D38</f>
        <v>OE_5</v>
      </c>
      <c r="F36" s="399" t="str">
        <f>'PAI 2022 - V3'!E38</f>
        <v xml:space="preserve">5. Fortalecer la capacidad organizacional de Capital para ser una empresa transparente, eficiente y sostenible. </v>
      </c>
      <c r="G36" s="399" t="str">
        <f>'PAI 2022 - V3'!F38</f>
        <v>6. Articular los procesos y flujos de trabajo a la estructura de Capital.</v>
      </c>
      <c r="H36" s="401" t="str">
        <f>'PAI 2022 - V3'!G38</f>
        <v>5.6.16</v>
      </c>
      <c r="I36" s="401" t="str">
        <f>'PAI 2022 - V3'!H38</f>
        <v>Plan de Austeridad</v>
      </c>
      <c r="J36" s="399" t="str">
        <f>'PAI 2022 - V3'!I38</f>
        <v xml:space="preserve">implementar el Plan de Austeridad en el gasto para la vigencia 2022 </v>
      </c>
      <c r="K36" s="399" t="str">
        <f>'PAI 2022 - V3'!J38</f>
        <v>Cumplimiento del plan de austeridad</v>
      </c>
      <c r="L36" s="399" t="str">
        <f>'PAI 2022 - V3'!K38</f>
        <v>1 Eficacia: Cumplimiento de metas</v>
      </c>
      <c r="M36" s="399" t="str">
        <f>'PAI 2022 - V3'!L38</f>
        <v>Realizar seguimiento a los componentes objeto de austeridad.</v>
      </c>
      <c r="N36" s="401" t="str">
        <f>'PAI 2022 - V3'!M38</f>
        <v>Número de acciones adelantadas con relación al plan de austeridad para la vigencia</v>
      </c>
      <c r="O36" s="401" t="str">
        <f>'PAI 2022 - V3'!N38</f>
        <v>Número de acciones programadas para realizar con relación al plan de austeridad para la vigencia</v>
      </c>
      <c r="P36" s="401" t="str">
        <f>'PAI 2022 - V3'!O38</f>
        <v>Porcentaje (%)</v>
      </c>
      <c r="Q36" s="401" t="str">
        <f>'PAI 2022 - V3'!P38</f>
        <v>1 Creciente: El resultado tiende a crecer en el tiempo</v>
      </c>
      <c r="R36" s="20" t="str">
        <f>'PAI 2022 - V3'!Q38</f>
        <v>No aplica.</v>
      </c>
      <c r="S36" s="20">
        <f>'PAI 2022 - V3'!R38</f>
        <v>1</v>
      </c>
      <c r="T36" s="399" t="str">
        <f>'PAI 2022 - V3'!S38</f>
        <v>se pretende dar cumplimiento en el 100% en lo relacionado con el seguimiento en la implementación del plan de austeridad y sus componentes</v>
      </c>
      <c r="U36" s="401" t="str">
        <f>'PAI 2022 - V3'!T38</f>
        <v>&lt;30%</v>
      </c>
      <c r="V36" s="401" t="str">
        <f>'PAI 2022 - V3'!U38</f>
        <v>31% - 70%</v>
      </c>
      <c r="W36" s="401" t="str">
        <f>'PAI 2022 - V3'!V38</f>
        <v>71% - 89%</v>
      </c>
      <c r="X36" s="401" t="str">
        <f>'PAI 2022 - V3'!W38</f>
        <v>&gt;89%</v>
      </c>
      <c r="Y36" s="399" t="str">
        <f>'PAI 2022 - V3'!X38</f>
        <v>Formulación del plan de Austeridad 20%
Socialización del plan de austeridad 10%
Realizar informes 70%</v>
      </c>
      <c r="Z36" s="401" t="str">
        <f>'PAI 2022 - V3'!Y38</f>
        <v>3 Trimestral</v>
      </c>
      <c r="AA36" s="399" t="str">
        <f>'PAI 2022 - V3'!Z38</f>
        <v>En cumplimiento con el Decreto 492 de 2019 los informes se deben realizar cada semestre.</v>
      </c>
      <c r="AB36" s="401" t="str">
        <f>'PAI 2022 - V3'!AA38</f>
        <v>Subdirección Administrativa</v>
      </c>
      <c r="AC36" s="449" t="str">
        <f>'PAI 2022 - V3'!AB38</f>
        <v>Profesional de la subdirección Administrativa</v>
      </c>
      <c r="AD36" s="564" t="str">
        <f t="shared" si="1"/>
        <v>5.6.16</v>
      </c>
      <c r="AE36" s="645">
        <f>4/4</f>
        <v>1</v>
      </c>
      <c r="AF36" s="645"/>
      <c r="AG36" s="645"/>
      <c r="AH36" s="645">
        <f>2/2</f>
        <v>1</v>
      </c>
      <c r="AI36" s="645"/>
      <c r="AJ36" s="645"/>
      <c r="AK36" s="645"/>
      <c r="AL36" s="645"/>
      <c r="AM36" s="645"/>
      <c r="AN36" s="645"/>
      <c r="AO36" s="645"/>
      <c r="AP36" s="645"/>
      <c r="AQ36" s="590" t="s">
        <v>1182</v>
      </c>
      <c r="AR36" s="565" t="s">
        <v>26</v>
      </c>
    </row>
    <row r="37" spans="1:44" ht="117.75" customHeight="1" x14ac:dyDescent="0.2">
      <c r="A37" s="10" t="str">
        <f t="shared" si="0"/>
        <v>5.5.17</v>
      </c>
      <c r="B37" s="403" t="str">
        <f>'PAI 2022 - V3'!A39</f>
        <v>8. Trabajo decente y crecimiento económico.
16. Paz, justicia e instituciones sólidas.</v>
      </c>
      <c r="C37" s="399" t="str">
        <f>'PAI 2022 - V3'!B39</f>
        <v>Propósito 5
Logro de ciudad: 30</v>
      </c>
      <c r="D37" s="399" t="str">
        <f>'PAI 2022 - V3'!C39</f>
        <v>Gestión presupuestal y eficiencia del gasto público.</v>
      </c>
      <c r="E37" s="401" t="str">
        <f>'PAI 2022 - V3'!D39</f>
        <v>OE_5</v>
      </c>
      <c r="F37" s="399" t="str">
        <f>'PAI 2022 - V3'!E39</f>
        <v xml:space="preserve">5. Fortalecer la capacidad organizacional de Capital para ser una empresa transparente, eficiente y sostenible. </v>
      </c>
      <c r="G37" s="399" t="str">
        <f>'PAI 2022 - V3'!F39</f>
        <v>5. Realizar el diagnóstico, diseño e implementación de una estructura administrativa acorde a las necesidades de capital.</v>
      </c>
      <c r="H37" s="401" t="str">
        <f>'PAI 2022 - V3'!G39</f>
        <v>5.5.17</v>
      </c>
      <c r="I37" s="401" t="str">
        <f>'PAI 2022 - V3'!H39</f>
        <v>Equilibrio Presupuestal</v>
      </c>
      <c r="J37" s="399" t="str">
        <f>'PAI 2022 - V3'!I39</f>
        <v>Controlar que exista equilibrio presupuestal en las operaciones de la empresa.</v>
      </c>
      <c r="K37" s="399" t="str">
        <f>'PAI 2022 - V3'!J39</f>
        <v>Optimización de recursos</v>
      </c>
      <c r="L37" s="399" t="str">
        <f>'PAI 2022 - V3'!K39</f>
        <v>1 Eficacia: Cumplimiento de metas</v>
      </c>
      <c r="M37" s="399" t="str">
        <f>'PAI 2022 - V3'!L39</f>
        <v>Medir el recaudo de los ingresos frente a los compromisos suscritos</v>
      </c>
      <c r="N37" s="401" t="str">
        <f>'PAI 2022 - V3'!M39</f>
        <v xml:space="preserve">Recaudo Acumulado de Recursos Propios </v>
      </c>
      <c r="O37" s="401" t="str">
        <f>'PAI 2022 - V3'!N39</f>
        <v xml:space="preserve">Compromisos Acumulados de Recursos Propios </v>
      </c>
      <c r="P37" s="401" t="str">
        <f>'PAI 2022 - V3'!O39</f>
        <v>Porcentaje (%).</v>
      </c>
      <c r="Q37" s="401" t="str">
        <f>'PAI 2022 - V3'!P39</f>
        <v>1 Creciente: El resultado tiende a crecer en el tiempo</v>
      </c>
      <c r="R37" s="401">
        <f>'PAI 2022 - V3'!Q39</f>
        <v>1</v>
      </c>
      <c r="S37" s="401" t="str">
        <f>'PAI 2022 - V3'!R39</f>
        <v>≥ 100%</v>
      </c>
      <c r="T37" s="399" t="str">
        <f>'PAI 2022 - V3'!S39</f>
        <v>Comparar el ingreso frente al gasto de recursos propios y generar alertas.</v>
      </c>
      <c r="U37" s="401" t="str">
        <f>'PAI 2022 - V3'!T39</f>
        <v>&lt;90%</v>
      </c>
      <c r="V37" s="401">
        <f>'PAI 2022 - V3'!U39</f>
        <v>1</v>
      </c>
      <c r="W37" s="401" t="str">
        <f>'PAI 2022 - V3'!V39</f>
        <v>≥ 100%</v>
      </c>
      <c r="X37" s="401" t="str">
        <f>'PAI 2022 - V3'!W39</f>
        <v>&gt;100%</v>
      </c>
      <c r="Y37" s="399" t="str">
        <f>'PAI 2022 - V3'!X39</f>
        <v>Comparar el ingreso frente al gasto de recursos propios y generar alertas.</v>
      </c>
      <c r="Z37" s="401" t="str">
        <f>'PAI 2022 - V3'!Y39</f>
        <v>Trimestral.</v>
      </c>
      <c r="AA37" s="399" t="str">
        <f>'PAI 2022 - V3'!Z39</f>
        <v xml:space="preserve">La meta del indicador el igual o mayor a 100% no obstante el comportamiento histórico ha evidenciado que el resultado en los períodos intermedios se encuentra por debajo de la meta. </v>
      </c>
      <c r="AB37" s="401" t="str">
        <f>'PAI 2022 - V3'!AA39</f>
        <v>Subdirección Financiera</v>
      </c>
      <c r="AC37" s="449" t="str">
        <f>'PAI 2022 - V3'!AB39</f>
        <v>Profesional de Presupuesto</v>
      </c>
      <c r="AD37" s="564" t="str">
        <f t="shared" si="1"/>
        <v>5.5.17</v>
      </c>
      <c r="AE37" s="645">
        <f>1208168897/5193025522</f>
        <v>0.23265221630081562</v>
      </c>
      <c r="AF37" s="645"/>
      <c r="AG37" s="645"/>
      <c r="AH37" s="645">
        <f>3028180476/7337012203</f>
        <v>0.41272665115124385</v>
      </c>
      <c r="AI37" s="645"/>
      <c r="AJ37" s="645"/>
      <c r="AK37" s="645"/>
      <c r="AL37" s="645"/>
      <c r="AM37" s="645"/>
      <c r="AN37" s="645"/>
      <c r="AO37" s="645"/>
      <c r="AP37" s="645"/>
      <c r="AQ37" s="535" t="s">
        <v>1152</v>
      </c>
      <c r="AR37" s="565" t="s">
        <v>24</v>
      </c>
    </row>
    <row r="38" spans="1:44" ht="81.75" customHeight="1" x14ac:dyDescent="0.2">
      <c r="A38" s="10" t="str">
        <f t="shared" si="0"/>
        <v>5.5.18</v>
      </c>
      <c r="B38" s="403" t="str">
        <f>'PAI 2022 - V3'!A40</f>
        <v>8. Trabajo decente y crecimiento económico.
16. Paz, justicia e instituciones sólidas.</v>
      </c>
      <c r="C38" s="399" t="str">
        <f>'PAI 2022 - V3'!B40</f>
        <v>Propósito 5
Logro de ciudad: 30</v>
      </c>
      <c r="D38" s="399" t="str">
        <f>'PAI 2022 - V3'!C40</f>
        <v>Gestión presupuestal y eficiencia del gasto público.</v>
      </c>
      <c r="E38" s="401" t="str">
        <f>'PAI 2022 - V3'!D40</f>
        <v>OE_5</v>
      </c>
      <c r="F38" s="399" t="str">
        <f>'PAI 2022 - V3'!E40</f>
        <v xml:space="preserve">5. Fortalecer la capacidad organizacional de Capital para ser una empresa transparente, eficiente y sostenible. </v>
      </c>
      <c r="G38" s="399" t="str">
        <f>'PAI 2022 - V3'!F40</f>
        <v>5. Realizar el diagnóstico, diseño e implementación de una estructura administrativa acorde a las necesidades de capital.</v>
      </c>
      <c r="H38" s="401" t="str">
        <f>'PAI 2022 - V3'!G40</f>
        <v>5.5.18</v>
      </c>
      <c r="I38" s="401" t="str">
        <f>'PAI 2022 - V3'!H40</f>
        <v xml:space="preserve">
Eficiencia en los pagos
 </v>
      </c>
      <c r="J38" s="399" t="str">
        <f>'PAI 2022 - V3'!I40</f>
        <v>Trámite oportuno de pagos</v>
      </c>
      <c r="K38" s="399" t="str">
        <f>'PAI 2022 - V3'!J40</f>
        <v>Oportunidad en la gestión de órdenes de pago</v>
      </c>
      <c r="L38" s="399" t="str">
        <f>'PAI 2022 - V3'!K40</f>
        <v>1 Eficacia: Cumplimiento de metas</v>
      </c>
      <c r="M38" s="399" t="str">
        <f>'PAI 2022 - V3'!L40</f>
        <v>Medir la eficiencia del proceso de pagos.</v>
      </c>
      <c r="N38" s="401" t="str">
        <f>'PAI 2022 - V3'!M40</f>
        <v xml:space="preserve">∑ Ordenes de pago ≤ 5 días </v>
      </c>
      <c r="O38" s="401" t="str">
        <f>'PAI 2022 - V3'!N40</f>
        <v xml:space="preserve"> Total Ordenes de Pago</v>
      </c>
      <c r="P38" s="401" t="str">
        <f>'PAI 2022 - V3'!O40</f>
        <v>Porcentaje (%).</v>
      </c>
      <c r="Q38" s="401" t="str">
        <f>'PAI 2022 - V3'!P40</f>
        <v>2 Constante: Se espera un valor o rango de resultado estable en el tiempo</v>
      </c>
      <c r="R38" s="23">
        <f>'PAI 2022 - V3'!Q40</f>
        <v>0.75</v>
      </c>
      <c r="S38" s="23">
        <f>'PAI 2022 - V3'!R40</f>
        <v>0.85</v>
      </c>
      <c r="T38" s="399" t="str">
        <f>'PAI 2022 - V3'!S40</f>
        <v xml:space="preserve">Lograr mínimo el 85% del total de cuentas tramitadas en 5 días. </v>
      </c>
      <c r="U38" s="24">
        <f>'PAI 2022 - V3'!T40</f>
        <v>0.3</v>
      </c>
      <c r="V38" s="24">
        <f>'PAI 2022 - V3'!U40</f>
        <v>0.5</v>
      </c>
      <c r="W38" s="24">
        <f>'PAI 2022 - V3'!V40</f>
        <v>0.8</v>
      </c>
      <c r="X38" s="24">
        <f>'PAI 2022 - V3'!W40</f>
        <v>0.9</v>
      </c>
      <c r="Y38" s="399" t="str">
        <f>'PAI 2022 - V3'!X40</f>
        <v xml:space="preserve">Liquidar ordenes e pago y diligenciar matriz de control  </v>
      </c>
      <c r="Z38" s="401" t="str">
        <f>'PAI 2022 - V3'!Y40</f>
        <v>Mensual.</v>
      </c>
      <c r="AA38" s="399" t="str">
        <f>'PAI 2022 - V3'!Z40</f>
        <v xml:space="preserve">Este indicador mide el pago de las personas naturales, sin embargo, por temas tributarios o documental se podría presentar una desviación en los días de trámite.  </v>
      </c>
      <c r="AB38" s="401" t="str">
        <f>'PAI 2022 - V3'!AA40</f>
        <v>Subdirección Financiera</v>
      </c>
      <c r="AC38" s="449" t="str">
        <f>'PAI 2022 - V3'!AB40</f>
        <v>Subdirector Financiero</v>
      </c>
      <c r="AD38" s="564" t="str">
        <f t="shared" si="1"/>
        <v>5.5.18</v>
      </c>
      <c r="AE38" s="557">
        <f>170/244</f>
        <v>0.69672131147540983</v>
      </c>
      <c r="AF38" s="557">
        <f>323/349</f>
        <v>0.92550143266475648</v>
      </c>
      <c r="AG38" s="557">
        <f>253/284</f>
        <v>0.89084507042253525</v>
      </c>
      <c r="AH38" s="557">
        <f>226/258</f>
        <v>0.87596899224806202</v>
      </c>
      <c r="AI38" s="557">
        <f>236/264</f>
        <v>0.89393939393939392</v>
      </c>
      <c r="AJ38" s="557">
        <f>212/259</f>
        <v>0.81853281853281856</v>
      </c>
      <c r="AK38" s="557"/>
      <c r="AL38" s="557"/>
      <c r="AM38" s="557"/>
      <c r="AN38" s="557"/>
      <c r="AO38" s="557"/>
      <c r="AP38" s="557"/>
      <c r="AQ38" s="535" t="s">
        <v>1153</v>
      </c>
      <c r="AR38" s="565" t="s">
        <v>25</v>
      </c>
    </row>
    <row r="39" spans="1:44" ht="75" customHeight="1" x14ac:dyDescent="0.2">
      <c r="A39" s="10" t="str">
        <f t="shared" si="0"/>
        <v>5.5.19</v>
      </c>
      <c r="B39" s="403" t="str">
        <f>'PAI 2022 - V3'!A41</f>
        <v>8. Trabajo decente y crecimiento económico.
16. Paz, justicia e instituciones sólidas.</v>
      </c>
      <c r="C39" s="399" t="str">
        <f>'PAI 2022 - V3'!B41</f>
        <v>Propósito 5
Logro de ciudad: 30</v>
      </c>
      <c r="D39" s="399" t="str">
        <f>'PAI 2022 - V3'!C41</f>
        <v>Gestión presupuestal y eficiencia del gasto público.</v>
      </c>
      <c r="E39" s="401" t="str">
        <f>'PAI 2022 - V3'!D41</f>
        <v>OE_5</v>
      </c>
      <c r="F39" s="399" t="str">
        <f>'PAI 2022 - V3'!E41</f>
        <v xml:space="preserve">5. Fortalecer la capacidad organizacional de Capital para ser una empresa transparente, eficiente y sostenible. </v>
      </c>
      <c r="G39" s="399" t="str">
        <f>'PAI 2022 - V3'!F41</f>
        <v>5. Realizar el diagnóstico, diseño e implementación de una estructura administrativa acorde a las necesidades de capital.</v>
      </c>
      <c r="H39" s="401" t="str">
        <f>'PAI 2022 - V3'!G41</f>
        <v>5.5.19</v>
      </c>
      <c r="I39" s="401" t="str">
        <f>'PAI 2022 - V3'!H41</f>
        <v xml:space="preserve">Disponibilidad Flujo de Caja </v>
      </c>
      <c r="J39" s="399" t="str">
        <f>'PAI 2022 - V3'!I41</f>
        <v xml:space="preserve">Mantener los recursos necesarios para el cumplimiento de las obligaciones de la Entidad de forma oportuna. </v>
      </c>
      <c r="K39" s="399" t="str">
        <f>'PAI 2022 - V3'!J41</f>
        <v>Gestión mensual del flujo de caja</v>
      </c>
      <c r="L39" s="399" t="str">
        <f>'PAI 2022 - V3'!K41</f>
        <v>1 Eficacia: Cumplimiento de metas</v>
      </c>
      <c r="M39" s="399" t="str">
        <f>'PAI 2022 - V3'!L41</f>
        <v>Presentar la situación de liquidez de la empresa.</v>
      </c>
      <c r="N39" s="401" t="str">
        <f>'PAI 2022 - V3'!M41</f>
        <v xml:space="preserve">Ingresos </v>
      </c>
      <c r="O39" s="401" t="str">
        <f>'PAI 2022 - V3'!N41</f>
        <v xml:space="preserve">Giros </v>
      </c>
      <c r="P39" s="401" t="str">
        <f>'PAI 2022 - V3'!O41</f>
        <v>Número (#).</v>
      </c>
      <c r="Q39" s="401" t="str">
        <f>'PAI 2022 - V3'!P41</f>
        <v>2 Constante: Se espera un valor o rango de resultado estable en el tiempo</v>
      </c>
      <c r="R39" s="401">
        <f>'PAI 2022 - V3'!Q41</f>
        <v>2.94</v>
      </c>
      <c r="S39" s="401" t="str">
        <f>'PAI 2022 - V3'!R41</f>
        <v>≥ 0</v>
      </c>
      <c r="T39" s="399" t="str">
        <f>'PAI 2022 - V3'!S41</f>
        <v xml:space="preserve">Contar con una disponibilidad suficiente de recursos en un período determinado. </v>
      </c>
      <c r="U39" s="401" t="str">
        <f>'PAI 2022 - V3'!T41</f>
        <v xml:space="preserve">&lt;1 </v>
      </c>
      <c r="V39" s="401" t="str">
        <f>'PAI 2022 - V3'!U41</f>
        <v>&gt;1</v>
      </c>
      <c r="W39" s="401" t="str">
        <f>'PAI 2022 - V3'!V41</f>
        <v>&gt;2,5</v>
      </c>
      <c r="X39" s="401" t="str">
        <f>'PAI 2022 - V3'!W41</f>
        <v>&gt;3</v>
      </c>
      <c r="Y39" s="399" t="str">
        <f>'PAI 2022 - V3'!X41</f>
        <v xml:space="preserve">Elaborar los estados contables mensuales                     </v>
      </c>
      <c r="Z39" s="401" t="str">
        <f>'PAI 2022 - V3'!Y41</f>
        <v>Mensual.</v>
      </c>
      <c r="AA39" s="399" t="str">
        <f>'PAI 2022 - V3'!Z41</f>
        <v xml:space="preserve">Este indicador se determina con los Ingresos percibidos por el área de Ventas y Mercadeo. </v>
      </c>
      <c r="AB39" s="401" t="str">
        <f>'PAI 2022 - V3'!AA41</f>
        <v>Subdirección Financiera</v>
      </c>
      <c r="AC39" s="449" t="str">
        <f>'PAI 2022 - V3'!AB41</f>
        <v>Profesional de Presupuesto</v>
      </c>
      <c r="AD39" s="564" t="str">
        <f t="shared" si="1"/>
        <v>5.5.19</v>
      </c>
      <c r="AE39" s="557">
        <f>11082333110/946133643</f>
        <v>11.713285107228769</v>
      </c>
      <c r="AF39" s="557">
        <f>10727527740/2058867814</f>
        <v>5.2104013997666003</v>
      </c>
      <c r="AG39" s="557">
        <f>9077208289/2901945114</f>
        <v>3.1279738011612856</v>
      </c>
      <c r="AH39" s="576">
        <f>10385847398.3/2192188788</f>
        <v>4.7376610331883509</v>
      </c>
      <c r="AI39" s="576">
        <f>8467112561.3/1980620250</f>
        <v>4.2749803054371478</v>
      </c>
      <c r="AJ39" s="576">
        <f>7421988986.3/2543790515</f>
        <v>2.9176887572049148</v>
      </c>
      <c r="AK39" s="557"/>
      <c r="AL39" s="557"/>
      <c r="AM39" s="557"/>
      <c r="AN39" s="557"/>
      <c r="AO39" s="557"/>
      <c r="AP39" s="557"/>
      <c r="AQ39" s="535" t="s">
        <v>1154</v>
      </c>
      <c r="AR39" s="565" t="s">
        <v>26</v>
      </c>
    </row>
    <row r="40" spans="1:44" ht="112.5" customHeight="1" x14ac:dyDescent="0.2">
      <c r="A40" s="10" t="str">
        <f t="shared" si="0"/>
        <v>5.5.20</v>
      </c>
      <c r="B40" s="403" t="str">
        <f>'PAI 2022 - V3'!A42</f>
        <v>8. Trabajo decente y crecimiento económico.
16. Paz, justicia e instituciones sólidas.</v>
      </c>
      <c r="C40" s="399" t="str">
        <f>'PAI 2022 - V3'!B42</f>
        <v>Propósito 5
Logro de ciudad: 30</v>
      </c>
      <c r="D40" s="399" t="str">
        <f>'PAI 2022 - V3'!C42</f>
        <v>Gestión presupuestal y eficiencia del gasto público.</v>
      </c>
      <c r="E40" s="401" t="str">
        <f>'PAI 2022 - V3'!D42</f>
        <v>OE_5</v>
      </c>
      <c r="F40" s="399" t="str">
        <f>'PAI 2022 - V3'!E42</f>
        <v xml:space="preserve">5. Fortalecer la capacidad organizacional de Capital para ser una empresa transparente, eficiente y sostenible. </v>
      </c>
      <c r="G40" s="399" t="str">
        <f>'PAI 2022 - V3'!F42</f>
        <v>5. Realizar el diagnóstico, diseño e implementación de una estructura administrativa acorde a las necesidades de capital.</v>
      </c>
      <c r="H40" s="401" t="str">
        <f>'PAI 2022 - V3'!G42</f>
        <v>5.5.20</v>
      </c>
      <c r="I40" s="401" t="str">
        <f>'PAI 2022 - V3'!H42</f>
        <v>¿Cómo vamos?</v>
      </c>
      <c r="J40" s="399" t="str">
        <f>'PAI 2022 - V3'!I42</f>
        <v>Informar la situación financiera de la Entidad</v>
      </c>
      <c r="K40" s="399" t="str">
        <f>'PAI 2022 - V3'!J42</f>
        <v>Gestión mensual contable - Estados contables</v>
      </c>
      <c r="L40" s="399" t="str">
        <f>'PAI 2022 - V3'!K42</f>
        <v>2 Eficiencia: Uso de los recursos.</v>
      </c>
      <c r="M40" s="399" t="str">
        <f>'PAI 2022 - V3'!L42</f>
        <v>Presentar la situación financiera de la empresa en el periodo correspondiente.</v>
      </c>
      <c r="N40" s="401" t="str">
        <f>'PAI 2022 - V3'!M42</f>
        <v>Ingresos</v>
      </c>
      <c r="O40" s="401" t="str">
        <f>'PAI 2022 - V3'!N42</f>
        <v>∑ Costos y/o Gastos</v>
      </c>
      <c r="P40" s="401" t="str">
        <f>'PAI 2022 - V3'!O42</f>
        <v>Número (#).</v>
      </c>
      <c r="Q40" s="401" t="str">
        <f>'PAI 2022 - V3'!P42</f>
        <v>2 Constante: Se espera un valor o rango de resultado estable en el tiempo</v>
      </c>
      <c r="R40" s="401" t="str">
        <f>'PAI 2022 - V3'!Q42</f>
        <v>No aplica</v>
      </c>
      <c r="S40" s="401" t="str">
        <f>'PAI 2022 - V3'!R42</f>
        <v>≥ 1</v>
      </c>
      <c r="T40" s="399" t="str">
        <f>'PAI 2022 - V3'!S42</f>
        <v>Lograr mantener el indicar en un resultado igual o mayor a 1</v>
      </c>
      <c r="U40" s="401" t="str">
        <f>'PAI 2022 - V3'!T42</f>
        <v>≤ 0,9</v>
      </c>
      <c r="V40" s="401" t="str">
        <f>'PAI 2022 - V3'!U42</f>
        <v xml:space="preserve">=1 </v>
      </c>
      <c r="W40" s="401" t="str">
        <f>'PAI 2022 - V3'!V42</f>
        <v xml:space="preserve">&gt; 1 </v>
      </c>
      <c r="X40" s="401" t="str">
        <f>'PAI 2022 - V3'!W42</f>
        <v>&gt; 1 ,5</v>
      </c>
      <c r="Y40" s="399" t="str">
        <f>'PAI 2022 - V3'!X42</f>
        <v>Tomar las cifras de los estados contables mensuales para determinar el resultado del indicador.</v>
      </c>
      <c r="Z40" s="401" t="str">
        <f>'PAI 2022 - V3'!Y42</f>
        <v>1 Mensual</v>
      </c>
      <c r="AA40" s="399" t="str">
        <f>'PAI 2022 - V3'!Z42</f>
        <v xml:space="preserve">Para que este indicador sea aceptable deber ser superior a 1 dado que aquí se encuentra el punto de equilibrio. </v>
      </c>
      <c r="AB40" s="401" t="str">
        <f>'PAI 2022 - V3'!AA42</f>
        <v>Subdirección Financiera</v>
      </c>
      <c r="AC40" s="449" t="str">
        <f>'PAI 2022 - V3'!AB42</f>
        <v>Profesional de Contabilidad</v>
      </c>
      <c r="AD40" s="564" t="str">
        <f t="shared" si="1"/>
        <v>5.5.20</v>
      </c>
      <c r="AE40" s="561">
        <f>4407752681.8-2279911065.35</f>
        <v>2127841616.4500003</v>
      </c>
      <c r="AF40" s="558">
        <f>5083862424.47-4303415378.19</f>
        <v>780447046.28000069</v>
      </c>
      <c r="AG40" s="558">
        <f>5873616241.72-6574422333.81</f>
        <v>-700806092.09000015</v>
      </c>
      <c r="AH40" s="558">
        <f>10528598592-10021857408</f>
        <v>506741184</v>
      </c>
      <c r="AI40" s="558">
        <f>11329510391-12639042033</f>
        <v>-1309531642</v>
      </c>
      <c r="AJ40" s="558">
        <f>12585707911-16440205467</f>
        <v>-3854497556</v>
      </c>
      <c r="AK40" s="559"/>
      <c r="AL40" s="559"/>
      <c r="AM40" s="559"/>
      <c r="AN40" s="559"/>
      <c r="AO40" s="559"/>
      <c r="AP40" s="559"/>
      <c r="AQ40" s="535" t="s">
        <v>1155</v>
      </c>
      <c r="AR40" s="565" t="s">
        <v>23</v>
      </c>
    </row>
    <row r="41" spans="1:44" ht="105" customHeight="1" x14ac:dyDescent="0.2">
      <c r="A41" s="10" t="str">
        <f t="shared" si="0"/>
        <v>5.5.21</v>
      </c>
      <c r="B41" s="403" t="str">
        <f>'PAI 2022 - V3'!A43</f>
        <v>8. Trabajo decente y crecimiento económico.
16. Paz, justicia e instituciones sólidas.</v>
      </c>
      <c r="C41" s="399" t="str">
        <f>'PAI 2022 - V3'!B43</f>
        <v>Propósito 5
Logro de ciudad: 30</v>
      </c>
      <c r="D41" s="399" t="str">
        <f>'PAI 2022 - V3'!C43</f>
        <v>Gestión presupuestal y eficiencia del gasto público.</v>
      </c>
      <c r="E41" s="401" t="str">
        <f>'PAI 2022 - V3'!D43</f>
        <v>OE_5</v>
      </c>
      <c r="F41" s="399" t="str">
        <f>'PAI 2022 - V3'!E43</f>
        <v xml:space="preserve">5. Fortalecer la capacidad organizacional de Capital para ser una empresa transparente, eficiente y sostenible. </v>
      </c>
      <c r="G41" s="399" t="str">
        <f>'PAI 2022 - V3'!F43</f>
        <v>5. Realizar el diagnóstico, diseño e implementación de una estructura administrativa acorde a las necesidades de capital.</v>
      </c>
      <c r="H41" s="401" t="str">
        <f>'PAI 2022 - V3'!G43</f>
        <v>5.5.21</v>
      </c>
      <c r="I41" s="401" t="str">
        <f>'PAI 2022 - V3'!H43</f>
        <v>Una Cartera efectiva</v>
      </c>
      <c r="J41" s="399" t="str">
        <f>'PAI 2022 - V3'!I43</f>
        <v>Cumplimiento de los tiempos establecidos para el recaudo, generando una cartera dinámica</v>
      </c>
      <c r="K41" s="399" t="str">
        <f>'PAI 2022 - V3'!J43</f>
        <v>Gestión de la cartera.</v>
      </c>
      <c r="L41" s="399" t="str">
        <f>'PAI 2022 - V3'!K43</f>
        <v>1 Eficacia: Cumplimiento de metas</v>
      </c>
      <c r="M41" s="399" t="str">
        <f>'PAI 2022 - V3'!L43</f>
        <v>Identificar las edades de cartera y oportunidad de recaudo de los diferentes clientes de la empresa.</v>
      </c>
      <c r="N41" s="401" t="str">
        <f>'PAI 2022 - V3'!M43</f>
        <v xml:space="preserve">Total Recaudo </v>
      </c>
      <c r="O41" s="401" t="str">
        <f>'PAI 2022 - V3'!N43</f>
        <v>Total servicios cobrados al cierre del trimestre acumulado * 100</v>
      </c>
      <c r="P41" s="401" t="str">
        <f>'PAI 2022 - V3'!O43</f>
        <v>Porcentaje (%).</v>
      </c>
      <c r="Q41" s="401" t="str">
        <f>'PAI 2022 - V3'!P43</f>
        <v>2 Constante: Se espera un valor o rango de resultado estable en el tiempo</v>
      </c>
      <c r="R41" s="23">
        <f>'PAI 2022 - V3'!Q43</f>
        <v>0.81159999999999999</v>
      </c>
      <c r="S41" s="23">
        <f>'PAI 2022 - V3'!R43</f>
        <v>0.7</v>
      </c>
      <c r="T41" s="399" t="str">
        <f>'PAI 2022 - V3'!S43</f>
        <v>Lograr al cierre del trimestre un recaudo igual o superior al 70% al respecto de lo facturado dentro del mismo</v>
      </c>
      <c r="U41" s="401">
        <f>'PAI 2022 - V3'!T43</f>
        <v>0.5</v>
      </c>
      <c r="V41" s="401">
        <f>'PAI 2022 - V3'!U43</f>
        <v>0.6</v>
      </c>
      <c r="W41" s="401">
        <f>'PAI 2022 - V3'!V43</f>
        <v>0.7</v>
      </c>
      <c r="X41" s="401" t="str">
        <f>'PAI 2022 - V3'!W43</f>
        <v>&gt; 70%</v>
      </c>
      <c r="Y41" s="399" t="str">
        <f>'PAI 2022 - V3'!X43</f>
        <v>Elaborar informe de cartera.</v>
      </c>
      <c r="Z41" s="401" t="str">
        <f>'PAI 2022 - V3'!Y43</f>
        <v>Trimestral.</v>
      </c>
      <c r="AA41" s="399" t="str">
        <f>'PAI 2022 - V3'!Z43</f>
        <v xml:space="preserve">La información acá reportada es el recaudo bruto es decir incluye los descuentos hechos por los clientes, dado que si se hiciera sin esta información no sería comparable. </v>
      </c>
      <c r="AB41" s="401" t="str">
        <f>'PAI 2022 - V3'!AA43</f>
        <v>Subdirección Financiera</v>
      </c>
      <c r="AC41" s="449" t="str">
        <f>'PAI 2022 - V3'!AB43</f>
        <v>Profesional de Facturación</v>
      </c>
      <c r="AD41" s="564" t="str">
        <f t="shared" si="1"/>
        <v>5.5.21</v>
      </c>
      <c r="AE41" s="645">
        <f>535986069.98/762904408.94</f>
        <v>0.70255993240976744</v>
      </c>
      <c r="AF41" s="645"/>
      <c r="AG41" s="645"/>
      <c r="AH41" s="645">
        <f>1213705155.84/1455297909.54</f>
        <v>0.83399086048549043</v>
      </c>
      <c r="AI41" s="645"/>
      <c r="AJ41" s="645"/>
      <c r="AK41" s="645"/>
      <c r="AL41" s="645"/>
      <c r="AM41" s="645"/>
      <c r="AN41" s="645"/>
      <c r="AO41" s="645"/>
      <c r="AP41" s="645"/>
      <c r="AQ41" s="535" t="s">
        <v>1156</v>
      </c>
      <c r="AR41" s="565" t="s">
        <v>26</v>
      </c>
    </row>
    <row r="42" spans="1:44" ht="86.25" customHeight="1" x14ac:dyDescent="0.2">
      <c r="A42" s="10" t="str">
        <f t="shared" si="0"/>
        <v>5.5.22</v>
      </c>
      <c r="B42" s="403" t="str">
        <f>'PAI 2022 - V3'!A44</f>
        <v>8. Trabajo decente y crecimiento económico.
16. Paz, justicia e instituciones sólidas.</v>
      </c>
      <c r="C42" s="399" t="str">
        <f>'PAI 2022 - V3'!B44</f>
        <v>Propósito 5
Logro de ciudad: 30</v>
      </c>
      <c r="D42" s="399" t="str">
        <f>'PAI 2022 - V3'!C44</f>
        <v>Gestión presupuestal y eficiencia del gasto público.</v>
      </c>
      <c r="E42" s="401" t="str">
        <f>'PAI 2022 - V3'!D44</f>
        <v>OE_5</v>
      </c>
      <c r="F42" s="399" t="str">
        <f>'PAI 2022 - V3'!E44</f>
        <v xml:space="preserve">5. Fortalecer la capacidad organizacional de Capital para ser una empresa transparente, eficiente y sostenible. </v>
      </c>
      <c r="G42" s="399" t="str">
        <f>'PAI 2022 - V3'!F44</f>
        <v>5. Realizar el diagnóstico, diseño e implementación de una estructura administrativa acorde a las necesidades de capital.</v>
      </c>
      <c r="H42" s="401" t="str">
        <f>'PAI 2022 - V3'!G44</f>
        <v>5.5.22</v>
      </c>
      <c r="I42" s="401" t="str">
        <f>'PAI 2022 - V3'!H44</f>
        <v xml:space="preserve">Financiera comunica </v>
      </c>
      <c r="J42" s="399" t="str">
        <f>'PAI 2022 - V3'!I44</f>
        <v xml:space="preserve">Dar a conocer a los colaboradores las diferentes etapas de los procedimientos financieros y temas de interés. </v>
      </c>
      <c r="K42" s="399" t="str">
        <f>'PAI 2022 - V3'!J44</f>
        <v>Gestión de las comunicaciones internas de la subdirección financiera</v>
      </c>
      <c r="L42" s="399" t="str">
        <f>'PAI 2022 - V3'!K44</f>
        <v>1 Eficacia: Cumplimiento de metas</v>
      </c>
      <c r="M42" s="399" t="str">
        <f>'PAI 2022 - V3'!L44</f>
        <v xml:space="preserve">Dar a conocer al interior de la entidad información relevante de los procesos y la gestión financiera. </v>
      </c>
      <c r="N42" s="401" t="str">
        <f>'PAI 2022 - V3'!M44</f>
        <v xml:space="preserve">Numero de piezas comunicativas realizadas </v>
      </c>
      <c r="O42" s="401" t="str">
        <f>'PAI 2022 - V3'!N44</f>
        <v>Numero de piezas comunicativas programadas para la vigencia (11)</v>
      </c>
      <c r="P42" s="401" t="str">
        <f>'PAI 2022 - V3'!O44</f>
        <v>Número (#).</v>
      </c>
      <c r="Q42" s="401" t="str">
        <f>'PAI 2022 - V3'!P44</f>
        <v>2 Constante: Se espera un valor o rango de resultado estable en el tiempo</v>
      </c>
      <c r="R42" s="401">
        <f>'PAI 2022 - V3'!Q44</f>
        <v>5</v>
      </c>
      <c r="S42" s="401">
        <f>'PAI 2022 - V3'!R44</f>
        <v>11</v>
      </c>
      <c r="T42" s="399" t="str">
        <f>'PAI 2022 - V3'!S44</f>
        <v xml:space="preserve">Emitir piezas comunicativas sobres los procesos internos de la Subdirección Financiera. </v>
      </c>
      <c r="U42" s="401">
        <f>'PAI 2022 - V3'!T44</f>
        <v>5</v>
      </c>
      <c r="V42" s="401">
        <f>'PAI 2022 - V3'!U44</f>
        <v>7</v>
      </c>
      <c r="W42" s="401">
        <f>'PAI 2022 - V3'!V44</f>
        <v>9</v>
      </c>
      <c r="X42" s="401">
        <f>'PAI 2022 - V3'!W44</f>
        <v>11</v>
      </c>
      <c r="Y42" s="399" t="str">
        <f>'PAI 2022 - V3'!X44</f>
        <v xml:space="preserve">Suministrar insumo para piezas comunicativas          </v>
      </c>
      <c r="Z42" s="401" t="str">
        <f>'PAI 2022 - V3'!Y44</f>
        <v>Trimestral.</v>
      </c>
      <c r="AA42" s="399" t="str">
        <f>'PAI 2022 - V3'!Z44</f>
        <v>No aplica</v>
      </c>
      <c r="AB42" s="401" t="str">
        <f>'PAI 2022 - V3'!AA44</f>
        <v>Subdirección Financiera</v>
      </c>
      <c r="AC42" s="449" t="str">
        <f>'PAI 2022 - V3'!AB44</f>
        <v>Subdirector Financiero</v>
      </c>
      <c r="AD42" s="564" t="str">
        <f t="shared" si="1"/>
        <v>5.5.22</v>
      </c>
      <c r="AE42" s="645">
        <f>2/2</f>
        <v>1</v>
      </c>
      <c r="AF42" s="645"/>
      <c r="AG42" s="645"/>
      <c r="AH42" s="645">
        <f>3/3</f>
        <v>1</v>
      </c>
      <c r="AI42" s="645"/>
      <c r="AJ42" s="645"/>
      <c r="AK42" s="645"/>
      <c r="AL42" s="645"/>
      <c r="AM42" s="645"/>
      <c r="AN42" s="645"/>
      <c r="AO42" s="645"/>
      <c r="AP42" s="645"/>
      <c r="AQ42" s="535" t="s">
        <v>1157</v>
      </c>
      <c r="AR42" s="565" t="s">
        <v>26</v>
      </c>
    </row>
    <row r="43" spans="1:44" ht="88.5" customHeight="1" x14ac:dyDescent="0.2">
      <c r="A43" s="10" t="str">
        <f t="shared" si="0"/>
        <v>5.6.23</v>
      </c>
      <c r="B43" s="406" t="str">
        <f>'PAI 2022 - V3'!A45</f>
        <v>11. Ciudades y comunidades sostenibles.
17. Alianzas para lograr los objetivos.</v>
      </c>
      <c r="C43" s="407" t="str">
        <f>'PAI 2022 - V3'!B45</f>
        <v>Propósito 5
Logro de ciudad: 30</v>
      </c>
      <c r="D43" s="407" t="str">
        <f>'PAI 2022 - V3'!C45</f>
        <v>Fortalecimiento organizacional y simplificación de procesos.</v>
      </c>
      <c r="E43" s="401" t="str">
        <f>'PAI 2022 - V3'!D45</f>
        <v>OE_5</v>
      </c>
      <c r="F43" s="399" t="str">
        <f>'PAI 2022 - V3'!E45</f>
        <v xml:space="preserve">5. Fortalecer la capacidad organizacional de Capital para ser una empresa transparente, eficiente y sostenible. </v>
      </c>
      <c r="G43" s="399" t="str">
        <f>'PAI 2022 - V3'!F45</f>
        <v>6. Articular los procesos y flujos de trabajo a la estructura de Capital.</v>
      </c>
      <c r="H43" s="401" t="str">
        <f>'PAI 2022 - V3'!G45</f>
        <v>5.6.23</v>
      </c>
      <c r="I43" s="401" t="str">
        <f>'PAI 2022 - V3'!H45</f>
        <v xml:space="preserve">Revisión y actualización, de ser necesario, del Manual de supervisión e interventoría </v>
      </c>
      <c r="J43" s="399" t="str">
        <f>'PAI 2022 - V3'!I45</f>
        <v>Revisar y actualizar, de ser necesario, el Manual de supervisión e interventoría de conformidad con el régimen contractual aplicable a la entidad</v>
      </c>
      <c r="K43" s="399" t="str">
        <f>'PAI 2022 - V3'!J45</f>
        <v>Cumplimiento en la revisión y actualización (si es requerido) del Manual de supervisión e interventoría</v>
      </c>
      <c r="L43" s="399" t="str">
        <f>'PAI 2022 - V3'!K45</f>
        <v>1 Eficacia: Cumplimiento de metas</v>
      </c>
      <c r="M43" s="399" t="str">
        <f>'PAI 2022 - V3'!L45</f>
        <v>Revisar el Manual de supervisión e interventoría y adelantar los ajustes y actualizaciones que se consideren pertinentes y oportunos.</v>
      </c>
      <c r="N43" s="401" t="str">
        <f>'PAI 2022 - V3'!M45</f>
        <v xml:space="preserve">Porcentaje de avance en la revisión y actualización del Manual de supervisión e interventoría </v>
      </c>
      <c r="O43" s="401" t="str">
        <f>'PAI 2022 - V3'!N45</f>
        <v>Porcentaje de avance programado para el manual de supervisión e interventoría para la vigencia.</v>
      </c>
      <c r="P43" s="401" t="str">
        <f>'PAI 2022 - V3'!O45</f>
        <v>Porcentaje (%).</v>
      </c>
      <c r="Q43" s="401" t="str">
        <f>'PAI 2022 - V3'!P45</f>
        <v>1 Creciente: El resultado tiende a crecer en el tiempo</v>
      </c>
      <c r="R43" s="401" t="str">
        <f>'PAI 2022 - V3'!Q45</f>
        <v>No aplica.</v>
      </c>
      <c r="S43" s="20">
        <f>'PAI 2022 - V3'!R45</f>
        <v>1</v>
      </c>
      <c r="T43" s="399" t="str">
        <f>'PAI 2022 - V3'!S45</f>
        <v>Actualizar el Manual de supervisión e interventoría.</v>
      </c>
      <c r="U43" s="20">
        <f>'PAI 2022 - V3'!T45</f>
        <v>0.5</v>
      </c>
      <c r="V43" s="20">
        <f>'PAI 2022 - V3'!U45</f>
        <v>0.6</v>
      </c>
      <c r="W43" s="20">
        <f>'PAI 2022 - V3'!V45</f>
        <v>0.9</v>
      </c>
      <c r="X43" s="20">
        <f>'PAI 2022 - V3'!W45</f>
        <v>1</v>
      </c>
      <c r="Y43" s="399" t="str">
        <f>'PAI 2022 - V3'!X45</f>
        <v>1. Mesas de trabajo con las áreas involucradas en la revisión del Manual de supervisión e interventoría
2. Solicitud de revisión a Planeación del Manual de  supervisión e interventoría
3. Expedición de la resolución de adopción de la nueva versión del Manual de  supervisión e interventoría
4. Socialización de a nueva versión del Manual de  supervisión e interventoría
5. Capacitaciones a las áreas sobre el Manual de supervisión e interventoría</v>
      </c>
      <c r="Z43" s="401" t="str">
        <f>'PAI 2022 - V3'!Y45</f>
        <v>3 Trimestral</v>
      </c>
      <c r="AA43" s="399" t="str">
        <f>'PAI 2022 - V3'!Z45</f>
        <v>No aplica</v>
      </c>
      <c r="AB43" s="401" t="str">
        <f>'PAI 2022 - V3'!AA45</f>
        <v>Secretaría General</v>
      </c>
      <c r="AC43" s="449" t="str">
        <f>'PAI 2022 - V3'!AB45</f>
        <v>Asesor jurídico</v>
      </c>
      <c r="AD43" s="564" t="str">
        <f t="shared" si="1"/>
        <v>5.6.23</v>
      </c>
      <c r="AE43" s="645">
        <f>80/100</f>
        <v>0.8</v>
      </c>
      <c r="AF43" s="645"/>
      <c r="AG43" s="645"/>
      <c r="AH43" s="645">
        <f>90/100</f>
        <v>0.9</v>
      </c>
      <c r="AI43" s="645"/>
      <c r="AJ43" s="645"/>
      <c r="AK43" s="645"/>
      <c r="AL43" s="645"/>
      <c r="AM43" s="645"/>
      <c r="AN43" s="645"/>
      <c r="AO43" s="645"/>
      <c r="AP43" s="645"/>
      <c r="AQ43" s="535" t="s">
        <v>1142</v>
      </c>
      <c r="AR43" s="565" t="s">
        <v>26</v>
      </c>
    </row>
    <row r="44" spans="1:44" ht="192" customHeight="1" x14ac:dyDescent="0.2">
      <c r="A44" s="10" t="str">
        <f t="shared" si="0"/>
        <v>5.6.24</v>
      </c>
      <c r="B44" s="406" t="str">
        <f>'PAI 2022 - V3'!A46</f>
        <v>11. Ciudades y comunidades sostenibles.
17. Alianzas para lograr los objetivos.</v>
      </c>
      <c r="C44" s="407" t="str">
        <f>'PAI 2022 - V3'!B46</f>
        <v>Propósito 5
Logro de ciudad: 30</v>
      </c>
      <c r="D44" s="407" t="str">
        <f>'PAI 2022 - V3'!C46</f>
        <v>Fortalecimiento organizacional y simplificación de procesos.</v>
      </c>
      <c r="E44" s="401" t="str">
        <f>'PAI 2022 - V3'!D46</f>
        <v>OE_5</v>
      </c>
      <c r="F44" s="399" t="str">
        <f>'PAI 2022 - V3'!E46</f>
        <v xml:space="preserve">5. Fortalecer la capacidad organizacional de Capital para ser una empresa transparente, eficiente y sostenible. </v>
      </c>
      <c r="G44" s="399" t="str">
        <f>'PAI 2022 - V3'!F46</f>
        <v>6. Articular los procesos y flujos de trabajo a la estructura de Capital.</v>
      </c>
      <c r="H44" s="401" t="str">
        <f>'PAI 2022 - V3'!G46</f>
        <v>5.6.24</v>
      </c>
      <c r="I44" s="401" t="str">
        <f>'PAI 2022 - V3'!H46</f>
        <v>Actualización de la información sobre procesos disciplinarios.</v>
      </c>
      <c r="J44" s="399" t="str">
        <f>'PAI 2022 - V3'!I46</f>
        <v>Gestionar y mantener actualizada la información sobre procesos disciplinarios en el sistema distrital de información disciplinaria del Distrito Capital.</v>
      </c>
      <c r="K44" s="399" t="str">
        <f>'PAI 2022 - V3'!J46</f>
        <v>Cumplimiento en el cargue y actualización del Sistema distrital de información disciplinaria</v>
      </c>
      <c r="L44" s="399" t="str">
        <f>'PAI 2022 - V3'!K46</f>
        <v>1 Eficacia: Cumplimiento de metas</v>
      </c>
      <c r="M44" s="399" t="str">
        <f>'PAI 2022 - V3'!L46</f>
        <v>Contar con información completa en la plataforma que permita adelantar seguimientos respecto a los procesos disciplinarios que adelanta la entidad.</v>
      </c>
      <c r="N44" s="401" t="str">
        <f>'PAI 2022 - V3'!M46</f>
        <v xml:space="preserve">Número de procesos disciplinarios cargados en el sistema de información </v>
      </c>
      <c r="O44" s="401" t="str">
        <f>'PAI 2022 - V3'!N46</f>
        <v>Número de procesos disciplinarios presentados en la entidad.</v>
      </c>
      <c r="P44" s="401" t="str">
        <f>'PAI 2022 - V3'!O46</f>
        <v>Porcentaje (%).</v>
      </c>
      <c r="Q44" s="401" t="str">
        <f>'PAI 2022 - V3'!P46</f>
        <v>2 Constante: Se espera un valor o rango de resultado estable en el tiempo</v>
      </c>
      <c r="R44" s="401" t="str">
        <f>'PAI 2022 - V3'!Q46</f>
        <v>No aplica.</v>
      </c>
      <c r="S44" s="20">
        <f>'PAI 2022 - V3'!R46</f>
        <v>1</v>
      </c>
      <c r="T44" s="399" t="str">
        <f>'PAI 2022 - V3'!S46</f>
        <v>Mantener actualizado al 100% el sistema de información para los procesos disciplinarios.</v>
      </c>
      <c r="U44" s="20">
        <f>'PAI 2022 - V3'!T46</f>
        <v>0.5</v>
      </c>
      <c r="V44" s="20">
        <f>'PAI 2022 - V3'!U46</f>
        <v>0.6</v>
      </c>
      <c r="W44" s="20">
        <f>'PAI 2022 - V3'!V46</f>
        <v>0.9</v>
      </c>
      <c r="X44" s="20">
        <f>'PAI 2022 - V3'!W46</f>
        <v>1</v>
      </c>
      <c r="Y44" s="399" t="str">
        <f>'PAI 2022 - V3'!X46</f>
        <v>1. Capacitar a los gestores del sistema de información disciplinaria en su uso.
2. Ingresar la información relativa a nuevas quejas disciplinarias.
3. Mantener actualizada la información relacionada con quejas disciplinarias existentes.
4. Hacer seguimiento a la información reportada en el sistema distrital de información disciplinaria frente a los expedientes disciplinarios.
5. Revisar y actualizar los procedimientos internos asociados con los procesos disciplinarios.</v>
      </c>
      <c r="Z44" s="401" t="str">
        <f>'PAI 2022 - V3'!Y46</f>
        <v>3 Trimestral</v>
      </c>
      <c r="AA44" s="399" t="str">
        <f>'PAI 2022 - V3'!Z46</f>
        <v>No aplica</v>
      </c>
      <c r="AB44" s="401" t="str">
        <f>'PAI 2022 - V3'!AA46</f>
        <v>Secretaría General</v>
      </c>
      <c r="AC44" s="449" t="str">
        <f>'PAI 2022 - V3'!AB46</f>
        <v>Profesional Especializada área Jurídica</v>
      </c>
      <c r="AD44" s="564" t="str">
        <f t="shared" si="1"/>
        <v>5.6.24</v>
      </c>
      <c r="AE44" s="645">
        <f>10/100</f>
        <v>0.1</v>
      </c>
      <c r="AF44" s="645"/>
      <c r="AG44" s="645"/>
      <c r="AH44" s="645">
        <f>70/100</f>
        <v>0.7</v>
      </c>
      <c r="AI44" s="645"/>
      <c r="AJ44" s="645"/>
      <c r="AK44" s="645"/>
      <c r="AL44" s="645"/>
      <c r="AM44" s="645"/>
      <c r="AN44" s="645"/>
      <c r="AO44" s="645"/>
      <c r="AP44" s="645"/>
      <c r="AQ44" s="535" t="s">
        <v>1143</v>
      </c>
      <c r="AR44" s="565" t="s">
        <v>26</v>
      </c>
    </row>
    <row r="45" spans="1:44" ht="89.25" customHeight="1" x14ac:dyDescent="0.2">
      <c r="A45" s="10" t="str">
        <f t="shared" si="0"/>
        <v>5.6.25</v>
      </c>
      <c r="B45" s="406" t="str">
        <f>'PAI 2022 - V3'!A47</f>
        <v>11. Ciudades y comunidades sostenibles.
17. Alianzas para lograr los objetivos.</v>
      </c>
      <c r="C45" s="407" t="str">
        <f>'PAI 2022 - V3'!B47</f>
        <v>Propósito 5
Logro de ciudad: 30</v>
      </c>
      <c r="D45" s="407" t="str">
        <f>'PAI 2022 - V3'!C47</f>
        <v>Defensa jurídica.</v>
      </c>
      <c r="E45" s="401" t="str">
        <f>'PAI 2022 - V3'!D47</f>
        <v>OE_5</v>
      </c>
      <c r="F45" s="399" t="str">
        <f>'PAI 2022 - V3'!E47</f>
        <v xml:space="preserve">5. Fortalecer la capacidad organizacional de Capital para ser una empresa transparente, eficiente y sostenible. </v>
      </c>
      <c r="G45" s="399" t="str">
        <f>'PAI 2022 - V3'!F47</f>
        <v>6. Articular los procesos y flujos de trabajo a la estructura de Capital.</v>
      </c>
      <c r="H45" s="401" t="str">
        <f>'PAI 2022 - V3'!G47</f>
        <v>5.6.25</v>
      </c>
      <c r="I45" s="401" t="str">
        <f>'PAI 2022 - V3'!H47</f>
        <v>Capacitación en asuntos relacionados con la política de prevención de daño antijurídico.</v>
      </c>
      <c r="J45" s="399" t="str">
        <f>'PAI 2022 - V3'!I47</f>
        <v>Capacitar a los supervisores a fin de evitar  que con sus conductas se generen daños antijurídicos</v>
      </c>
      <c r="K45" s="399" t="str">
        <f>'PAI 2022 - V3'!J47</f>
        <v>Realización de capacitaciones en asuntos relacionados con la política de prevención de daño antijurídico.</v>
      </c>
      <c r="L45" s="399" t="str">
        <f>'PAI 2022 - V3'!K47</f>
        <v>1 Eficacia: Cumplimiento de metas</v>
      </c>
      <c r="M45" s="399" t="str">
        <f>'PAI 2022 - V3'!L47</f>
        <v>Suministrar herramientas para adelantar una adecuada supervisión a fin de evitar daños antijurídicos</v>
      </c>
      <c r="N45" s="401" t="str">
        <f>'PAI 2022 - V3'!M47</f>
        <v>Capacitaciones realizadas</v>
      </c>
      <c r="O45" s="401" t="str">
        <f>'PAI 2022 - V3'!N47</f>
        <v>Capacitaciones programadas</v>
      </c>
      <c r="P45" s="401" t="str">
        <f>'PAI 2022 - V3'!O47</f>
        <v>Número (#).</v>
      </c>
      <c r="Q45" s="401" t="str">
        <f>'PAI 2022 - V3'!P47</f>
        <v>1 Creciente: El resultado tiende a crecer en el tiempo</v>
      </c>
      <c r="R45" s="401" t="str">
        <f>'PAI 2022 - V3'!Q47</f>
        <v>No aplica.</v>
      </c>
      <c r="S45" s="401">
        <f>'PAI 2022 - V3'!R47</f>
        <v>4</v>
      </c>
      <c r="T45" s="399" t="str">
        <f>'PAI 2022 - V3'!S47</f>
        <v>Realizar 4 capacitaciones en el transcurso de la vigencia, orientados a evitar daños antijurídicos</v>
      </c>
      <c r="U45" s="20">
        <f>'PAI 2022 - V3'!T47</f>
        <v>0.5</v>
      </c>
      <c r="V45" s="20">
        <f>'PAI 2022 - V3'!U47</f>
        <v>0.6</v>
      </c>
      <c r="W45" s="20">
        <f>'PAI 2022 - V3'!V47</f>
        <v>0.9</v>
      </c>
      <c r="X45" s="20">
        <f>'PAI 2022 - V3'!W47</f>
        <v>1</v>
      </c>
      <c r="Y45" s="399" t="str">
        <f>'PAI 2022 - V3'!X47</f>
        <v>1. Convocar a  supervisores y apoyos a la supervisión a las capacitaciones
2. Capacitar en asuntos relacionados con la política de prevención de daño antijurídico</v>
      </c>
      <c r="Z45" s="401" t="str">
        <f>'PAI 2022 - V3'!Y47</f>
        <v>3 Trimestral</v>
      </c>
      <c r="AA45" s="399" t="str">
        <f>'PAI 2022 - V3'!Z47</f>
        <v>No aplica</v>
      </c>
      <c r="AB45" s="401" t="str">
        <f>'PAI 2022 - V3'!AA47</f>
        <v>Secretaría General</v>
      </c>
      <c r="AC45" s="449" t="str">
        <f>'PAI 2022 - V3'!AB47</f>
        <v>Profesional Especializada área Jurídica</v>
      </c>
      <c r="AD45" s="564" t="str">
        <f t="shared" si="1"/>
        <v>5.6.25</v>
      </c>
      <c r="AE45" s="645">
        <f>0/4</f>
        <v>0</v>
      </c>
      <c r="AF45" s="645"/>
      <c r="AG45" s="645"/>
      <c r="AH45" s="645">
        <f>0/4</f>
        <v>0</v>
      </c>
      <c r="AI45" s="645"/>
      <c r="AJ45" s="645"/>
      <c r="AK45" s="645"/>
      <c r="AL45" s="645"/>
      <c r="AM45" s="645"/>
      <c r="AN45" s="645"/>
      <c r="AO45" s="645"/>
      <c r="AP45" s="645"/>
      <c r="AQ45" s="535" t="s">
        <v>1144</v>
      </c>
      <c r="AR45" s="565" t="s">
        <v>23</v>
      </c>
    </row>
    <row r="46" spans="1:44" ht="108" customHeight="1" x14ac:dyDescent="0.2">
      <c r="A46" s="10" t="str">
        <f t="shared" si="0"/>
        <v>5.5.26</v>
      </c>
      <c r="B46" s="406" t="str">
        <f>'PAI 2022 - V3'!A48</f>
        <v>16. Paz, justicia e instituciones sólidas.</v>
      </c>
      <c r="C46" s="407" t="str">
        <f>'PAI 2022 - V3'!B48</f>
        <v>Propósito 1
Logro de ciudad: 3
Propósito 3
Logro de ciudad: 23
Propósito 5
Logros de ciudad: 27 - 30</v>
      </c>
      <c r="D46" s="407" t="str">
        <f>'PAI 2022 - V3'!C48</f>
        <v>Servicio al ciudadano
Participación Ciudadana en la Gestión Pública
Racionalización de trámites</v>
      </c>
      <c r="E46" s="401" t="str">
        <f>'PAI 2022 - V3'!D48</f>
        <v>OE_5</v>
      </c>
      <c r="F46" s="399" t="str">
        <f>'PAI 2022 - V3'!E48</f>
        <v xml:space="preserve">5. Fortalecer la capacidad organizacional de Capital para ser una empresa transparente, eficiente y sostenible. </v>
      </c>
      <c r="G46" s="399" t="str">
        <f>'PAI 2022 - V3'!F48</f>
        <v>5. Realizar el diagnóstico, diseño e implementación de una estructura administrativa acorde a las necesidades de capital.</v>
      </c>
      <c r="H46" s="401" t="str">
        <f>'PAI 2022 - V3'!G48</f>
        <v>5.5.26</v>
      </c>
      <c r="I46" s="401" t="str">
        <f>'PAI 2022 - V3'!H48</f>
        <v>Plan de Acción de la Política Institucional de Servicio al Ciudadano.</v>
      </c>
      <c r="J46" s="399" t="str">
        <f>'PAI 2022 - V3'!I48</f>
        <v>Fortalecer y mejorar la atención que se brinda al ciudadano, garantizando la calidad del servicio que presta la entidad.</v>
      </c>
      <c r="K46" s="399" t="str">
        <f>'PAI 2022 - V3'!J48</f>
        <v>Cumplimiento del Plan de Acción de la Política Institucional de Servicio al Ciudadano</v>
      </c>
      <c r="L46" s="399" t="str">
        <f>'PAI 2022 - V3'!K48</f>
        <v>2 Eficiencia: Uso de los recursos.</v>
      </c>
      <c r="M46" s="399" t="str">
        <f>'PAI 2022 - V3'!L48</f>
        <v>Realizar el seguimiento al cumplimiento de las actividades de mejora propuestas en el Plan de Acción.</v>
      </c>
      <c r="N46" s="401" t="str">
        <f>'PAI 2022 - V3'!M48</f>
        <v>Porcentaje de avances de las acciones programadas en el Plan de Acción de Servicio a la Ciudadanía</v>
      </c>
      <c r="O46" s="401" t="str">
        <f>'PAI 2022 - V3'!N48</f>
        <v>Porcentaje programado de acciones del Plan de Acción de Servicio a la Ciudadanía para la vigencia.</v>
      </c>
      <c r="P46" s="401" t="str">
        <f>'PAI 2022 - V3'!O48</f>
        <v>Porcentaje (%)</v>
      </c>
      <c r="Q46" s="401" t="str">
        <f>'PAI 2022 - V3'!P48</f>
        <v>1 Creciente: El resultado tiende a crecer en el tiempo</v>
      </c>
      <c r="R46" s="20">
        <f>'PAI 2022 - V3'!Q48</f>
        <v>1</v>
      </c>
      <c r="S46" s="20">
        <f>'PAI 2022 - V3'!R48</f>
        <v>1</v>
      </c>
      <c r="T46" s="399" t="str">
        <f>'PAI 2022 - V3'!S48</f>
        <v>Dar cumplimiento al 100% de las acciones de mejoras establecidas en el Plan de Acción de la Política Institucional de Servicio al Ciudadano, para la vigencia 2022.</v>
      </c>
      <c r="U46" s="401" t="str">
        <f>'PAI 2022 - V3'!T48</f>
        <v xml:space="preserve"> &lt;30%</v>
      </c>
      <c r="V46" s="401" t="str">
        <f>'PAI 2022 - V3'!U48</f>
        <v>Entre el 30% - 60%</v>
      </c>
      <c r="W46" s="401" t="str">
        <f>'PAI 2022 - V3'!V48</f>
        <v>Entre el 60% - 99%</v>
      </c>
      <c r="X46" s="20">
        <f>'PAI 2022 - V3'!W48</f>
        <v>1</v>
      </c>
      <c r="Y46" s="399" t="str">
        <f>'PAI 2022 - V3'!X48</f>
        <v>1. Seguimiento al cumplimiento de las actividades propuestas. (80%)
2.  Análisis de cumplimiento de expectativas. (20%)</v>
      </c>
      <c r="Z46" s="401" t="str">
        <f>'PAI 2022 - V3'!Y48</f>
        <v>3 Trimestral</v>
      </c>
      <c r="AA46" s="399" t="str">
        <f>'PAI 2022 - V3'!Z48</f>
        <v>No aplica</v>
      </c>
      <c r="AB46" s="401" t="str">
        <f>'PAI 2022 - V3'!AA48</f>
        <v>Secretaría General</v>
      </c>
      <c r="AC46" s="449" t="str">
        <f>'PAI 2022 - V3'!AB48</f>
        <v>Auxiliar de Atención al Ciudadano</v>
      </c>
      <c r="AD46" s="564" t="str">
        <f t="shared" si="1"/>
        <v>5.5.26</v>
      </c>
      <c r="AE46" s="645">
        <v>0</v>
      </c>
      <c r="AF46" s="645"/>
      <c r="AG46" s="645"/>
      <c r="AH46" s="645">
        <f>10/10</f>
        <v>1</v>
      </c>
      <c r="AI46" s="645"/>
      <c r="AJ46" s="645"/>
      <c r="AK46" s="645"/>
      <c r="AL46" s="645"/>
      <c r="AM46" s="645"/>
      <c r="AN46" s="645"/>
      <c r="AO46" s="645"/>
      <c r="AP46" s="645"/>
      <c r="AQ46" s="535" t="s">
        <v>1140</v>
      </c>
      <c r="AR46" s="565" t="s">
        <v>25</v>
      </c>
    </row>
    <row r="47" spans="1:44" ht="85.5" customHeight="1" x14ac:dyDescent="0.2">
      <c r="A47" s="10" t="str">
        <f t="shared" si="0"/>
        <v>5.5.27</v>
      </c>
      <c r="B47" s="406" t="str">
        <f>'PAI 2022 - V3'!A49</f>
        <v>16. Paz, justicia e instituciones sólidas.</v>
      </c>
      <c r="C47" s="407" t="str">
        <f>'PAI 2022 - V3'!B49</f>
        <v>Propósito 1
Logro de ciudad: 3
Propósito 3
Logro de ciudad: 23
Propósito 5
Logros de ciudad: 27 - 30</v>
      </c>
      <c r="D47" s="407" t="str">
        <f>'PAI 2022 - V3'!C49</f>
        <v>Servicio al ciudadano
Participación Ciudadana en la Gestión Pública
Racionalización de trámites</v>
      </c>
      <c r="E47" s="401" t="str">
        <f>'PAI 2022 - V3'!D49</f>
        <v>OE_5</v>
      </c>
      <c r="F47" s="399" t="str">
        <f>'PAI 2022 - V3'!E49</f>
        <v xml:space="preserve">5. Fortalecer la capacidad organizacional de Capital para ser una empresa transparente, eficiente y sostenible. </v>
      </c>
      <c r="G47" s="399" t="str">
        <f>'PAI 2022 - V3'!F49</f>
        <v>5. Realizar el diagnóstico, diseño e implementación de una estructura administrativa acorde a las necesidades de capital.</v>
      </c>
      <c r="H47" s="401" t="str">
        <f>'PAI 2022 - V3'!G49</f>
        <v>5.5.27</v>
      </c>
      <c r="I47" s="401" t="str">
        <f>'PAI 2022 - V3'!H49</f>
        <v>Gestión oportuna de PQRS</v>
      </c>
      <c r="J47" s="399" t="str">
        <f>'PAI 2022 - V3'!I49</f>
        <v>Atender los diferentes requerimientos de los ciudadanos con el apoyo del área competente para satisfacer sus necesidades.</v>
      </c>
      <c r="K47" s="399" t="str">
        <f>'PAI 2022 - V3'!J49</f>
        <v>Porcentaje de respuestas entregadas antes del cumplimiento de los términos de ley</v>
      </c>
      <c r="L47" s="399" t="str">
        <f>'PAI 2022 - V3'!K49</f>
        <v>3 Efectividad: Impacto o beneficios generados.</v>
      </c>
      <c r="M47" s="399" t="str">
        <f>'PAI 2022 - V3'!L49</f>
        <v>Establecer acciones de mejora y tomar decisiones que contribuyan al mejoramiento continuo en la atención y respuesta de PQRS</v>
      </c>
      <c r="N47" s="401" t="str">
        <f>'PAI 2022 - V3'!M49</f>
        <v xml:space="preserve"> Peticiones recibidas durante el mes</v>
      </c>
      <c r="O47" s="401" t="str">
        <f>'PAI 2022 - V3'!N49</f>
        <v>Peticiones respondidas durante el mes antes del cumplimiento de los términos de ley</v>
      </c>
      <c r="P47" s="401" t="str">
        <f>'PAI 2022 - V3'!O49</f>
        <v>Porcentaje (%)</v>
      </c>
      <c r="Q47" s="401" t="str">
        <f>'PAI 2022 - V3'!P49</f>
        <v>2 Constante: Se espera un valor o rango de resultado estable en el tiempo</v>
      </c>
      <c r="R47" s="20">
        <f>'PAI 2022 - V3'!Q49</f>
        <v>1</v>
      </c>
      <c r="S47" s="20">
        <f>'PAI 2022 - V3'!R49</f>
        <v>1</v>
      </c>
      <c r="T47" s="399" t="str">
        <f>'PAI 2022 - V3'!S49</f>
        <v>Gestionar el 100% de las PQRS recibidas en la entidad antes de los tiempos de Ley.</v>
      </c>
      <c r="U47" s="401" t="str">
        <f>'PAI 2022 - V3'!T49</f>
        <v xml:space="preserve"> &lt;30%</v>
      </c>
      <c r="V47" s="401" t="str">
        <f>'PAI 2022 - V3'!U49</f>
        <v>Entre el 30% - 60%</v>
      </c>
      <c r="W47" s="401" t="str">
        <f>'PAI 2022 - V3'!V49</f>
        <v>Entre el 60% - 99%</v>
      </c>
      <c r="X47" s="20">
        <f>'PAI 2022 - V3'!W49</f>
        <v>1</v>
      </c>
      <c r="Y47" s="399" t="str">
        <f>'PAI 2022 - V3'!X49</f>
        <v>Tramitar la totalidad de las PQRS recibidas en la entidad y hacer seguimiento mensual sobre el cumplimiento de las mismas.</v>
      </c>
      <c r="Z47" s="401" t="str">
        <f>'PAI 2022 - V3'!Y49</f>
        <v>1 Mensual</v>
      </c>
      <c r="AA47" s="399" t="str">
        <f>'PAI 2022 - V3'!Z49</f>
        <v>No aplica</v>
      </c>
      <c r="AB47" s="401" t="str">
        <f>'PAI 2022 - V3'!AA49</f>
        <v>Secretaría General</v>
      </c>
      <c r="AC47" s="449" t="str">
        <f>'PAI 2022 - V3'!AB49</f>
        <v>Auxiliar de Atención al Ciudadano</v>
      </c>
      <c r="AD47" s="564" t="str">
        <f t="shared" si="1"/>
        <v>5.5.27</v>
      </c>
      <c r="AE47" s="557">
        <f>24/26</f>
        <v>0.92307692307692313</v>
      </c>
      <c r="AF47" s="557">
        <f>52/57</f>
        <v>0.91228070175438591</v>
      </c>
      <c r="AG47" s="557">
        <f>50/56</f>
        <v>0.8928571428571429</v>
      </c>
      <c r="AH47" s="557">
        <f>39/43</f>
        <v>0.90697674418604646</v>
      </c>
      <c r="AI47" s="557">
        <f>37/45</f>
        <v>0.82222222222222219</v>
      </c>
      <c r="AJ47" s="557">
        <f>28/31</f>
        <v>0.90322580645161288</v>
      </c>
      <c r="AK47" s="557"/>
      <c r="AL47" s="557"/>
      <c r="AM47" s="557"/>
      <c r="AN47" s="557"/>
      <c r="AO47" s="557"/>
      <c r="AP47" s="557"/>
      <c r="AQ47" s="535" t="s">
        <v>1141</v>
      </c>
      <c r="AR47" s="565" t="s">
        <v>25</v>
      </c>
    </row>
    <row r="48" spans="1:44" ht="92.25" customHeight="1" x14ac:dyDescent="0.2">
      <c r="A48" s="10" t="str">
        <f t="shared" si="0"/>
        <v>5.6.28</v>
      </c>
      <c r="B48" s="403" t="str">
        <f>'PAI 2022 - V3'!A50</f>
        <v>11. Ciudades y comunidades sostenibles.
16. Paz, justicia e instituciones sólidas.</v>
      </c>
      <c r="C48" s="399" t="str">
        <f>'PAI 2022 - V3'!B50</f>
        <v>Propósito 5
Logro de ciudad: 30</v>
      </c>
      <c r="D48" s="399" t="str">
        <f>'PAI 2022 - V3'!C50</f>
        <v>Seguimiento y evaluación del desempeño institucional.
Control Interno.</v>
      </c>
      <c r="E48" s="401" t="str">
        <f>'PAI 2022 - V3'!D50</f>
        <v>OE_5</v>
      </c>
      <c r="F48" s="399" t="str">
        <f>'PAI 2022 - V3'!E50</f>
        <v xml:space="preserve">5. Fortalecer la capacidad organizacional de Capital para ser una empresa transparente, eficiente y sostenible. </v>
      </c>
      <c r="G48" s="399" t="str">
        <f>'PAI 2022 - V3'!F50</f>
        <v>6. Articular los procesos y flujos de trabajo a la estructura de Capital.</v>
      </c>
      <c r="H48" s="401" t="str">
        <f>'PAI 2022 - V3'!G50</f>
        <v>5.6.28</v>
      </c>
      <c r="I48" s="401" t="str">
        <f>'PAI 2022 - V3'!H50</f>
        <v>Plan Anual de Auditoría - Aseguramiento y consulta.</v>
      </c>
      <c r="J48" s="399" t="str">
        <f>'PAI 2022 - V3'!I50</f>
        <v>Adelantar actividades de aseguramiento y consultoría de forma objetiva e independiente a los diferentes procesos, proyectos y políticas de Capital buscando generar valor a la entidad.</v>
      </c>
      <c r="K48" s="399" t="str">
        <f>'PAI 2022 - V3'!J50</f>
        <v>Actividades de aseguramiento y Consultoría.</v>
      </c>
      <c r="L48" s="399" t="str">
        <f>'PAI 2022 - V3'!K50</f>
        <v>1 Eficacia: Cumplimiento de metas</v>
      </c>
      <c r="M48" s="399" t="str">
        <f>'PAI 2022 - V3'!L50</f>
        <v>Monitorear el cumplimiento de las actividades establecidas en el Plan Anual de Auditoría.</v>
      </c>
      <c r="N48" s="401" t="str">
        <f>'PAI 2022 - V3'!M50</f>
        <v>Número de actividades cumplidas del Plan Anual de Auditorías a la fecha de reporte del PAI.</v>
      </c>
      <c r="O48" s="401" t="str">
        <f>'PAI 2022 - V3'!N50</f>
        <v>Número de actividades programadas en el Plan Anual de Auditorías a la fecha de corte del PAI.</v>
      </c>
      <c r="P48" s="401" t="str">
        <f>'PAI 2022 - V3'!O50</f>
        <v>Porcentaje (%)</v>
      </c>
      <c r="Q48" s="401" t="str">
        <f>'PAI 2022 - V3'!P50</f>
        <v>2 Constante: Se espera un valor o rango de resultado estable en el tiempo</v>
      </c>
      <c r="R48" s="15">
        <f>'PAI 2022 - V3'!Q50</f>
        <v>0.97</v>
      </c>
      <c r="S48" s="15">
        <f>'PAI 2022 - V3'!R50</f>
        <v>0.96</v>
      </c>
      <c r="T48" s="399" t="str">
        <f>'PAI 2022 - V3'!S50</f>
        <v>Lograr un nivel de cumplimiento cercano al 96% de las actividades programadas en el Plan Anual de Auditorías, conforme a la normatividad vigente aplicable.</v>
      </c>
      <c r="U48" s="401" t="str">
        <f>'PAI 2022 - V3'!T50</f>
        <v>&lt;90%</v>
      </c>
      <c r="V48" s="401" t="str">
        <f>'PAI 2022 - V3'!U50</f>
        <v>90% - 94%</v>
      </c>
      <c r="W48" s="401" t="str">
        <f>'PAI 2022 - V3'!V50</f>
        <v>94% - 96%</v>
      </c>
      <c r="X48" s="401" t="str">
        <f>'PAI 2022 - V3'!W50</f>
        <v>&gt;96%</v>
      </c>
      <c r="Y48" s="399" t="str">
        <f>'PAI 2022 - V3'!X50</f>
        <v>Ejecutar las actividades formuladas en el Plan Anual de Auditoría.</v>
      </c>
      <c r="Z48" s="401" t="str">
        <f>'PAI 2022 - V3'!Y50</f>
        <v>3 Trimestral</v>
      </c>
      <c r="AA48" s="399" t="str">
        <f>'PAI 2022 - V3'!Z50</f>
        <v>No aplica</v>
      </c>
      <c r="AB48" s="401" t="str">
        <f>'PAI 2022 - V3'!AA50</f>
        <v>Control Interno</v>
      </c>
      <c r="AC48" s="449" t="str">
        <f>'PAI 2022 - V3'!AB50</f>
        <v>Contratista Profesional Oficina de Control Interno</v>
      </c>
      <c r="AD48" s="564" t="str">
        <f t="shared" si="1"/>
        <v>5.6.28</v>
      </c>
      <c r="AE48" s="645">
        <f>56/56</f>
        <v>1</v>
      </c>
      <c r="AF48" s="645"/>
      <c r="AG48" s="645"/>
      <c r="AH48" s="645">
        <f>51/51</f>
        <v>1</v>
      </c>
      <c r="AI48" s="645"/>
      <c r="AJ48" s="645"/>
      <c r="AK48" s="645"/>
      <c r="AL48" s="645"/>
      <c r="AM48" s="645"/>
      <c r="AN48" s="645"/>
      <c r="AO48" s="645"/>
      <c r="AP48" s="645"/>
      <c r="AQ48" s="535" t="s">
        <v>1151</v>
      </c>
      <c r="AR48" s="565" t="s">
        <v>26</v>
      </c>
    </row>
    <row r="49" spans="1:45" ht="90.75" customHeight="1" x14ac:dyDescent="0.2">
      <c r="A49" s="10" t="str">
        <f t="shared" si="0"/>
        <v>5.6.29</v>
      </c>
      <c r="B49" s="403" t="str">
        <f>'PAI 2022 - V3'!A51</f>
        <v>11. Ciudades y comunidades sostenibles.
16. Paz, justicia e instituciones sólidas.</v>
      </c>
      <c r="C49" s="399" t="str">
        <f>'PAI 2022 - V3'!B51</f>
        <v>Propósito 5
Logro de ciudad: 30</v>
      </c>
      <c r="D49" s="399" t="str">
        <f>'PAI 2022 - V3'!C51</f>
        <v>Seguimiento y evaluación del desempeño institucional.
Control Interno.</v>
      </c>
      <c r="E49" s="401" t="str">
        <f>'PAI 2022 - V3'!D51</f>
        <v>OE_5</v>
      </c>
      <c r="F49" s="399" t="str">
        <f>'PAI 2022 - V3'!E51</f>
        <v xml:space="preserve">5. Fortalecer la capacidad organizacional de Capital para ser una empresa transparente, eficiente y sostenible. </v>
      </c>
      <c r="G49" s="399" t="str">
        <f>'PAI 2022 - V3'!F51</f>
        <v>6. Articular los procesos y flujos de trabajo a la estructura de Capital.</v>
      </c>
      <c r="H49" s="401" t="str">
        <f>'PAI 2022 - V3'!G51</f>
        <v>5.6.29</v>
      </c>
      <c r="I49" s="401" t="str">
        <f>'PAI 2022 - V3'!H51</f>
        <v>Plan Anual de Auditoría - Plan de mejoramiento por procesos.</v>
      </c>
      <c r="J49" s="399" t="str">
        <f>'PAI 2022 - V3'!I51</f>
        <v>Adelantar actividades de aseguramiento y consultoría de forma objetiva e independiente a los diferentes procesos, proyectos y políticas de Capital buscando generar valor a la entidad.</v>
      </c>
      <c r="K49" s="399" t="str">
        <f>'PAI 2022 - V3'!J51</f>
        <v>Cumplimiento plan de mejoramiento por procesos</v>
      </c>
      <c r="L49" s="399" t="str">
        <f>'PAI 2022 - V3'!K51</f>
        <v>1 Eficacia: Cumplimiento de metas</v>
      </c>
      <c r="M49" s="399" t="str">
        <f>'PAI 2022 - V3'!L51</f>
        <v>Monitorear el cumplimiento de las actividades formuladas en el Plan de Mejoramiento por Procesos (PMP)</v>
      </c>
      <c r="N49" s="401" t="str">
        <f>'PAI 2022 - V3'!M51</f>
        <v>Número de acciones cumplidas con fecha vencida del Plan de Mejoramiento por procesos a la fecha de reporte del PAI.</v>
      </c>
      <c r="O49" s="401" t="str">
        <f>'PAI 2022 - V3'!N51</f>
        <v>Número de acciones vencidas con estado abierto del Plan de Mejoramiento por procesos a la fecha de reporte del PAI.</v>
      </c>
      <c r="P49" s="401" t="str">
        <f>'PAI 2022 - V3'!O51</f>
        <v>Porcentaje (%)</v>
      </c>
      <c r="Q49" s="401" t="str">
        <f>'PAI 2022 - V3'!P51</f>
        <v>2 Constante: Se espera un valor o rango de resultado estable en el tiempo</v>
      </c>
      <c r="R49" s="15">
        <f>'PAI 2022 - V3'!Q51</f>
        <v>0.65</v>
      </c>
      <c r="S49" s="15">
        <f>'PAI 2022 - V3'!R51</f>
        <v>0.65</v>
      </c>
      <c r="T49" s="399" t="str">
        <f>'PAI 2022 - V3'!S51</f>
        <v>Lograr un nivel de avance del 65% en el cierre de las acciones formuladas en el PMP</v>
      </c>
      <c r="U49" s="401" t="str">
        <f>'PAI 2022 - V3'!T51</f>
        <v>&lt;50%</v>
      </c>
      <c r="V49" s="401" t="str">
        <f>'PAI 2022 - V3'!U51</f>
        <v>51% - 59%</v>
      </c>
      <c r="W49" s="401" t="str">
        <f>'PAI 2022 - V3'!V51</f>
        <v>60% - 64%</v>
      </c>
      <c r="X49" s="401" t="str">
        <f>'PAI 2022 - V3'!W51</f>
        <v>&gt;65%</v>
      </c>
      <c r="Y49" s="399" t="str">
        <f>'PAI 2022 - V3'!X51</f>
        <v>Realizar seguimiento a las acciones formuladas en el Plan de Mejoramiento por procesos.</v>
      </c>
      <c r="Z49" s="401" t="str">
        <f>'PAI 2022 - V3'!Y51</f>
        <v>4 Cuatrimestral</v>
      </c>
      <c r="AA49" s="399" t="str">
        <f>'PAI 2022 - V3'!Z51</f>
        <v>La información registrada dependerá del cumplimiento a lo formulado en el Plan por las áreas responsables.</v>
      </c>
      <c r="AB49" s="401" t="str">
        <f>'PAI 2022 - V3'!AA51</f>
        <v>Control Interno</v>
      </c>
      <c r="AC49" s="449" t="str">
        <f>'PAI 2022 - V3'!AB51</f>
        <v>Contratista Profesional Oficina de Control Interno</v>
      </c>
      <c r="AD49" s="564" t="str">
        <f t="shared" si="1"/>
        <v>5.6.29</v>
      </c>
      <c r="AE49" s="645">
        <f>20/58</f>
        <v>0.34482758620689657</v>
      </c>
      <c r="AF49" s="645"/>
      <c r="AG49" s="645"/>
      <c r="AH49" s="645"/>
      <c r="AI49" s="645"/>
      <c r="AJ49" s="645"/>
      <c r="AK49" s="645"/>
      <c r="AL49" s="645"/>
      <c r="AM49" s="645"/>
      <c r="AN49" s="645"/>
      <c r="AO49" s="645"/>
      <c r="AP49" s="645"/>
      <c r="AQ49" s="535" t="s">
        <v>1150</v>
      </c>
      <c r="AR49" s="565" t="s">
        <v>23</v>
      </c>
    </row>
    <row r="50" spans="1:45" ht="96" customHeight="1" x14ac:dyDescent="0.2">
      <c r="A50" s="10" t="str">
        <f t="shared" si="0"/>
        <v>5.6.30</v>
      </c>
      <c r="B50" s="403" t="str">
        <f>'PAI 2022 - V3'!A52</f>
        <v>11. Ciudades y comunidades sostenibles.
16. Paz, justicia e instituciones sólidas.</v>
      </c>
      <c r="C50" s="399" t="str">
        <f>'PAI 2022 - V3'!B52</f>
        <v>Propósito 5
Logro de ciudad: 30</v>
      </c>
      <c r="D50" s="399" t="str">
        <f>'PAI 2022 - V3'!C52</f>
        <v>Seguimiento y evaluación del desempeño institucional.
Control Interno.</v>
      </c>
      <c r="E50" s="401" t="str">
        <f>'PAI 2022 - V3'!D52</f>
        <v>OE_5</v>
      </c>
      <c r="F50" s="399" t="str">
        <f>'PAI 2022 - V3'!E52</f>
        <v xml:space="preserve">5. Fortalecer la capacidad organizacional de Capital para ser una empresa transparente, eficiente y sostenible. </v>
      </c>
      <c r="G50" s="399" t="str">
        <f>'PAI 2022 - V3'!F52</f>
        <v>6. Articular los procesos y flujos de trabajo a la estructura de Capital.</v>
      </c>
      <c r="H50" s="401" t="str">
        <f>'PAI 2022 - V3'!G52</f>
        <v>5.6.30</v>
      </c>
      <c r="I50" s="401" t="str">
        <f>'PAI 2022 - V3'!H52</f>
        <v>Plan Anual de Auditoría - Plan Anticorrupción y de Atención al Ciudadano PAAC.</v>
      </c>
      <c r="J50" s="399" t="str">
        <f>'PAI 2022 - V3'!I52</f>
        <v>Adelantar actividades de aseguramiento y consultoría de forma objetiva e independiente a los diferentes procesos, proyectos y políticas de Capital buscando generar valor a la entidad.</v>
      </c>
      <c r="K50" s="399" t="str">
        <f>'PAI 2022 - V3'!J52</f>
        <v>Cumplimiento de las actividades que se establezcan en el Plan Anticorrupción y de Atención al Ciudadano (PAAC)</v>
      </c>
      <c r="L50" s="399" t="str">
        <f>'PAI 2022 - V3'!K52</f>
        <v>1 Eficacia: Cumplimiento de metas</v>
      </c>
      <c r="M50" s="399" t="str">
        <f>'PAI 2022 - V3'!L52</f>
        <v>Monitorear el cumplimiento de las actividades formuladas en el PAAC.</v>
      </c>
      <c r="N50" s="401" t="str">
        <f>'PAI 2022 - V3'!M52</f>
        <v>Avances en el cumplimiento de las acciones programadas en el Plan Anticorrupción y de Atención al Ciudadano - PAAC</v>
      </c>
      <c r="O50" s="401" t="str">
        <f>'PAI 2022 - V3'!N52</f>
        <v>Total de acciones programadas en el Plan Anticorrupción y de Atención al Ciudadano - PAAC</v>
      </c>
      <c r="P50" s="401" t="str">
        <f>'PAI 2022 - V3'!O52</f>
        <v>Porcentaje (%)</v>
      </c>
      <c r="Q50" s="401" t="str">
        <f>'PAI 2022 - V3'!P52</f>
        <v>1 Creciente: El resultado tiende a crecer en el tiempo</v>
      </c>
      <c r="R50" s="15">
        <f>'PAI 2022 - V3'!Q52</f>
        <v>0.75</v>
      </c>
      <c r="S50" s="15">
        <f>'PAI 2022 - V3'!R52</f>
        <v>0.75</v>
      </c>
      <c r="T50" s="399" t="str">
        <f>'PAI 2022 - V3'!S52</f>
        <v>Lograr un nivel de avance del 75% en el cumplimiento de las acciones formuladas en el PAAC</v>
      </c>
      <c r="U50" s="401" t="str">
        <f>'PAI 2022 - V3'!T52</f>
        <v>&lt;50%</v>
      </c>
      <c r="V50" s="401" t="str">
        <f>'PAI 2022 - V3'!U52</f>
        <v>51% - 59%</v>
      </c>
      <c r="W50" s="401" t="str">
        <f>'PAI 2022 - V3'!V52</f>
        <v>60% - 69%</v>
      </c>
      <c r="X50" s="401" t="str">
        <f>'PAI 2022 - V3'!W52</f>
        <v>&gt;70%</v>
      </c>
      <c r="Y50" s="399" t="str">
        <f>'PAI 2022 - V3'!X52</f>
        <v>Realizar seguimiento a las actividades que se establezcan anualmente en el PAAC.</v>
      </c>
      <c r="Z50" s="401" t="str">
        <f>'PAI 2022 - V3'!Y52</f>
        <v>4 Cuatrimestral</v>
      </c>
      <c r="AA50" s="399" t="str">
        <f>'PAI 2022 - V3'!Z52</f>
        <v>La información registrada dependerá del cumplimiento a lo formulado en el Plan por las áreas responsables.</v>
      </c>
      <c r="AB50" s="401" t="str">
        <f>'PAI 2022 - V3'!AA52</f>
        <v>Control Interno</v>
      </c>
      <c r="AC50" s="449" t="str">
        <f>'PAI 2022 - V3'!AB52</f>
        <v>Contratista Profesional Oficina de Control Interno</v>
      </c>
      <c r="AD50" s="564" t="str">
        <f t="shared" si="1"/>
        <v>5.6.30</v>
      </c>
      <c r="AE50" s="645">
        <f>30/41</f>
        <v>0.73170731707317072</v>
      </c>
      <c r="AF50" s="645"/>
      <c r="AG50" s="645"/>
      <c r="AH50" s="645"/>
      <c r="AI50" s="645"/>
      <c r="AJ50" s="645"/>
      <c r="AK50" s="645"/>
      <c r="AL50" s="645"/>
      <c r="AM50" s="645"/>
      <c r="AN50" s="645"/>
      <c r="AO50" s="645"/>
      <c r="AP50" s="645"/>
      <c r="AQ50" s="535" t="s">
        <v>1149</v>
      </c>
      <c r="AR50" s="565" t="s">
        <v>26</v>
      </c>
    </row>
    <row r="51" spans="1:45" ht="90.75" customHeight="1" x14ac:dyDescent="0.2">
      <c r="A51" s="10" t="str">
        <f t="shared" si="0"/>
        <v>5.6.31</v>
      </c>
      <c r="B51" s="403" t="str">
        <f>'PAI 2022 - V3'!A53</f>
        <v>11. Ciudades y comunidades sostenibles.
16. Paz, justicia e instituciones sólidas.</v>
      </c>
      <c r="C51" s="399" t="str">
        <f>'PAI 2022 - V3'!B53</f>
        <v>Propósito 5
Logro de ciudad: 30</v>
      </c>
      <c r="D51" s="399" t="str">
        <f>'PAI 2022 - V3'!C53</f>
        <v>Seguimiento y evaluación del desempeño institucional.
Control Interno.</v>
      </c>
      <c r="E51" s="401" t="str">
        <f>'PAI 2022 - V3'!D53</f>
        <v>OE_5</v>
      </c>
      <c r="F51" s="399" t="str">
        <f>'PAI 2022 - V3'!E53</f>
        <v xml:space="preserve">5. Fortalecer la capacidad organizacional de Capital para ser una empresa transparente, eficiente y sostenible. </v>
      </c>
      <c r="G51" s="399" t="str">
        <f>'PAI 2022 - V3'!F53</f>
        <v>6. Articular los procesos y flujos de trabajo a la estructura de Capital.</v>
      </c>
      <c r="H51" s="401" t="str">
        <f>'PAI 2022 - V3'!G53</f>
        <v>5.6.31</v>
      </c>
      <c r="I51" s="401" t="str">
        <f>'PAI 2022 - V3'!H53</f>
        <v>Plan Anual de Auditoría - Gestión de Riesgos.</v>
      </c>
      <c r="J51" s="399" t="str">
        <f>'PAI 2022 - V3'!I53</f>
        <v>Adelantar actividades de aseguramiento y consultoría de forma objetiva e independiente a los diferentes procesos, proyectos y políticas de Capital buscando generar valor a la entidad.</v>
      </c>
      <c r="K51" s="399" t="str">
        <f>'PAI 2022 - V3'!J53</f>
        <v>Cumplimiento de las actividades que se establecidas en materia de gestión del riesgo.</v>
      </c>
      <c r="L51" s="399" t="str">
        <f>'PAI 2022 - V3'!K53</f>
        <v>1 Eficacia: Cumplimiento de metas</v>
      </c>
      <c r="M51" s="399" t="str">
        <f>'PAI 2022 - V3'!L53</f>
        <v>Monitorear el cumplimiento de las actividades asociadas a la gestión de riesgos institucionales (Mapa de riesgos y política de administración de riesgos)</v>
      </c>
      <c r="N51" s="401" t="str">
        <f>'PAI 2022 - V3'!M53</f>
        <v xml:space="preserve">Avances en el cumplimiento de las actividades establecidas en materia de gestión del riesgo. </v>
      </c>
      <c r="O51" s="401" t="str">
        <f>'PAI 2022 - V3'!N53</f>
        <v>Total de acciones con seguimiento en la Política de Administración de Riesgos y en los mapas de riesgos por procesos .</v>
      </c>
      <c r="P51" s="401" t="str">
        <f>'PAI 2022 - V3'!O53</f>
        <v>Porcentaje (%)</v>
      </c>
      <c r="Q51" s="401" t="str">
        <f>'PAI 2022 - V3'!P53</f>
        <v>2 Constante: Se espera un valor o rango de resultado estable en el tiempo</v>
      </c>
      <c r="R51" s="15" t="str">
        <f>'PAI 2022 - V3'!Q53</f>
        <v>No aplica</v>
      </c>
      <c r="S51" s="15">
        <f>'PAI 2022 - V3'!R53</f>
        <v>0.65</v>
      </c>
      <c r="T51" s="399" t="str">
        <f>'PAI 2022 - V3'!S53</f>
        <v xml:space="preserve">Lograr un nivel de avance del 65% en el cumplimiento de las acciones con seguimiento de la Política de Administración de riesgo y de los mapas de riesgo institucional. </v>
      </c>
      <c r="U51" s="401" t="str">
        <f>'PAI 2022 - V3'!T53</f>
        <v>&lt;50%</v>
      </c>
      <c r="V51" s="401" t="str">
        <f>'PAI 2022 - V3'!U53</f>
        <v>51% - 59%</v>
      </c>
      <c r="W51" s="401" t="str">
        <f>'PAI 2022 - V3'!V53</f>
        <v>60% - 64%</v>
      </c>
      <c r="X51" s="401" t="str">
        <f>'PAI 2022 - V3'!W53</f>
        <v>&gt;65%</v>
      </c>
      <c r="Y51" s="399" t="str">
        <f>'PAI 2022 - V3'!X53</f>
        <v>Realizar seguimiento a las actividades establecidas en materia de Gestión del riesgo.</v>
      </c>
      <c r="Z51" s="401" t="str">
        <f>'PAI 2022 - V3'!Y53</f>
        <v>4 Cuatrimestral</v>
      </c>
      <c r="AA51" s="399" t="str">
        <f>'PAI 2022 - V3'!Z53</f>
        <v>El reporte del indicador para el 2 y 4 trimestre de la vigencia incluirá el seguimiento a la Política de Administración de Riesgos y Mapas de riesgos de gestión.
La información registrada dependerá del cumplimiento a lo formulado en el Plan por las áreas responsables.</v>
      </c>
      <c r="AB51" s="401" t="str">
        <f>'PAI 2022 - V3'!AA53</f>
        <v>Control Interno</v>
      </c>
      <c r="AC51" s="449" t="str">
        <f>'PAI 2022 - V3'!AB53</f>
        <v>Contratista Profesional Oficina de Control Interno</v>
      </c>
      <c r="AD51" s="564" t="str">
        <f t="shared" si="1"/>
        <v>5.6.31</v>
      </c>
      <c r="AE51" s="645">
        <f>73/79</f>
        <v>0.92405063291139244</v>
      </c>
      <c r="AF51" s="645"/>
      <c r="AG51" s="645"/>
      <c r="AH51" s="645"/>
      <c r="AI51" s="645"/>
      <c r="AJ51" s="645"/>
      <c r="AK51" s="645"/>
      <c r="AL51" s="645"/>
      <c r="AM51" s="645"/>
      <c r="AN51" s="645"/>
      <c r="AO51" s="645"/>
      <c r="AP51" s="645"/>
      <c r="AQ51" s="535" t="s">
        <v>1148</v>
      </c>
      <c r="AR51" s="565" t="s">
        <v>26</v>
      </c>
    </row>
    <row r="52" spans="1:45" ht="87" customHeight="1" x14ac:dyDescent="0.2">
      <c r="A52" s="10" t="str">
        <f t="shared" si="0"/>
        <v>5.6.32</v>
      </c>
      <c r="B52" s="403" t="str">
        <f>'PAI 2022 - V3'!A54</f>
        <v>11. Ciudades y comunidades sostenibles.
16. Paz, justicia e instituciones sólidas.</v>
      </c>
      <c r="C52" s="399" t="str">
        <f>'PAI 2022 - V3'!B54</f>
        <v>Propósito 5
Logro de ciudad: 30</v>
      </c>
      <c r="D52" s="399" t="str">
        <f>'PAI 2022 - V3'!C54</f>
        <v>Seguimiento y evaluación del desempeño institucional.
Control Interno.</v>
      </c>
      <c r="E52" s="401" t="str">
        <f>'PAI 2022 - V3'!D54</f>
        <v>OE_5</v>
      </c>
      <c r="F52" s="399" t="str">
        <f>'PAI 2022 - V3'!E54</f>
        <v xml:space="preserve">5. Fortalecer la capacidad organizacional de Capital para ser una empresa transparente, eficiente y sostenible. </v>
      </c>
      <c r="G52" s="399" t="str">
        <f>'PAI 2022 - V3'!F54</f>
        <v>6. Articular los procesos y flujos de trabajo a la estructura de Capital.</v>
      </c>
      <c r="H52" s="401" t="str">
        <f>'PAI 2022 - V3'!G54</f>
        <v>5.6.32</v>
      </c>
      <c r="I52" s="401" t="str">
        <f>'PAI 2022 - V3'!H54</f>
        <v>Plan Anual de Auditoría - Modificaciones.</v>
      </c>
      <c r="J52" s="399" t="str">
        <f>'PAI 2022 - V3'!I54</f>
        <v>Adelantar actividades de aseguramiento y consultoría de forma objetiva e independiente a los diferentes procesos, proyectos y políticas de Capital buscando generar valor a la entidad.</v>
      </c>
      <c r="K52" s="399" t="str">
        <f>'PAI 2022 - V3'!J54</f>
        <v>Modificaciones al Plan Anual de Auditoría.</v>
      </c>
      <c r="L52" s="399" t="str">
        <f>'PAI 2022 - V3'!K54</f>
        <v>1 Eficacia: Cumplimiento de metas</v>
      </c>
      <c r="M52" s="399" t="str">
        <f>'PAI 2022 - V3'!L54</f>
        <v>Monitorear los cambios efectuados al Plan Anual de Auditoría durante la vigencia.</v>
      </c>
      <c r="N52" s="401" t="str">
        <f>'PAI 2022 - V3'!M54</f>
        <v>Número de actualizaciones aprobadas al Plan Anual de Auditoría</v>
      </c>
      <c r="O52" s="401" t="str">
        <f>'PAI 2022 - V3'!N54</f>
        <v>Número de actualizaciones esperadas (4)</v>
      </c>
      <c r="P52" s="401" t="str">
        <f>'PAI 2022 - V3'!O54</f>
        <v>Porcentaje (%)</v>
      </c>
      <c r="Q52" s="401" t="str">
        <f>'PAI 2022 - V3'!P54</f>
        <v>1 Creciente: El resultado tiende a crecer en el tiempo</v>
      </c>
      <c r="R52" s="15" t="str">
        <f>'PAI 2022 - V3'!Q54</f>
        <v>No aplica</v>
      </c>
      <c r="S52" s="15">
        <f>'PAI 2022 - V3'!R54</f>
        <v>0.25</v>
      </c>
      <c r="T52" s="399" t="str">
        <f>'PAI 2022 - V3'!S54</f>
        <v>Formulación del Plan Anual sin modificaciones a lo largo de la vigencia.</v>
      </c>
      <c r="U52" s="15" t="str">
        <f>'PAI 2022 - V3'!T54</f>
        <v xml:space="preserve"> &gt;= 100%</v>
      </c>
      <c r="V52" s="15" t="str">
        <f>'PAI 2022 - V3'!U54</f>
        <v>&lt;= 75%</v>
      </c>
      <c r="W52" s="15" t="str">
        <f>'PAI 2022 - V3'!V54</f>
        <v>&lt;= 50%</v>
      </c>
      <c r="X52" s="15" t="str">
        <f>'PAI 2022 - V3'!W54</f>
        <v>&lt;= 25%</v>
      </c>
      <c r="Y52" s="399" t="str">
        <f>'PAI 2022 - V3'!X54</f>
        <v xml:space="preserve">Realizar el seguimiento al Plan Anual de Auditoría. </v>
      </c>
      <c r="Z52" s="401" t="str">
        <f>'PAI 2022 - V3'!Y54</f>
        <v>3 Trimestral</v>
      </c>
      <c r="AA52" s="399" t="str">
        <f>'PAI 2022 - V3'!Z54</f>
        <v>La modificación al Plan Anual de Auditoría se realizaría bajo requerimiento de la Alta Dirección y/o requerimiento de entes de control y vigilancia o por alertas emitidas en el seguimiento trimestral de este.</v>
      </c>
      <c r="AB52" s="401" t="str">
        <f>'PAI 2022 - V3'!AA54</f>
        <v>Control Interno</v>
      </c>
      <c r="AC52" s="449" t="str">
        <f>'PAI 2022 - V3'!AB54</f>
        <v>Contratista Profesional Oficina de Control Interno</v>
      </c>
      <c r="AD52" s="564" t="str">
        <f t="shared" si="1"/>
        <v>5.6.32</v>
      </c>
      <c r="AE52" s="645">
        <f>1/1</f>
        <v>1</v>
      </c>
      <c r="AF52" s="645"/>
      <c r="AG52" s="645"/>
      <c r="AH52" s="645">
        <f>1/2</f>
        <v>0.5</v>
      </c>
      <c r="AI52" s="645"/>
      <c r="AJ52" s="645"/>
      <c r="AK52" s="645"/>
      <c r="AL52" s="645"/>
      <c r="AM52" s="645"/>
      <c r="AN52" s="645"/>
      <c r="AO52" s="645"/>
      <c r="AP52" s="645"/>
      <c r="AQ52" s="535" t="s">
        <v>1147</v>
      </c>
      <c r="AR52" s="565" t="s">
        <v>25</v>
      </c>
    </row>
    <row r="53" spans="1:45" ht="88.5" customHeight="1" x14ac:dyDescent="0.2">
      <c r="A53" s="10" t="str">
        <f t="shared" si="0"/>
        <v>5.6.33</v>
      </c>
      <c r="B53" s="403" t="str">
        <f>'PAI 2022 - V3'!A55</f>
        <v>11. Ciudades y comunidades sostenibles.
16. Paz, justicia e instituciones sólidas.</v>
      </c>
      <c r="C53" s="399" t="str">
        <f>'PAI 2022 - V3'!B55</f>
        <v>Propósito 5
Logro de ciudad: 30</v>
      </c>
      <c r="D53" s="399" t="str">
        <f>'PAI 2022 - V3'!C55</f>
        <v>Seguimiento y evaluación del desempeño institucional.
Control Interno.</v>
      </c>
      <c r="E53" s="401" t="str">
        <f>'PAI 2022 - V3'!D55</f>
        <v>OE_5</v>
      </c>
      <c r="F53" s="399" t="str">
        <f>'PAI 2022 - V3'!E55</f>
        <v xml:space="preserve">5. Fortalecer la capacidad organizacional de Capital para ser una empresa transparente, eficiente y sostenible. </v>
      </c>
      <c r="G53" s="399" t="str">
        <f>'PAI 2022 - V3'!F55</f>
        <v>6. Articular los procesos y flujos de trabajo a la estructura de Capital.</v>
      </c>
      <c r="H53" s="401" t="str">
        <f>'PAI 2022 - V3'!G55</f>
        <v>5.6.33</v>
      </c>
      <c r="I53" s="401" t="str">
        <f>'PAI 2022 - V3'!H55</f>
        <v>Plan Anual de Auditoría - Impacto en la mejora de los procesos.</v>
      </c>
      <c r="J53" s="399" t="str">
        <f>'PAI 2022 - V3'!I55</f>
        <v>Adelantar actividades de aseguramiento y consultoría de forma objetiva e independiente a los diferentes procesos, proyectos y políticas de Capital buscando generar valor a la entidad.</v>
      </c>
      <c r="K53" s="399" t="str">
        <f>'PAI 2022 - V3'!J55</f>
        <v xml:space="preserve">Impacto en la mejora de los procesos resultado de las Auditorías Internas </v>
      </c>
      <c r="L53" s="399" t="str">
        <f>'PAI 2022 - V3'!K55</f>
        <v>3 Efectividad: Impacto o beneficios generados.</v>
      </c>
      <c r="M53" s="399" t="str">
        <f>'PAI 2022 - V3'!L55</f>
        <v>Medir el valor generado mediante las Auditorías Internas adelantadas en Capital.</v>
      </c>
      <c r="N53" s="401" t="str">
        <f>'PAI 2022 - V3'!M55</f>
        <v>Sumatoria de los Criterios de la Evaluación de Auditoría.</v>
      </c>
      <c r="O53" s="401" t="str">
        <f>'PAI 2022 - V3'!N55</f>
        <v>Número de criterios Evaluados.</v>
      </c>
      <c r="P53" s="401" t="str">
        <f>'PAI 2022 - V3'!O55</f>
        <v>Número</v>
      </c>
      <c r="Q53" s="401" t="str">
        <f>'PAI 2022 - V3'!P55</f>
        <v>2 Constante: Se espera un valor o rango de resultado estable en el tiempo</v>
      </c>
      <c r="R53" s="15" t="str">
        <f>'PAI 2022 - V3'!Q55</f>
        <v>No aplica</v>
      </c>
      <c r="S53" s="32">
        <f>'PAI 2022 - V3'!R55</f>
        <v>4</v>
      </c>
      <c r="T53" s="399" t="str">
        <f>'PAI 2022 - V3'!S55</f>
        <v>Obtener una calificación promedio de 4 puntos en las Evaluaciones de las Auditorias ejecutadas.</v>
      </c>
      <c r="U53" s="33" t="str">
        <f>'PAI 2022 - V3'!T55</f>
        <v>&lt; 3</v>
      </c>
      <c r="V53" s="33" t="str">
        <f>'PAI 2022 - V3'!U55</f>
        <v>3,1 - 3,5</v>
      </c>
      <c r="W53" s="33" t="str">
        <f>'PAI 2022 - V3'!V55</f>
        <v>3,6 - 3,9</v>
      </c>
      <c r="X53" s="32">
        <f>'PAI 2022 - V3'!W55</f>
        <v>4</v>
      </c>
      <c r="Y53" s="399" t="str">
        <f>'PAI 2022 - V3'!X55</f>
        <v xml:space="preserve">Realizar el seguimiento al Plan Anual de Auditoría. </v>
      </c>
      <c r="Z53" s="401" t="str">
        <f>'PAI 2022 - V3'!Y55</f>
        <v>5 Semestral</v>
      </c>
      <c r="AA53" s="399" t="str">
        <f>'PAI 2022 - V3'!Z55</f>
        <v xml:space="preserve">Los resultados de la auditoría corresponderán a las evaluaciones diligenciadas y remitidas por parte de los líderes de los procesos evaluados. </v>
      </c>
      <c r="AB53" s="401" t="str">
        <f>'PAI 2022 - V3'!AA55</f>
        <v>Control Interno</v>
      </c>
      <c r="AC53" s="449" t="str">
        <f>'PAI 2022 - V3'!AB55</f>
        <v>Contratista Profesional Oficina de Control Interno</v>
      </c>
      <c r="AD53" s="564" t="str">
        <f t="shared" si="1"/>
        <v>5.6.33</v>
      </c>
      <c r="AE53" s="643">
        <f>40/10</f>
        <v>4</v>
      </c>
      <c r="AF53" s="644"/>
      <c r="AG53" s="644"/>
      <c r="AH53" s="644"/>
      <c r="AI53" s="644"/>
      <c r="AJ53" s="644"/>
      <c r="AK53" s="645"/>
      <c r="AL53" s="645"/>
      <c r="AM53" s="645"/>
      <c r="AN53" s="645"/>
      <c r="AO53" s="645"/>
      <c r="AP53" s="645"/>
      <c r="AQ53" s="535" t="s">
        <v>1146</v>
      </c>
      <c r="AR53" s="565" t="s">
        <v>26</v>
      </c>
    </row>
    <row r="54" spans="1:45" ht="20.25" customHeight="1" thickBot="1" x14ac:dyDescent="0.25">
      <c r="A54" s="35"/>
      <c r="B54" s="34"/>
      <c r="C54" s="35"/>
      <c r="D54" s="35"/>
      <c r="E54" s="35" t="str">
        <f t="shared" ref="E54" si="3">IF(F54="","",CONCATENATE("OE_",MID(F54,1,1)))</f>
        <v/>
      </c>
      <c r="F54" s="35"/>
      <c r="G54" s="35"/>
      <c r="H54" s="35"/>
      <c r="I54" s="35"/>
      <c r="J54" s="35"/>
      <c r="K54" s="35"/>
      <c r="L54" s="35"/>
      <c r="M54" s="35"/>
      <c r="N54" s="35"/>
      <c r="O54" s="35"/>
      <c r="P54" s="35"/>
      <c r="Q54" s="35"/>
      <c r="R54" s="35"/>
      <c r="S54" s="35"/>
      <c r="T54" s="35"/>
      <c r="U54" s="35"/>
      <c r="V54" s="35"/>
      <c r="W54" s="35"/>
      <c r="X54" s="35"/>
      <c r="Y54" s="35"/>
      <c r="Z54" s="35"/>
      <c r="AA54" s="35"/>
      <c r="AB54" s="35"/>
      <c r="AC54" s="451"/>
      <c r="AD54" s="34"/>
      <c r="AE54" s="560"/>
      <c r="AF54" s="560"/>
      <c r="AG54" s="560"/>
      <c r="AH54" s="533"/>
      <c r="AI54" s="533"/>
      <c r="AJ54" s="533"/>
      <c r="AK54" s="533"/>
      <c r="AL54" s="533"/>
      <c r="AM54" s="533"/>
      <c r="AN54" s="533"/>
      <c r="AO54" s="533"/>
      <c r="AP54" s="533"/>
      <c r="AQ54" s="566"/>
      <c r="AR54" s="36"/>
    </row>
    <row r="55" spans="1:45" s="2" customFormat="1" ht="19.5" customHeight="1" x14ac:dyDescent="0.2">
      <c r="B55" s="26"/>
      <c r="C55" s="26"/>
      <c r="D55" s="26"/>
      <c r="E55" s="26"/>
      <c r="F55" s="26"/>
      <c r="G55" s="28"/>
      <c r="H55" s="28"/>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453"/>
      <c r="AR55" s="27"/>
      <c r="AS55" s="26"/>
    </row>
    <row r="56" spans="1:45" ht="12.75" hidden="1" x14ac:dyDescent="0.2"/>
    <row r="57" spans="1:45" ht="12.75" hidden="1" x14ac:dyDescent="0.2"/>
  </sheetData>
  <autoFilter ref="A5:AT54" xr:uid="{AE125C49-2F99-4F40-970A-63CCC9F0103C}">
    <filterColumn colId="4" showButton="0"/>
  </autoFilter>
  <mergeCells count="193">
    <mergeCell ref="AQ4:AQ5"/>
    <mergeCell ref="A1:AC1"/>
    <mergeCell ref="AD4:AD5"/>
    <mergeCell ref="AD1:AR1"/>
    <mergeCell ref="N4:O4"/>
    <mergeCell ref="P4:P5"/>
    <mergeCell ref="J19:J20"/>
    <mergeCell ref="AE4:AP4"/>
    <mergeCell ref="AR4:AR5"/>
    <mergeCell ref="B2:AC2"/>
    <mergeCell ref="B4:B5"/>
    <mergeCell ref="C4:C5"/>
    <mergeCell ref="D4:D5"/>
    <mergeCell ref="E4:F5"/>
    <mergeCell ref="G4:G5"/>
    <mergeCell ref="H4:H5"/>
    <mergeCell ref="I4:I5"/>
    <mergeCell ref="AA4:AA5"/>
    <mergeCell ref="AB4:AB5"/>
    <mergeCell ref="AC4:AC5"/>
    <mergeCell ref="AE9:AG9"/>
    <mergeCell ref="AH9:AJ9"/>
    <mergeCell ref="AK9:AM9"/>
    <mergeCell ref="A4:A5"/>
    <mergeCell ref="Y4:Y5"/>
    <mergeCell ref="Z4:Z5"/>
    <mergeCell ref="Q4:Q5"/>
    <mergeCell ref="R4:R5"/>
    <mergeCell ref="S4:T4"/>
    <mergeCell ref="U4:X4"/>
    <mergeCell ref="J4:J5"/>
    <mergeCell ref="K4:K5"/>
    <mergeCell ref="L4:L5"/>
    <mergeCell ref="M4:M5"/>
    <mergeCell ref="AE11:AG11"/>
    <mergeCell ref="AH11:AJ11"/>
    <mergeCell ref="AK11:AM11"/>
    <mergeCell ref="AN11:AP11"/>
    <mergeCell ref="AE6:AG6"/>
    <mergeCell ref="AH6:AJ6"/>
    <mergeCell ref="AK6:AM6"/>
    <mergeCell ref="AN6:AP6"/>
    <mergeCell ref="AE7:AG7"/>
    <mergeCell ref="AH7:AJ7"/>
    <mergeCell ref="AK7:AM7"/>
    <mergeCell ref="AN7:AP7"/>
    <mergeCell ref="AE8:AG8"/>
    <mergeCell ref="AH8:AJ8"/>
    <mergeCell ref="AK8:AM8"/>
    <mergeCell ref="AN8:AP8"/>
    <mergeCell ref="AN9:AP9"/>
    <mergeCell ref="AE14:AG14"/>
    <mergeCell ref="AH14:AJ14"/>
    <mergeCell ref="AK14:AM14"/>
    <mergeCell ref="AN14:AP14"/>
    <mergeCell ref="AE15:AG15"/>
    <mergeCell ref="AH15:AJ15"/>
    <mergeCell ref="AK15:AM15"/>
    <mergeCell ref="AN15:AP15"/>
    <mergeCell ref="AN12:AP12"/>
    <mergeCell ref="AK12:AM12"/>
    <mergeCell ref="AH12:AJ12"/>
    <mergeCell ref="AE12:AG12"/>
    <mergeCell ref="AE13:AG13"/>
    <mergeCell ref="AH13:AJ13"/>
    <mergeCell ref="AK13:AM13"/>
    <mergeCell ref="AN13:AP13"/>
    <mergeCell ref="AE19:AG19"/>
    <mergeCell ref="AH19:AJ19"/>
    <mergeCell ref="AK19:AM19"/>
    <mergeCell ref="AN19:AP19"/>
    <mergeCell ref="AE18:AH18"/>
    <mergeCell ref="AI18:AL18"/>
    <mergeCell ref="AM18:AP18"/>
    <mergeCell ref="AE16:AG16"/>
    <mergeCell ref="AH16:AJ16"/>
    <mergeCell ref="AK16:AM16"/>
    <mergeCell ref="AN16:AP16"/>
    <mergeCell ref="AE17:AG17"/>
    <mergeCell ref="AH17:AJ17"/>
    <mergeCell ref="AK17:AM17"/>
    <mergeCell ref="AN17:AP17"/>
    <mergeCell ref="AE22:AG22"/>
    <mergeCell ref="AH22:AJ22"/>
    <mergeCell ref="AK22:AM22"/>
    <mergeCell ref="AN22:AP22"/>
    <mergeCell ref="AE20:AG20"/>
    <mergeCell ref="AH20:AJ20"/>
    <mergeCell ref="AK20:AM20"/>
    <mergeCell ref="AN20:AP20"/>
    <mergeCell ref="AE21:AG21"/>
    <mergeCell ref="AH21:AJ21"/>
    <mergeCell ref="AK21:AM21"/>
    <mergeCell ref="AN21:AP21"/>
    <mergeCell ref="AE26:AG26"/>
    <mergeCell ref="AH26:AJ26"/>
    <mergeCell ref="AK26:AM26"/>
    <mergeCell ref="AN26:AP26"/>
    <mergeCell ref="AE27:AG27"/>
    <mergeCell ref="AH27:AJ27"/>
    <mergeCell ref="AK27:AM27"/>
    <mergeCell ref="AN27:AP27"/>
    <mergeCell ref="AE24:AG24"/>
    <mergeCell ref="AH24:AJ24"/>
    <mergeCell ref="AK24:AM24"/>
    <mergeCell ref="AN24:AP24"/>
    <mergeCell ref="AE25:AG25"/>
    <mergeCell ref="AH25:AJ25"/>
    <mergeCell ref="AK25:AM25"/>
    <mergeCell ref="AN25:AP25"/>
    <mergeCell ref="AE30:AG30"/>
    <mergeCell ref="AH30:AJ30"/>
    <mergeCell ref="AK30:AM30"/>
    <mergeCell ref="AN30:AP30"/>
    <mergeCell ref="AE31:AG31"/>
    <mergeCell ref="AH31:AJ31"/>
    <mergeCell ref="AK31:AM31"/>
    <mergeCell ref="AN31:AP31"/>
    <mergeCell ref="AE28:AG28"/>
    <mergeCell ref="AH28:AJ28"/>
    <mergeCell ref="AK28:AM28"/>
    <mergeCell ref="AN28:AP28"/>
    <mergeCell ref="AE29:AG29"/>
    <mergeCell ref="AH29:AJ29"/>
    <mergeCell ref="AK29:AM29"/>
    <mergeCell ref="AN29:AP29"/>
    <mergeCell ref="AE34:AG34"/>
    <mergeCell ref="AH34:AJ34"/>
    <mergeCell ref="AK34:AM34"/>
    <mergeCell ref="AN34:AP34"/>
    <mergeCell ref="AE35:AG35"/>
    <mergeCell ref="AH35:AJ35"/>
    <mergeCell ref="AK35:AM35"/>
    <mergeCell ref="AN35:AP35"/>
    <mergeCell ref="AE32:AG32"/>
    <mergeCell ref="AH32:AJ32"/>
    <mergeCell ref="AK32:AM32"/>
    <mergeCell ref="AN32:AP32"/>
    <mergeCell ref="AE33:AG33"/>
    <mergeCell ref="AH33:AJ33"/>
    <mergeCell ref="AK33:AM33"/>
    <mergeCell ref="AN33:AP33"/>
    <mergeCell ref="AE41:AG41"/>
    <mergeCell ref="AH41:AJ41"/>
    <mergeCell ref="AK41:AM41"/>
    <mergeCell ref="AN41:AP41"/>
    <mergeCell ref="AE36:AG36"/>
    <mergeCell ref="AH36:AJ36"/>
    <mergeCell ref="AK36:AM36"/>
    <mergeCell ref="AN36:AP36"/>
    <mergeCell ref="AE37:AG37"/>
    <mergeCell ref="AH37:AJ37"/>
    <mergeCell ref="AK37:AM37"/>
    <mergeCell ref="AN37:AP37"/>
    <mergeCell ref="AE44:AG44"/>
    <mergeCell ref="AH44:AJ44"/>
    <mergeCell ref="AK44:AM44"/>
    <mergeCell ref="AN44:AP44"/>
    <mergeCell ref="AE45:AG45"/>
    <mergeCell ref="AH45:AJ45"/>
    <mergeCell ref="AK45:AM45"/>
    <mergeCell ref="AN45:AP45"/>
    <mergeCell ref="AE42:AG42"/>
    <mergeCell ref="AH42:AJ42"/>
    <mergeCell ref="AK42:AM42"/>
    <mergeCell ref="AN42:AP42"/>
    <mergeCell ref="AE43:AG43"/>
    <mergeCell ref="AH43:AJ43"/>
    <mergeCell ref="AK43:AM43"/>
    <mergeCell ref="AN43:AP43"/>
    <mergeCell ref="AE48:AG48"/>
    <mergeCell ref="AH48:AJ48"/>
    <mergeCell ref="AK48:AM48"/>
    <mergeCell ref="AN48:AP48"/>
    <mergeCell ref="AE49:AH49"/>
    <mergeCell ref="AI49:AL49"/>
    <mergeCell ref="AM49:AP49"/>
    <mergeCell ref="AE46:AG46"/>
    <mergeCell ref="AH46:AJ46"/>
    <mergeCell ref="AK46:AM46"/>
    <mergeCell ref="AN46:AP46"/>
    <mergeCell ref="AE53:AJ53"/>
    <mergeCell ref="AK53:AP53"/>
    <mergeCell ref="AE52:AG52"/>
    <mergeCell ref="AH52:AJ52"/>
    <mergeCell ref="AK52:AM52"/>
    <mergeCell ref="AN52:AP52"/>
    <mergeCell ref="AE50:AH50"/>
    <mergeCell ref="AI50:AL50"/>
    <mergeCell ref="AM50:AP50"/>
    <mergeCell ref="AE51:AH51"/>
    <mergeCell ref="AI51:AL51"/>
    <mergeCell ref="AM51:AP51"/>
  </mergeCells>
  <phoneticPr fontId="3" type="noConversion"/>
  <dataValidations count="6">
    <dataValidation type="list" allowBlank="1" showInputMessage="1" showErrorMessage="1" sqref="G54" xr:uid="{5B720F20-6D90-42AD-8124-4B26D7F018D2}">
      <formula1>INDIRECT(E54)</formula1>
    </dataValidation>
    <dataValidation type="list" allowBlank="1" showInputMessage="1" showErrorMessage="1" sqref="F54" xr:uid="{20047961-95ED-4DFD-A0AC-FAAC9EC99CCF}">
      <formula1>OBJETIVOS</formula1>
    </dataValidation>
    <dataValidation type="list" allowBlank="1" showInputMessage="1" showErrorMessage="1" sqref="Z54" xr:uid="{300A559D-9A48-420B-AA22-585CDA070162}">
      <formula1>PERIODICIDAD</formula1>
    </dataValidation>
    <dataValidation type="list" allowBlank="1" showInputMessage="1" showErrorMessage="1" sqref="Q54" xr:uid="{05BA32DB-885F-4BDC-9046-00D31376DB50}">
      <formula1>TENDENCIA</formula1>
    </dataValidation>
    <dataValidation type="list" allowBlank="1" showInputMessage="1" showErrorMessage="1" sqref="L54" xr:uid="{388C32F7-9A26-40D9-9E9A-6A8F88DE6A14}">
      <formula1>TIPO</formula1>
    </dataValidation>
    <dataValidation type="list" allowBlank="1" showInputMessage="1" showErrorMessage="1" sqref="AR6:AR53" xr:uid="{8C3E847D-0971-4315-879E-25EF09E92666}">
      <formula1>Resultados</formula1>
    </dataValidation>
  </dataValidations>
  <printOptions horizontalCentered="1"/>
  <pageMargins left="0.23622047244094491" right="0.15748031496062992" top="0.35" bottom="0.14000000000000001" header="0.19" footer="0.08"/>
  <pageSetup paperSize="5" scale="60" pageOrder="overThenDown"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6" operator="equal" id="{0305BC18-5B4B-4260-B39F-A2C50BDEE609}">
            <xm:f>Listas!$A$23</xm:f>
            <x14:dxf>
              <fill>
                <patternFill>
                  <bgColor rgb="FF00B050"/>
                </patternFill>
              </fill>
            </x14:dxf>
          </x14:cfRule>
          <x14:cfRule type="cellIs" priority="7" operator="equal" id="{A31D286E-B9FC-481B-9F1C-1FE0086E0294}">
            <xm:f>Listas!$A$22</xm:f>
            <x14:dxf>
              <fill>
                <patternFill>
                  <bgColor rgb="FF92D050"/>
                </patternFill>
              </fill>
            </x14:dxf>
          </x14:cfRule>
          <x14:cfRule type="cellIs" priority="8" operator="equal" id="{AA5B273C-0DBA-4AC0-987E-D3E53B309BFB}">
            <xm:f>Listas!$A$21</xm:f>
            <x14:dxf>
              <fill>
                <patternFill>
                  <bgColor rgb="FFFFFF00"/>
                </patternFill>
              </fill>
            </x14:dxf>
          </x14:cfRule>
          <x14:cfRule type="cellIs" priority="9" operator="equal" id="{5F0339F5-7B04-4F61-A68C-4820C19DD3DF}">
            <xm:f>Listas!$A$20</xm:f>
            <x14:dxf>
              <fill>
                <patternFill>
                  <bgColor rgb="FFFF0000"/>
                </patternFill>
              </fill>
            </x14:dxf>
          </x14:cfRule>
          <x14:cfRule type="cellIs" priority="10" operator="equal" id="{3F122486-3D33-4D1E-AF8F-3302C024DF59}">
            <xm:f>Listas!$A$19</xm:f>
            <x14:dxf>
              <fill>
                <patternFill>
                  <bgColor theme="0" tint="-0.14996795556505021"/>
                </patternFill>
              </fill>
            </x14:dxf>
          </x14:cfRule>
          <xm:sqref>AR6:AR53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1E15-76F1-47EF-83ED-316EBD0DE8CD}">
  <sheetPr>
    <pageSetUpPr fitToPage="1"/>
  </sheetPr>
  <dimension ref="A1:O53"/>
  <sheetViews>
    <sheetView showGridLines="0" topLeftCell="A31" zoomScale="85" zoomScaleNormal="85" zoomScaleSheetLayoutView="80" workbookViewId="0">
      <selection activeCell="C35" sqref="C35"/>
    </sheetView>
  </sheetViews>
  <sheetFormatPr baseColWidth="10" defaultColWidth="0" defaultRowHeight="12.75" customHeight="1"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15.75" customHeight="1" x14ac:dyDescent="0.2">
      <c r="A1" s="734"/>
      <c r="B1" s="735"/>
      <c r="C1" s="740" t="s">
        <v>989</v>
      </c>
      <c r="D1" s="740"/>
      <c r="E1" s="740"/>
      <c r="F1" s="740"/>
      <c r="G1" s="740"/>
      <c r="H1" s="740"/>
      <c r="I1" s="740"/>
      <c r="J1" s="743" t="s">
        <v>990</v>
      </c>
      <c r="K1" s="743"/>
      <c r="L1" s="743"/>
      <c r="M1" s="735"/>
      <c r="N1" s="744"/>
    </row>
    <row r="2" spans="1:14" ht="15.75" customHeight="1" x14ac:dyDescent="0.2">
      <c r="A2" s="736"/>
      <c r="B2" s="737"/>
      <c r="C2" s="741"/>
      <c r="D2" s="741"/>
      <c r="E2" s="741"/>
      <c r="F2" s="741"/>
      <c r="G2" s="741"/>
      <c r="H2" s="741"/>
      <c r="I2" s="741"/>
      <c r="J2" s="747" t="s">
        <v>1045</v>
      </c>
      <c r="K2" s="747"/>
      <c r="L2" s="747"/>
      <c r="M2" s="737"/>
      <c r="N2" s="745"/>
    </row>
    <row r="3" spans="1:14" ht="15.75" customHeight="1" x14ac:dyDescent="0.2">
      <c r="A3" s="736"/>
      <c r="B3" s="737"/>
      <c r="C3" s="741"/>
      <c r="D3" s="741"/>
      <c r="E3" s="741"/>
      <c r="F3" s="741"/>
      <c r="G3" s="741"/>
      <c r="H3" s="741"/>
      <c r="I3" s="741"/>
      <c r="J3" s="747" t="s">
        <v>1047</v>
      </c>
      <c r="K3" s="747"/>
      <c r="L3" s="747"/>
      <c r="M3" s="737"/>
      <c r="N3" s="745"/>
    </row>
    <row r="4" spans="1:14" ht="15.75" customHeight="1" thickBot="1" x14ac:dyDescent="0.25">
      <c r="A4" s="738"/>
      <c r="B4" s="739"/>
      <c r="C4" s="742"/>
      <c r="D4" s="742"/>
      <c r="E4" s="742"/>
      <c r="F4" s="742"/>
      <c r="G4" s="742"/>
      <c r="H4" s="742"/>
      <c r="I4" s="742"/>
      <c r="J4" s="748" t="s">
        <v>991</v>
      </c>
      <c r="K4" s="748"/>
      <c r="L4" s="748"/>
      <c r="M4" s="739"/>
      <c r="N4" s="746"/>
    </row>
    <row r="5" spans="1:14" ht="7.5" customHeight="1" thickBot="1" x14ac:dyDescent="0.25"/>
    <row r="6" spans="1:14" ht="40.5" customHeight="1" thickBot="1" x14ac:dyDescent="0.25">
      <c r="A6" s="728" t="s">
        <v>992</v>
      </c>
      <c r="B6" s="729"/>
      <c r="C6" s="730"/>
      <c r="D6" s="731"/>
      <c r="E6" s="413"/>
      <c r="F6" s="414" t="s">
        <v>993</v>
      </c>
      <c r="G6" s="415"/>
      <c r="I6" s="416" t="s">
        <v>994</v>
      </c>
      <c r="J6" s="732" t="str">
        <f>IF(G6="","",VLOOKUP(G6,'Matriz de Seguimiento'!A6:AC53,9,FALSE))</f>
        <v/>
      </c>
      <c r="K6" s="732"/>
      <c r="L6" s="732"/>
      <c r="M6" s="732"/>
      <c r="N6" s="733"/>
    </row>
    <row r="7" spans="1:14" ht="7.5" customHeight="1" thickBot="1" x14ac:dyDescent="0.25">
      <c r="A7" s="417"/>
      <c r="B7" s="417"/>
      <c r="C7" s="418"/>
      <c r="D7" s="418"/>
      <c r="E7" s="413"/>
      <c r="F7" s="417"/>
      <c r="G7" s="418"/>
      <c r="I7" s="419"/>
      <c r="J7" s="420"/>
      <c r="K7" s="420"/>
      <c r="L7" s="420"/>
      <c r="M7" s="420"/>
      <c r="N7" s="420"/>
    </row>
    <row r="8" spans="1:14" ht="60.75" customHeight="1" thickBot="1" x14ac:dyDescent="0.25">
      <c r="A8" s="728" t="s">
        <v>995</v>
      </c>
      <c r="B8" s="729"/>
      <c r="C8" s="732" t="str">
        <f>IF(G6="","",VLOOKUP(G6,'Matriz de Seguimiento'!A6:AC53,28,FALSE))</f>
        <v/>
      </c>
      <c r="D8" s="732"/>
      <c r="E8" s="733"/>
      <c r="G8" s="685" t="s">
        <v>996</v>
      </c>
      <c r="H8" s="686"/>
      <c r="I8" s="732" t="str">
        <f>IF(G6="","",VLOOKUP(G6,'Matriz de Seguimiento'!A6:AC53,29,FALSE))</f>
        <v/>
      </c>
      <c r="J8" s="732"/>
      <c r="K8" s="732"/>
      <c r="L8" s="732"/>
      <c r="M8" s="732"/>
      <c r="N8" s="733"/>
    </row>
    <row r="9" spans="1:14" ht="7.5" customHeight="1" thickBot="1" x14ac:dyDescent="0.25"/>
    <row r="10" spans="1:14" ht="21.75" customHeight="1" thickBot="1" x14ac:dyDescent="0.25">
      <c r="A10" s="685" t="s">
        <v>997</v>
      </c>
      <c r="B10" s="686"/>
      <c r="C10" s="686"/>
      <c r="D10" s="686"/>
      <c r="E10" s="686"/>
      <c r="F10" s="686"/>
      <c r="G10" s="686"/>
      <c r="H10" s="686"/>
      <c r="I10" s="686"/>
      <c r="J10" s="686"/>
      <c r="K10" s="686"/>
      <c r="L10" s="686"/>
      <c r="M10" s="686"/>
      <c r="N10" s="687"/>
    </row>
    <row r="11" spans="1:14" ht="7.5" customHeight="1" thickBot="1" x14ac:dyDescent="0.25">
      <c r="A11" s="421"/>
      <c r="B11" s="421"/>
      <c r="C11" s="421"/>
      <c r="D11" s="421"/>
      <c r="E11" s="421"/>
    </row>
    <row r="12" spans="1:14" ht="45.75" customHeight="1" x14ac:dyDescent="0.2">
      <c r="A12" s="691" t="s">
        <v>998</v>
      </c>
      <c r="B12" s="620"/>
      <c r="C12" s="620"/>
      <c r="D12" s="722"/>
      <c r="E12" s="422"/>
      <c r="F12" s="691" t="s">
        <v>999</v>
      </c>
      <c r="G12" s="620"/>
      <c r="H12" s="620"/>
      <c r="I12" s="722"/>
      <c r="K12" s="691" t="s">
        <v>1000</v>
      </c>
      <c r="L12" s="620"/>
      <c r="M12" s="620"/>
      <c r="N12" s="722"/>
    </row>
    <row r="13" spans="1:14" ht="121.5" customHeight="1" thickBot="1" x14ac:dyDescent="0.25">
      <c r="A13" s="725" t="str">
        <f>IF(G6="","",VLOOKUP(G6,'Matriz de Seguimiento'!A6:AC53,2,FALSE))</f>
        <v/>
      </c>
      <c r="B13" s="726"/>
      <c r="C13" s="726"/>
      <c r="D13" s="727"/>
      <c r="E13" s="422"/>
      <c r="F13" s="725" t="str">
        <f>IF(G6="","",VLOOKUP(G6,'Matriz de Seguimiento'!A6:AC53,3,FALSE))</f>
        <v/>
      </c>
      <c r="G13" s="726"/>
      <c r="H13" s="726"/>
      <c r="I13" s="727"/>
      <c r="K13" s="725" t="str">
        <f>IF(G6="","",VLOOKUP(G6,'Matriz de Seguimiento'!A6:AC53,4,FALSE))</f>
        <v/>
      </c>
      <c r="L13" s="726"/>
      <c r="M13" s="726"/>
      <c r="N13" s="727"/>
    </row>
    <row r="14" spans="1:14" ht="7.5" customHeight="1" thickBot="1" x14ac:dyDescent="0.25">
      <c r="C14" s="422"/>
      <c r="D14" s="422"/>
      <c r="E14" s="422"/>
    </row>
    <row r="15" spans="1:14" ht="21.75" customHeight="1" thickBot="1" x14ac:dyDescent="0.25">
      <c r="A15" s="685" t="s">
        <v>1001</v>
      </c>
      <c r="B15" s="686"/>
      <c r="C15" s="686"/>
      <c r="D15" s="686"/>
      <c r="E15" s="686"/>
      <c r="F15" s="686"/>
      <c r="G15" s="686"/>
      <c r="H15" s="686"/>
      <c r="I15" s="686"/>
      <c r="J15" s="686"/>
      <c r="K15" s="686"/>
      <c r="L15" s="686"/>
      <c r="M15" s="686"/>
      <c r="N15" s="687"/>
    </row>
    <row r="16" spans="1:14" ht="7.5" customHeight="1" thickBot="1" x14ac:dyDescent="0.25">
      <c r="A16" s="421"/>
      <c r="B16" s="421"/>
      <c r="C16" s="421"/>
      <c r="D16" s="421"/>
      <c r="E16" s="421"/>
    </row>
    <row r="17" spans="1:14" ht="35.25" customHeight="1" x14ac:dyDescent="0.2">
      <c r="A17" s="691" t="s">
        <v>1</v>
      </c>
      <c r="B17" s="620"/>
      <c r="C17" s="722"/>
      <c r="D17" s="723" t="str">
        <f>IF(G6="","",VLOOKUP(G6,'Matriz de Seguimiento'!A6:AC53,6,FALSE))</f>
        <v/>
      </c>
      <c r="E17" s="611"/>
      <c r="F17" s="611"/>
      <c r="G17" s="611"/>
      <c r="H17" s="611"/>
      <c r="I17" s="611"/>
      <c r="J17" s="611"/>
      <c r="K17" s="611"/>
      <c r="L17" s="611"/>
      <c r="M17" s="611"/>
      <c r="N17" s="612"/>
    </row>
    <row r="18" spans="1:14" ht="35.25" customHeight="1" x14ac:dyDescent="0.2">
      <c r="A18" s="678" t="s">
        <v>796</v>
      </c>
      <c r="B18" s="679"/>
      <c r="C18" s="704"/>
      <c r="D18" s="705" t="str">
        <f>IF(G6="","",VLOOKUP(G6,'Matriz de Seguimiento'!A6:AC53,7,FALSE))</f>
        <v/>
      </c>
      <c r="E18" s="616"/>
      <c r="F18" s="616"/>
      <c r="G18" s="616"/>
      <c r="H18" s="616"/>
      <c r="I18" s="616"/>
      <c r="J18" s="616"/>
      <c r="K18" s="616"/>
      <c r="L18" s="616"/>
      <c r="M18" s="616"/>
      <c r="N18" s="617"/>
    </row>
    <row r="19" spans="1:14" ht="35.25" customHeight="1" thickBot="1" x14ac:dyDescent="0.25">
      <c r="A19" s="680" t="s">
        <v>2</v>
      </c>
      <c r="B19" s="621"/>
      <c r="C19" s="721"/>
      <c r="D19" s="724" t="str">
        <f>IF(G6="","",VLOOKUP(G6,'Matriz de Seguimiento'!A6:AC53,9,FALSE))</f>
        <v/>
      </c>
      <c r="E19" s="618"/>
      <c r="F19" s="618"/>
      <c r="G19" s="618"/>
      <c r="H19" s="618"/>
      <c r="I19" s="618"/>
      <c r="J19" s="618"/>
      <c r="K19" s="618"/>
      <c r="L19" s="618"/>
      <c r="M19" s="618"/>
      <c r="N19" s="619"/>
    </row>
    <row r="20" spans="1:14" ht="7.5" customHeight="1" thickBot="1" x14ac:dyDescent="0.25"/>
    <row r="21" spans="1:14" ht="31.5" customHeight="1" x14ac:dyDescent="0.2">
      <c r="A21" s="691" t="s">
        <v>1043</v>
      </c>
      <c r="B21" s="620"/>
      <c r="C21" s="722"/>
      <c r="D21" s="723" t="str">
        <f>IF(G6="","",VLOOKUP(G6,'Matriz de Seguimiento'!A6:AC53,10,FALSE))</f>
        <v/>
      </c>
      <c r="E21" s="611"/>
      <c r="F21" s="611"/>
      <c r="G21" s="611"/>
      <c r="H21" s="611"/>
      <c r="I21" s="611"/>
      <c r="J21" s="611"/>
      <c r="K21" s="611"/>
      <c r="L21" s="611"/>
      <c r="M21" s="611"/>
      <c r="N21" s="612"/>
    </row>
    <row r="22" spans="1:14" ht="31.5" customHeight="1" x14ac:dyDescent="0.2">
      <c r="A22" s="678" t="s">
        <v>1044</v>
      </c>
      <c r="B22" s="679"/>
      <c r="C22" s="704"/>
      <c r="D22" s="705" t="str">
        <f>IF(G6="","",VLOOKUP(G6,'Matriz de Seguimiento'!A6:AC53,11,FALSE))</f>
        <v/>
      </c>
      <c r="E22" s="616"/>
      <c r="F22" s="616"/>
      <c r="G22" s="616"/>
      <c r="H22" s="616"/>
      <c r="I22" s="616"/>
      <c r="J22" s="616"/>
      <c r="K22" s="616"/>
      <c r="L22" s="616"/>
      <c r="M22" s="616"/>
      <c r="N22" s="617"/>
    </row>
    <row r="23" spans="1:14" ht="47.25" customHeight="1" thickBot="1" x14ac:dyDescent="0.25">
      <c r="A23" s="678" t="s">
        <v>3</v>
      </c>
      <c r="B23" s="679"/>
      <c r="C23" s="704"/>
      <c r="D23" s="705" t="str">
        <f>IF(G6="","",VLOOKUP(G6,'Matriz de Seguimiento'!A6:AC53,13,FALSE))</f>
        <v/>
      </c>
      <c r="E23" s="616"/>
      <c r="F23" s="616"/>
      <c r="G23" s="616"/>
      <c r="H23" s="616"/>
      <c r="I23" s="706"/>
      <c r="J23" s="706"/>
      <c r="K23" s="706"/>
      <c r="L23" s="706"/>
      <c r="M23" s="706"/>
      <c r="N23" s="707"/>
    </row>
    <row r="24" spans="1:14" ht="32.25" customHeight="1" x14ac:dyDescent="0.2">
      <c r="A24" s="678" t="s">
        <v>1002</v>
      </c>
      <c r="B24" s="679"/>
      <c r="C24" s="704"/>
      <c r="D24" s="705" t="str">
        <f>IF(G6="","",VLOOKUP(G6,'Matriz de Seguimiento'!A6:AC53,12,FALSE))</f>
        <v/>
      </c>
      <c r="E24" s="616"/>
      <c r="F24" s="616"/>
      <c r="G24" s="616"/>
      <c r="H24" s="708"/>
      <c r="I24" s="664" t="s">
        <v>27</v>
      </c>
      <c r="J24" s="665"/>
      <c r="K24" s="711" t="s">
        <v>23</v>
      </c>
      <c r="L24" s="712"/>
      <c r="M24" s="709" t="str">
        <f>IF(G6="","",VLOOKUP(G6,'Matriz de Seguimiento'!A6:AC53,21,FALSE))</f>
        <v/>
      </c>
      <c r="N24" s="710"/>
    </row>
    <row r="25" spans="1:14" ht="32.25" customHeight="1" x14ac:dyDescent="0.2">
      <c r="A25" s="678" t="s">
        <v>30</v>
      </c>
      <c r="B25" s="679"/>
      <c r="C25" s="704"/>
      <c r="D25" s="705" t="str">
        <f>IF(G6="","",VLOOKUP(G6,'Matriz de Seguimiento'!A6:AC53,17,FALSE))</f>
        <v/>
      </c>
      <c r="E25" s="616"/>
      <c r="F25" s="616"/>
      <c r="G25" s="616"/>
      <c r="H25" s="708"/>
      <c r="I25" s="666"/>
      <c r="J25" s="667"/>
      <c r="K25" s="713" t="s">
        <v>24</v>
      </c>
      <c r="L25" s="714"/>
      <c r="M25" s="670" t="str">
        <f>IF(G6="","",VLOOKUP(G6,'Matriz de Seguimiento'!A6:AC53,22,FALSE))</f>
        <v/>
      </c>
      <c r="N25" s="671"/>
    </row>
    <row r="26" spans="1:14" ht="32.25" customHeight="1" x14ac:dyDescent="0.2">
      <c r="A26" s="678" t="s">
        <v>1046</v>
      </c>
      <c r="B26" s="679"/>
      <c r="C26" s="704"/>
      <c r="D26" s="658" t="str">
        <f>IF(G6="","",VLOOKUP(G6,'Matriz de Seguimiento'!A6:AC53,20,FALSE))</f>
        <v/>
      </c>
      <c r="E26" s="659"/>
      <c r="F26" s="659"/>
      <c r="G26" s="659"/>
      <c r="H26" s="660"/>
      <c r="I26" s="666"/>
      <c r="J26" s="667"/>
      <c r="K26" s="674" t="s">
        <v>25</v>
      </c>
      <c r="L26" s="675"/>
      <c r="M26" s="670" t="str">
        <f>IF(G6="","",VLOOKUP(G6,'Matriz de Seguimiento'!A6:AC53,23,FALSE))</f>
        <v/>
      </c>
      <c r="N26" s="671"/>
    </row>
    <row r="27" spans="1:14" ht="32.25" customHeight="1" thickBot="1" x14ac:dyDescent="0.25">
      <c r="A27" s="680"/>
      <c r="B27" s="621"/>
      <c r="C27" s="721"/>
      <c r="D27" s="661"/>
      <c r="E27" s="662"/>
      <c r="F27" s="662"/>
      <c r="G27" s="662"/>
      <c r="H27" s="663"/>
      <c r="I27" s="668"/>
      <c r="J27" s="669"/>
      <c r="K27" s="676" t="s">
        <v>26</v>
      </c>
      <c r="L27" s="677"/>
      <c r="M27" s="672" t="str">
        <f>IF(G6="","",VLOOKUP(G6,'Matriz de Seguimiento'!A6:AC53,24,FALSE))</f>
        <v/>
      </c>
      <c r="N27" s="673"/>
    </row>
    <row r="28" spans="1:14" ht="7.5" customHeight="1" thickBot="1" x14ac:dyDescent="0.25">
      <c r="A28" s="417"/>
      <c r="B28" s="417"/>
      <c r="C28" s="417"/>
      <c r="D28" s="423"/>
      <c r="E28" s="423"/>
      <c r="F28" s="423"/>
      <c r="G28" s="423"/>
      <c r="H28" s="423"/>
      <c r="I28" s="423"/>
      <c r="J28" s="423"/>
      <c r="K28" s="423"/>
      <c r="L28" s="423"/>
      <c r="M28" s="423"/>
      <c r="N28" s="423"/>
    </row>
    <row r="29" spans="1:14" ht="172.5" customHeight="1" thickBot="1" x14ac:dyDescent="0.25">
      <c r="A29" s="715" t="s">
        <v>1003</v>
      </c>
      <c r="B29" s="716"/>
      <c r="C29" s="717"/>
      <c r="D29" s="718" t="str">
        <f>IF(G6="","",VLOOKUP(G6,'Matriz de Seguimiento'!A6:AC53,25,FALSE))</f>
        <v/>
      </c>
      <c r="E29" s="719"/>
      <c r="F29" s="719"/>
      <c r="G29" s="719"/>
      <c r="H29" s="720"/>
      <c r="I29" s="631" t="s">
        <v>1004</v>
      </c>
      <c r="J29" s="633"/>
      <c r="K29" s="696" t="str">
        <f>IF(G6="","",VLOOKUP(G6,'Matriz de Seguimiento'!A6:AC53,26,FALSE))</f>
        <v/>
      </c>
      <c r="L29" s="697"/>
      <c r="M29" s="697"/>
      <c r="N29" s="698"/>
    </row>
    <row r="30" spans="1:14" ht="7.5" customHeight="1" thickBot="1" x14ac:dyDescent="0.25"/>
    <row r="31" spans="1:14" ht="21.75" customHeight="1" thickBot="1" x14ac:dyDescent="0.25">
      <c r="A31" s="699" t="s">
        <v>1005</v>
      </c>
      <c r="B31" s="700"/>
      <c r="C31" s="700"/>
      <c r="D31" s="700"/>
      <c r="E31" s="700"/>
      <c r="F31" s="700"/>
      <c r="G31" s="700"/>
      <c r="H31" s="700"/>
      <c r="I31" s="700"/>
      <c r="J31" s="700"/>
      <c r="K31" s="700"/>
      <c r="L31" s="700"/>
      <c r="M31" s="700"/>
      <c r="N31" s="701"/>
    </row>
    <row r="32" spans="1:14" ht="7.5" customHeight="1" thickBot="1" x14ac:dyDescent="0.25">
      <c r="A32" s="421"/>
      <c r="B32" s="421"/>
      <c r="C32" s="421"/>
      <c r="D32" s="421"/>
      <c r="E32" s="421"/>
    </row>
    <row r="33" spans="1:14" s="427" customFormat="1" ht="27.75" customHeight="1" thickBot="1" x14ac:dyDescent="0.3">
      <c r="A33" s="702" t="s">
        <v>1006</v>
      </c>
      <c r="B33" s="703"/>
      <c r="C33" s="424" t="s">
        <v>1007</v>
      </c>
      <c r="D33" s="425" t="s">
        <v>1008</v>
      </c>
      <c r="E33" s="425" t="s">
        <v>1009</v>
      </c>
      <c r="F33" s="425" t="s">
        <v>1010</v>
      </c>
      <c r="G33" s="425" t="s">
        <v>1011</v>
      </c>
      <c r="H33" s="425" t="s">
        <v>1012</v>
      </c>
      <c r="I33" s="425" t="s">
        <v>1013</v>
      </c>
      <c r="J33" s="425" t="s">
        <v>1014</v>
      </c>
      <c r="K33" s="425" t="s">
        <v>1015</v>
      </c>
      <c r="L33" s="425" t="s">
        <v>1016</v>
      </c>
      <c r="M33" s="425" t="s">
        <v>1017</v>
      </c>
      <c r="N33" s="426" t="s">
        <v>1018</v>
      </c>
    </row>
    <row r="34" spans="1:14" ht="83.25" customHeight="1" x14ac:dyDescent="0.2">
      <c r="A34" s="428" t="s">
        <v>28</v>
      </c>
      <c r="B34" s="429" t="str">
        <f>IF(G6="","",VLOOKUP(G6,'Matriz de Seguimiento'!A6:AC53,14,FALSE))</f>
        <v/>
      </c>
      <c r="C34" s="430"/>
      <c r="D34" s="431"/>
      <c r="E34" s="432"/>
      <c r="F34" s="433"/>
      <c r="G34" s="433"/>
      <c r="H34" s="433"/>
      <c r="I34" s="432"/>
      <c r="J34" s="432"/>
      <c r="K34" s="432"/>
      <c r="L34" s="432"/>
      <c r="M34" s="432"/>
      <c r="N34" s="434"/>
    </row>
    <row r="35" spans="1:14" ht="83.25" customHeight="1" thickBot="1" x14ac:dyDescent="0.25">
      <c r="A35" s="435" t="s">
        <v>29</v>
      </c>
      <c r="B35" s="436" t="str">
        <f>IF(G6="","",VLOOKUP(G6,'Matriz de Seguimiento'!A6:AC53,15,FALSE))</f>
        <v/>
      </c>
      <c r="C35" s="437"/>
      <c r="D35" s="438"/>
      <c r="E35" s="439"/>
      <c r="F35" s="440"/>
      <c r="G35" s="440"/>
      <c r="H35" s="440"/>
      <c r="I35" s="439"/>
      <c r="J35" s="439"/>
      <c r="K35" s="439"/>
      <c r="L35" s="439"/>
      <c r="M35" s="439"/>
      <c r="N35" s="441"/>
    </row>
    <row r="36" spans="1:14" ht="42" customHeight="1" thickBot="1" x14ac:dyDescent="0.25">
      <c r="A36" s="683" t="s">
        <v>1019</v>
      </c>
      <c r="B36" s="684"/>
      <c r="C36" s="442"/>
      <c r="D36" s="443"/>
      <c r="E36" s="443"/>
      <c r="F36" s="443"/>
      <c r="G36" s="443"/>
      <c r="H36" s="443"/>
      <c r="I36" s="443"/>
      <c r="J36" s="443"/>
      <c r="K36" s="443"/>
      <c r="L36" s="443"/>
      <c r="M36" s="443"/>
      <c r="N36" s="444"/>
    </row>
    <row r="37" spans="1:14" ht="7.5" customHeight="1" thickBot="1" x14ac:dyDescent="0.25"/>
    <row r="38" spans="1:14" ht="21.75" customHeight="1" thickBot="1" x14ac:dyDescent="0.25">
      <c r="A38" s="685" t="s">
        <v>1020</v>
      </c>
      <c r="B38" s="686"/>
      <c r="C38" s="686"/>
      <c r="D38" s="686"/>
      <c r="E38" s="686"/>
      <c r="F38" s="686"/>
      <c r="G38" s="686"/>
      <c r="H38" s="686"/>
      <c r="I38" s="686"/>
      <c r="J38" s="686"/>
      <c r="K38" s="686"/>
      <c r="L38" s="686"/>
      <c r="M38" s="686"/>
      <c r="N38" s="687"/>
    </row>
    <row r="39" spans="1:14" ht="21.75" customHeight="1" thickBot="1" x14ac:dyDescent="0.25">
      <c r="A39" s="688" t="s">
        <v>1021</v>
      </c>
      <c r="B39" s="689"/>
      <c r="C39" s="689"/>
      <c r="D39" s="689"/>
      <c r="E39" s="689"/>
      <c r="F39" s="689"/>
      <c r="G39" s="689"/>
      <c r="H39" s="689"/>
      <c r="I39" s="689"/>
      <c r="J39" s="689"/>
      <c r="K39" s="689"/>
      <c r="L39" s="689"/>
      <c r="M39" s="689"/>
      <c r="N39" s="690"/>
    </row>
    <row r="40" spans="1:14" ht="7.5" customHeight="1" thickBot="1" x14ac:dyDescent="0.25">
      <c r="A40" s="421"/>
      <c r="B40" s="421"/>
      <c r="C40" s="421"/>
      <c r="D40" s="421"/>
      <c r="E40" s="421"/>
    </row>
    <row r="41" spans="1:14" s="413" customFormat="1" ht="51.75" customHeight="1" x14ac:dyDescent="0.25">
      <c r="A41" s="691" t="s">
        <v>1022</v>
      </c>
      <c r="B41" s="620"/>
      <c r="C41" s="611"/>
      <c r="D41" s="692"/>
      <c r="E41" s="692"/>
      <c r="F41" s="692"/>
      <c r="G41" s="692"/>
      <c r="H41" s="692"/>
      <c r="I41" s="692"/>
      <c r="J41" s="692"/>
      <c r="K41" s="692"/>
      <c r="L41" s="692"/>
      <c r="M41" s="692"/>
      <c r="N41" s="693"/>
    </row>
    <row r="42" spans="1:14" s="413" customFormat="1" ht="51.75" customHeight="1" x14ac:dyDescent="0.25">
      <c r="A42" s="678" t="s">
        <v>1023</v>
      </c>
      <c r="B42" s="679"/>
      <c r="C42" s="616"/>
      <c r="D42" s="694"/>
      <c r="E42" s="694"/>
      <c r="F42" s="694"/>
      <c r="G42" s="694"/>
      <c r="H42" s="694"/>
      <c r="I42" s="694"/>
      <c r="J42" s="694"/>
      <c r="K42" s="694"/>
      <c r="L42" s="694"/>
      <c r="M42" s="694"/>
      <c r="N42" s="695"/>
    </row>
    <row r="43" spans="1:14" s="413" customFormat="1" ht="51.75" customHeight="1" x14ac:dyDescent="0.25">
      <c r="A43" s="678" t="s">
        <v>1024</v>
      </c>
      <c r="B43" s="679"/>
      <c r="C43" s="616"/>
      <c r="D43" s="616"/>
      <c r="E43" s="616"/>
      <c r="F43" s="616"/>
      <c r="G43" s="616"/>
      <c r="H43" s="616"/>
      <c r="I43" s="616"/>
      <c r="J43" s="616"/>
      <c r="K43" s="616"/>
      <c r="L43" s="616"/>
      <c r="M43" s="616"/>
      <c r="N43" s="617"/>
    </row>
    <row r="44" spans="1:14" s="413" customFormat="1" ht="51.75" customHeight="1" thickBot="1" x14ac:dyDescent="0.3">
      <c r="A44" s="680" t="s">
        <v>1025</v>
      </c>
      <c r="B44" s="621"/>
      <c r="C44" s="681"/>
      <c r="D44" s="681"/>
      <c r="E44" s="681"/>
      <c r="F44" s="681"/>
      <c r="G44" s="681"/>
      <c r="H44" s="681"/>
      <c r="I44" s="681"/>
      <c r="J44" s="681"/>
      <c r="K44" s="681"/>
      <c r="L44" s="681"/>
      <c r="M44" s="681"/>
      <c r="N44" s="682"/>
    </row>
    <row r="45" spans="1:14" x14ac:dyDescent="0.2"/>
    <row r="46" spans="1:14" x14ac:dyDescent="0.2"/>
    <row r="47" spans="1:14" x14ac:dyDescent="0.2"/>
    <row r="48" spans="1:14" x14ac:dyDescent="0.2"/>
    <row r="49" x14ac:dyDescent="0.2"/>
    <row r="50" x14ac:dyDescent="0.2"/>
    <row r="51" x14ac:dyDescent="0.2"/>
    <row r="52" ht="12.75" customHeight="1" x14ac:dyDescent="0.2"/>
    <row r="53" ht="12.75" customHeight="1" x14ac:dyDescent="0.2"/>
  </sheetData>
  <mergeCells count="66">
    <mergeCell ref="A1:B4"/>
    <mergeCell ref="C1:I4"/>
    <mergeCell ref="J1:L1"/>
    <mergeCell ref="M1:N4"/>
    <mergeCell ref="J2:L2"/>
    <mergeCell ref="J3:L3"/>
    <mergeCell ref="J4:L4"/>
    <mergeCell ref="A6:B6"/>
    <mergeCell ref="C6:D6"/>
    <mergeCell ref="J6:N6"/>
    <mergeCell ref="A8:B8"/>
    <mergeCell ref="C8:E8"/>
    <mergeCell ref="G8:H8"/>
    <mergeCell ref="I8:N8"/>
    <mergeCell ref="A10:N10"/>
    <mergeCell ref="A12:D12"/>
    <mergeCell ref="F12:I12"/>
    <mergeCell ref="K12:N12"/>
    <mergeCell ref="A13:D13"/>
    <mergeCell ref="F13:I13"/>
    <mergeCell ref="K13:N13"/>
    <mergeCell ref="A21:C21"/>
    <mergeCell ref="D21:N21"/>
    <mergeCell ref="A22:C22"/>
    <mergeCell ref="D22:N22"/>
    <mergeCell ref="A15:N15"/>
    <mergeCell ref="A17:C17"/>
    <mergeCell ref="D17:N17"/>
    <mergeCell ref="A18:C18"/>
    <mergeCell ref="D18:N18"/>
    <mergeCell ref="A19:C19"/>
    <mergeCell ref="D19:N19"/>
    <mergeCell ref="K29:N29"/>
    <mergeCell ref="A31:N31"/>
    <mergeCell ref="A33:B33"/>
    <mergeCell ref="A23:C23"/>
    <mergeCell ref="D23:N23"/>
    <mergeCell ref="A24:C24"/>
    <mergeCell ref="D24:H24"/>
    <mergeCell ref="M24:N24"/>
    <mergeCell ref="K24:L24"/>
    <mergeCell ref="K25:L25"/>
    <mergeCell ref="A29:C29"/>
    <mergeCell ref="D29:H29"/>
    <mergeCell ref="I29:J29"/>
    <mergeCell ref="A25:C25"/>
    <mergeCell ref="D25:H25"/>
    <mergeCell ref="A26:C27"/>
    <mergeCell ref="A43:B43"/>
    <mergeCell ref="C43:N43"/>
    <mergeCell ref="A44:B44"/>
    <mergeCell ref="C44:N44"/>
    <mergeCell ref="A36:B36"/>
    <mergeCell ref="A38:N38"/>
    <mergeCell ref="A39:N39"/>
    <mergeCell ref="A41:B41"/>
    <mergeCell ref="C41:N41"/>
    <mergeCell ref="A42:B42"/>
    <mergeCell ref="C42:N42"/>
    <mergeCell ref="D26:H27"/>
    <mergeCell ref="I24:J27"/>
    <mergeCell ref="M25:N25"/>
    <mergeCell ref="M26:N26"/>
    <mergeCell ref="M27:N27"/>
    <mergeCell ref="K26:L26"/>
    <mergeCell ref="K27:L27"/>
  </mergeCells>
  <dataValidations count="2">
    <dataValidation type="list" allowBlank="1" showInputMessage="1" showErrorMessage="1" sqref="C7" xr:uid="{007DE7F2-6A17-4CCC-96FB-F024ABCFA20E}">
      <formula1>Áreas</formula1>
    </dataValidation>
    <dataValidation type="list" allowBlank="1" showInputMessage="1" showErrorMessage="1" sqref="G6:G7" xr:uid="{1657A4A2-4D2B-4AFF-AF11-F5267B67DDE5}">
      <formula1>INDIRECT($C$6)</formula1>
    </dataValidation>
  </dataValidations>
  <pageMargins left="0.11811023622047245" right="7.874015748031496E-2" top="0.35433070866141736" bottom="0.31496062992125984" header="0.23622047244094491" footer="0.15748031496062992"/>
  <pageSetup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277F7D-70E6-4962-9808-BC8892B6A9BD}">
          <x14:formula1>
            <xm:f>Procesos!$B$3:$B$20</xm:f>
          </x14:formula1>
          <xm:sqref>C6:D6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9777-14E6-47E8-8D31-BAB2FC1A713E}">
  <dimension ref="B2:T20"/>
  <sheetViews>
    <sheetView workbookViewId="0">
      <selection activeCell="I10" sqref="I10"/>
    </sheetView>
  </sheetViews>
  <sheetFormatPr baseColWidth="10" defaultRowHeight="15" x14ac:dyDescent="0.25"/>
  <cols>
    <col min="1" max="1" width="3" customWidth="1"/>
    <col min="2" max="2" width="20.7109375" bestFit="1" customWidth="1"/>
    <col min="3" max="19" width="7.85546875" customWidth="1"/>
  </cols>
  <sheetData>
    <row r="2" spans="2:20" x14ac:dyDescent="0.25">
      <c r="B2" s="445" t="s">
        <v>1026</v>
      </c>
      <c r="C2" s="445" t="s">
        <v>1041</v>
      </c>
      <c r="D2" s="445" t="s">
        <v>888</v>
      </c>
      <c r="E2" s="445" t="s">
        <v>1027</v>
      </c>
      <c r="F2" s="445" t="s">
        <v>1042</v>
      </c>
      <c r="G2" s="445" t="s">
        <v>1028</v>
      </c>
      <c r="H2" s="445" t="s">
        <v>1029</v>
      </c>
      <c r="I2" s="445" t="s">
        <v>1030</v>
      </c>
      <c r="J2" s="445" t="s">
        <v>1031</v>
      </c>
      <c r="K2" s="445" t="s">
        <v>1032</v>
      </c>
      <c r="L2" s="445" t="s">
        <v>1033</v>
      </c>
      <c r="M2" s="445" t="s">
        <v>1034</v>
      </c>
      <c r="N2" s="445" t="s">
        <v>686</v>
      </c>
      <c r="O2" s="445" t="s">
        <v>1035</v>
      </c>
      <c r="P2" s="445" t="s">
        <v>1036</v>
      </c>
      <c r="Q2" s="445" t="s">
        <v>1037</v>
      </c>
      <c r="R2" s="445" t="s">
        <v>1038</v>
      </c>
      <c r="S2" s="445" t="s">
        <v>1039</v>
      </c>
      <c r="T2" s="445" t="s">
        <v>1040</v>
      </c>
    </row>
    <row r="3" spans="2:20" x14ac:dyDescent="0.25">
      <c r="B3" s="445" t="s">
        <v>1041</v>
      </c>
      <c r="C3" s="445" t="s">
        <v>832</v>
      </c>
      <c r="D3" s="445" t="s">
        <v>388</v>
      </c>
      <c r="E3" s="445" t="s">
        <v>378</v>
      </c>
      <c r="F3" s="445" t="s">
        <v>380</v>
      </c>
      <c r="G3" s="445" t="s">
        <v>386</v>
      </c>
      <c r="H3" s="445" t="s">
        <v>381</v>
      </c>
      <c r="I3" s="445" t="s">
        <v>987</v>
      </c>
      <c r="J3" s="445" t="s">
        <v>382</v>
      </c>
      <c r="K3" s="445" t="s">
        <v>398</v>
      </c>
      <c r="L3" s="445" t="s">
        <v>395</v>
      </c>
      <c r="M3" s="445" t="s">
        <v>396</v>
      </c>
      <c r="N3" s="445" t="s">
        <v>383</v>
      </c>
      <c r="O3" s="445" t="s">
        <v>394</v>
      </c>
      <c r="P3" s="445" t="s">
        <v>403</v>
      </c>
      <c r="Q3" s="445" t="s">
        <v>404</v>
      </c>
      <c r="R3" s="445" t="s">
        <v>410</v>
      </c>
      <c r="S3" s="445" t="s">
        <v>413</v>
      </c>
      <c r="T3" s="445" t="s">
        <v>415</v>
      </c>
    </row>
    <row r="4" spans="2:20" x14ac:dyDescent="0.25">
      <c r="B4" s="445" t="s">
        <v>888</v>
      </c>
      <c r="C4" s="445" t="s">
        <v>846</v>
      </c>
      <c r="D4" s="445" t="s">
        <v>389</v>
      </c>
      <c r="E4" s="445" t="s">
        <v>379</v>
      </c>
      <c r="F4" s="445" t="s">
        <v>988</v>
      </c>
      <c r="G4" s="445" t="s">
        <v>387</v>
      </c>
      <c r="H4" s="445"/>
      <c r="I4" s="445"/>
      <c r="J4" s="445"/>
      <c r="K4" s="445" t="s">
        <v>399</v>
      </c>
      <c r="L4" s="445"/>
      <c r="M4" s="445" t="s">
        <v>397</v>
      </c>
      <c r="N4" s="445" t="s">
        <v>384</v>
      </c>
      <c r="O4" s="445"/>
      <c r="Q4" s="445" t="s">
        <v>405</v>
      </c>
      <c r="R4" s="445" t="s">
        <v>411</v>
      </c>
      <c r="S4" s="445" t="s">
        <v>414</v>
      </c>
      <c r="T4" s="445" t="s">
        <v>416</v>
      </c>
    </row>
    <row r="5" spans="2:20" x14ac:dyDescent="0.25">
      <c r="B5" s="445" t="s">
        <v>1027</v>
      </c>
      <c r="C5" s="445" t="s">
        <v>986</v>
      </c>
      <c r="D5" s="445" t="s">
        <v>390</v>
      </c>
      <c r="E5" s="445" t="s">
        <v>392</v>
      </c>
      <c r="F5" s="445"/>
      <c r="G5" s="445"/>
      <c r="H5" s="445"/>
      <c r="I5" s="445"/>
      <c r="J5" s="445"/>
      <c r="K5" s="445" t="s">
        <v>400</v>
      </c>
      <c r="L5" s="445"/>
      <c r="M5" s="445"/>
      <c r="N5" s="445" t="s">
        <v>385</v>
      </c>
      <c r="O5" s="445"/>
      <c r="Q5" s="445" t="s">
        <v>406</v>
      </c>
      <c r="R5" s="445" t="s">
        <v>412</v>
      </c>
      <c r="S5" s="445"/>
      <c r="T5" s="445" t="s">
        <v>417</v>
      </c>
    </row>
    <row r="6" spans="2:20" x14ac:dyDescent="0.25">
      <c r="B6" s="445" t="s">
        <v>1042</v>
      </c>
      <c r="C6" s="445"/>
      <c r="D6" s="445" t="s">
        <v>391</v>
      </c>
      <c r="E6" s="445" t="s">
        <v>393</v>
      </c>
      <c r="F6" s="445"/>
      <c r="G6" s="445"/>
      <c r="H6" s="445"/>
      <c r="I6" s="445"/>
      <c r="J6" s="445"/>
      <c r="K6" s="445" t="s">
        <v>401</v>
      </c>
      <c r="L6" s="445"/>
      <c r="M6" s="445"/>
      <c r="N6" s="445"/>
      <c r="O6" s="445"/>
      <c r="Q6" s="445" t="s">
        <v>407</v>
      </c>
      <c r="R6" s="445"/>
      <c r="S6" s="445"/>
      <c r="T6" s="445" t="s">
        <v>418</v>
      </c>
    </row>
    <row r="7" spans="2:20" x14ac:dyDescent="0.25">
      <c r="B7" s="445" t="s">
        <v>1028</v>
      </c>
      <c r="C7" s="445"/>
      <c r="D7" s="445"/>
      <c r="E7" s="445"/>
      <c r="F7" s="445"/>
      <c r="G7" s="445"/>
      <c r="H7" s="445"/>
      <c r="I7" s="445"/>
      <c r="J7" s="445"/>
      <c r="K7" s="445" t="s">
        <v>402</v>
      </c>
      <c r="L7" s="445"/>
      <c r="M7" s="445"/>
      <c r="N7" s="445"/>
      <c r="O7" s="445"/>
      <c r="Q7" s="445" t="s">
        <v>408</v>
      </c>
      <c r="R7" s="445"/>
      <c r="S7" s="445"/>
      <c r="T7" s="445" t="s">
        <v>419</v>
      </c>
    </row>
    <row r="8" spans="2:20" x14ac:dyDescent="0.25">
      <c r="B8" s="445" t="s">
        <v>1029</v>
      </c>
      <c r="C8" s="445"/>
      <c r="D8" s="445"/>
      <c r="E8" s="445"/>
      <c r="F8" s="445"/>
      <c r="G8" s="445"/>
      <c r="H8" s="445"/>
      <c r="I8" s="445"/>
      <c r="J8" s="445"/>
      <c r="K8" s="445"/>
      <c r="L8" s="445"/>
      <c r="M8" s="445"/>
      <c r="N8" s="445"/>
      <c r="O8" s="445"/>
      <c r="Q8" s="445" t="s">
        <v>409</v>
      </c>
      <c r="R8" s="445"/>
      <c r="S8" s="445"/>
      <c r="T8" s="445" t="s">
        <v>420</v>
      </c>
    </row>
    <row r="9" spans="2:20" x14ac:dyDescent="0.25">
      <c r="B9" s="445" t="s">
        <v>1030</v>
      </c>
      <c r="C9" s="445"/>
      <c r="D9" s="445"/>
      <c r="E9" s="445"/>
      <c r="F9" s="445"/>
      <c r="G9" s="445"/>
      <c r="H9" s="445"/>
      <c r="I9" s="445"/>
      <c r="J9" s="445"/>
      <c r="K9" s="445"/>
      <c r="L9" s="445"/>
      <c r="M9" s="445"/>
      <c r="N9" s="445"/>
      <c r="O9" s="445"/>
      <c r="Q9" s="445"/>
      <c r="R9" s="445"/>
      <c r="S9" s="445"/>
      <c r="T9" s="445"/>
    </row>
    <row r="10" spans="2:20" x14ac:dyDescent="0.25">
      <c r="B10" s="445" t="s">
        <v>1031</v>
      </c>
      <c r="C10" s="445"/>
      <c r="D10" s="445"/>
      <c r="E10" s="445"/>
      <c r="F10" s="445"/>
      <c r="G10" s="445"/>
      <c r="H10" s="445"/>
      <c r="I10" s="445"/>
      <c r="J10" s="445"/>
      <c r="K10" s="445"/>
      <c r="L10" s="445"/>
      <c r="M10" s="445"/>
      <c r="N10" s="445"/>
      <c r="O10" s="445"/>
      <c r="Q10" s="445"/>
      <c r="R10" s="445"/>
      <c r="S10" s="445"/>
      <c r="T10" s="445"/>
    </row>
    <row r="11" spans="2:20" x14ac:dyDescent="0.25">
      <c r="B11" s="445" t="s">
        <v>1032</v>
      </c>
      <c r="C11" s="445"/>
      <c r="D11" s="445"/>
      <c r="E11" s="445"/>
      <c r="F11" s="445"/>
      <c r="G11" s="445"/>
      <c r="H11" s="445"/>
      <c r="I11" s="445"/>
      <c r="J11" s="445"/>
      <c r="K11" s="445"/>
      <c r="L11" s="445"/>
      <c r="M11" s="445"/>
      <c r="N11" s="445"/>
      <c r="O11" s="445"/>
      <c r="Q11" s="445"/>
      <c r="R11" s="445"/>
      <c r="S11" s="445"/>
      <c r="T11" s="445"/>
    </row>
    <row r="12" spans="2:20" x14ac:dyDescent="0.25">
      <c r="B12" s="445" t="s">
        <v>1033</v>
      </c>
      <c r="C12" s="445"/>
      <c r="D12" s="445"/>
      <c r="E12" s="445"/>
      <c r="F12" s="445"/>
      <c r="G12" s="445"/>
      <c r="H12" s="445"/>
      <c r="I12" s="445"/>
      <c r="J12" s="445"/>
      <c r="K12" s="445"/>
      <c r="L12" s="445"/>
      <c r="M12" s="445"/>
      <c r="N12" s="445"/>
      <c r="O12" s="445"/>
      <c r="Q12" s="445"/>
      <c r="R12" s="445"/>
      <c r="S12" s="445"/>
      <c r="T12" s="445"/>
    </row>
    <row r="13" spans="2:20" x14ac:dyDescent="0.25">
      <c r="B13" s="445" t="s">
        <v>1034</v>
      </c>
      <c r="C13" s="445"/>
      <c r="D13" s="445"/>
      <c r="E13" s="445"/>
      <c r="F13" s="445"/>
      <c r="G13" s="445"/>
      <c r="H13" s="445"/>
      <c r="I13" s="445"/>
      <c r="J13" s="445"/>
      <c r="K13" s="445"/>
      <c r="L13" s="445"/>
      <c r="M13" s="445"/>
      <c r="N13" s="445"/>
      <c r="O13" s="445"/>
      <c r="Q13" s="445"/>
      <c r="R13" s="445"/>
      <c r="S13" s="445"/>
      <c r="T13" s="445"/>
    </row>
    <row r="14" spans="2:20" x14ac:dyDescent="0.25">
      <c r="B14" s="445" t="s">
        <v>686</v>
      </c>
      <c r="C14" s="445"/>
      <c r="D14" s="445"/>
      <c r="E14" s="445"/>
      <c r="F14" s="445"/>
      <c r="G14" s="445"/>
      <c r="H14" s="445"/>
      <c r="I14" s="445"/>
      <c r="J14" s="445"/>
      <c r="K14" s="445"/>
      <c r="L14" s="445"/>
      <c r="M14" s="445"/>
      <c r="N14" s="445"/>
      <c r="O14" s="445"/>
      <c r="Q14" s="445"/>
      <c r="R14" s="445"/>
      <c r="S14" s="445"/>
      <c r="T14" s="445"/>
    </row>
    <row r="15" spans="2:20" x14ac:dyDescent="0.25">
      <c r="B15" s="445" t="s">
        <v>1035</v>
      </c>
      <c r="C15" s="445"/>
      <c r="D15" s="445"/>
      <c r="E15" s="445"/>
      <c r="F15" s="445"/>
      <c r="G15" s="445"/>
      <c r="H15" s="445"/>
      <c r="I15" s="445"/>
      <c r="J15" s="445"/>
      <c r="K15" s="445"/>
      <c r="L15" s="445"/>
      <c r="M15" s="445"/>
      <c r="N15" s="445"/>
      <c r="O15" s="445"/>
      <c r="Q15" s="445"/>
      <c r="R15" s="445"/>
      <c r="S15" s="445"/>
      <c r="T15" s="445"/>
    </row>
    <row r="16" spans="2:20" x14ac:dyDescent="0.25">
      <c r="B16" s="445" t="s">
        <v>1036</v>
      </c>
      <c r="C16" s="445"/>
      <c r="D16" s="445"/>
      <c r="E16" s="445"/>
      <c r="F16" s="445"/>
      <c r="G16" s="445"/>
      <c r="H16" s="445"/>
      <c r="I16" s="445"/>
      <c r="J16" s="445"/>
      <c r="K16" s="445"/>
      <c r="L16" s="445"/>
      <c r="M16" s="445"/>
      <c r="N16" s="445"/>
      <c r="O16" s="445"/>
      <c r="P16" s="445"/>
      <c r="Q16" s="445"/>
      <c r="R16" s="445"/>
      <c r="S16" s="445"/>
      <c r="T16" s="445"/>
    </row>
    <row r="17" spans="2:20" x14ac:dyDescent="0.25">
      <c r="B17" s="445" t="s">
        <v>1037</v>
      </c>
      <c r="C17" s="445"/>
      <c r="D17" s="445"/>
      <c r="E17" s="445"/>
      <c r="F17" s="445"/>
      <c r="G17" s="445"/>
      <c r="H17" s="445"/>
      <c r="I17" s="445"/>
      <c r="J17" s="445"/>
      <c r="K17" s="445"/>
      <c r="L17" s="445"/>
      <c r="M17" s="445"/>
      <c r="N17" s="445"/>
      <c r="O17" s="445"/>
      <c r="P17" s="445"/>
      <c r="Q17" s="445"/>
      <c r="R17" s="445"/>
      <c r="S17" s="445"/>
      <c r="T17" s="445"/>
    </row>
    <row r="18" spans="2:20" x14ac:dyDescent="0.25">
      <c r="B18" s="445" t="s">
        <v>1038</v>
      </c>
      <c r="C18" s="445"/>
      <c r="D18" s="445"/>
      <c r="E18" s="445"/>
      <c r="F18" s="445"/>
      <c r="G18" s="445"/>
      <c r="H18" s="445"/>
      <c r="I18" s="445"/>
      <c r="J18" s="445"/>
      <c r="K18" s="445"/>
      <c r="L18" s="445"/>
      <c r="M18" s="445"/>
      <c r="N18" s="445"/>
      <c r="O18" s="445"/>
      <c r="P18" s="445"/>
      <c r="Q18" s="445"/>
      <c r="R18" s="445"/>
      <c r="S18" s="445"/>
      <c r="T18" s="445"/>
    </row>
    <row r="19" spans="2:20" x14ac:dyDescent="0.25">
      <c r="B19" s="445" t="s">
        <v>1039</v>
      </c>
      <c r="C19" s="445"/>
      <c r="D19" s="445"/>
      <c r="E19" s="445"/>
      <c r="F19" s="445"/>
      <c r="G19" s="445"/>
      <c r="H19" s="445"/>
      <c r="I19" s="445"/>
      <c r="J19" s="445"/>
      <c r="K19" s="445"/>
      <c r="L19" s="445"/>
      <c r="M19" s="445"/>
      <c r="N19" s="445"/>
      <c r="O19" s="445"/>
      <c r="P19" s="445"/>
      <c r="Q19" s="445"/>
      <c r="R19" s="445"/>
      <c r="S19" s="445"/>
      <c r="T19" s="445"/>
    </row>
    <row r="20" spans="2:20" x14ac:dyDescent="0.25">
      <c r="B20" s="445" t="s">
        <v>1040</v>
      </c>
      <c r="C20" s="445"/>
      <c r="D20" s="445"/>
      <c r="E20" s="445"/>
      <c r="F20" s="445"/>
      <c r="G20" s="445"/>
      <c r="H20" s="445"/>
      <c r="I20" s="445"/>
      <c r="J20" s="445"/>
      <c r="K20" s="445"/>
      <c r="L20" s="445"/>
      <c r="M20" s="445"/>
      <c r="N20" s="445"/>
      <c r="O20" s="445"/>
      <c r="P20" s="445"/>
      <c r="Q20" s="445"/>
      <c r="R20" s="445"/>
      <c r="S20" s="445"/>
      <c r="T20" s="44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946F-F03F-4A7C-8494-5D509891D537}">
  <dimension ref="A1:J92"/>
  <sheetViews>
    <sheetView showGridLines="0" zoomScale="85" zoomScaleNormal="85" zoomScaleSheetLayoutView="85" workbookViewId="0">
      <pane ySplit="11" topLeftCell="A12" activePane="bottomLeft" state="frozen"/>
      <selection activeCell="B6" sqref="B6:B7"/>
      <selection pane="bottomLeft" activeCell="B6" sqref="B6:B7"/>
    </sheetView>
  </sheetViews>
  <sheetFormatPr baseColWidth="10" defaultColWidth="11.42578125" defaultRowHeight="0" customHeight="1" zeroHeight="1" x14ac:dyDescent="0.25"/>
  <cols>
    <col min="1" max="1" width="7" style="327" customWidth="1"/>
    <col min="2" max="2" width="25.28515625" style="328" customWidth="1"/>
    <col min="3" max="3" width="41" style="329" customWidth="1"/>
    <col min="4" max="4" width="30" style="329" customWidth="1"/>
    <col min="5" max="5" width="34.140625" style="326" customWidth="1"/>
    <col min="6" max="6" width="25.7109375" style="326" customWidth="1"/>
    <col min="7" max="8" width="21.42578125" style="326" customWidth="1"/>
    <col min="9" max="9" width="15.42578125" style="326" customWidth="1"/>
    <col min="10" max="16384" width="11.42578125" style="330"/>
  </cols>
  <sheetData>
    <row r="1" spans="1:10" s="272" customFormat="1" ht="36.75" customHeight="1" x14ac:dyDescent="0.25">
      <c r="A1" s="750" t="s">
        <v>765</v>
      </c>
      <c r="B1" s="751"/>
      <c r="C1" s="751"/>
      <c r="D1" s="751"/>
      <c r="E1" s="751"/>
      <c r="F1" s="751"/>
      <c r="G1" s="751"/>
      <c r="H1" s="751"/>
      <c r="I1" s="752"/>
      <c r="J1" s="312"/>
    </row>
    <row r="2" spans="1:10" s="272" customFormat="1" ht="36.75" customHeight="1" thickBot="1" x14ac:dyDescent="0.3">
      <c r="A2" s="753"/>
      <c r="B2" s="754"/>
      <c r="C2" s="754"/>
      <c r="D2" s="754"/>
      <c r="E2" s="754"/>
      <c r="F2" s="754"/>
      <c r="G2" s="754"/>
      <c r="H2" s="754"/>
      <c r="I2" s="755"/>
    </row>
    <row r="3" spans="1:10" s="272" customFormat="1" ht="9.75" customHeight="1" thickBot="1" x14ac:dyDescent="0.3">
      <c r="A3" s="312"/>
      <c r="B3" s="313"/>
      <c r="C3" s="313"/>
      <c r="D3" s="313"/>
      <c r="E3" s="314"/>
      <c r="F3" s="314"/>
      <c r="G3" s="314"/>
      <c r="H3" s="314"/>
      <c r="I3" s="314"/>
    </row>
    <row r="4" spans="1:10" s="272" customFormat="1" ht="13.5" hidden="1" customHeight="1" thickBot="1" x14ac:dyDescent="0.3">
      <c r="A4" s="774" t="s">
        <v>766</v>
      </c>
      <c r="B4" s="775"/>
      <c r="C4" s="776"/>
      <c r="D4" s="777" t="s">
        <v>767</v>
      </c>
      <c r="E4" s="777"/>
      <c r="F4" s="777"/>
      <c r="G4" s="777"/>
      <c r="H4" s="777"/>
      <c r="I4" s="342"/>
    </row>
    <row r="5" spans="1:10" s="272" customFormat="1" ht="30" customHeight="1" x14ac:dyDescent="0.25">
      <c r="A5" s="778" t="s">
        <v>696</v>
      </c>
      <c r="B5" s="779"/>
      <c r="C5" s="756" t="s">
        <v>870</v>
      </c>
      <c r="D5" s="756"/>
      <c r="E5" s="756"/>
      <c r="F5" s="756"/>
      <c r="G5" s="756"/>
      <c r="H5" s="756"/>
      <c r="I5" s="757"/>
    </row>
    <row r="6" spans="1:10" s="272" customFormat="1" ht="22.5" customHeight="1" thickBot="1" x14ac:dyDescent="0.3">
      <c r="A6" s="780" t="s">
        <v>768</v>
      </c>
      <c r="B6" s="781"/>
      <c r="C6" s="758">
        <v>44621</v>
      </c>
      <c r="D6" s="758"/>
      <c r="E6" s="758"/>
      <c r="F6" s="758"/>
      <c r="G6" s="758"/>
      <c r="H6" s="758"/>
      <c r="I6" s="759"/>
    </row>
    <row r="7" spans="1:10" ht="8.25" customHeight="1" thickBot="1" x14ac:dyDescent="0.3">
      <c r="A7" s="315"/>
      <c r="B7" s="316"/>
      <c r="C7" s="317"/>
      <c r="D7" s="317"/>
      <c r="E7" s="318"/>
      <c r="F7" s="318"/>
      <c r="G7" s="318"/>
      <c r="H7" s="318"/>
      <c r="I7" s="318"/>
    </row>
    <row r="8" spans="1:10" ht="18" customHeight="1" x14ac:dyDescent="0.25">
      <c r="A8" s="768" t="s">
        <v>675</v>
      </c>
      <c r="B8" s="769"/>
      <c r="C8" s="769"/>
      <c r="D8" s="769"/>
      <c r="E8" s="769"/>
      <c r="F8" s="769"/>
      <c r="G8" s="769"/>
      <c r="H8" s="769"/>
      <c r="I8" s="770"/>
    </row>
    <row r="9" spans="1:10" ht="18" customHeight="1" thickBot="1" x14ac:dyDescent="0.3">
      <c r="A9" s="771"/>
      <c r="B9" s="772"/>
      <c r="C9" s="772"/>
      <c r="D9" s="772"/>
      <c r="E9" s="772"/>
      <c r="F9" s="772"/>
      <c r="G9" s="772"/>
      <c r="H9" s="772"/>
      <c r="I9" s="773"/>
    </row>
    <row r="10" spans="1:10" ht="18" customHeight="1" x14ac:dyDescent="0.25">
      <c r="A10" s="764" t="s">
        <v>676</v>
      </c>
      <c r="B10" s="766" t="s">
        <v>769</v>
      </c>
      <c r="C10" s="766" t="s">
        <v>677</v>
      </c>
      <c r="D10" s="766" t="s">
        <v>678</v>
      </c>
      <c r="E10" s="766" t="s">
        <v>679</v>
      </c>
      <c r="F10" s="760" t="s">
        <v>680</v>
      </c>
      <c r="G10" s="762" t="s">
        <v>681</v>
      </c>
      <c r="H10" s="763"/>
      <c r="I10" s="343" t="s">
        <v>682</v>
      </c>
    </row>
    <row r="11" spans="1:10" ht="16.5" customHeight="1" thickBot="1" x14ac:dyDescent="0.3">
      <c r="A11" s="765"/>
      <c r="B11" s="767"/>
      <c r="C11" s="767"/>
      <c r="D11" s="767"/>
      <c r="E11" s="767"/>
      <c r="F11" s="761"/>
      <c r="G11" s="344" t="s">
        <v>683</v>
      </c>
      <c r="H11" s="345" t="s">
        <v>684</v>
      </c>
      <c r="I11" s="346">
        <f>I12+I13+I14+I19+I23+I36+I39+I44+I49</f>
        <v>1</v>
      </c>
    </row>
    <row r="12" spans="1:10" ht="65.25" customHeight="1" x14ac:dyDescent="0.25">
      <c r="A12" s="347">
        <v>1</v>
      </c>
      <c r="B12" s="348" t="s">
        <v>101</v>
      </c>
      <c r="C12" s="348" t="s">
        <v>770</v>
      </c>
      <c r="D12" s="348" t="s">
        <v>771</v>
      </c>
      <c r="E12" s="349" t="s">
        <v>784</v>
      </c>
      <c r="F12" s="350">
        <v>1</v>
      </c>
      <c r="G12" s="351">
        <v>44228</v>
      </c>
      <c r="H12" s="352">
        <v>44286</v>
      </c>
      <c r="I12" s="394">
        <v>0.10199999999999999</v>
      </c>
    </row>
    <row r="13" spans="1:10" ht="69" customHeight="1" x14ac:dyDescent="0.25">
      <c r="A13" s="353">
        <v>2</v>
      </c>
      <c r="B13" s="354" t="s">
        <v>101</v>
      </c>
      <c r="C13" s="354" t="s">
        <v>772</v>
      </c>
      <c r="D13" s="354" t="s">
        <v>771</v>
      </c>
      <c r="E13" s="355" t="s">
        <v>773</v>
      </c>
      <c r="F13" s="356">
        <v>1</v>
      </c>
      <c r="G13" s="357">
        <v>44228</v>
      </c>
      <c r="H13" s="358">
        <v>44561</v>
      </c>
      <c r="I13" s="395">
        <v>7.0000000000000007E-2</v>
      </c>
    </row>
    <row r="14" spans="1:10" ht="61.5" customHeight="1" x14ac:dyDescent="0.25">
      <c r="A14" s="359">
        <v>3</v>
      </c>
      <c r="B14" s="749" t="s">
        <v>774</v>
      </c>
      <c r="C14" s="749"/>
      <c r="D14" s="360" t="s">
        <v>775</v>
      </c>
      <c r="E14" s="361" t="s">
        <v>776</v>
      </c>
      <c r="F14" s="362">
        <v>1</v>
      </c>
      <c r="G14" s="363">
        <v>44228</v>
      </c>
      <c r="H14" s="364">
        <v>44561</v>
      </c>
      <c r="I14" s="396">
        <f>SUM(I15:I18)</f>
        <v>9.1999999999999998E-2</v>
      </c>
    </row>
    <row r="15" spans="1:10" ht="54" customHeight="1" x14ac:dyDescent="0.25">
      <c r="A15" s="365" t="s">
        <v>871</v>
      </c>
      <c r="B15" s="366" t="s">
        <v>872</v>
      </c>
      <c r="C15" s="367" t="s">
        <v>873</v>
      </c>
      <c r="D15" s="368" t="s">
        <v>874</v>
      </c>
      <c r="E15" s="369" t="s">
        <v>875</v>
      </c>
      <c r="F15" s="370">
        <v>1</v>
      </c>
      <c r="G15" s="371">
        <v>44593</v>
      </c>
      <c r="H15" s="372">
        <v>44926</v>
      </c>
      <c r="I15" s="397">
        <v>2.3E-2</v>
      </c>
    </row>
    <row r="16" spans="1:10" ht="84.75" customHeight="1" x14ac:dyDescent="0.25">
      <c r="A16" s="365" t="s">
        <v>876</v>
      </c>
      <c r="B16" s="366" t="s">
        <v>872</v>
      </c>
      <c r="C16" s="367" t="s">
        <v>877</v>
      </c>
      <c r="D16" s="368" t="s">
        <v>874</v>
      </c>
      <c r="E16" s="373" t="s">
        <v>878</v>
      </c>
      <c r="F16" s="370">
        <v>1</v>
      </c>
      <c r="G16" s="371">
        <v>44593</v>
      </c>
      <c r="H16" s="372">
        <v>44926</v>
      </c>
      <c r="I16" s="397">
        <v>2.3E-2</v>
      </c>
    </row>
    <row r="17" spans="1:9" ht="77.25" customHeight="1" x14ac:dyDescent="0.25">
      <c r="A17" s="365" t="s">
        <v>879</v>
      </c>
      <c r="B17" s="366" t="s">
        <v>649</v>
      </c>
      <c r="C17" s="374" t="s">
        <v>880</v>
      </c>
      <c r="D17" s="368" t="s">
        <v>874</v>
      </c>
      <c r="E17" s="373" t="s">
        <v>881</v>
      </c>
      <c r="F17" s="370">
        <v>1</v>
      </c>
      <c r="G17" s="371">
        <v>44593</v>
      </c>
      <c r="H17" s="372">
        <v>44926</v>
      </c>
      <c r="I17" s="397">
        <v>2.3E-2</v>
      </c>
    </row>
    <row r="18" spans="1:9" ht="60.75" customHeight="1" x14ac:dyDescent="0.25">
      <c r="A18" s="365" t="s">
        <v>882</v>
      </c>
      <c r="B18" s="366" t="s">
        <v>649</v>
      </c>
      <c r="C18" s="374" t="s">
        <v>883</v>
      </c>
      <c r="D18" s="368" t="s">
        <v>874</v>
      </c>
      <c r="E18" s="373" t="s">
        <v>884</v>
      </c>
      <c r="F18" s="370">
        <v>1</v>
      </c>
      <c r="G18" s="371">
        <v>44593</v>
      </c>
      <c r="H18" s="372">
        <v>44926</v>
      </c>
      <c r="I18" s="397">
        <v>2.3E-2</v>
      </c>
    </row>
    <row r="19" spans="1:9" s="375" customFormat="1" ht="51.75" customHeight="1" x14ac:dyDescent="0.25">
      <c r="A19" s="359">
        <v>4</v>
      </c>
      <c r="B19" s="749" t="s">
        <v>777</v>
      </c>
      <c r="C19" s="749"/>
      <c r="D19" s="360" t="s">
        <v>775</v>
      </c>
      <c r="E19" s="361" t="s">
        <v>776</v>
      </c>
      <c r="F19" s="362">
        <v>1</v>
      </c>
      <c r="G19" s="363">
        <v>44593</v>
      </c>
      <c r="H19" s="364">
        <v>44926</v>
      </c>
      <c r="I19" s="396">
        <f>SUM(I20:I22)</f>
        <v>6.9000000000000006E-2</v>
      </c>
    </row>
    <row r="20" spans="1:9" ht="117" customHeight="1" x14ac:dyDescent="0.25">
      <c r="A20" s="365" t="s">
        <v>885</v>
      </c>
      <c r="B20" s="366" t="s">
        <v>886</v>
      </c>
      <c r="C20" s="367" t="s">
        <v>887</v>
      </c>
      <c r="D20" s="366" t="s">
        <v>888</v>
      </c>
      <c r="E20" s="373" t="s">
        <v>889</v>
      </c>
      <c r="F20" s="370">
        <v>1</v>
      </c>
      <c r="G20" s="371">
        <v>44593</v>
      </c>
      <c r="H20" s="372">
        <v>44926</v>
      </c>
      <c r="I20" s="397">
        <v>2.3E-2</v>
      </c>
    </row>
    <row r="21" spans="1:9" ht="117" customHeight="1" x14ac:dyDescent="0.25">
      <c r="A21" s="365" t="s">
        <v>890</v>
      </c>
      <c r="B21" s="366" t="s">
        <v>886</v>
      </c>
      <c r="C21" s="367" t="s">
        <v>891</v>
      </c>
      <c r="D21" s="366" t="s">
        <v>888</v>
      </c>
      <c r="E21" s="373" t="s">
        <v>892</v>
      </c>
      <c r="F21" s="370">
        <v>1</v>
      </c>
      <c r="G21" s="371">
        <v>44593</v>
      </c>
      <c r="H21" s="372">
        <v>44926</v>
      </c>
      <c r="I21" s="397">
        <v>2.3E-2</v>
      </c>
    </row>
    <row r="22" spans="1:9" ht="155.25" customHeight="1" x14ac:dyDescent="0.25">
      <c r="A22" s="365" t="s">
        <v>893</v>
      </c>
      <c r="B22" s="366" t="s">
        <v>886</v>
      </c>
      <c r="C22" s="367" t="s">
        <v>894</v>
      </c>
      <c r="D22" s="366" t="s">
        <v>888</v>
      </c>
      <c r="E22" s="373" t="s">
        <v>895</v>
      </c>
      <c r="F22" s="370">
        <v>1</v>
      </c>
      <c r="G22" s="371">
        <v>44593</v>
      </c>
      <c r="H22" s="372">
        <v>44926</v>
      </c>
      <c r="I22" s="397">
        <v>2.3E-2</v>
      </c>
    </row>
    <row r="23" spans="1:9" ht="46.5" customHeight="1" x14ac:dyDescent="0.25">
      <c r="A23" s="359">
        <v>5</v>
      </c>
      <c r="B23" s="749" t="s">
        <v>778</v>
      </c>
      <c r="C23" s="749"/>
      <c r="D23" s="360" t="s">
        <v>775</v>
      </c>
      <c r="E23" s="361" t="s">
        <v>776</v>
      </c>
      <c r="F23" s="362">
        <v>1</v>
      </c>
      <c r="G23" s="363">
        <v>44593</v>
      </c>
      <c r="H23" s="364">
        <v>44926</v>
      </c>
      <c r="I23" s="396">
        <f>SUM(I24:I35)</f>
        <v>0.27599999999999997</v>
      </c>
    </row>
    <row r="24" spans="1:9" ht="61.5" customHeight="1" x14ac:dyDescent="0.25">
      <c r="A24" s="365" t="s">
        <v>896</v>
      </c>
      <c r="B24" s="366" t="s">
        <v>654</v>
      </c>
      <c r="C24" s="367" t="s">
        <v>897</v>
      </c>
      <c r="D24" s="368" t="s">
        <v>771</v>
      </c>
      <c r="E24" s="373" t="s">
        <v>898</v>
      </c>
      <c r="F24" s="370">
        <v>1</v>
      </c>
      <c r="G24" s="371">
        <v>44593</v>
      </c>
      <c r="H24" s="372">
        <v>44926</v>
      </c>
      <c r="I24" s="397">
        <v>2.3E-2</v>
      </c>
    </row>
    <row r="25" spans="1:9" ht="101.25" customHeight="1" x14ac:dyDescent="0.25">
      <c r="A25" s="365" t="s">
        <v>899</v>
      </c>
      <c r="B25" s="366" t="s">
        <v>900</v>
      </c>
      <c r="C25" s="367" t="s">
        <v>901</v>
      </c>
      <c r="D25" s="368" t="s">
        <v>902</v>
      </c>
      <c r="E25" s="373" t="s">
        <v>903</v>
      </c>
      <c r="F25" s="370">
        <v>1</v>
      </c>
      <c r="G25" s="371">
        <v>44593</v>
      </c>
      <c r="H25" s="372">
        <v>44926</v>
      </c>
      <c r="I25" s="397">
        <v>2.3E-2</v>
      </c>
    </row>
    <row r="26" spans="1:9" ht="70.5" customHeight="1" x14ac:dyDescent="0.25">
      <c r="A26" s="365" t="s">
        <v>904</v>
      </c>
      <c r="B26" s="366" t="s">
        <v>654</v>
      </c>
      <c r="C26" s="367" t="s">
        <v>905</v>
      </c>
      <c r="D26" s="368" t="s">
        <v>902</v>
      </c>
      <c r="E26" s="373" t="s">
        <v>906</v>
      </c>
      <c r="F26" s="370">
        <v>1</v>
      </c>
      <c r="G26" s="371">
        <v>44593</v>
      </c>
      <c r="H26" s="372">
        <v>44926</v>
      </c>
      <c r="I26" s="397">
        <v>2.3E-2</v>
      </c>
    </row>
    <row r="27" spans="1:9" ht="70.5" customHeight="1" x14ac:dyDescent="0.25">
      <c r="A27" s="365">
        <v>5.4</v>
      </c>
      <c r="B27" s="366" t="s">
        <v>907</v>
      </c>
      <c r="C27" s="367" t="s">
        <v>908</v>
      </c>
      <c r="D27" s="368" t="s">
        <v>909</v>
      </c>
      <c r="E27" s="373" t="s">
        <v>910</v>
      </c>
      <c r="F27" s="370">
        <v>1</v>
      </c>
      <c r="G27" s="371">
        <v>44593</v>
      </c>
      <c r="H27" s="372">
        <v>44926</v>
      </c>
      <c r="I27" s="397">
        <v>2.3E-2</v>
      </c>
    </row>
    <row r="28" spans="1:9" ht="96" customHeight="1" x14ac:dyDescent="0.25">
      <c r="A28" s="365">
        <v>5.5</v>
      </c>
      <c r="B28" s="366" t="s">
        <v>911</v>
      </c>
      <c r="C28" s="367" t="s">
        <v>912</v>
      </c>
      <c r="D28" s="368" t="s">
        <v>913</v>
      </c>
      <c r="E28" s="373" t="s">
        <v>914</v>
      </c>
      <c r="F28" s="370">
        <v>1</v>
      </c>
      <c r="G28" s="371">
        <v>44593</v>
      </c>
      <c r="H28" s="372">
        <v>44926</v>
      </c>
      <c r="I28" s="397">
        <v>2.3E-2</v>
      </c>
    </row>
    <row r="29" spans="1:9" ht="135.75" customHeight="1" x14ac:dyDescent="0.25">
      <c r="A29" s="365">
        <v>5.6</v>
      </c>
      <c r="B29" s="366" t="s">
        <v>911</v>
      </c>
      <c r="C29" s="367" t="s">
        <v>915</v>
      </c>
      <c r="D29" s="368" t="s">
        <v>911</v>
      </c>
      <c r="E29" s="373" t="s">
        <v>916</v>
      </c>
      <c r="F29" s="370">
        <v>1</v>
      </c>
      <c r="G29" s="371">
        <v>44593</v>
      </c>
      <c r="H29" s="372">
        <v>44926</v>
      </c>
      <c r="I29" s="397">
        <v>2.3E-2</v>
      </c>
    </row>
    <row r="30" spans="1:9" ht="88.5" customHeight="1" x14ac:dyDescent="0.25">
      <c r="A30" s="365">
        <v>5.7</v>
      </c>
      <c r="B30" s="366" t="s">
        <v>911</v>
      </c>
      <c r="C30" s="367" t="s">
        <v>917</v>
      </c>
      <c r="D30" s="368" t="s">
        <v>918</v>
      </c>
      <c r="E30" s="373" t="s">
        <v>919</v>
      </c>
      <c r="F30" s="370">
        <v>1</v>
      </c>
      <c r="G30" s="371">
        <v>44593</v>
      </c>
      <c r="H30" s="372">
        <v>44926</v>
      </c>
      <c r="I30" s="397">
        <v>2.3E-2</v>
      </c>
    </row>
    <row r="31" spans="1:9" ht="66" customHeight="1" x14ac:dyDescent="0.25">
      <c r="A31" s="365">
        <v>5.8</v>
      </c>
      <c r="B31" s="366" t="s">
        <v>911</v>
      </c>
      <c r="C31" s="374" t="s">
        <v>920</v>
      </c>
      <c r="D31" s="368" t="s">
        <v>659</v>
      </c>
      <c r="E31" s="373" t="s">
        <v>921</v>
      </c>
      <c r="F31" s="370">
        <v>1</v>
      </c>
      <c r="G31" s="371">
        <v>44593</v>
      </c>
      <c r="H31" s="372">
        <v>44926</v>
      </c>
      <c r="I31" s="397">
        <v>2.3E-2</v>
      </c>
    </row>
    <row r="32" spans="1:9" ht="66" customHeight="1" x14ac:dyDescent="0.25">
      <c r="A32" s="365">
        <v>5.9</v>
      </c>
      <c r="B32" s="366" t="s">
        <v>911</v>
      </c>
      <c r="C32" s="374" t="s">
        <v>922</v>
      </c>
      <c r="D32" s="368" t="s">
        <v>659</v>
      </c>
      <c r="E32" s="373" t="s">
        <v>923</v>
      </c>
      <c r="F32" s="370">
        <v>1</v>
      </c>
      <c r="G32" s="371">
        <v>44593</v>
      </c>
      <c r="H32" s="372">
        <v>44926</v>
      </c>
      <c r="I32" s="397">
        <v>2.3E-2</v>
      </c>
    </row>
    <row r="33" spans="1:9" ht="66" customHeight="1" x14ac:dyDescent="0.25">
      <c r="A33" s="376">
        <v>5.0999999999999996</v>
      </c>
      <c r="B33" s="366" t="s">
        <v>655</v>
      </c>
      <c r="C33" s="374" t="s">
        <v>924</v>
      </c>
      <c r="D33" s="368" t="s">
        <v>925</v>
      </c>
      <c r="E33" s="377" t="s">
        <v>926</v>
      </c>
      <c r="F33" s="370">
        <v>1</v>
      </c>
      <c r="G33" s="371">
        <v>44593</v>
      </c>
      <c r="H33" s="372">
        <v>44926</v>
      </c>
      <c r="I33" s="397">
        <v>2.3E-2</v>
      </c>
    </row>
    <row r="34" spans="1:9" ht="66" customHeight="1" x14ac:dyDescent="0.25">
      <c r="A34" s="365">
        <v>5.1100000000000003</v>
      </c>
      <c r="B34" s="366" t="s">
        <v>655</v>
      </c>
      <c r="C34" s="374" t="s">
        <v>927</v>
      </c>
      <c r="D34" s="368" t="s">
        <v>686</v>
      </c>
      <c r="E34" s="373" t="s">
        <v>928</v>
      </c>
      <c r="F34" s="370">
        <v>1</v>
      </c>
      <c r="G34" s="371">
        <v>44593</v>
      </c>
      <c r="H34" s="372">
        <v>44926</v>
      </c>
      <c r="I34" s="397">
        <v>2.3E-2</v>
      </c>
    </row>
    <row r="35" spans="1:9" ht="66" customHeight="1" x14ac:dyDescent="0.25">
      <c r="A35" s="365">
        <v>5.12</v>
      </c>
      <c r="B35" s="366" t="s">
        <v>656</v>
      </c>
      <c r="C35" s="374" t="s">
        <v>929</v>
      </c>
      <c r="D35" s="368" t="s">
        <v>686</v>
      </c>
      <c r="E35" s="373" t="s">
        <v>930</v>
      </c>
      <c r="F35" s="370">
        <v>1</v>
      </c>
      <c r="G35" s="371">
        <v>44593</v>
      </c>
      <c r="H35" s="372">
        <v>44926</v>
      </c>
      <c r="I35" s="397">
        <v>2.3E-2</v>
      </c>
    </row>
    <row r="36" spans="1:9" ht="71.25" customHeight="1" x14ac:dyDescent="0.25">
      <c r="A36" s="359">
        <v>6</v>
      </c>
      <c r="B36" s="749" t="s">
        <v>779</v>
      </c>
      <c r="C36" s="749"/>
      <c r="D36" s="360" t="s">
        <v>775</v>
      </c>
      <c r="E36" s="361" t="s">
        <v>776</v>
      </c>
      <c r="F36" s="378">
        <v>1</v>
      </c>
      <c r="G36" s="363">
        <v>44593</v>
      </c>
      <c r="H36" s="364">
        <v>44926</v>
      </c>
      <c r="I36" s="396">
        <f>SUM(I37:I38)</f>
        <v>4.5999999999999999E-2</v>
      </c>
    </row>
    <row r="37" spans="1:9" ht="71.25" customHeight="1" x14ac:dyDescent="0.25">
      <c r="A37" s="365" t="s">
        <v>931</v>
      </c>
      <c r="B37" s="366" t="s">
        <v>932</v>
      </c>
      <c r="C37" s="367" t="s">
        <v>933</v>
      </c>
      <c r="D37" s="366" t="s">
        <v>902</v>
      </c>
      <c r="E37" s="373" t="s">
        <v>934</v>
      </c>
      <c r="F37" s="370">
        <v>1</v>
      </c>
      <c r="G37" s="371">
        <v>44593</v>
      </c>
      <c r="H37" s="372">
        <v>44926</v>
      </c>
      <c r="I37" s="397">
        <v>2.3E-2</v>
      </c>
    </row>
    <row r="38" spans="1:9" ht="72" customHeight="1" x14ac:dyDescent="0.25">
      <c r="A38" s="365" t="s">
        <v>935</v>
      </c>
      <c r="B38" s="366" t="s">
        <v>932</v>
      </c>
      <c r="C38" s="367" t="s">
        <v>936</v>
      </c>
      <c r="D38" s="368" t="s">
        <v>771</v>
      </c>
      <c r="E38" s="373" t="s">
        <v>937</v>
      </c>
      <c r="F38" s="370">
        <v>1</v>
      </c>
      <c r="G38" s="371">
        <v>44593</v>
      </c>
      <c r="H38" s="372">
        <v>44926</v>
      </c>
      <c r="I38" s="397">
        <v>2.3E-2</v>
      </c>
    </row>
    <row r="39" spans="1:9" ht="66.75" customHeight="1" x14ac:dyDescent="0.25">
      <c r="A39" s="359">
        <v>7</v>
      </c>
      <c r="B39" s="749" t="s">
        <v>780</v>
      </c>
      <c r="C39" s="749"/>
      <c r="D39" s="360" t="s">
        <v>775</v>
      </c>
      <c r="E39" s="361" t="s">
        <v>776</v>
      </c>
      <c r="F39" s="378">
        <v>1</v>
      </c>
      <c r="G39" s="363">
        <v>44593</v>
      </c>
      <c r="H39" s="364">
        <v>44926</v>
      </c>
      <c r="I39" s="396">
        <f>SUM(I40:I43)</f>
        <v>9.1999999999999998E-2</v>
      </c>
    </row>
    <row r="40" spans="1:9" ht="72" customHeight="1" x14ac:dyDescent="0.25">
      <c r="A40" s="365" t="s">
        <v>938</v>
      </c>
      <c r="B40" s="366" t="s">
        <v>939</v>
      </c>
      <c r="C40" s="367" t="s">
        <v>940</v>
      </c>
      <c r="D40" s="368" t="s">
        <v>941</v>
      </c>
      <c r="E40" s="373" t="s">
        <v>942</v>
      </c>
      <c r="F40" s="370">
        <v>1</v>
      </c>
      <c r="G40" s="371">
        <v>44593</v>
      </c>
      <c r="H40" s="372">
        <v>44926</v>
      </c>
      <c r="I40" s="397">
        <v>2.3E-2</v>
      </c>
    </row>
    <row r="41" spans="1:9" ht="72" customHeight="1" x14ac:dyDescent="0.25">
      <c r="A41" s="365" t="s">
        <v>943</v>
      </c>
      <c r="B41" s="366" t="s">
        <v>939</v>
      </c>
      <c r="C41" s="367" t="s">
        <v>944</v>
      </c>
      <c r="D41" s="368" t="s">
        <v>888</v>
      </c>
      <c r="E41" s="373" t="s">
        <v>945</v>
      </c>
      <c r="F41" s="370">
        <v>1</v>
      </c>
      <c r="G41" s="371">
        <v>44593</v>
      </c>
      <c r="H41" s="372">
        <v>44742</v>
      </c>
      <c r="I41" s="397">
        <v>2.3E-2</v>
      </c>
    </row>
    <row r="42" spans="1:9" ht="72" customHeight="1" x14ac:dyDescent="0.25">
      <c r="A42" s="365" t="s">
        <v>946</v>
      </c>
      <c r="B42" s="379" t="s">
        <v>939</v>
      </c>
      <c r="C42" s="380" t="s">
        <v>947</v>
      </c>
      <c r="D42" s="381" t="s">
        <v>948</v>
      </c>
      <c r="E42" s="382" t="s">
        <v>949</v>
      </c>
      <c r="F42" s="383">
        <v>1</v>
      </c>
      <c r="G42" s="371">
        <v>44593</v>
      </c>
      <c r="H42" s="372">
        <v>44926</v>
      </c>
      <c r="I42" s="397">
        <v>2.3E-2</v>
      </c>
    </row>
    <row r="43" spans="1:9" ht="72" customHeight="1" x14ac:dyDescent="0.25">
      <c r="A43" s="365">
        <v>7.4</v>
      </c>
      <c r="B43" s="379" t="s">
        <v>939</v>
      </c>
      <c r="C43" s="380" t="s">
        <v>950</v>
      </c>
      <c r="D43" s="381" t="s">
        <v>948</v>
      </c>
      <c r="E43" s="382" t="s">
        <v>951</v>
      </c>
      <c r="F43" s="383">
        <v>1</v>
      </c>
      <c r="G43" s="371">
        <v>44593</v>
      </c>
      <c r="H43" s="372">
        <v>44926</v>
      </c>
      <c r="I43" s="397">
        <v>2.3E-2</v>
      </c>
    </row>
    <row r="44" spans="1:9" ht="68.25" customHeight="1" x14ac:dyDescent="0.25">
      <c r="A44" s="359">
        <v>8</v>
      </c>
      <c r="B44" s="749" t="s">
        <v>781</v>
      </c>
      <c r="C44" s="749"/>
      <c r="D44" s="360" t="s">
        <v>775</v>
      </c>
      <c r="E44" s="361" t="s">
        <v>776</v>
      </c>
      <c r="F44" s="378">
        <v>1</v>
      </c>
      <c r="G44" s="363">
        <v>44593</v>
      </c>
      <c r="H44" s="364">
        <v>44926</v>
      </c>
      <c r="I44" s="396">
        <f>SUM(I45:I48)</f>
        <v>9.1999999999999998E-2</v>
      </c>
    </row>
    <row r="45" spans="1:9" ht="94.5" customHeight="1" x14ac:dyDescent="0.25">
      <c r="A45" s="365" t="s">
        <v>952</v>
      </c>
      <c r="B45" s="366" t="s">
        <v>953</v>
      </c>
      <c r="C45" s="367" t="s">
        <v>954</v>
      </c>
      <c r="D45" s="366" t="s">
        <v>902</v>
      </c>
      <c r="E45" s="373" t="s">
        <v>945</v>
      </c>
      <c r="F45" s="370">
        <v>1</v>
      </c>
      <c r="G45" s="371">
        <v>44593</v>
      </c>
      <c r="H45" s="372">
        <v>44742</v>
      </c>
      <c r="I45" s="397">
        <v>2.3E-2</v>
      </c>
    </row>
    <row r="46" spans="1:9" ht="123.75" customHeight="1" x14ac:dyDescent="0.25">
      <c r="A46" s="365" t="s">
        <v>955</v>
      </c>
      <c r="B46" s="366" t="s">
        <v>953</v>
      </c>
      <c r="C46" s="367" t="s">
        <v>956</v>
      </c>
      <c r="D46" s="366" t="s">
        <v>902</v>
      </c>
      <c r="E46" s="373" t="s">
        <v>957</v>
      </c>
      <c r="F46" s="370">
        <v>1</v>
      </c>
      <c r="G46" s="371">
        <v>44593</v>
      </c>
      <c r="H46" s="372">
        <v>44926</v>
      </c>
      <c r="I46" s="397">
        <v>2.3E-2</v>
      </c>
    </row>
    <row r="47" spans="1:9" ht="123.75" customHeight="1" x14ac:dyDescent="0.25">
      <c r="A47" s="365" t="s">
        <v>958</v>
      </c>
      <c r="B47" s="366" t="s">
        <v>953</v>
      </c>
      <c r="C47" s="367" t="s">
        <v>959</v>
      </c>
      <c r="D47" s="366" t="s">
        <v>888</v>
      </c>
      <c r="E47" s="373" t="s">
        <v>960</v>
      </c>
      <c r="F47" s="370">
        <v>1</v>
      </c>
      <c r="G47" s="371">
        <v>44593</v>
      </c>
      <c r="H47" s="372">
        <v>44926</v>
      </c>
      <c r="I47" s="397">
        <v>2.3E-2</v>
      </c>
    </row>
    <row r="48" spans="1:9" ht="63" customHeight="1" x14ac:dyDescent="0.25">
      <c r="A48" s="365" t="s">
        <v>961</v>
      </c>
      <c r="B48" s="366" t="s">
        <v>953</v>
      </c>
      <c r="C48" s="367" t="s">
        <v>962</v>
      </c>
      <c r="D48" s="368" t="s">
        <v>874</v>
      </c>
      <c r="E48" s="373" t="s">
        <v>963</v>
      </c>
      <c r="F48" s="370">
        <v>1</v>
      </c>
      <c r="G48" s="371">
        <v>44593</v>
      </c>
      <c r="H48" s="372">
        <v>44926</v>
      </c>
      <c r="I48" s="397">
        <v>2.3E-2</v>
      </c>
    </row>
    <row r="49" spans="1:9" ht="73.5" customHeight="1" x14ac:dyDescent="0.25">
      <c r="A49" s="359">
        <v>9</v>
      </c>
      <c r="B49" s="749" t="s">
        <v>782</v>
      </c>
      <c r="C49" s="749"/>
      <c r="D49" s="360" t="s">
        <v>783</v>
      </c>
      <c r="E49" s="361" t="s">
        <v>776</v>
      </c>
      <c r="F49" s="362">
        <v>1</v>
      </c>
      <c r="G49" s="363">
        <v>44593</v>
      </c>
      <c r="H49" s="364">
        <v>44926</v>
      </c>
      <c r="I49" s="396">
        <f>SUM(I50:I56)</f>
        <v>0.16099999999999998</v>
      </c>
    </row>
    <row r="50" spans="1:9" ht="73.5" customHeight="1" x14ac:dyDescent="0.25">
      <c r="A50" s="365" t="s">
        <v>964</v>
      </c>
      <c r="B50" s="366" t="s">
        <v>965</v>
      </c>
      <c r="C50" s="367" t="s">
        <v>966</v>
      </c>
      <c r="D50" s="368" t="s">
        <v>888</v>
      </c>
      <c r="E50" s="373" t="s">
        <v>967</v>
      </c>
      <c r="F50" s="370">
        <v>1</v>
      </c>
      <c r="G50" s="371">
        <v>44593</v>
      </c>
      <c r="H50" s="372">
        <v>44926</v>
      </c>
      <c r="I50" s="397">
        <v>2.3E-2</v>
      </c>
    </row>
    <row r="51" spans="1:9" ht="73.5" customHeight="1" x14ac:dyDescent="0.25">
      <c r="A51" s="365" t="s">
        <v>968</v>
      </c>
      <c r="B51" s="366" t="s">
        <v>965</v>
      </c>
      <c r="C51" s="367" t="s">
        <v>969</v>
      </c>
      <c r="D51" s="368" t="s">
        <v>888</v>
      </c>
      <c r="E51" s="373" t="s">
        <v>889</v>
      </c>
      <c r="F51" s="370">
        <v>1</v>
      </c>
      <c r="G51" s="371">
        <v>44593</v>
      </c>
      <c r="H51" s="372">
        <v>44926</v>
      </c>
      <c r="I51" s="397">
        <v>2.3E-2</v>
      </c>
    </row>
    <row r="52" spans="1:9" ht="73.5" customHeight="1" x14ac:dyDescent="0.25">
      <c r="A52" s="365" t="s">
        <v>970</v>
      </c>
      <c r="B52" s="366" t="s">
        <v>965</v>
      </c>
      <c r="C52" s="367" t="s">
        <v>971</v>
      </c>
      <c r="D52" s="368" t="s">
        <v>888</v>
      </c>
      <c r="E52" s="373" t="s">
        <v>972</v>
      </c>
      <c r="F52" s="370">
        <v>1</v>
      </c>
      <c r="G52" s="371">
        <v>44593</v>
      </c>
      <c r="H52" s="372">
        <v>44926</v>
      </c>
      <c r="I52" s="397">
        <v>2.3E-2</v>
      </c>
    </row>
    <row r="53" spans="1:9" ht="73.5" customHeight="1" x14ac:dyDescent="0.25">
      <c r="A53" s="365" t="s">
        <v>973</v>
      </c>
      <c r="B53" s="366" t="s">
        <v>965</v>
      </c>
      <c r="C53" s="374" t="s">
        <v>974</v>
      </c>
      <c r="D53" s="368" t="s">
        <v>975</v>
      </c>
      <c r="E53" s="373" t="s">
        <v>976</v>
      </c>
      <c r="F53" s="370">
        <v>1</v>
      </c>
      <c r="G53" s="371">
        <v>44593</v>
      </c>
      <c r="H53" s="372">
        <v>44712</v>
      </c>
      <c r="I53" s="397">
        <v>2.3E-2</v>
      </c>
    </row>
    <row r="54" spans="1:9" ht="73.5" customHeight="1" x14ac:dyDescent="0.25">
      <c r="A54" s="365" t="s">
        <v>977</v>
      </c>
      <c r="B54" s="366" t="s">
        <v>965</v>
      </c>
      <c r="C54" s="374" t="s">
        <v>978</v>
      </c>
      <c r="D54" s="368" t="s">
        <v>965</v>
      </c>
      <c r="E54" s="373" t="s">
        <v>979</v>
      </c>
      <c r="F54" s="370">
        <v>1</v>
      </c>
      <c r="G54" s="371">
        <v>44593</v>
      </c>
      <c r="H54" s="372">
        <v>44926</v>
      </c>
      <c r="I54" s="397">
        <v>2.3E-2</v>
      </c>
    </row>
    <row r="55" spans="1:9" ht="72.75" customHeight="1" x14ac:dyDescent="0.25">
      <c r="A55" s="365" t="s">
        <v>980</v>
      </c>
      <c r="B55" s="366" t="s">
        <v>965</v>
      </c>
      <c r="C55" s="374" t="s">
        <v>981</v>
      </c>
      <c r="D55" s="368" t="s">
        <v>669</v>
      </c>
      <c r="E55" s="373" t="s">
        <v>982</v>
      </c>
      <c r="F55" s="370">
        <v>1</v>
      </c>
      <c r="G55" s="371">
        <v>44593</v>
      </c>
      <c r="H55" s="372">
        <v>44926</v>
      </c>
      <c r="I55" s="397">
        <v>2.3E-2</v>
      </c>
    </row>
    <row r="56" spans="1:9" ht="72.75" customHeight="1" thickBot="1" x14ac:dyDescent="0.3">
      <c r="A56" s="384" t="s">
        <v>983</v>
      </c>
      <c r="B56" s="385" t="s">
        <v>965</v>
      </c>
      <c r="C56" s="386" t="s">
        <v>984</v>
      </c>
      <c r="D56" s="387" t="s">
        <v>669</v>
      </c>
      <c r="E56" s="388" t="s">
        <v>985</v>
      </c>
      <c r="F56" s="389">
        <v>1</v>
      </c>
      <c r="G56" s="390">
        <v>44593</v>
      </c>
      <c r="H56" s="391">
        <v>44926</v>
      </c>
      <c r="I56" s="398">
        <v>2.3E-2</v>
      </c>
    </row>
    <row r="57" spans="1:9" ht="11.25" customHeight="1" x14ac:dyDescent="0.25">
      <c r="A57" s="320"/>
      <c r="B57" s="321"/>
      <c r="C57" s="322"/>
      <c r="D57" s="322"/>
      <c r="E57" s="323"/>
      <c r="F57" s="323"/>
      <c r="G57" s="323"/>
      <c r="H57" s="323"/>
      <c r="I57" s="323"/>
    </row>
    <row r="58" spans="1:9" ht="11.25" customHeight="1" x14ac:dyDescent="0.25">
      <c r="A58" s="392"/>
      <c r="B58" s="393"/>
    </row>
    <row r="59" spans="1:9" ht="11.25" customHeight="1" x14ac:dyDescent="0.25">
      <c r="A59" s="392"/>
      <c r="B59" s="393"/>
    </row>
    <row r="60" spans="1:9" ht="11.25" customHeight="1" x14ac:dyDescent="0.25">
      <c r="A60" s="392"/>
      <c r="B60" s="393"/>
    </row>
    <row r="61" spans="1:9" ht="16.5" customHeight="1" x14ac:dyDescent="0.25">
      <c r="A61" s="392"/>
      <c r="B61" s="393"/>
    </row>
    <row r="62" spans="1:9" ht="12.75" hidden="1" customHeight="1" x14ac:dyDescent="0.25">
      <c r="A62" s="320"/>
      <c r="B62" s="321"/>
      <c r="C62" s="324"/>
      <c r="D62" s="324"/>
      <c r="E62" s="325"/>
      <c r="F62" s="325"/>
      <c r="G62" s="319"/>
      <c r="H62" s="319"/>
      <c r="I62" s="319"/>
    </row>
    <row r="63" spans="1:9" ht="12.75" hidden="1" customHeight="1" x14ac:dyDescent="0.25">
      <c r="A63" s="319"/>
      <c r="B63" s="316"/>
      <c r="C63" s="316"/>
      <c r="D63" s="316"/>
      <c r="E63" s="319"/>
      <c r="F63" s="319"/>
    </row>
    <row r="64" spans="1:9"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row r="78" spans="1:9" ht="12.75" hidden="1" customHeight="1" x14ac:dyDescent="0.25">
      <c r="G78" s="327"/>
      <c r="H78" s="327"/>
      <c r="I78" s="327"/>
    </row>
    <row r="79" spans="1:9" ht="12.75" hidden="1" customHeight="1" x14ac:dyDescent="0.25">
      <c r="A79" s="330"/>
      <c r="C79" s="328"/>
      <c r="D79" s="328"/>
      <c r="E79" s="327"/>
      <c r="F79" s="327"/>
      <c r="G79" s="327"/>
      <c r="H79" s="327"/>
      <c r="I79" s="327"/>
    </row>
    <row r="80" spans="1:9" ht="12.75" hidden="1" customHeight="1" x14ac:dyDescent="0.25">
      <c r="A80" s="330"/>
      <c r="C80" s="328"/>
      <c r="D80" s="328"/>
      <c r="E80" s="327"/>
      <c r="F80" s="327"/>
      <c r="G80" s="327"/>
      <c r="H80" s="327"/>
      <c r="I80" s="327"/>
    </row>
    <row r="81" spans="1:9" ht="12.75" hidden="1" customHeight="1" x14ac:dyDescent="0.25">
      <c r="A81" s="330"/>
      <c r="C81" s="328"/>
      <c r="D81" s="328"/>
      <c r="E81" s="327"/>
      <c r="F81" s="327"/>
      <c r="G81" s="327"/>
      <c r="H81" s="327"/>
      <c r="I81" s="327"/>
    </row>
    <row r="82" spans="1:9" ht="12.75" hidden="1" customHeight="1" x14ac:dyDescent="0.25">
      <c r="A82" s="330"/>
      <c r="C82" s="328"/>
      <c r="D82" s="328"/>
      <c r="E82" s="327"/>
      <c r="F82" s="327"/>
      <c r="G82" s="327"/>
      <c r="H82" s="327"/>
      <c r="I82" s="327"/>
    </row>
    <row r="83" spans="1:9" ht="12.75" hidden="1" customHeight="1" x14ac:dyDescent="0.25">
      <c r="A83" s="330"/>
      <c r="C83" s="328"/>
      <c r="D83" s="328"/>
      <c r="E83" s="327"/>
      <c r="F83" s="327"/>
      <c r="G83" s="327"/>
      <c r="H83" s="327"/>
      <c r="I83" s="327"/>
    </row>
    <row r="84" spans="1:9" ht="12.75" hidden="1" customHeight="1" x14ac:dyDescent="0.25">
      <c r="A84" s="330"/>
      <c r="C84" s="328"/>
      <c r="D84" s="328"/>
      <c r="E84" s="327"/>
      <c r="F84" s="327"/>
      <c r="G84" s="327"/>
      <c r="H84" s="327"/>
      <c r="I84" s="327"/>
    </row>
    <row r="85" spans="1:9" ht="12.75" hidden="1" customHeight="1" x14ac:dyDescent="0.25">
      <c r="A85" s="330"/>
      <c r="C85" s="328"/>
      <c r="D85" s="328"/>
      <c r="E85" s="327"/>
      <c r="F85" s="327"/>
      <c r="G85" s="327"/>
      <c r="H85" s="327"/>
      <c r="I85" s="327"/>
    </row>
    <row r="86" spans="1:9" ht="12.75" hidden="1" customHeight="1" x14ac:dyDescent="0.25">
      <c r="A86" s="330"/>
      <c r="C86" s="328"/>
      <c r="D86" s="328"/>
      <c r="E86" s="327"/>
      <c r="F86" s="327"/>
      <c r="G86" s="327"/>
      <c r="H86" s="327"/>
      <c r="I86" s="327"/>
    </row>
    <row r="87" spans="1:9" ht="12.75" hidden="1" customHeight="1" x14ac:dyDescent="0.25">
      <c r="A87" s="330"/>
      <c r="C87" s="328"/>
      <c r="D87" s="328"/>
      <c r="E87" s="327"/>
      <c r="F87" s="327"/>
      <c r="G87" s="327"/>
      <c r="H87" s="327"/>
      <c r="I87" s="327"/>
    </row>
    <row r="88" spans="1:9" ht="12.75" hidden="1" customHeight="1" x14ac:dyDescent="0.25">
      <c r="A88" s="330"/>
      <c r="C88" s="328"/>
      <c r="D88" s="328"/>
      <c r="E88" s="327"/>
      <c r="F88" s="327"/>
      <c r="G88" s="327"/>
      <c r="H88" s="327"/>
      <c r="I88" s="327"/>
    </row>
    <row r="89" spans="1:9" ht="12.75" hidden="1" customHeight="1" x14ac:dyDescent="0.25">
      <c r="A89" s="330"/>
      <c r="C89" s="328"/>
      <c r="D89" s="328"/>
      <c r="E89" s="327"/>
      <c r="F89" s="327"/>
      <c r="G89" s="327"/>
      <c r="H89" s="327"/>
      <c r="I89" s="327"/>
    </row>
    <row r="90" spans="1:9" ht="12.75" hidden="1" customHeight="1" x14ac:dyDescent="0.25">
      <c r="A90" s="330"/>
      <c r="C90" s="328"/>
      <c r="D90" s="328"/>
      <c r="E90" s="327"/>
      <c r="F90" s="327"/>
      <c r="G90" s="327"/>
      <c r="H90" s="327"/>
      <c r="I90" s="327"/>
    </row>
    <row r="91" spans="1:9" ht="12.75" hidden="1" customHeight="1" x14ac:dyDescent="0.25">
      <c r="A91" s="330"/>
      <c r="C91" s="328"/>
      <c r="D91" s="328"/>
      <c r="E91" s="327"/>
      <c r="F91" s="327"/>
      <c r="G91" s="327"/>
      <c r="H91" s="327"/>
      <c r="I91" s="327"/>
    </row>
    <row r="92" spans="1:9" ht="0" hidden="1" customHeight="1" x14ac:dyDescent="0.25">
      <c r="A92" s="330"/>
      <c r="C92" s="328"/>
      <c r="D92" s="328"/>
      <c r="E92" s="327"/>
      <c r="F92" s="327"/>
    </row>
  </sheetData>
  <autoFilter ref="A11:I56" xr:uid="{00000000-0009-0000-0000-000000000000}"/>
  <mergeCells count="22">
    <mergeCell ref="E10:E11"/>
    <mergeCell ref="A8:I9"/>
    <mergeCell ref="A4:C4"/>
    <mergeCell ref="D4:H4"/>
    <mergeCell ref="A5:B5"/>
    <mergeCell ref="A6:B6"/>
    <mergeCell ref="B39:C39"/>
    <mergeCell ref="B44:C44"/>
    <mergeCell ref="B49:C49"/>
    <mergeCell ref="A1:I2"/>
    <mergeCell ref="C5:I5"/>
    <mergeCell ref="C6:I6"/>
    <mergeCell ref="F10:F11"/>
    <mergeCell ref="G10:H10"/>
    <mergeCell ref="B14:C14"/>
    <mergeCell ref="B19:C19"/>
    <mergeCell ref="B23:C23"/>
    <mergeCell ref="B36:C36"/>
    <mergeCell ref="A10:A11"/>
    <mergeCell ref="B10:B11"/>
    <mergeCell ref="C10:C11"/>
    <mergeCell ref="D10:D11"/>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6ACB-6331-40A9-973B-A89D5875C759}">
  <dimension ref="A1:AA998"/>
  <sheetViews>
    <sheetView showGridLines="0" workbookViewId="0">
      <selection activeCell="B6" sqref="B6:B7"/>
    </sheetView>
  </sheetViews>
  <sheetFormatPr baseColWidth="10" defaultColWidth="0" defaultRowHeight="15" customHeight="1" zeroHeight="1" x14ac:dyDescent="0.25"/>
  <cols>
    <col min="1" max="1" width="4.28515625" style="278" customWidth="1"/>
    <col min="2" max="2" width="4" style="68" customWidth="1"/>
    <col min="3" max="3" width="23.140625" style="68" customWidth="1"/>
    <col min="4" max="4" width="12.5703125" style="68" customWidth="1"/>
    <col min="5" max="5" width="30.85546875" style="68" customWidth="1"/>
    <col min="6" max="6" width="17.28515625" style="68" customWidth="1"/>
    <col min="7" max="8" width="10.7109375" style="68" customWidth="1"/>
    <col min="9" max="9" width="18.5703125" style="68" customWidth="1"/>
    <col min="10" max="10" width="10.7109375" style="68" customWidth="1"/>
    <col min="11" max="27" width="10.7109375" style="278" hidden="1" customWidth="1"/>
    <col min="28" max="16384" width="14.42578125" style="278" hidden="1"/>
  </cols>
  <sheetData>
    <row r="1" spans="1:10" ht="15.75" x14ac:dyDescent="0.25">
      <c r="A1" s="294"/>
      <c r="B1" s="66"/>
      <c r="C1" s="66"/>
      <c r="D1" s="67"/>
      <c r="E1" s="67"/>
      <c r="F1" s="67"/>
      <c r="G1" s="67"/>
      <c r="H1" s="67"/>
      <c r="I1" s="67"/>
      <c r="J1" s="281"/>
    </row>
    <row r="2" spans="1:10" x14ac:dyDescent="0.25">
      <c r="A2" s="294"/>
      <c r="B2" s="279"/>
      <c r="C2" s="782" t="s">
        <v>670</v>
      </c>
      <c r="D2" s="783"/>
      <c r="E2" s="783"/>
      <c r="F2" s="783"/>
      <c r="G2" s="783"/>
      <c r="H2" s="783"/>
      <c r="I2" s="784"/>
      <c r="J2" s="281"/>
    </row>
    <row r="3" spans="1:10" ht="14.25" customHeight="1" x14ac:dyDescent="0.25">
      <c r="A3" s="294"/>
      <c r="B3" s="279"/>
      <c r="C3" s="69"/>
      <c r="D3" s="70"/>
      <c r="E3" s="69"/>
      <c r="F3" s="71"/>
      <c r="G3" s="72"/>
      <c r="H3" s="73"/>
      <c r="I3" s="290"/>
      <c r="J3" s="281"/>
    </row>
    <row r="4" spans="1:10" ht="14.25" customHeight="1" x14ac:dyDescent="0.25">
      <c r="A4" s="294"/>
      <c r="B4" s="279"/>
      <c r="C4" s="69"/>
      <c r="D4" s="70"/>
      <c r="E4" s="69"/>
      <c r="F4" s="71"/>
      <c r="G4" s="72"/>
      <c r="H4" s="73"/>
      <c r="I4" s="290"/>
      <c r="J4" s="281"/>
    </row>
    <row r="5" spans="1:10" ht="75" customHeight="1" x14ac:dyDescent="0.25">
      <c r="A5" s="294"/>
      <c r="B5" s="279"/>
      <c r="C5" s="70" t="s">
        <v>671</v>
      </c>
      <c r="D5" s="785" t="s">
        <v>672</v>
      </c>
      <c r="E5" s="783"/>
      <c r="F5" s="783"/>
      <c r="G5" s="783"/>
      <c r="H5" s="783"/>
      <c r="I5" s="784"/>
      <c r="J5" s="281"/>
    </row>
    <row r="6" spans="1:10" ht="5.25" customHeight="1" x14ac:dyDescent="0.25">
      <c r="A6" s="294"/>
      <c r="B6" s="279"/>
      <c r="C6" s="74"/>
      <c r="D6" s="75"/>
      <c r="E6" s="69"/>
      <c r="F6" s="76"/>
      <c r="G6" s="76"/>
      <c r="H6" s="76"/>
      <c r="I6" s="291"/>
      <c r="J6" s="281"/>
    </row>
    <row r="7" spans="1:10" ht="15.75" customHeight="1" x14ac:dyDescent="0.25">
      <c r="A7" s="294"/>
      <c r="B7" s="279"/>
      <c r="C7" s="70" t="s">
        <v>673</v>
      </c>
      <c r="D7" s="785">
        <v>1</v>
      </c>
      <c r="E7" s="783"/>
      <c r="F7" s="783"/>
      <c r="G7" s="783"/>
      <c r="H7" s="783"/>
      <c r="I7" s="292"/>
      <c r="J7" s="281"/>
    </row>
    <row r="8" spans="1:10" ht="6" customHeight="1" x14ac:dyDescent="0.25">
      <c r="A8" s="294"/>
      <c r="B8" s="279"/>
      <c r="C8" s="77"/>
      <c r="D8" s="77"/>
      <c r="E8" s="77"/>
      <c r="F8" s="78"/>
      <c r="G8" s="78"/>
      <c r="H8" s="78"/>
      <c r="I8" s="293"/>
      <c r="J8" s="281"/>
    </row>
    <row r="9" spans="1:10" ht="15.75" customHeight="1" x14ac:dyDescent="0.25">
      <c r="A9" s="294"/>
      <c r="B9" s="279"/>
      <c r="C9" s="70" t="s">
        <v>674</v>
      </c>
      <c r="D9" s="786">
        <v>44579</v>
      </c>
      <c r="E9" s="783"/>
      <c r="F9" s="783"/>
      <c r="G9" s="783"/>
      <c r="H9" s="783"/>
      <c r="I9" s="292"/>
      <c r="J9" s="281"/>
    </row>
    <row r="10" spans="1:10" ht="6.75" customHeight="1" thickBot="1" x14ac:dyDescent="0.3">
      <c r="A10" s="294"/>
      <c r="B10" s="113"/>
      <c r="C10" s="79"/>
      <c r="D10" s="79"/>
      <c r="E10" s="79"/>
      <c r="F10" s="80"/>
      <c r="G10" s="80"/>
      <c r="H10" s="80"/>
      <c r="I10" s="80"/>
      <c r="J10" s="281"/>
    </row>
    <row r="11" spans="1:10" ht="15.75" thickBot="1" x14ac:dyDescent="0.3">
      <c r="B11" s="787" t="s">
        <v>675</v>
      </c>
      <c r="C11" s="788"/>
      <c r="D11" s="788"/>
      <c r="E11" s="788"/>
      <c r="F11" s="788"/>
      <c r="G11" s="788"/>
      <c r="H11" s="788"/>
      <c r="I11" s="789"/>
    </row>
    <row r="12" spans="1:10" x14ac:dyDescent="0.25">
      <c r="B12" s="803" t="s">
        <v>676</v>
      </c>
      <c r="C12" s="805" t="s">
        <v>677</v>
      </c>
      <c r="D12" s="805" t="s">
        <v>678</v>
      </c>
      <c r="E12" s="805" t="s">
        <v>679</v>
      </c>
      <c r="F12" s="807" t="s">
        <v>680</v>
      </c>
      <c r="G12" s="794" t="s">
        <v>681</v>
      </c>
      <c r="H12" s="795"/>
      <c r="I12" s="796" t="s">
        <v>682</v>
      </c>
    </row>
    <row r="13" spans="1:10" ht="15.75" thickBot="1" x14ac:dyDescent="0.3">
      <c r="B13" s="804"/>
      <c r="C13" s="806"/>
      <c r="D13" s="806"/>
      <c r="E13" s="806"/>
      <c r="F13" s="808"/>
      <c r="G13" s="81" t="s">
        <v>683</v>
      </c>
      <c r="H13" s="82" t="s">
        <v>684</v>
      </c>
      <c r="I13" s="797"/>
    </row>
    <row r="14" spans="1:10" ht="15.75" thickBot="1" x14ac:dyDescent="0.3">
      <c r="B14" s="787"/>
      <c r="C14" s="788"/>
      <c r="D14" s="788"/>
      <c r="E14" s="788"/>
      <c r="F14" s="788"/>
      <c r="G14" s="787"/>
      <c r="H14" s="789"/>
      <c r="I14" s="83">
        <f>SUM(I15:I19)</f>
        <v>1</v>
      </c>
    </row>
    <row r="15" spans="1:10" ht="25.5" x14ac:dyDescent="0.25">
      <c r="B15" s="84">
        <v>1</v>
      </c>
      <c r="C15" s="85" t="s">
        <v>685</v>
      </c>
      <c r="D15" s="85" t="s">
        <v>686</v>
      </c>
      <c r="E15" s="86" t="s">
        <v>687</v>
      </c>
      <c r="F15" s="87">
        <v>0.8</v>
      </c>
      <c r="G15" s="88">
        <v>44593</v>
      </c>
      <c r="H15" s="89">
        <v>44925</v>
      </c>
      <c r="I15" s="90">
        <v>0.3</v>
      </c>
    </row>
    <row r="16" spans="1:10" ht="38.25" x14ac:dyDescent="0.25">
      <c r="B16" s="84">
        <v>2</v>
      </c>
      <c r="C16" s="85" t="s">
        <v>819</v>
      </c>
      <c r="D16" s="91" t="s">
        <v>686</v>
      </c>
      <c r="E16" s="86" t="s">
        <v>688</v>
      </c>
      <c r="F16" s="87">
        <v>0.8</v>
      </c>
      <c r="G16" s="88">
        <v>44652</v>
      </c>
      <c r="H16" s="89">
        <v>44925</v>
      </c>
      <c r="I16" s="90">
        <v>0.1</v>
      </c>
    </row>
    <row r="17" spans="2:9" ht="51" x14ac:dyDescent="0.25">
      <c r="B17" s="84">
        <v>3</v>
      </c>
      <c r="C17" s="85" t="s">
        <v>689</v>
      </c>
      <c r="D17" s="91" t="s">
        <v>686</v>
      </c>
      <c r="E17" s="86" t="s">
        <v>690</v>
      </c>
      <c r="F17" s="87">
        <v>1</v>
      </c>
      <c r="G17" s="88">
        <v>44621</v>
      </c>
      <c r="H17" s="89">
        <v>44925</v>
      </c>
      <c r="I17" s="90">
        <v>0.15</v>
      </c>
    </row>
    <row r="18" spans="2:9" ht="63.75" x14ac:dyDescent="0.25">
      <c r="B18" s="84">
        <v>4</v>
      </c>
      <c r="C18" s="85" t="s">
        <v>691</v>
      </c>
      <c r="D18" s="91" t="s">
        <v>686</v>
      </c>
      <c r="E18" s="86" t="s">
        <v>692</v>
      </c>
      <c r="F18" s="87">
        <v>0.8</v>
      </c>
      <c r="G18" s="88">
        <v>44652</v>
      </c>
      <c r="H18" s="89">
        <v>44925</v>
      </c>
      <c r="I18" s="90">
        <v>0.15</v>
      </c>
    </row>
    <row r="19" spans="2:9" ht="64.5" thickBot="1" x14ac:dyDescent="0.3">
      <c r="B19" s="92">
        <v>5</v>
      </c>
      <c r="C19" s="93" t="s">
        <v>693</v>
      </c>
      <c r="D19" s="93" t="s">
        <v>686</v>
      </c>
      <c r="E19" s="94" t="s">
        <v>820</v>
      </c>
      <c r="F19" s="95">
        <v>1</v>
      </c>
      <c r="G19" s="96">
        <v>44621</v>
      </c>
      <c r="H19" s="97">
        <v>44925</v>
      </c>
      <c r="I19" s="98">
        <v>0.3</v>
      </c>
    </row>
    <row r="20" spans="2:9" ht="39" customHeight="1" x14ac:dyDescent="0.25">
      <c r="B20" s="798" t="s">
        <v>694</v>
      </c>
      <c r="C20" s="799"/>
      <c r="D20" s="799"/>
      <c r="E20" s="799"/>
      <c r="F20" s="799"/>
      <c r="G20" s="799"/>
      <c r="H20" s="799"/>
      <c r="I20" s="799"/>
    </row>
    <row r="21" spans="2:9" ht="15.75" customHeight="1" thickBot="1" x14ac:dyDescent="0.3">
      <c r="B21" s="99"/>
      <c r="G21" s="100"/>
      <c r="H21" s="100"/>
      <c r="I21" s="100"/>
    </row>
    <row r="22" spans="2:9" ht="24" customHeight="1" thickBot="1" x14ac:dyDescent="0.3">
      <c r="B22" s="99"/>
      <c r="C22" s="800" t="s">
        <v>695</v>
      </c>
      <c r="D22" s="801"/>
      <c r="E22" s="801"/>
      <c r="F22" s="802"/>
      <c r="G22" s="100"/>
      <c r="H22" s="100"/>
      <c r="I22" s="100"/>
    </row>
    <row r="23" spans="2:9" ht="33.75" customHeight="1" x14ac:dyDescent="0.25">
      <c r="B23" s="99"/>
      <c r="C23" s="276" t="s">
        <v>696</v>
      </c>
      <c r="D23" s="790" t="s">
        <v>697</v>
      </c>
      <c r="E23" s="791"/>
      <c r="F23" s="277" t="s">
        <v>698</v>
      </c>
      <c r="G23" s="100"/>
      <c r="H23" s="100"/>
      <c r="I23" s="100"/>
    </row>
    <row r="24" spans="2:9" ht="46.5" customHeight="1" x14ac:dyDescent="0.25">
      <c r="B24" s="99"/>
      <c r="C24" s="101">
        <v>1</v>
      </c>
      <c r="D24" s="792" t="s">
        <v>699</v>
      </c>
      <c r="E24" s="793"/>
      <c r="F24" s="102">
        <v>44579</v>
      </c>
      <c r="G24" s="100"/>
      <c r="H24" s="100"/>
      <c r="I24" s="100"/>
    </row>
    <row r="25" spans="2:9" ht="15.75" customHeight="1" x14ac:dyDescent="0.25">
      <c r="B25" s="99"/>
      <c r="C25" s="101"/>
      <c r="D25" s="103"/>
      <c r="E25" s="104"/>
      <c r="F25" s="105"/>
      <c r="G25" s="100"/>
      <c r="H25" s="100"/>
      <c r="I25" s="100"/>
    </row>
    <row r="26" spans="2:9" ht="15.75" customHeight="1" thickBot="1" x14ac:dyDescent="0.3">
      <c r="B26" s="99"/>
      <c r="C26" s="106"/>
      <c r="D26" s="107"/>
      <c r="E26" s="108"/>
      <c r="F26" s="109"/>
      <c r="G26" s="100"/>
      <c r="H26" s="100"/>
      <c r="I26" s="100"/>
    </row>
    <row r="27" spans="2:9" ht="15.75" customHeight="1" x14ac:dyDescent="0.25">
      <c r="B27" s="99"/>
      <c r="C27" s="110"/>
      <c r="D27" s="110"/>
      <c r="E27" s="99"/>
      <c r="F27" s="99"/>
      <c r="G27" s="100"/>
      <c r="H27" s="100"/>
      <c r="I27" s="100"/>
    </row>
    <row r="28" spans="2:9" ht="15.75" customHeight="1" x14ac:dyDescent="0.25">
      <c r="B28" s="99"/>
      <c r="C28" s="110"/>
      <c r="D28" s="110"/>
      <c r="E28" s="99"/>
      <c r="F28" s="99"/>
      <c r="G28" s="100"/>
      <c r="H28" s="100"/>
      <c r="I28" s="100"/>
    </row>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sheetData>
  <mergeCells count="18">
    <mergeCell ref="D23:E23"/>
    <mergeCell ref="D24:E24"/>
    <mergeCell ref="G12:H12"/>
    <mergeCell ref="I12:I13"/>
    <mergeCell ref="B14:F14"/>
    <mergeCell ref="G14:H14"/>
    <mergeCell ref="B20:I20"/>
    <mergeCell ref="C22:F22"/>
    <mergeCell ref="B12:B13"/>
    <mergeCell ref="C12:C13"/>
    <mergeCell ref="D12:D13"/>
    <mergeCell ref="E12:E13"/>
    <mergeCell ref="F12:F13"/>
    <mergeCell ref="C2:I2"/>
    <mergeCell ref="D5:I5"/>
    <mergeCell ref="D7:H7"/>
    <mergeCell ref="D9:H9"/>
    <mergeCell ref="B11:I11"/>
  </mergeCells>
  <pageMargins left="0.7" right="0.7" top="0.75" bottom="0.75" header="0" footer="0"/>
  <pageSetup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178C-F200-4285-B18F-36EB24D2DBBF}">
  <dimension ref="A1:Y999"/>
  <sheetViews>
    <sheetView showGridLines="0" workbookViewId="0">
      <selection activeCell="B6" sqref="B6:B7"/>
    </sheetView>
  </sheetViews>
  <sheetFormatPr baseColWidth="10" defaultColWidth="0" defaultRowHeight="15" customHeight="1" zeroHeight="1" x14ac:dyDescent="0.25"/>
  <cols>
    <col min="1" max="1" width="1.7109375" style="68" customWidth="1"/>
    <col min="2" max="2" width="10.7109375" style="68" customWidth="1"/>
    <col min="3" max="3" width="23.140625" style="68" customWidth="1"/>
    <col min="4" max="4" width="12.5703125" style="68" customWidth="1"/>
    <col min="5" max="5" width="30.85546875" style="68" customWidth="1"/>
    <col min="6" max="6" width="17.28515625" style="68" customWidth="1"/>
    <col min="7" max="7" width="18.5703125" style="68" customWidth="1"/>
    <col min="8" max="8" width="20.42578125" style="68" customWidth="1"/>
    <col min="9" max="9" width="24.85546875" style="68" customWidth="1"/>
    <col min="10" max="10" width="12.85546875" style="68" customWidth="1"/>
    <col min="11" max="25" width="10.7109375" style="68" hidden="1" customWidth="1"/>
    <col min="26" max="16384" width="14.42578125" style="68" hidden="1"/>
  </cols>
  <sheetData>
    <row r="1" spans="2:9" ht="15" customHeight="1" x14ac:dyDescent="0.25">
      <c r="B1" s="281"/>
      <c r="C1" s="281"/>
      <c r="D1" s="281"/>
      <c r="E1" s="281"/>
      <c r="F1" s="281"/>
      <c r="G1" s="281"/>
      <c r="H1" s="281"/>
      <c r="I1" s="281"/>
    </row>
    <row r="2" spans="2:9" ht="15.75" x14ac:dyDescent="0.25">
      <c r="B2" s="279"/>
      <c r="C2" s="279"/>
      <c r="D2" s="280"/>
      <c r="E2" s="280"/>
      <c r="F2" s="280"/>
      <c r="G2" s="280"/>
      <c r="H2" s="280"/>
      <c r="I2" s="280"/>
    </row>
    <row r="3" spans="2:9" x14ac:dyDescent="0.25">
      <c r="B3" s="111"/>
      <c r="C3" s="782" t="s">
        <v>787</v>
      </c>
      <c r="D3" s="783"/>
      <c r="E3" s="783"/>
      <c r="F3" s="783"/>
      <c r="G3" s="783"/>
      <c r="H3" s="783"/>
      <c r="I3" s="783"/>
    </row>
    <row r="4" spans="2:9" x14ac:dyDescent="0.25">
      <c r="B4" s="111"/>
      <c r="C4" s="69"/>
      <c r="D4" s="70"/>
      <c r="E4" s="69"/>
      <c r="F4" s="71"/>
      <c r="G4" s="72"/>
      <c r="H4" s="73"/>
      <c r="I4" s="73"/>
    </row>
    <row r="5" spans="2:9" x14ac:dyDescent="0.25">
      <c r="B5" s="111"/>
      <c r="C5" s="69"/>
      <c r="D5" s="70"/>
      <c r="E5" s="69"/>
      <c r="F5" s="71"/>
      <c r="G5" s="72"/>
      <c r="H5" s="73"/>
      <c r="I5" s="73"/>
    </row>
    <row r="6" spans="2:9" x14ac:dyDescent="0.25">
      <c r="B6" s="111"/>
      <c r="C6" s="69"/>
      <c r="D6" s="70"/>
      <c r="E6" s="69"/>
      <c r="F6" s="71"/>
      <c r="G6" s="72"/>
      <c r="H6" s="73"/>
      <c r="I6" s="73"/>
    </row>
    <row r="7" spans="2:9" ht="65.25" customHeight="1" x14ac:dyDescent="0.25">
      <c r="B7" s="111"/>
      <c r="C7" s="70" t="s">
        <v>671</v>
      </c>
      <c r="D7" s="785" t="s">
        <v>672</v>
      </c>
      <c r="E7" s="783"/>
      <c r="F7" s="783"/>
      <c r="G7" s="783"/>
      <c r="H7" s="783"/>
      <c r="I7" s="783"/>
    </row>
    <row r="8" spans="2:9" ht="6" customHeight="1" x14ac:dyDescent="0.25">
      <c r="B8" s="111"/>
      <c r="C8" s="74"/>
      <c r="D8" s="75"/>
      <c r="E8" s="69"/>
      <c r="F8" s="76"/>
      <c r="G8" s="76"/>
      <c r="H8" s="76"/>
      <c r="I8" s="76"/>
    </row>
    <row r="9" spans="2:9" x14ac:dyDescent="0.25">
      <c r="B9" s="111"/>
      <c r="C9" s="70" t="s">
        <v>673</v>
      </c>
      <c r="D9" s="785">
        <v>1</v>
      </c>
      <c r="E9" s="783"/>
      <c r="F9" s="783"/>
      <c r="G9" s="783"/>
      <c r="H9" s="783"/>
      <c r="I9" s="112"/>
    </row>
    <row r="10" spans="2:9" ht="6" customHeight="1" x14ac:dyDescent="0.25">
      <c r="B10" s="111"/>
      <c r="C10" s="77"/>
      <c r="D10" s="77"/>
      <c r="E10" s="77"/>
      <c r="F10" s="78"/>
      <c r="G10" s="78"/>
      <c r="H10" s="78"/>
      <c r="I10" s="78"/>
    </row>
    <row r="11" spans="2:9" x14ac:dyDescent="0.25">
      <c r="B11" s="111"/>
      <c r="C11" s="70" t="s">
        <v>674</v>
      </c>
      <c r="D11" s="786">
        <v>44579</v>
      </c>
      <c r="E11" s="783"/>
      <c r="F11" s="783"/>
      <c r="G11" s="783"/>
      <c r="H11" s="783"/>
      <c r="I11" s="112"/>
    </row>
    <row r="12" spans="2:9" ht="6" customHeight="1" thickBot="1" x14ac:dyDescent="0.3">
      <c r="B12" s="113"/>
      <c r="C12" s="79"/>
      <c r="D12" s="79"/>
      <c r="E12" s="79"/>
      <c r="F12" s="80"/>
      <c r="G12" s="80"/>
      <c r="H12" s="80"/>
      <c r="I12" s="80"/>
    </row>
    <row r="13" spans="2:9" ht="15.75" thickBot="1" x14ac:dyDescent="0.3">
      <c r="B13" s="787" t="s">
        <v>675</v>
      </c>
      <c r="C13" s="788"/>
      <c r="D13" s="788"/>
      <c r="E13" s="788"/>
      <c r="F13" s="788"/>
      <c r="G13" s="788"/>
      <c r="H13" s="788"/>
      <c r="I13" s="789"/>
    </row>
    <row r="14" spans="2:9" ht="15.75" thickBot="1" x14ac:dyDescent="0.3">
      <c r="B14" s="803" t="s">
        <v>676</v>
      </c>
      <c r="C14" s="805" t="s">
        <v>677</v>
      </c>
      <c r="D14" s="805" t="s">
        <v>678</v>
      </c>
      <c r="E14" s="805" t="s">
        <v>679</v>
      </c>
      <c r="F14" s="807" t="s">
        <v>680</v>
      </c>
      <c r="G14" s="787" t="s">
        <v>681</v>
      </c>
      <c r="H14" s="788"/>
      <c r="I14" s="789"/>
    </row>
    <row r="15" spans="2:9" ht="15.75" thickBot="1" x14ac:dyDescent="0.3">
      <c r="B15" s="804"/>
      <c r="C15" s="806"/>
      <c r="D15" s="806"/>
      <c r="E15" s="806"/>
      <c r="F15" s="808"/>
      <c r="G15" s="114" t="s">
        <v>683</v>
      </c>
      <c r="H15" s="115" t="s">
        <v>684</v>
      </c>
      <c r="I15" s="116" t="s">
        <v>682</v>
      </c>
    </row>
    <row r="16" spans="2:9" ht="15.75" thickBot="1" x14ac:dyDescent="0.3">
      <c r="B16" s="787"/>
      <c r="C16" s="788"/>
      <c r="D16" s="788"/>
      <c r="E16" s="788"/>
      <c r="F16" s="788"/>
      <c r="G16" s="787"/>
      <c r="H16" s="789"/>
      <c r="I16" s="83">
        <f>SUM(I17:I20)</f>
        <v>1</v>
      </c>
    </row>
    <row r="17" spans="2:9" ht="63.75" x14ac:dyDescent="0.25">
      <c r="B17" s="84">
        <v>1</v>
      </c>
      <c r="C17" s="91" t="s">
        <v>700</v>
      </c>
      <c r="D17" s="91" t="s">
        <v>686</v>
      </c>
      <c r="E17" s="117" t="s">
        <v>701</v>
      </c>
      <c r="F17" s="118">
        <v>1</v>
      </c>
      <c r="G17" s="119">
        <v>44621</v>
      </c>
      <c r="H17" s="120">
        <v>44925</v>
      </c>
      <c r="I17" s="121">
        <v>0.2</v>
      </c>
    </row>
    <row r="18" spans="2:9" ht="25.5" x14ac:dyDescent="0.25">
      <c r="B18" s="122">
        <v>2</v>
      </c>
      <c r="C18" s="85" t="s">
        <v>821</v>
      </c>
      <c r="D18" s="85" t="s">
        <v>686</v>
      </c>
      <c r="E18" s="86" t="s">
        <v>702</v>
      </c>
      <c r="F18" s="87">
        <v>1</v>
      </c>
      <c r="G18" s="88">
        <v>44621</v>
      </c>
      <c r="H18" s="89">
        <v>44834</v>
      </c>
      <c r="I18" s="123">
        <v>0.3</v>
      </c>
    </row>
    <row r="19" spans="2:9" ht="38.25" x14ac:dyDescent="0.25">
      <c r="B19" s="84">
        <v>3</v>
      </c>
      <c r="C19" s="85" t="s">
        <v>703</v>
      </c>
      <c r="D19" s="85" t="s">
        <v>686</v>
      </c>
      <c r="E19" s="86" t="s">
        <v>704</v>
      </c>
      <c r="F19" s="87">
        <v>1</v>
      </c>
      <c r="G19" s="88">
        <v>44593</v>
      </c>
      <c r="H19" s="89">
        <v>44925</v>
      </c>
      <c r="I19" s="123">
        <v>0.4</v>
      </c>
    </row>
    <row r="20" spans="2:9" ht="51.75" thickBot="1" x14ac:dyDescent="0.3">
      <c r="B20" s="122">
        <v>4</v>
      </c>
      <c r="C20" s="85" t="s">
        <v>705</v>
      </c>
      <c r="D20" s="91" t="s">
        <v>686</v>
      </c>
      <c r="E20" s="86" t="s">
        <v>706</v>
      </c>
      <c r="F20" s="87">
        <v>1</v>
      </c>
      <c r="G20" s="88">
        <v>44652</v>
      </c>
      <c r="H20" s="89">
        <v>44925</v>
      </c>
      <c r="I20" s="124">
        <v>0.1</v>
      </c>
    </row>
    <row r="21" spans="2:9" ht="45.75" customHeight="1" x14ac:dyDescent="0.25">
      <c r="B21" s="798" t="s">
        <v>694</v>
      </c>
      <c r="C21" s="799"/>
      <c r="D21" s="799"/>
      <c r="E21" s="799"/>
      <c r="F21" s="799"/>
      <c r="G21" s="799"/>
      <c r="H21" s="799"/>
      <c r="I21" s="799"/>
    </row>
    <row r="22" spans="2:9" ht="15.75" customHeight="1" thickBot="1" x14ac:dyDescent="0.3">
      <c r="B22" s="125"/>
      <c r="C22" s="282"/>
      <c r="D22" s="282"/>
      <c r="E22" s="282"/>
      <c r="F22" s="282"/>
      <c r="G22" s="125"/>
      <c r="H22" s="125"/>
      <c r="I22" s="125"/>
    </row>
    <row r="23" spans="2:9" ht="15.75" customHeight="1" thickBot="1" x14ac:dyDescent="0.3">
      <c r="B23" s="99"/>
      <c r="C23" s="812" t="s">
        <v>695</v>
      </c>
      <c r="D23" s="813"/>
      <c r="E23" s="813"/>
      <c r="F23" s="814"/>
      <c r="G23" s="100"/>
      <c r="H23" s="100"/>
      <c r="I23" s="100"/>
    </row>
    <row r="24" spans="2:9" ht="15.75" customHeight="1" x14ac:dyDescent="0.25">
      <c r="B24" s="99"/>
      <c r="C24" s="288" t="s">
        <v>696</v>
      </c>
      <c r="D24" s="790" t="s">
        <v>697</v>
      </c>
      <c r="E24" s="791"/>
      <c r="F24" s="289" t="s">
        <v>698</v>
      </c>
      <c r="G24" s="100"/>
      <c r="H24" s="100"/>
      <c r="I24" s="100"/>
    </row>
    <row r="25" spans="2:9" ht="37.5" customHeight="1" x14ac:dyDescent="0.25">
      <c r="B25" s="99"/>
      <c r="C25" s="283">
        <v>1</v>
      </c>
      <c r="D25" s="809" t="s">
        <v>699</v>
      </c>
      <c r="E25" s="793"/>
      <c r="F25" s="284">
        <v>44579</v>
      </c>
      <c r="G25" s="100"/>
      <c r="H25" s="100"/>
      <c r="I25" s="100"/>
    </row>
    <row r="26" spans="2:9" ht="15.75" customHeight="1" x14ac:dyDescent="0.25">
      <c r="B26" s="99"/>
      <c r="C26" s="283"/>
      <c r="D26" s="809"/>
      <c r="E26" s="793"/>
      <c r="F26" s="285"/>
      <c r="G26" s="100"/>
      <c r="H26" s="100"/>
      <c r="I26" s="100"/>
    </row>
    <row r="27" spans="2:9" ht="15.75" customHeight="1" thickBot="1" x14ac:dyDescent="0.3">
      <c r="B27" s="99"/>
      <c r="C27" s="286"/>
      <c r="D27" s="810"/>
      <c r="E27" s="811"/>
      <c r="F27" s="287"/>
      <c r="G27" s="100"/>
      <c r="H27" s="100"/>
      <c r="I27" s="100"/>
    </row>
    <row r="28" spans="2:9" ht="15.75" customHeight="1" x14ac:dyDescent="0.25"/>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sheetData>
  <mergeCells count="19">
    <mergeCell ref="D25:E25"/>
    <mergeCell ref="D26:E26"/>
    <mergeCell ref="D27:E27"/>
    <mergeCell ref="G14:I14"/>
    <mergeCell ref="B16:F16"/>
    <mergeCell ref="G16:H16"/>
    <mergeCell ref="B21:I21"/>
    <mergeCell ref="C23:F23"/>
    <mergeCell ref="D24:E24"/>
    <mergeCell ref="B14:B15"/>
    <mergeCell ref="C14:C15"/>
    <mergeCell ref="D14:D15"/>
    <mergeCell ref="E14:E15"/>
    <mergeCell ref="F14:F15"/>
    <mergeCell ref="C3:I3"/>
    <mergeCell ref="D7:I7"/>
    <mergeCell ref="D9:H9"/>
    <mergeCell ref="D11:H11"/>
    <mergeCell ref="B13:I13"/>
  </mergeCells>
  <pageMargins left="0.7" right="0.7" top="0.75" bottom="0.75"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6561-0D56-441D-88CA-CF284DFC5B8E}">
  <dimension ref="A1:Z993"/>
  <sheetViews>
    <sheetView showGridLines="0" workbookViewId="0">
      <selection activeCell="B6" sqref="B6:B7"/>
    </sheetView>
  </sheetViews>
  <sheetFormatPr baseColWidth="10" defaultColWidth="0" defaultRowHeight="15" customHeight="1" zeroHeight="1" x14ac:dyDescent="0.25"/>
  <cols>
    <col min="1" max="1" width="4.7109375" style="68" customWidth="1"/>
    <col min="2" max="2" width="10.7109375" style="68" customWidth="1"/>
    <col min="3" max="3" width="23.140625" style="68" customWidth="1"/>
    <col min="4" max="4" width="16.140625" style="68" customWidth="1"/>
    <col min="5" max="5" width="30.85546875" style="68" customWidth="1"/>
    <col min="6" max="6" width="17.28515625" style="68" customWidth="1"/>
    <col min="7" max="7" width="9.140625" style="68" customWidth="1"/>
    <col min="8" max="8" width="10.140625" style="68" customWidth="1"/>
    <col min="9" max="9" width="12.5703125" style="68" customWidth="1"/>
    <col min="10" max="10" width="10.7109375" style="68" customWidth="1"/>
    <col min="11" max="26" width="10.7109375" style="68" hidden="1" customWidth="1"/>
    <col min="27" max="16384" width="14.42578125" style="68" hidden="1"/>
  </cols>
  <sheetData>
    <row r="1" spans="2:9" ht="15.75" x14ac:dyDescent="0.25">
      <c r="B1" s="66"/>
      <c r="C1" s="66"/>
      <c r="D1" s="67"/>
      <c r="E1" s="67"/>
      <c r="F1" s="67"/>
      <c r="G1" s="67"/>
      <c r="H1" s="67"/>
      <c r="I1" s="67"/>
    </row>
    <row r="2" spans="2:9" x14ac:dyDescent="0.25">
      <c r="B2" s="111"/>
      <c r="C2" s="782" t="s">
        <v>788</v>
      </c>
      <c r="D2" s="783"/>
      <c r="E2" s="783"/>
      <c r="F2" s="783"/>
      <c r="G2" s="783"/>
      <c r="H2" s="783"/>
      <c r="I2" s="783"/>
    </row>
    <row r="3" spans="2:9" x14ac:dyDescent="0.25">
      <c r="B3" s="111"/>
      <c r="C3" s="69"/>
      <c r="D3" s="70"/>
      <c r="E3" s="69"/>
      <c r="F3" s="71"/>
      <c r="G3" s="72"/>
      <c r="H3" s="73"/>
      <c r="I3" s="73"/>
    </row>
    <row r="4" spans="2:9" ht="78" customHeight="1" x14ac:dyDescent="0.25">
      <c r="B4" s="111"/>
      <c r="C4" s="70" t="s">
        <v>671</v>
      </c>
      <c r="D4" s="785" t="s">
        <v>672</v>
      </c>
      <c r="E4" s="783"/>
      <c r="F4" s="783"/>
      <c r="G4" s="783"/>
      <c r="H4" s="783"/>
      <c r="I4" s="783"/>
    </row>
    <row r="5" spans="2:9" ht="6.75" customHeight="1" x14ac:dyDescent="0.25">
      <c r="B5" s="111"/>
      <c r="C5" s="74"/>
      <c r="D5" s="75"/>
      <c r="E5" s="69"/>
      <c r="F5" s="76"/>
      <c r="G5" s="76"/>
      <c r="H5" s="76"/>
      <c r="I5" s="76"/>
    </row>
    <row r="6" spans="2:9" x14ac:dyDescent="0.25">
      <c r="B6" s="111"/>
      <c r="C6" s="70" t="s">
        <v>673</v>
      </c>
      <c r="D6" s="785">
        <v>1</v>
      </c>
      <c r="E6" s="783"/>
      <c r="F6" s="783"/>
      <c r="G6" s="783"/>
      <c r="H6" s="783"/>
      <c r="I6" s="112"/>
    </row>
    <row r="7" spans="2:9" ht="6.75" customHeight="1" x14ac:dyDescent="0.25">
      <c r="B7" s="111"/>
      <c r="C7" s="77"/>
      <c r="D7" s="77"/>
      <c r="E7" s="77"/>
      <c r="F7" s="78"/>
      <c r="G7" s="78"/>
      <c r="H7" s="78"/>
      <c r="I7" s="78"/>
    </row>
    <row r="8" spans="2:9" x14ac:dyDescent="0.25">
      <c r="B8" s="111"/>
      <c r="C8" s="70" t="s">
        <v>674</v>
      </c>
      <c r="D8" s="786">
        <v>44579</v>
      </c>
      <c r="E8" s="783"/>
      <c r="F8" s="783"/>
      <c r="G8" s="783"/>
      <c r="H8" s="783"/>
      <c r="I8" s="112"/>
    </row>
    <row r="9" spans="2:9" ht="6.75" customHeight="1" thickBot="1" x14ac:dyDescent="0.3">
      <c r="B9" s="113"/>
      <c r="C9" s="79"/>
      <c r="D9" s="79"/>
      <c r="E9" s="79"/>
      <c r="F9" s="80"/>
      <c r="G9" s="80"/>
      <c r="H9" s="80"/>
      <c r="I9" s="80"/>
    </row>
    <row r="10" spans="2:9" ht="15.75" thickBot="1" x14ac:dyDescent="0.3">
      <c r="B10" s="787" t="s">
        <v>675</v>
      </c>
      <c r="C10" s="788"/>
      <c r="D10" s="788"/>
      <c r="E10" s="788"/>
      <c r="F10" s="788"/>
      <c r="G10" s="788"/>
      <c r="H10" s="789"/>
      <c r="I10" s="126" t="s">
        <v>707</v>
      </c>
    </row>
    <row r="11" spans="2:9" x14ac:dyDescent="0.25">
      <c r="B11" s="803" t="s">
        <v>676</v>
      </c>
      <c r="C11" s="805" t="s">
        <v>677</v>
      </c>
      <c r="D11" s="805" t="s">
        <v>678</v>
      </c>
      <c r="E11" s="805" t="s">
        <v>679</v>
      </c>
      <c r="F11" s="807" t="s">
        <v>680</v>
      </c>
      <c r="G11" s="794" t="s">
        <v>681</v>
      </c>
      <c r="H11" s="795"/>
      <c r="I11" s="796" t="s">
        <v>682</v>
      </c>
    </row>
    <row r="12" spans="2:9" ht="15.75" thickBot="1" x14ac:dyDescent="0.3">
      <c r="B12" s="804"/>
      <c r="C12" s="806"/>
      <c r="D12" s="806"/>
      <c r="E12" s="806"/>
      <c r="F12" s="808"/>
      <c r="G12" s="81" t="s">
        <v>683</v>
      </c>
      <c r="H12" s="82" t="s">
        <v>684</v>
      </c>
      <c r="I12" s="797"/>
    </row>
    <row r="13" spans="2:9" ht="15.75" thickBot="1" x14ac:dyDescent="0.3">
      <c r="B13" s="787"/>
      <c r="C13" s="788"/>
      <c r="D13" s="788"/>
      <c r="E13" s="788"/>
      <c r="F13" s="788"/>
      <c r="G13" s="787"/>
      <c r="H13" s="789"/>
      <c r="I13" s="83">
        <f>I14</f>
        <v>1</v>
      </c>
    </row>
    <row r="14" spans="2:9" ht="52.5" customHeight="1" thickBot="1" x14ac:dyDescent="0.3">
      <c r="B14" s="84">
        <v>1</v>
      </c>
      <c r="C14" s="127" t="s">
        <v>822</v>
      </c>
      <c r="D14" s="91" t="s">
        <v>686</v>
      </c>
      <c r="E14" s="117" t="s">
        <v>708</v>
      </c>
      <c r="F14" s="118">
        <v>1</v>
      </c>
      <c r="G14" s="119">
        <v>44621</v>
      </c>
      <c r="H14" s="120">
        <v>44925</v>
      </c>
      <c r="I14" s="128">
        <v>1</v>
      </c>
    </row>
    <row r="15" spans="2:9" ht="36.75" customHeight="1" thickBot="1" x14ac:dyDescent="0.3">
      <c r="B15" s="798" t="s">
        <v>694</v>
      </c>
      <c r="C15" s="799"/>
      <c r="D15" s="799"/>
      <c r="E15" s="799"/>
      <c r="F15" s="799"/>
      <c r="G15" s="799"/>
      <c r="H15" s="799"/>
      <c r="I15" s="799"/>
    </row>
    <row r="16" spans="2:9" ht="15.75" thickBot="1" x14ac:dyDescent="0.3">
      <c r="B16" s="99"/>
      <c r="C16" s="800" t="s">
        <v>695</v>
      </c>
      <c r="D16" s="801"/>
      <c r="E16" s="801"/>
      <c r="F16" s="802"/>
      <c r="G16" s="100"/>
      <c r="H16" s="100"/>
      <c r="I16" s="100"/>
    </row>
    <row r="17" spans="2:9" x14ac:dyDescent="0.25">
      <c r="B17" s="99"/>
      <c r="C17" s="276" t="s">
        <v>696</v>
      </c>
      <c r="D17" s="790" t="s">
        <v>697</v>
      </c>
      <c r="E17" s="791"/>
      <c r="F17" s="277" t="s">
        <v>698</v>
      </c>
      <c r="G17" s="100"/>
      <c r="H17" s="100"/>
      <c r="I17" s="100"/>
    </row>
    <row r="18" spans="2:9" ht="33" customHeight="1" x14ac:dyDescent="0.25">
      <c r="B18" s="99"/>
      <c r="C18" s="101">
        <v>1</v>
      </c>
      <c r="D18" s="809" t="s">
        <v>699</v>
      </c>
      <c r="E18" s="793"/>
      <c r="F18" s="102">
        <v>44579</v>
      </c>
      <c r="G18" s="100"/>
      <c r="H18" s="100"/>
      <c r="I18" s="100"/>
    </row>
    <row r="19" spans="2:9" ht="15.75" customHeight="1" x14ac:dyDescent="0.25">
      <c r="B19" s="99"/>
      <c r="C19" s="101"/>
      <c r="D19" s="809"/>
      <c r="E19" s="793"/>
      <c r="F19" s="105"/>
      <c r="G19" s="100"/>
      <c r="H19" s="100"/>
      <c r="I19" s="100"/>
    </row>
    <row r="20" spans="2:9" ht="15.75" customHeight="1" thickBot="1" x14ac:dyDescent="0.3">
      <c r="B20" s="99"/>
      <c r="C20" s="106"/>
      <c r="D20" s="815"/>
      <c r="E20" s="816"/>
      <c r="F20" s="109"/>
      <c r="G20" s="100"/>
      <c r="H20" s="100"/>
      <c r="I20" s="100"/>
    </row>
    <row r="21" spans="2:9" ht="15.75" customHeight="1" x14ac:dyDescent="0.25">
      <c r="B21" s="99"/>
      <c r="C21" s="110"/>
      <c r="D21" s="110"/>
      <c r="E21" s="99"/>
      <c r="F21" s="99"/>
      <c r="G21" s="100"/>
      <c r="H21" s="100"/>
      <c r="I21" s="100"/>
    </row>
    <row r="22" spans="2:9" ht="15.75" customHeight="1" x14ac:dyDescent="0.25">
      <c r="B22" s="129"/>
      <c r="C22" s="130"/>
      <c r="D22" s="130"/>
      <c r="E22" s="130"/>
      <c r="F22" s="130"/>
      <c r="G22" s="130"/>
      <c r="H22" s="130"/>
      <c r="I22" s="130"/>
    </row>
    <row r="23" spans="2:9" ht="15.75" hidden="1" customHeight="1" x14ac:dyDescent="0.25">
      <c r="B23" s="129"/>
      <c r="C23" s="131"/>
      <c r="D23" s="131"/>
      <c r="E23" s="131"/>
      <c r="F23" s="130"/>
      <c r="G23" s="130"/>
      <c r="H23" s="130"/>
      <c r="I23" s="130"/>
    </row>
    <row r="24" spans="2:9" ht="15.75" hidden="1" customHeight="1" x14ac:dyDescent="0.25">
      <c r="B24" s="129"/>
      <c r="C24" s="131"/>
      <c r="D24" s="131"/>
      <c r="E24" s="131"/>
      <c r="F24" s="130"/>
      <c r="G24" s="130"/>
      <c r="H24" s="130"/>
      <c r="I24" s="130"/>
    </row>
    <row r="25" spans="2:9" ht="15.75" hidden="1" customHeight="1" x14ac:dyDescent="0.25">
      <c r="B25" s="129"/>
      <c r="C25" s="131"/>
      <c r="D25" s="131"/>
      <c r="E25" s="131"/>
      <c r="F25" s="130"/>
      <c r="G25" s="130"/>
      <c r="H25" s="130"/>
      <c r="I25" s="130"/>
    </row>
    <row r="26" spans="2:9" ht="15.75" hidden="1" customHeight="1" x14ac:dyDescent="0.25">
      <c r="B26" s="129"/>
      <c r="C26" s="131"/>
      <c r="D26" s="131"/>
      <c r="E26" s="131"/>
      <c r="F26" s="130"/>
      <c r="G26" s="130"/>
      <c r="H26" s="130"/>
      <c r="I26" s="130"/>
    </row>
    <row r="27" spans="2:9" ht="15.75" hidden="1" customHeight="1" x14ac:dyDescent="0.25">
      <c r="B27" s="129"/>
      <c r="C27" s="131"/>
      <c r="D27" s="131"/>
      <c r="E27" s="131"/>
      <c r="F27" s="130"/>
      <c r="G27" s="130"/>
      <c r="H27" s="130"/>
      <c r="I27" s="130"/>
    </row>
    <row r="28" spans="2:9" ht="15.75" hidden="1" customHeight="1" x14ac:dyDescent="0.25">
      <c r="B28" s="129"/>
      <c r="C28" s="131"/>
      <c r="D28" s="131"/>
      <c r="E28" s="131"/>
      <c r="F28" s="130"/>
      <c r="G28" s="130"/>
      <c r="H28" s="130"/>
      <c r="I28" s="130"/>
    </row>
    <row r="29" spans="2:9" ht="15.75" hidden="1" customHeight="1" x14ac:dyDescent="0.25">
      <c r="B29" s="129"/>
      <c r="C29" s="131"/>
      <c r="D29" s="131"/>
      <c r="E29" s="131"/>
      <c r="F29" s="130"/>
      <c r="G29" s="130"/>
      <c r="H29" s="130"/>
      <c r="I29" s="130"/>
    </row>
    <row r="30" spans="2:9" ht="15.75" hidden="1" customHeight="1" x14ac:dyDescent="0.25">
      <c r="B30" s="129"/>
      <c r="C30" s="131"/>
      <c r="D30" s="131"/>
      <c r="E30" s="131"/>
      <c r="F30" s="130"/>
      <c r="G30" s="130"/>
      <c r="H30" s="130"/>
      <c r="I30" s="130"/>
    </row>
    <row r="31" spans="2:9" ht="15.75" hidden="1" customHeight="1" x14ac:dyDescent="0.25">
      <c r="B31" s="129"/>
      <c r="C31" s="131"/>
      <c r="D31" s="131"/>
      <c r="E31" s="131"/>
      <c r="F31" s="130"/>
      <c r="G31" s="130"/>
      <c r="H31" s="130"/>
      <c r="I31" s="130"/>
    </row>
    <row r="32" spans="2:9" ht="15.75" hidden="1" customHeight="1" x14ac:dyDescent="0.25">
      <c r="B32" s="129"/>
      <c r="C32" s="131"/>
      <c r="D32" s="131"/>
      <c r="E32" s="131"/>
      <c r="F32" s="130"/>
      <c r="G32" s="130"/>
      <c r="H32" s="130"/>
      <c r="I32" s="130"/>
    </row>
    <row r="33" spans="2:9" ht="15.75" hidden="1" customHeight="1" x14ac:dyDescent="0.25">
      <c r="B33" s="129"/>
      <c r="C33" s="131"/>
      <c r="D33" s="131"/>
      <c r="E33" s="131"/>
      <c r="F33" s="130"/>
      <c r="G33" s="130"/>
      <c r="H33" s="130"/>
      <c r="I33" s="130"/>
    </row>
    <row r="34" spans="2:9" ht="15.75" hidden="1" customHeight="1" x14ac:dyDescent="0.25">
      <c r="B34" s="129"/>
      <c r="C34" s="131"/>
      <c r="D34" s="131"/>
      <c r="E34" s="131"/>
      <c r="F34" s="130"/>
      <c r="G34" s="130"/>
      <c r="H34" s="130"/>
      <c r="I34" s="130"/>
    </row>
    <row r="35" spans="2:9" ht="15.75" hidden="1" customHeight="1" x14ac:dyDescent="0.25">
      <c r="B35" s="129"/>
      <c r="C35" s="131"/>
      <c r="D35" s="131"/>
      <c r="E35" s="131"/>
      <c r="F35" s="130"/>
      <c r="G35" s="130"/>
      <c r="H35" s="130"/>
      <c r="I35" s="130"/>
    </row>
    <row r="36" spans="2:9" ht="15.75" hidden="1" customHeight="1" x14ac:dyDescent="0.25">
      <c r="B36" s="129"/>
      <c r="C36" s="131"/>
      <c r="D36" s="131"/>
      <c r="E36" s="131"/>
      <c r="F36" s="130"/>
      <c r="G36" s="130"/>
      <c r="H36" s="130"/>
      <c r="I36" s="130"/>
    </row>
    <row r="37" spans="2:9" ht="15.75" hidden="1" customHeight="1" x14ac:dyDescent="0.25">
      <c r="B37" s="129"/>
      <c r="C37" s="131"/>
      <c r="D37" s="131"/>
      <c r="E37" s="131"/>
      <c r="F37" s="130"/>
      <c r="G37" s="130"/>
      <c r="H37" s="130"/>
      <c r="I37" s="130"/>
    </row>
    <row r="38" spans="2:9" ht="15.75" hidden="1" customHeight="1" x14ac:dyDescent="0.25">
      <c r="B38" s="129"/>
      <c r="C38" s="131"/>
      <c r="D38" s="131"/>
      <c r="E38" s="131"/>
      <c r="F38" s="130"/>
      <c r="G38" s="130"/>
      <c r="H38" s="130"/>
      <c r="I38" s="130"/>
    </row>
    <row r="39" spans="2:9" ht="15.75" hidden="1" customHeight="1" x14ac:dyDescent="0.25">
      <c r="B39" s="129"/>
      <c r="C39" s="131"/>
      <c r="D39" s="131"/>
      <c r="E39" s="131"/>
      <c r="F39" s="130"/>
      <c r="G39" s="130"/>
      <c r="H39" s="130"/>
      <c r="I39" s="130"/>
    </row>
    <row r="40" spans="2:9" ht="15.75" hidden="1" customHeight="1" x14ac:dyDescent="0.25">
      <c r="B40" s="129"/>
      <c r="C40" s="131"/>
      <c r="D40" s="131"/>
      <c r="E40" s="131"/>
      <c r="F40" s="130"/>
      <c r="G40" s="130"/>
      <c r="H40" s="130"/>
      <c r="I40" s="130"/>
    </row>
    <row r="41" spans="2:9" ht="15.75" hidden="1" customHeight="1" x14ac:dyDescent="0.25">
      <c r="B41" s="129"/>
      <c r="C41" s="131"/>
      <c r="D41" s="131"/>
      <c r="E41" s="131"/>
      <c r="F41" s="130"/>
      <c r="G41" s="130"/>
      <c r="H41" s="130"/>
      <c r="I41" s="130"/>
    </row>
    <row r="42" spans="2:9" ht="15.75" hidden="1" customHeight="1" x14ac:dyDescent="0.25">
      <c r="B42" s="129"/>
      <c r="C42" s="131"/>
      <c r="D42" s="131"/>
      <c r="E42" s="131"/>
      <c r="F42" s="130"/>
      <c r="G42" s="130"/>
      <c r="H42" s="130"/>
      <c r="I42" s="130"/>
    </row>
    <row r="43" spans="2:9" ht="15.75" hidden="1" customHeight="1" x14ac:dyDescent="0.25">
      <c r="B43" s="129"/>
      <c r="C43" s="131"/>
      <c r="D43" s="131"/>
      <c r="E43" s="131"/>
      <c r="F43" s="130"/>
      <c r="G43" s="130"/>
      <c r="H43" s="130"/>
      <c r="I43" s="130"/>
    </row>
    <row r="44" spans="2:9" ht="15.75" hidden="1" customHeight="1" x14ac:dyDescent="0.25">
      <c r="B44" s="129"/>
      <c r="C44" s="131"/>
      <c r="D44" s="131"/>
      <c r="E44" s="131"/>
      <c r="F44" s="130"/>
      <c r="G44" s="130"/>
      <c r="H44" s="130"/>
      <c r="I44" s="130"/>
    </row>
    <row r="45" spans="2:9" ht="15.75" hidden="1" customHeight="1" x14ac:dyDescent="0.25">
      <c r="B45" s="129"/>
      <c r="C45" s="131"/>
      <c r="D45" s="131"/>
      <c r="E45" s="131"/>
      <c r="F45" s="130"/>
      <c r="G45" s="130"/>
      <c r="H45" s="130"/>
      <c r="I45" s="130"/>
    </row>
    <row r="46" spans="2:9" ht="15.75" hidden="1" customHeight="1" x14ac:dyDescent="0.25">
      <c r="B46" s="129"/>
      <c r="C46" s="131"/>
      <c r="D46" s="131"/>
      <c r="E46" s="131"/>
      <c r="F46" s="130"/>
      <c r="G46" s="130"/>
      <c r="H46" s="130"/>
      <c r="I46" s="130"/>
    </row>
    <row r="47" spans="2:9" ht="15.75" hidden="1" customHeight="1" x14ac:dyDescent="0.25">
      <c r="B47" s="129"/>
      <c r="C47" s="131"/>
      <c r="D47" s="131"/>
      <c r="E47" s="131"/>
      <c r="F47" s="130"/>
      <c r="G47" s="130"/>
      <c r="H47" s="130"/>
      <c r="I47" s="130"/>
    </row>
    <row r="48" spans="2:9" ht="15.75" hidden="1" customHeight="1" x14ac:dyDescent="0.25">
      <c r="B48" s="129"/>
      <c r="C48" s="131"/>
      <c r="D48" s="131"/>
      <c r="E48" s="131"/>
      <c r="F48" s="130"/>
      <c r="G48" s="130"/>
      <c r="H48" s="130"/>
      <c r="I48" s="130"/>
    </row>
    <row r="49" spans="2:9" ht="15.75" hidden="1" customHeight="1" x14ac:dyDescent="0.25">
      <c r="B49" s="129"/>
      <c r="C49" s="131"/>
      <c r="D49" s="131"/>
      <c r="E49" s="131"/>
      <c r="F49" s="130"/>
      <c r="G49" s="130"/>
      <c r="H49" s="130"/>
      <c r="I49" s="130"/>
    </row>
    <row r="50" spans="2:9" ht="15.75" hidden="1" customHeight="1" x14ac:dyDescent="0.25">
      <c r="B50" s="129"/>
      <c r="C50" s="131"/>
      <c r="D50" s="131"/>
      <c r="E50" s="131"/>
      <c r="F50" s="130"/>
      <c r="G50" s="130"/>
      <c r="H50" s="130"/>
      <c r="I50" s="130"/>
    </row>
    <row r="51" spans="2:9" ht="15.75" hidden="1" customHeight="1" x14ac:dyDescent="0.25"/>
    <row r="52" spans="2:9" ht="15.75" hidden="1" customHeight="1" x14ac:dyDescent="0.25"/>
    <row r="53" spans="2:9" ht="15.75" hidden="1" customHeight="1" x14ac:dyDescent="0.25"/>
    <row r="54" spans="2:9" ht="15.75" hidden="1" customHeight="1" x14ac:dyDescent="0.25"/>
    <row r="55" spans="2:9" ht="15.75" hidden="1" customHeight="1" x14ac:dyDescent="0.25"/>
    <row r="56" spans="2:9" ht="15.75" hidden="1" customHeight="1" x14ac:dyDescent="0.25"/>
    <row r="57" spans="2:9" ht="15.75" hidden="1" customHeight="1" x14ac:dyDescent="0.25"/>
    <row r="58" spans="2:9" ht="15.75" hidden="1" customHeight="1" x14ac:dyDescent="0.25"/>
    <row r="59" spans="2:9" ht="15.75" hidden="1" customHeight="1" x14ac:dyDescent="0.25"/>
    <row r="60" spans="2:9" ht="15.75" hidden="1" customHeight="1" x14ac:dyDescent="0.25"/>
    <row r="61" spans="2:9" ht="15.75" hidden="1" customHeight="1" x14ac:dyDescent="0.25"/>
    <row r="62" spans="2:9" ht="15.75" hidden="1" customHeight="1" x14ac:dyDescent="0.25"/>
    <row r="63" spans="2:9" ht="15.75" hidden="1" customHeight="1" x14ac:dyDescent="0.25"/>
    <row r="64" spans="2: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sheetData>
  <mergeCells count="20">
    <mergeCell ref="D17:E17"/>
    <mergeCell ref="D18:E18"/>
    <mergeCell ref="D19:E19"/>
    <mergeCell ref="D20:E20"/>
    <mergeCell ref="G11:H11"/>
    <mergeCell ref="I11:I12"/>
    <mergeCell ref="B13:F13"/>
    <mergeCell ref="G13:H13"/>
    <mergeCell ref="B15:I15"/>
    <mergeCell ref="C16:F16"/>
    <mergeCell ref="B11:B12"/>
    <mergeCell ref="C11:C12"/>
    <mergeCell ref="D11:D12"/>
    <mergeCell ref="E11:E12"/>
    <mergeCell ref="F11:F12"/>
    <mergeCell ref="C2:I2"/>
    <mergeCell ref="D4:I4"/>
    <mergeCell ref="D6:H6"/>
    <mergeCell ref="D8:H8"/>
    <mergeCell ref="B10:H10"/>
  </mergeCells>
  <pageMargins left="0.7" right="0.7" top="0.75" bottom="0.75" header="0" footer="0"/>
  <pageSetup orientation="landscape"/>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B2FF-51BA-46CA-BDD5-3BEA7C0C9D3A}">
  <dimension ref="A1:Z995"/>
  <sheetViews>
    <sheetView showGridLines="0" workbookViewId="0">
      <selection activeCell="B6" sqref="B6:B7"/>
    </sheetView>
  </sheetViews>
  <sheetFormatPr baseColWidth="10" defaultColWidth="0" defaultRowHeight="15" customHeight="1" zeroHeight="1" x14ac:dyDescent="0.25"/>
  <cols>
    <col min="1" max="1" width="2.42578125" style="68" customWidth="1"/>
    <col min="2" max="2" width="4.42578125" style="68" customWidth="1"/>
    <col min="3" max="3" width="30" style="68" customWidth="1"/>
    <col min="4" max="4" width="21.85546875" style="68" customWidth="1"/>
    <col min="5" max="5" width="30" style="68" customWidth="1"/>
    <col min="6" max="6" width="23.42578125" style="68" customWidth="1"/>
    <col min="7" max="8" width="13.42578125" style="68" customWidth="1"/>
    <col min="9" max="9" width="14.5703125" style="68" customWidth="1"/>
    <col min="10" max="10" width="58.42578125" style="68" customWidth="1"/>
    <col min="11" max="11" width="4.28515625" style="68" customWidth="1"/>
    <col min="12" max="25" width="10.7109375" style="68" hidden="1" customWidth="1"/>
    <col min="26" max="26" width="0" style="68" hidden="1" customWidth="1"/>
    <col min="27" max="16384" width="14.42578125" style="68" hidden="1"/>
  </cols>
  <sheetData>
    <row r="1" spans="1:26" ht="18.75" customHeight="1" x14ac:dyDescent="0.25">
      <c r="A1" s="132"/>
      <c r="B1" s="133"/>
      <c r="C1" s="133"/>
      <c r="D1" s="134"/>
      <c r="E1" s="134"/>
      <c r="F1" s="134"/>
      <c r="G1" s="134"/>
      <c r="H1" s="134"/>
      <c r="I1" s="134"/>
      <c r="J1" s="135"/>
      <c r="K1" s="132"/>
      <c r="L1" s="130"/>
      <c r="M1" s="130"/>
      <c r="N1" s="130"/>
      <c r="O1" s="130"/>
      <c r="P1" s="130"/>
      <c r="Q1" s="130"/>
      <c r="R1" s="130"/>
      <c r="S1" s="130"/>
      <c r="T1" s="130"/>
      <c r="U1" s="130"/>
      <c r="V1" s="130"/>
      <c r="W1" s="130"/>
      <c r="X1" s="130"/>
      <c r="Y1" s="130"/>
      <c r="Z1" s="136"/>
    </row>
    <row r="2" spans="1:26" ht="18.75" customHeight="1" x14ac:dyDescent="0.25">
      <c r="A2" s="132"/>
      <c r="B2" s="137"/>
      <c r="C2" s="817" t="s">
        <v>709</v>
      </c>
      <c r="D2" s="783"/>
      <c r="E2" s="783"/>
      <c r="F2" s="783"/>
      <c r="G2" s="783"/>
      <c r="H2" s="783"/>
      <c r="I2" s="783"/>
      <c r="J2" s="783"/>
      <c r="K2" s="132"/>
      <c r="L2" s="130"/>
      <c r="M2" s="130"/>
      <c r="N2" s="130"/>
      <c r="O2" s="130"/>
      <c r="P2" s="130"/>
      <c r="Q2" s="130"/>
      <c r="R2" s="130"/>
      <c r="S2" s="130"/>
      <c r="T2" s="130"/>
      <c r="U2" s="130"/>
      <c r="V2" s="130"/>
      <c r="W2" s="130"/>
      <c r="X2" s="130"/>
      <c r="Y2" s="130"/>
      <c r="Z2" s="136"/>
    </row>
    <row r="3" spans="1:26" ht="18.75" customHeight="1" x14ac:dyDescent="0.25">
      <c r="A3" s="132"/>
      <c r="B3" s="137"/>
      <c r="C3" s="132"/>
      <c r="D3" s="138"/>
      <c r="E3" s="132"/>
      <c r="F3" s="139"/>
      <c r="G3" s="140"/>
      <c r="H3" s="141"/>
      <c r="I3" s="141"/>
      <c r="J3" s="142"/>
      <c r="K3" s="132"/>
      <c r="L3" s="130"/>
      <c r="M3" s="130"/>
      <c r="N3" s="130"/>
      <c r="O3" s="130"/>
      <c r="P3" s="130"/>
      <c r="Q3" s="130"/>
      <c r="R3" s="130"/>
      <c r="S3" s="130"/>
      <c r="T3" s="130"/>
      <c r="U3" s="130"/>
      <c r="V3" s="130"/>
      <c r="W3" s="130"/>
      <c r="X3" s="130"/>
      <c r="Y3" s="130"/>
      <c r="Z3" s="136"/>
    </row>
    <row r="4" spans="1:26" ht="37.5" customHeight="1" x14ac:dyDescent="0.25">
      <c r="A4" s="132"/>
      <c r="B4" s="137"/>
      <c r="C4" s="143" t="s">
        <v>671</v>
      </c>
      <c r="D4" s="818" t="s">
        <v>764</v>
      </c>
      <c r="E4" s="783"/>
      <c r="F4" s="783"/>
      <c r="G4" s="783"/>
      <c r="H4" s="783"/>
      <c r="I4" s="783"/>
      <c r="J4" s="783"/>
      <c r="K4" s="132"/>
      <c r="L4" s="130"/>
      <c r="M4" s="130"/>
      <c r="N4" s="130"/>
      <c r="O4" s="130"/>
      <c r="P4" s="130"/>
      <c r="Q4" s="130"/>
      <c r="R4" s="130"/>
      <c r="S4" s="130"/>
      <c r="T4" s="130"/>
      <c r="U4" s="130"/>
      <c r="V4" s="130"/>
      <c r="W4" s="130"/>
      <c r="X4" s="130"/>
      <c r="Y4" s="130"/>
      <c r="Z4" s="136"/>
    </row>
    <row r="5" spans="1:26" ht="8.25" customHeight="1" x14ac:dyDescent="0.25">
      <c r="A5" s="132"/>
      <c r="B5" s="137"/>
      <c r="C5" s="144"/>
      <c r="D5" s="145"/>
      <c r="E5" s="146"/>
      <c r="F5" s="147"/>
      <c r="G5" s="147"/>
      <c r="H5" s="147"/>
      <c r="I5" s="147"/>
      <c r="J5" s="148"/>
      <c r="K5" s="132"/>
      <c r="L5" s="130"/>
      <c r="M5" s="130"/>
      <c r="N5" s="130"/>
      <c r="O5" s="130"/>
      <c r="P5" s="130"/>
      <c r="Q5" s="130"/>
      <c r="R5" s="130"/>
      <c r="S5" s="130"/>
      <c r="T5" s="130"/>
      <c r="U5" s="130"/>
      <c r="V5" s="130"/>
      <c r="W5" s="130"/>
      <c r="X5" s="130"/>
      <c r="Y5" s="130"/>
      <c r="Z5" s="136"/>
    </row>
    <row r="6" spans="1:26" ht="18" customHeight="1" x14ac:dyDescent="0.25">
      <c r="A6" s="132"/>
      <c r="B6" s="137"/>
      <c r="C6" s="143" t="s">
        <v>673</v>
      </c>
      <c r="D6" s="818">
        <v>1</v>
      </c>
      <c r="E6" s="783"/>
      <c r="F6" s="783"/>
      <c r="G6" s="783"/>
      <c r="H6" s="783"/>
      <c r="I6" s="149"/>
      <c r="J6" s="149"/>
      <c r="K6" s="132"/>
      <c r="L6" s="130"/>
      <c r="M6" s="130"/>
      <c r="N6" s="130"/>
      <c r="O6" s="130"/>
      <c r="P6" s="130"/>
      <c r="Q6" s="130"/>
      <c r="R6" s="130"/>
      <c r="S6" s="130"/>
      <c r="T6" s="130"/>
      <c r="U6" s="130"/>
      <c r="V6" s="130"/>
      <c r="W6" s="130"/>
      <c r="X6" s="130"/>
      <c r="Y6" s="130"/>
      <c r="Z6" s="136"/>
    </row>
    <row r="7" spans="1:26" ht="8.25" customHeight="1" x14ac:dyDescent="0.25">
      <c r="A7" s="132"/>
      <c r="B7" s="137"/>
      <c r="C7" s="150"/>
      <c r="D7" s="150"/>
      <c r="E7" s="150"/>
      <c r="F7" s="151"/>
      <c r="G7" s="151"/>
      <c r="H7" s="151"/>
      <c r="I7" s="151"/>
      <c r="J7" s="148"/>
      <c r="K7" s="132"/>
      <c r="L7" s="130"/>
      <c r="M7" s="130"/>
      <c r="N7" s="130"/>
      <c r="O7" s="130"/>
      <c r="P7" s="130"/>
      <c r="Q7" s="130"/>
      <c r="R7" s="130"/>
      <c r="S7" s="130"/>
      <c r="T7" s="130"/>
      <c r="U7" s="130"/>
      <c r="V7" s="130"/>
      <c r="W7" s="130"/>
      <c r="X7" s="130"/>
      <c r="Y7" s="130"/>
      <c r="Z7" s="136"/>
    </row>
    <row r="8" spans="1:26" ht="18" customHeight="1" x14ac:dyDescent="0.25">
      <c r="A8" s="132"/>
      <c r="B8" s="137"/>
      <c r="C8" s="143" t="s">
        <v>710</v>
      </c>
      <c r="D8" s="819">
        <v>44225</v>
      </c>
      <c r="E8" s="783"/>
      <c r="F8" s="783"/>
      <c r="G8" s="783"/>
      <c r="H8" s="783"/>
      <c r="I8" s="149"/>
      <c r="J8" s="149"/>
      <c r="K8" s="132"/>
      <c r="L8" s="130"/>
      <c r="M8" s="130"/>
      <c r="N8" s="130"/>
      <c r="O8" s="130"/>
      <c r="P8" s="130"/>
      <c r="Q8" s="130"/>
      <c r="R8" s="130"/>
      <c r="S8" s="130"/>
      <c r="T8" s="130"/>
      <c r="U8" s="130"/>
      <c r="V8" s="130"/>
      <c r="W8" s="130"/>
      <c r="X8" s="130"/>
      <c r="Y8" s="130"/>
      <c r="Z8" s="136"/>
    </row>
    <row r="9" spans="1:26" ht="8.25" customHeight="1" thickBot="1" x14ac:dyDescent="0.3">
      <c r="A9" s="132"/>
      <c r="B9" s="137"/>
      <c r="C9" s="152"/>
      <c r="D9" s="152"/>
      <c r="E9" s="152"/>
      <c r="F9" s="153"/>
      <c r="G9" s="153"/>
      <c r="H9" s="153"/>
      <c r="I9" s="153"/>
      <c r="J9" s="142"/>
      <c r="K9" s="132"/>
      <c r="L9" s="130"/>
      <c r="M9" s="130"/>
      <c r="N9" s="130"/>
      <c r="O9" s="130"/>
      <c r="P9" s="130"/>
      <c r="Q9" s="130"/>
      <c r="R9" s="130"/>
      <c r="S9" s="130"/>
      <c r="T9" s="130"/>
      <c r="U9" s="130"/>
      <c r="V9" s="130"/>
      <c r="W9" s="130"/>
      <c r="X9" s="130"/>
      <c r="Y9" s="130"/>
      <c r="Z9" s="136"/>
    </row>
    <row r="10" spans="1:26" ht="18" customHeight="1" x14ac:dyDescent="0.25">
      <c r="A10" s="132"/>
      <c r="B10" s="820" t="s">
        <v>675</v>
      </c>
      <c r="C10" s="821"/>
      <c r="D10" s="821"/>
      <c r="E10" s="821"/>
      <c r="F10" s="821"/>
      <c r="G10" s="821"/>
      <c r="H10" s="821"/>
      <c r="I10" s="821"/>
      <c r="J10" s="822"/>
      <c r="K10" s="132"/>
      <c r="L10" s="130"/>
      <c r="M10" s="130"/>
      <c r="N10" s="130"/>
      <c r="O10" s="130"/>
      <c r="P10" s="130"/>
      <c r="Q10" s="130"/>
      <c r="R10" s="130"/>
      <c r="S10" s="130"/>
      <c r="T10" s="130"/>
      <c r="U10" s="130"/>
      <c r="V10" s="130"/>
      <c r="W10" s="130"/>
      <c r="X10" s="130"/>
      <c r="Y10" s="130"/>
      <c r="Z10" s="136"/>
    </row>
    <row r="11" spans="1:26" ht="18" customHeight="1" x14ac:dyDescent="0.25">
      <c r="A11" s="132"/>
      <c r="B11" s="823" t="s">
        <v>676</v>
      </c>
      <c r="C11" s="825" t="s">
        <v>677</v>
      </c>
      <c r="D11" s="825" t="s">
        <v>678</v>
      </c>
      <c r="E11" s="825" t="s">
        <v>679</v>
      </c>
      <c r="F11" s="825" t="s">
        <v>680</v>
      </c>
      <c r="G11" s="827" t="s">
        <v>681</v>
      </c>
      <c r="H11" s="828"/>
      <c r="I11" s="295" t="s">
        <v>682</v>
      </c>
      <c r="J11" s="829" t="s">
        <v>9</v>
      </c>
      <c r="K11" s="132"/>
      <c r="L11" s="130"/>
      <c r="M11" s="130"/>
      <c r="N11" s="130"/>
      <c r="O11" s="130"/>
      <c r="P11" s="130"/>
      <c r="Q11" s="130"/>
      <c r="R11" s="130"/>
      <c r="S11" s="130"/>
      <c r="T11" s="130"/>
      <c r="U11" s="130"/>
      <c r="V11" s="130"/>
      <c r="W11" s="130"/>
      <c r="X11" s="130"/>
      <c r="Y11" s="130"/>
      <c r="Z11" s="136"/>
    </row>
    <row r="12" spans="1:26" ht="18" customHeight="1" thickBot="1" x14ac:dyDescent="0.3">
      <c r="A12" s="154"/>
      <c r="B12" s="824"/>
      <c r="C12" s="826"/>
      <c r="D12" s="826"/>
      <c r="E12" s="826"/>
      <c r="F12" s="826"/>
      <c r="G12" s="296" t="s">
        <v>683</v>
      </c>
      <c r="H12" s="296" t="s">
        <v>684</v>
      </c>
      <c r="I12" s="297">
        <f>SUM(I13:I16)</f>
        <v>1</v>
      </c>
      <c r="J12" s="830"/>
      <c r="K12" s="154"/>
      <c r="L12" s="155"/>
      <c r="M12" s="155"/>
      <c r="N12" s="155"/>
      <c r="O12" s="155"/>
      <c r="P12" s="155"/>
      <c r="Q12" s="155"/>
      <c r="R12" s="155"/>
      <c r="S12" s="155"/>
      <c r="T12" s="155"/>
      <c r="U12" s="155"/>
      <c r="V12" s="155"/>
      <c r="W12" s="155"/>
      <c r="X12" s="155"/>
      <c r="Y12" s="155"/>
      <c r="Z12" s="136"/>
    </row>
    <row r="13" spans="1:26" ht="43.5" customHeight="1" x14ac:dyDescent="0.25">
      <c r="A13" s="154"/>
      <c r="B13" s="156">
        <v>1</v>
      </c>
      <c r="C13" s="157" t="s">
        <v>711</v>
      </c>
      <c r="D13" s="158" t="s">
        <v>665</v>
      </c>
      <c r="E13" s="158" t="s">
        <v>712</v>
      </c>
      <c r="F13" s="159">
        <v>0.8</v>
      </c>
      <c r="G13" s="160">
        <v>44593</v>
      </c>
      <c r="H13" s="160">
        <v>44925</v>
      </c>
      <c r="I13" s="159">
        <v>0.4</v>
      </c>
      <c r="J13" s="161" t="s">
        <v>713</v>
      </c>
      <c r="K13" s="154"/>
      <c r="L13" s="155"/>
      <c r="M13" s="155"/>
      <c r="N13" s="155"/>
      <c r="O13" s="155"/>
      <c r="P13" s="155"/>
      <c r="Q13" s="155"/>
      <c r="R13" s="155"/>
      <c r="S13" s="155"/>
      <c r="T13" s="155"/>
      <c r="U13" s="155"/>
      <c r="V13" s="155"/>
      <c r="W13" s="155"/>
      <c r="X13" s="155"/>
      <c r="Y13" s="155"/>
      <c r="Z13" s="136"/>
    </row>
    <row r="14" spans="1:26" ht="43.5" customHeight="1" x14ac:dyDescent="0.25">
      <c r="A14" s="154"/>
      <c r="B14" s="162">
        <v>2</v>
      </c>
      <c r="C14" s="163" t="s">
        <v>714</v>
      </c>
      <c r="D14" s="164" t="s">
        <v>665</v>
      </c>
      <c r="E14" s="164" t="s">
        <v>715</v>
      </c>
      <c r="F14" s="165">
        <v>0.9</v>
      </c>
      <c r="G14" s="160">
        <v>44593</v>
      </c>
      <c r="H14" s="160">
        <v>44925</v>
      </c>
      <c r="I14" s="165">
        <v>0.3</v>
      </c>
      <c r="J14" s="166" t="s">
        <v>713</v>
      </c>
      <c r="K14" s="154"/>
      <c r="L14" s="155"/>
      <c r="M14" s="155"/>
      <c r="N14" s="155"/>
      <c r="O14" s="155"/>
      <c r="P14" s="155"/>
      <c r="Q14" s="155"/>
      <c r="R14" s="155"/>
      <c r="S14" s="155"/>
      <c r="T14" s="155"/>
      <c r="U14" s="155"/>
      <c r="V14" s="155"/>
      <c r="W14" s="155"/>
      <c r="X14" s="155"/>
      <c r="Y14" s="155"/>
      <c r="Z14" s="136"/>
    </row>
    <row r="15" spans="1:26" ht="43.5" customHeight="1" x14ac:dyDescent="0.25">
      <c r="A15" s="154"/>
      <c r="B15" s="162">
        <v>3</v>
      </c>
      <c r="C15" s="163" t="s">
        <v>716</v>
      </c>
      <c r="D15" s="164" t="s">
        <v>665</v>
      </c>
      <c r="E15" s="164" t="s">
        <v>717</v>
      </c>
      <c r="F15" s="165">
        <v>0.8</v>
      </c>
      <c r="G15" s="160">
        <v>44593</v>
      </c>
      <c r="H15" s="160">
        <v>44925</v>
      </c>
      <c r="I15" s="165">
        <v>0.3</v>
      </c>
      <c r="J15" s="166" t="s">
        <v>713</v>
      </c>
      <c r="K15" s="154"/>
      <c r="L15" s="155"/>
      <c r="M15" s="155"/>
      <c r="N15" s="155"/>
      <c r="O15" s="155"/>
      <c r="P15" s="155"/>
      <c r="Q15" s="155"/>
      <c r="R15" s="155"/>
      <c r="S15" s="155"/>
      <c r="T15" s="155"/>
      <c r="U15" s="155"/>
      <c r="V15" s="155"/>
      <c r="W15" s="155"/>
      <c r="X15" s="155"/>
      <c r="Y15" s="155"/>
      <c r="Z15" s="136"/>
    </row>
    <row r="16" spans="1:26" ht="22.5" customHeight="1" thickBot="1" x14ac:dyDescent="0.3">
      <c r="A16" s="154"/>
      <c r="B16" s="167"/>
      <c r="C16" s="168"/>
      <c r="D16" s="168"/>
      <c r="E16" s="169"/>
      <c r="F16" s="169"/>
      <c r="G16" s="170"/>
      <c r="H16" s="170"/>
      <c r="I16" s="170"/>
      <c r="J16" s="171"/>
      <c r="K16" s="154"/>
      <c r="L16" s="155"/>
      <c r="M16" s="155"/>
      <c r="N16" s="155"/>
      <c r="O16" s="155"/>
      <c r="P16" s="155"/>
      <c r="Q16" s="155"/>
      <c r="R16" s="155"/>
      <c r="S16" s="155"/>
      <c r="T16" s="155"/>
      <c r="U16" s="155"/>
      <c r="V16" s="155"/>
      <c r="W16" s="155"/>
      <c r="X16" s="155"/>
      <c r="Y16" s="155"/>
      <c r="Z16" s="136"/>
    </row>
    <row r="17" spans="1:26" ht="33" customHeight="1" thickBot="1" x14ac:dyDescent="0.3">
      <c r="A17" s="154"/>
      <c r="B17" s="831" t="s">
        <v>694</v>
      </c>
      <c r="C17" s="783"/>
      <c r="D17" s="783"/>
      <c r="E17" s="783"/>
      <c r="F17" s="783"/>
      <c r="G17" s="783"/>
      <c r="H17" s="783"/>
      <c r="I17" s="783"/>
      <c r="J17" s="783"/>
      <c r="K17" s="154"/>
      <c r="L17" s="155"/>
      <c r="M17" s="155"/>
      <c r="N17" s="155"/>
      <c r="O17" s="155"/>
      <c r="P17" s="155"/>
      <c r="Q17" s="155"/>
      <c r="R17" s="155"/>
      <c r="S17" s="155"/>
      <c r="T17" s="155"/>
      <c r="U17" s="155"/>
      <c r="V17" s="155"/>
      <c r="W17" s="155"/>
      <c r="X17" s="155"/>
      <c r="Y17" s="155"/>
      <c r="Z17" s="136"/>
    </row>
    <row r="18" spans="1:26" s="278" customFormat="1" ht="24" customHeight="1" thickBot="1" x14ac:dyDescent="0.3">
      <c r="B18" s="99"/>
      <c r="C18" s="800" t="s">
        <v>695</v>
      </c>
      <c r="D18" s="801"/>
      <c r="E18" s="801"/>
      <c r="F18" s="802"/>
      <c r="G18" s="100"/>
      <c r="H18" s="100"/>
      <c r="I18" s="100"/>
      <c r="J18" s="68"/>
    </row>
    <row r="19" spans="1:26" s="278" customFormat="1" ht="33.75" customHeight="1" x14ac:dyDescent="0.25">
      <c r="B19" s="99"/>
      <c r="C19" s="276" t="s">
        <v>696</v>
      </c>
      <c r="D19" s="790" t="s">
        <v>697</v>
      </c>
      <c r="E19" s="791"/>
      <c r="F19" s="277" t="s">
        <v>698</v>
      </c>
      <c r="G19" s="100"/>
      <c r="H19" s="100"/>
      <c r="I19" s="100"/>
      <c r="J19" s="68"/>
    </row>
    <row r="20" spans="1:26" s="278" customFormat="1" ht="35.25" customHeight="1" x14ac:dyDescent="0.25">
      <c r="B20" s="99"/>
      <c r="C20" s="101">
        <v>1</v>
      </c>
      <c r="D20" s="792" t="s">
        <v>699</v>
      </c>
      <c r="E20" s="793"/>
      <c r="F20" s="102">
        <v>44590</v>
      </c>
      <c r="G20" s="100"/>
      <c r="H20" s="100"/>
      <c r="I20" s="100"/>
      <c r="J20" s="68"/>
    </row>
    <row r="21" spans="1:26" s="278" customFormat="1" ht="15.75" customHeight="1" x14ac:dyDescent="0.25">
      <c r="B21" s="99"/>
      <c r="C21" s="101"/>
      <c r="D21" s="103"/>
      <c r="E21" s="104"/>
      <c r="F21" s="105"/>
      <c r="G21" s="100"/>
      <c r="H21" s="100"/>
      <c r="I21" s="100"/>
      <c r="J21" s="68"/>
    </row>
    <row r="22" spans="1:26" s="278" customFormat="1" ht="15.75" customHeight="1" thickBot="1" x14ac:dyDescent="0.3">
      <c r="B22" s="99"/>
      <c r="C22" s="106"/>
      <c r="D22" s="107"/>
      <c r="E22" s="108"/>
      <c r="F22" s="109"/>
      <c r="G22" s="100"/>
      <c r="H22" s="100"/>
      <c r="I22" s="100"/>
      <c r="J22" s="68"/>
    </row>
    <row r="23" spans="1:26" ht="16.5" customHeight="1" x14ac:dyDescent="0.25">
      <c r="A23" s="132"/>
      <c r="B23" s="129"/>
      <c r="C23" s="130"/>
      <c r="D23" s="130"/>
      <c r="E23" s="130"/>
      <c r="F23" s="130"/>
      <c r="G23" s="130"/>
      <c r="H23" s="130"/>
      <c r="I23" s="130"/>
      <c r="J23" s="172"/>
      <c r="K23" s="132"/>
      <c r="L23" s="130"/>
      <c r="M23" s="130"/>
      <c r="N23" s="130"/>
      <c r="O23" s="130"/>
      <c r="P23" s="130"/>
      <c r="Q23" s="130"/>
      <c r="R23" s="130"/>
      <c r="S23" s="130"/>
      <c r="T23" s="130"/>
      <c r="U23" s="130"/>
      <c r="V23" s="130"/>
      <c r="W23" s="130"/>
      <c r="X23" s="130"/>
      <c r="Y23" s="130"/>
      <c r="Z23" s="136"/>
    </row>
    <row r="24" spans="1:26" ht="16.5" customHeight="1" x14ac:dyDescent="0.25">
      <c r="A24" s="132"/>
      <c r="B24" s="129"/>
      <c r="C24" s="131"/>
      <c r="D24" s="131"/>
      <c r="E24" s="131"/>
      <c r="F24" s="130"/>
      <c r="G24" s="130"/>
      <c r="H24" s="130"/>
      <c r="I24" s="130"/>
      <c r="J24" s="172"/>
      <c r="K24" s="132"/>
      <c r="L24" s="130"/>
      <c r="M24" s="130"/>
      <c r="N24" s="130"/>
      <c r="O24" s="130"/>
      <c r="P24" s="130"/>
      <c r="Q24" s="130"/>
      <c r="R24" s="130"/>
      <c r="S24" s="130"/>
      <c r="T24" s="130"/>
      <c r="U24" s="130"/>
      <c r="V24" s="130"/>
      <c r="W24" s="130"/>
      <c r="X24" s="130"/>
      <c r="Y24" s="130"/>
      <c r="Z24" s="136"/>
    </row>
    <row r="25" spans="1:26" ht="16.5" hidden="1" customHeight="1" x14ac:dyDescent="0.25">
      <c r="A25" s="132"/>
      <c r="B25" s="129"/>
      <c r="C25" s="131"/>
      <c r="D25" s="131"/>
      <c r="E25" s="131"/>
      <c r="F25" s="130"/>
      <c r="G25" s="130"/>
      <c r="H25" s="130"/>
      <c r="I25" s="130"/>
      <c r="J25" s="172"/>
      <c r="K25" s="132"/>
      <c r="L25" s="130"/>
      <c r="M25" s="130"/>
      <c r="N25" s="130"/>
      <c r="O25" s="130"/>
      <c r="P25" s="130"/>
      <c r="Q25" s="130"/>
      <c r="R25" s="130"/>
      <c r="S25" s="130"/>
      <c r="T25" s="130"/>
      <c r="U25" s="130"/>
      <c r="V25" s="130"/>
      <c r="W25" s="130"/>
      <c r="X25" s="130"/>
      <c r="Y25" s="130"/>
      <c r="Z25" s="136"/>
    </row>
    <row r="26" spans="1:26" ht="16.5" hidden="1" customHeight="1" x14ac:dyDescent="0.25">
      <c r="A26" s="132"/>
      <c r="B26" s="129"/>
      <c r="C26" s="131"/>
      <c r="D26" s="131"/>
      <c r="E26" s="131"/>
      <c r="F26" s="130"/>
      <c r="G26" s="130"/>
      <c r="H26" s="130"/>
      <c r="I26" s="130"/>
      <c r="J26" s="172"/>
      <c r="K26" s="132"/>
      <c r="L26" s="130"/>
      <c r="M26" s="130"/>
      <c r="N26" s="130"/>
      <c r="O26" s="130"/>
      <c r="P26" s="130"/>
      <c r="Q26" s="130"/>
      <c r="R26" s="130"/>
      <c r="S26" s="130"/>
      <c r="T26" s="130"/>
      <c r="U26" s="130"/>
      <c r="V26" s="130"/>
      <c r="W26" s="130"/>
      <c r="X26" s="130"/>
      <c r="Y26" s="130"/>
      <c r="Z26" s="136"/>
    </row>
    <row r="27" spans="1:26" ht="16.5" hidden="1" customHeight="1" x14ac:dyDescent="0.25">
      <c r="A27" s="132"/>
      <c r="B27" s="129"/>
      <c r="C27" s="131"/>
      <c r="D27" s="131"/>
      <c r="E27" s="131"/>
      <c r="F27" s="130"/>
      <c r="G27" s="130"/>
      <c r="H27" s="130"/>
      <c r="I27" s="130"/>
      <c r="J27" s="172"/>
      <c r="K27" s="132"/>
      <c r="L27" s="130"/>
      <c r="M27" s="130"/>
      <c r="N27" s="130"/>
      <c r="O27" s="130"/>
      <c r="P27" s="130"/>
      <c r="Q27" s="130"/>
      <c r="R27" s="130"/>
      <c r="S27" s="130"/>
      <c r="T27" s="130"/>
      <c r="U27" s="130"/>
      <c r="V27" s="130"/>
      <c r="W27" s="130"/>
      <c r="X27" s="130"/>
      <c r="Y27" s="130"/>
      <c r="Z27" s="136"/>
    </row>
    <row r="28" spans="1:26" ht="16.5" hidden="1" customHeight="1" x14ac:dyDescent="0.25">
      <c r="A28" s="132"/>
      <c r="B28" s="129"/>
      <c r="C28" s="131"/>
      <c r="D28" s="131"/>
      <c r="E28" s="131"/>
      <c r="F28" s="130"/>
      <c r="G28" s="130"/>
      <c r="H28" s="130"/>
      <c r="I28" s="130"/>
      <c r="J28" s="172"/>
      <c r="K28" s="132"/>
      <c r="L28" s="130"/>
      <c r="M28" s="130"/>
      <c r="N28" s="130"/>
      <c r="O28" s="130"/>
      <c r="P28" s="130"/>
      <c r="Q28" s="130"/>
      <c r="R28" s="130"/>
      <c r="S28" s="130"/>
      <c r="T28" s="130"/>
      <c r="U28" s="130"/>
      <c r="V28" s="130"/>
      <c r="W28" s="130"/>
      <c r="X28" s="130"/>
      <c r="Y28" s="130"/>
      <c r="Z28" s="136"/>
    </row>
    <row r="29" spans="1:26" ht="16.5" hidden="1" customHeight="1" x14ac:dyDescent="0.25">
      <c r="A29" s="132"/>
      <c r="B29" s="129"/>
      <c r="C29" s="131"/>
      <c r="D29" s="131"/>
      <c r="E29" s="131"/>
      <c r="F29" s="130"/>
      <c r="G29" s="130"/>
      <c r="H29" s="130"/>
      <c r="I29" s="130"/>
      <c r="J29" s="172"/>
      <c r="K29" s="132"/>
      <c r="L29" s="130"/>
      <c r="M29" s="130"/>
      <c r="N29" s="130"/>
      <c r="O29" s="130"/>
      <c r="P29" s="130"/>
      <c r="Q29" s="130"/>
      <c r="R29" s="130"/>
      <c r="S29" s="130"/>
      <c r="T29" s="130"/>
      <c r="U29" s="130"/>
      <c r="V29" s="130"/>
      <c r="W29" s="130"/>
      <c r="X29" s="130"/>
      <c r="Y29" s="130"/>
      <c r="Z29" s="136"/>
    </row>
    <row r="30" spans="1:26" ht="16.5" hidden="1" customHeight="1" x14ac:dyDescent="0.25">
      <c r="A30" s="132"/>
      <c r="B30" s="129"/>
      <c r="C30" s="131"/>
      <c r="D30" s="131"/>
      <c r="E30" s="131"/>
      <c r="F30" s="130"/>
      <c r="G30" s="130"/>
      <c r="H30" s="130"/>
      <c r="I30" s="130"/>
      <c r="J30" s="172"/>
      <c r="K30" s="132"/>
      <c r="L30" s="130"/>
      <c r="M30" s="130"/>
      <c r="N30" s="130"/>
      <c r="O30" s="130"/>
      <c r="P30" s="130"/>
      <c r="Q30" s="130"/>
      <c r="R30" s="130"/>
      <c r="S30" s="130"/>
      <c r="T30" s="130"/>
      <c r="U30" s="130"/>
      <c r="V30" s="130"/>
      <c r="W30" s="130"/>
      <c r="X30" s="130"/>
      <c r="Y30" s="130"/>
      <c r="Z30" s="136"/>
    </row>
    <row r="31" spans="1:26" ht="16.5" hidden="1" customHeight="1" x14ac:dyDescent="0.25">
      <c r="A31" s="132"/>
      <c r="B31" s="129"/>
      <c r="C31" s="131"/>
      <c r="D31" s="131"/>
      <c r="E31" s="131"/>
      <c r="F31" s="130"/>
      <c r="G31" s="130"/>
      <c r="H31" s="130"/>
      <c r="I31" s="130"/>
      <c r="J31" s="172"/>
      <c r="K31" s="132"/>
      <c r="L31" s="130"/>
      <c r="M31" s="130"/>
      <c r="N31" s="130"/>
      <c r="O31" s="130"/>
      <c r="P31" s="130"/>
      <c r="Q31" s="130"/>
      <c r="R31" s="130"/>
      <c r="S31" s="130"/>
      <c r="T31" s="130"/>
      <c r="U31" s="130"/>
      <c r="V31" s="130"/>
      <c r="W31" s="130"/>
      <c r="X31" s="130"/>
      <c r="Y31" s="130"/>
      <c r="Z31" s="136"/>
    </row>
    <row r="32" spans="1:26" ht="16.5" hidden="1" customHeight="1" x14ac:dyDescent="0.25">
      <c r="A32" s="132"/>
      <c r="B32" s="129"/>
      <c r="C32" s="131"/>
      <c r="D32" s="131"/>
      <c r="E32" s="131"/>
      <c r="F32" s="130"/>
      <c r="G32" s="130"/>
      <c r="H32" s="130"/>
      <c r="I32" s="130"/>
      <c r="J32" s="172"/>
      <c r="K32" s="132"/>
      <c r="L32" s="130"/>
      <c r="M32" s="130"/>
      <c r="N32" s="130"/>
      <c r="O32" s="130"/>
      <c r="P32" s="130"/>
      <c r="Q32" s="130"/>
      <c r="R32" s="130"/>
      <c r="S32" s="130"/>
      <c r="T32" s="130"/>
      <c r="U32" s="130"/>
      <c r="V32" s="130"/>
      <c r="W32" s="130"/>
      <c r="X32" s="130"/>
      <c r="Y32" s="130"/>
      <c r="Z32" s="136"/>
    </row>
    <row r="33" spans="1:26" ht="16.5" hidden="1" customHeight="1" x14ac:dyDescent="0.25">
      <c r="A33" s="132"/>
      <c r="B33" s="129"/>
      <c r="C33" s="131"/>
      <c r="D33" s="131"/>
      <c r="E33" s="131"/>
      <c r="F33" s="130"/>
      <c r="G33" s="130"/>
      <c r="H33" s="130"/>
      <c r="I33" s="130"/>
      <c r="J33" s="172"/>
      <c r="K33" s="132"/>
      <c r="L33" s="130"/>
      <c r="M33" s="130"/>
      <c r="N33" s="130"/>
      <c r="O33" s="130"/>
      <c r="P33" s="130"/>
      <c r="Q33" s="130"/>
      <c r="R33" s="130"/>
      <c r="S33" s="130"/>
      <c r="T33" s="130"/>
      <c r="U33" s="130"/>
      <c r="V33" s="130"/>
      <c r="W33" s="130"/>
      <c r="X33" s="130"/>
      <c r="Y33" s="130"/>
      <c r="Z33" s="136"/>
    </row>
    <row r="34" spans="1:26" ht="16.5" hidden="1" customHeight="1" x14ac:dyDescent="0.25">
      <c r="A34" s="132"/>
      <c r="B34" s="129"/>
      <c r="C34" s="131"/>
      <c r="D34" s="131"/>
      <c r="E34" s="131"/>
      <c r="F34" s="130"/>
      <c r="G34" s="130"/>
      <c r="H34" s="130"/>
      <c r="I34" s="130"/>
      <c r="J34" s="172"/>
      <c r="K34" s="132"/>
      <c r="L34" s="130"/>
      <c r="M34" s="130"/>
      <c r="N34" s="130"/>
      <c r="O34" s="130"/>
      <c r="P34" s="130"/>
      <c r="Q34" s="130"/>
      <c r="R34" s="130"/>
      <c r="S34" s="130"/>
      <c r="T34" s="130"/>
      <c r="U34" s="130"/>
      <c r="V34" s="130"/>
      <c r="W34" s="130"/>
      <c r="X34" s="130"/>
      <c r="Y34" s="130"/>
      <c r="Z34" s="136"/>
    </row>
    <row r="35" spans="1:26" ht="16.5" hidden="1" customHeight="1" x14ac:dyDescent="0.25">
      <c r="A35" s="132"/>
      <c r="B35" s="129"/>
      <c r="C35" s="131"/>
      <c r="D35" s="131"/>
      <c r="E35" s="131"/>
      <c r="F35" s="130"/>
      <c r="G35" s="130"/>
      <c r="H35" s="130"/>
      <c r="I35" s="130"/>
      <c r="J35" s="172"/>
      <c r="K35" s="132"/>
      <c r="L35" s="130"/>
      <c r="M35" s="130"/>
      <c r="N35" s="130"/>
      <c r="O35" s="130"/>
      <c r="P35" s="130"/>
      <c r="Q35" s="130"/>
      <c r="R35" s="130"/>
      <c r="S35" s="130"/>
      <c r="T35" s="130"/>
      <c r="U35" s="130"/>
      <c r="V35" s="130"/>
      <c r="W35" s="130"/>
      <c r="X35" s="130"/>
      <c r="Y35" s="130"/>
      <c r="Z35" s="136"/>
    </row>
    <row r="36" spans="1:26" ht="16.5" hidden="1" customHeight="1" x14ac:dyDescent="0.25">
      <c r="A36" s="132"/>
      <c r="B36" s="129"/>
      <c r="C36" s="131"/>
      <c r="D36" s="131"/>
      <c r="E36" s="131"/>
      <c r="F36" s="130"/>
      <c r="G36" s="130"/>
      <c r="H36" s="130"/>
      <c r="I36" s="130"/>
      <c r="J36" s="172"/>
      <c r="K36" s="132"/>
      <c r="L36" s="130"/>
      <c r="M36" s="130"/>
      <c r="N36" s="130"/>
      <c r="O36" s="130"/>
      <c r="P36" s="130"/>
      <c r="Q36" s="130"/>
      <c r="R36" s="130"/>
      <c r="S36" s="130"/>
      <c r="T36" s="130"/>
      <c r="U36" s="130"/>
      <c r="V36" s="130"/>
      <c r="W36" s="130"/>
      <c r="X36" s="130"/>
      <c r="Y36" s="130"/>
      <c r="Z36" s="136"/>
    </row>
    <row r="37" spans="1:26" ht="16.5" hidden="1" customHeight="1" x14ac:dyDescent="0.25">
      <c r="A37" s="132"/>
      <c r="B37" s="129"/>
      <c r="C37" s="131"/>
      <c r="D37" s="131"/>
      <c r="E37" s="131"/>
      <c r="F37" s="130"/>
      <c r="G37" s="130"/>
      <c r="H37" s="130"/>
      <c r="I37" s="130"/>
      <c r="J37" s="172"/>
      <c r="K37" s="132"/>
      <c r="L37" s="130"/>
      <c r="M37" s="130"/>
      <c r="N37" s="130"/>
      <c r="O37" s="130"/>
      <c r="P37" s="130"/>
      <c r="Q37" s="130"/>
      <c r="R37" s="130"/>
      <c r="S37" s="130"/>
      <c r="T37" s="130"/>
      <c r="U37" s="130"/>
      <c r="V37" s="130"/>
      <c r="W37" s="130"/>
      <c r="X37" s="130"/>
      <c r="Y37" s="130"/>
      <c r="Z37" s="136"/>
    </row>
    <row r="38" spans="1:26" ht="16.5" hidden="1" customHeight="1" x14ac:dyDescent="0.25">
      <c r="A38" s="132"/>
      <c r="B38" s="129"/>
      <c r="C38" s="131"/>
      <c r="D38" s="131"/>
      <c r="E38" s="131"/>
      <c r="F38" s="130"/>
      <c r="G38" s="130"/>
      <c r="H38" s="130"/>
      <c r="I38" s="130"/>
      <c r="J38" s="172"/>
      <c r="K38" s="132"/>
      <c r="L38" s="130"/>
      <c r="M38" s="130"/>
      <c r="N38" s="130"/>
      <c r="O38" s="130"/>
      <c r="P38" s="130"/>
      <c r="Q38" s="130"/>
      <c r="R38" s="130"/>
      <c r="S38" s="130"/>
      <c r="T38" s="130"/>
      <c r="U38" s="130"/>
      <c r="V38" s="130"/>
      <c r="W38" s="130"/>
      <c r="X38" s="130"/>
      <c r="Y38" s="130"/>
      <c r="Z38" s="136"/>
    </row>
    <row r="39" spans="1:26" ht="16.5" hidden="1" customHeight="1" x14ac:dyDescent="0.25">
      <c r="A39" s="132"/>
      <c r="B39" s="129"/>
      <c r="C39" s="131"/>
      <c r="D39" s="131"/>
      <c r="E39" s="131"/>
      <c r="F39" s="130"/>
      <c r="G39" s="130"/>
      <c r="H39" s="130"/>
      <c r="I39" s="130"/>
      <c r="J39" s="172"/>
      <c r="K39" s="132"/>
      <c r="L39" s="130"/>
      <c r="M39" s="130"/>
      <c r="N39" s="130"/>
      <c r="O39" s="130"/>
      <c r="P39" s="130"/>
      <c r="Q39" s="130"/>
      <c r="R39" s="130"/>
      <c r="S39" s="130"/>
      <c r="T39" s="130"/>
      <c r="U39" s="130"/>
      <c r="V39" s="130"/>
      <c r="W39" s="130"/>
      <c r="X39" s="130"/>
      <c r="Y39" s="130"/>
      <c r="Z39" s="136"/>
    </row>
    <row r="40" spans="1:26" ht="16.5" hidden="1" customHeight="1" x14ac:dyDescent="0.25">
      <c r="A40" s="132"/>
      <c r="B40" s="129"/>
      <c r="C40" s="131"/>
      <c r="D40" s="131"/>
      <c r="E40" s="131"/>
      <c r="F40" s="130"/>
      <c r="G40" s="130"/>
      <c r="H40" s="130"/>
      <c r="I40" s="130"/>
      <c r="J40" s="172"/>
      <c r="K40" s="132"/>
      <c r="L40" s="130"/>
      <c r="M40" s="130"/>
      <c r="N40" s="130"/>
      <c r="O40" s="130"/>
      <c r="P40" s="130"/>
      <c r="Q40" s="130"/>
      <c r="R40" s="130"/>
      <c r="S40" s="130"/>
      <c r="T40" s="130"/>
      <c r="U40" s="130"/>
      <c r="V40" s="130"/>
      <c r="W40" s="130"/>
      <c r="X40" s="130"/>
      <c r="Y40" s="130"/>
      <c r="Z40" s="136"/>
    </row>
    <row r="41" spans="1:26" ht="16.5" hidden="1" customHeight="1" x14ac:dyDescent="0.25">
      <c r="A41" s="132"/>
      <c r="B41" s="129"/>
      <c r="C41" s="131"/>
      <c r="D41" s="131"/>
      <c r="E41" s="131"/>
      <c r="F41" s="130"/>
      <c r="G41" s="130"/>
      <c r="H41" s="130"/>
      <c r="I41" s="130"/>
      <c r="J41" s="172"/>
      <c r="K41" s="132"/>
      <c r="L41" s="130"/>
      <c r="M41" s="130"/>
      <c r="N41" s="130"/>
      <c r="O41" s="130"/>
      <c r="P41" s="130"/>
      <c r="Q41" s="130"/>
      <c r="R41" s="130"/>
      <c r="S41" s="130"/>
      <c r="T41" s="130"/>
      <c r="U41" s="130"/>
      <c r="V41" s="130"/>
      <c r="W41" s="130"/>
      <c r="X41" s="130"/>
      <c r="Y41" s="130"/>
      <c r="Z41" s="136"/>
    </row>
    <row r="42" spans="1:26" ht="16.5" hidden="1" customHeight="1" x14ac:dyDescent="0.25">
      <c r="A42" s="132"/>
      <c r="B42" s="129"/>
      <c r="C42" s="131"/>
      <c r="D42" s="131"/>
      <c r="E42" s="131"/>
      <c r="F42" s="130"/>
      <c r="G42" s="130"/>
      <c r="H42" s="130"/>
      <c r="I42" s="130"/>
      <c r="J42" s="172"/>
      <c r="K42" s="132"/>
      <c r="L42" s="130"/>
      <c r="M42" s="130"/>
      <c r="N42" s="130"/>
      <c r="O42" s="130"/>
      <c r="P42" s="130"/>
      <c r="Q42" s="130"/>
      <c r="R42" s="130"/>
      <c r="S42" s="130"/>
      <c r="T42" s="130"/>
      <c r="U42" s="130"/>
      <c r="V42" s="130"/>
      <c r="W42" s="130"/>
      <c r="X42" s="130"/>
      <c r="Y42" s="130"/>
      <c r="Z42" s="136"/>
    </row>
    <row r="43" spans="1:26" ht="16.5" hidden="1" customHeight="1" x14ac:dyDescent="0.25">
      <c r="A43" s="132"/>
      <c r="B43" s="129"/>
      <c r="C43" s="131"/>
      <c r="D43" s="131"/>
      <c r="E43" s="131"/>
      <c r="F43" s="130"/>
      <c r="G43" s="130"/>
      <c r="H43" s="130"/>
      <c r="I43" s="130"/>
      <c r="J43" s="172"/>
      <c r="K43" s="132"/>
      <c r="L43" s="130"/>
      <c r="M43" s="130"/>
      <c r="N43" s="130"/>
      <c r="O43" s="130"/>
      <c r="P43" s="130"/>
      <c r="Q43" s="130"/>
      <c r="R43" s="130"/>
      <c r="S43" s="130"/>
      <c r="T43" s="130"/>
      <c r="U43" s="130"/>
      <c r="V43" s="130"/>
      <c r="W43" s="130"/>
      <c r="X43" s="130"/>
      <c r="Y43" s="130"/>
      <c r="Z43" s="136"/>
    </row>
    <row r="44" spans="1:26" ht="16.5" hidden="1" customHeight="1" x14ac:dyDescent="0.25">
      <c r="A44" s="132"/>
      <c r="B44" s="129"/>
      <c r="C44" s="131"/>
      <c r="D44" s="131"/>
      <c r="E44" s="131"/>
      <c r="F44" s="130"/>
      <c r="G44" s="130"/>
      <c r="H44" s="130"/>
      <c r="I44" s="130"/>
      <c r="J44" s="172"/>
      <c r="K44" s="132"/>
      <c r="L44" s="130"/>
      <c r="M44" s="130"/>
      <c r="N44" s="130"/>
      <c r="O44" s="130"/>
      <c r="P44" s="130"/>
      <c r="Q44" s="130"/>
      <c r="R44" s="130"/>
      <c r="S44" s="130"/>
      <c r="T44" s="130"/>
      <c r="U44" s="130"/>
      <c r="V44" s="130"/>
      <c r="W44" s="130"/>
      <c r="X44" s="130"/>
      <c r="Y44" s="130"/>
      <c r="Z44" s="136"/>
    </row>
    <row r="45" spans="1:26" ht="16.5" hidden="1" customHeight="1" x14ac:dyDescent="0.25">
      <c r="A45" s="132"/>
      <c r="B45" s="129"/>
      <c r="C45" s="131"/>
      <c r="D45" s="131"/>
      <c r="E45" s="131"/>
      <c r="F45" s="130"/>
      <c r="G45" s="130"/>
      <c r="H45" s="130"/>
      <c r="I45" s="130"/>
      <c r="J45" s="172"/>
      <c r="K45" s="132"/>
      <c r="L45" s="130"/>
      <c r="M45" s="130"/>
      <c r="N45" s="130"/>
      <c r="O45" s="130"/>
      <c r="P45" s="130"/>
      <c r="Q45" s="130"/>
      <c r="R45" s="130"/>
      <c r="S45" s="130"/>
      <c r="T45" s="130"/>
      <c r="U45" s="130"/>
      <c r="V45" s="130"/>
      <c r="W45" s="130"/>
      <c r="X45" s="130"/>
      <c r="Y45" s="130"/>
      <c r="Z45" s="136"/>
    </row>
    <row r="46" spans="1:26" ht="16.5" hidden="1" customHeight="1" x14ac:dyDescent="0.25">
      <c r="A46" s="132"/>
      <c r="B46" s="129"/>
      <c r="C46" s="131"/>
      <c r="D46" s="131"/>
      <c r="E46" s="131"/>
      <c r="F46" s="130"/>
      <c r="G46" s="130"/>
      <c r="H46" s="130"/>
      <c r="I46" s="130"/>
      <c r="J46" s="172"/>
      <c r="K46" s="132"/>
      <c r="L46" s="130"/>
      <c r="M46" s="130"/>
      <c r="N46" s="130"/>
      <c r="O46" s="130"/>
      <c r="P46" s="130"/>
      <c r="Q46" s="130"/>
      <c r="R46" s="130"/>
      <c r="S46" s="130"/>
      <c r="T46" s="130"/>
      <c r="U46" s="130"/>
      <c r="V46" s="130"/>
      <c r="W46" s="130"/>
      <c r="X46" s="130"/>
      <c r="Y46" s="130"/>
      <c r="Z46" s="136"/>
    </row>
    <row r="47" spans="1:26" ht="16.5" hidden="1" customHeight="1" x14ac:dyDescent="0.25">
      <c r="A47" s="132"/>
      <c r="B47" s="129"/>
      <c r="C47" s="131"/>
      <c r="D47" s="131"/>
      <c r="E47" s="131"/>
      <c r="F47" s="130"/>
      <c r="G47" s="130"/>
      <c r="H47" s="130"/>
      <c r="I47" s="130"/>
      <c r="J47" s="172"/>
      <c r="K47" s="132"/>
      <c r="L47" s="130"/>
      <c r="M47" s="130"/>
      <c r="N47" s="130"/>
      <c r="O47" s="130"/>
      <c r="P47" s="130"/>
      <c r="Q47" s="130"/>
      <c r="R47" s="130"/>
      <c r="S47" s="130"/>
      <c r="T47" s="130"/>
      <c r="U47" s="130"/>
      <c r="V47" s="130"/>
      <c r="W47" s="130"/>
      <c r="X47" s="130"/>
      <c r="Y47" s="130"/>
      <c r="Z47" s="136"/>
    </row>
    <row r="48" spans="1:26" ht="16.5" hidden="1" customHeight="1" x14ac:dyDescent="0.25">
      <c r="A48" s="132"/>
      <c r="B48" s="129"/>
      <c r="C48" s="131"/>
      <c r="D48" s="131"/>
      <c r="E48" s="131"/>
      <c r="F48" s="130"/>
      <c r="G48" s="130"/>
      <c r="H48" s="130"/>
      <c r="I48" s="130"/>
      <c r="J48" s="172"/>
      <c r="K48" s="132"/>
      <c r="L48" s="130"/>
      <c r="M48" s="130"/>
      <c r="N48" s="130"/>
      <c r="O48" s="130"/>
      <c r="P48" s="130"/>
      <c r="Q48" s="130"/>
      <c r="R48" s="130"/>
      <c r="S48" s="130"/>
      <c r="T48" s="130"/>
      <c r="U48" s="130"/>
      <c r="V48" s="130"/>
      <c r="W48" s="130"/>
      <c r="X48" s="130"/>
      <c r="Y48" s="130"/>
      <c r="Z48" s="136"/>
    </row>
    <row r="49" spans="1:26" ht="16.5" hidden="1" customHeight="1" x14ac:dyDescent="0.25">
      <c r="A49" s="132"/>
      <c r="B49" s="129"/>
      <c r="C49" s="131"/>
      <c r="D49" s="131"/>
      <c r="E49" s="131"/>
      <c r="F49" s="130"/>
      <c r="G49" s="130"/>
      <c r="H49" s="130"/>
      <c r="I49" s="130"/>
      <c r="J49" s="172"/>
      <c r="K49" s="132"/>
      <c r="L49" s="130"/>
      <c r="M49" s="130"/>
      <c r="N49" s="130"/>
      <c r="O49" s="130"/>
      <c r="P49" s="130"/>
      <c r="Q49" s="130"/>
      <c r="R49" s="130"/>
      <c r="S49" s="130"/>
      <c r="T49" s="130"/>
      <c r="U49" s="130"/>
      <c r="V49" s="130"/>
      <c r="W49" s="130"/>
      <c r="X49" s="130"/>
      <c r="Y49" s="130"/>
      <c r="Z49" s="136"/>
    </row>
    <row r="50" spans="1:26" ht="16.5" hidden="1" customHeight="1" x14ac:dyDescent="0.25">
      <c r="A50" s="132"/>
      <c r="B50" s="129"/>
      <c r="C50" s="131"/>
      <c r="D50" s="131"/>
      <c r="E50" s="131"/>
      <c r="F50" s="130"/>
      <c r="G50" s="130"/>
      <c r="H50" s="130"/>
      <c r="I50" s="130"/>
      <c r="J50" s="172"/>
      <c r="K50" s="132"/>
      <c r="L50" s="130"/>
      <c r="M50" s="130"/>
      <c r="N50" s="130"/>
      <c r="O50" s="130"/>
      <c r="P50" s="130"/>
      <c r="Q50" s="130"/>
      <c r="R50" s="130"/>
      <c r="S50" s="130"/>
      <c r="T50" s="130"/>
      <c r="U50" s="130"/>
      <c r="V50" s="130"/>
      <c r="W50" s="130"/>
      <c r="X50" s="130"/>
      <c r="Y50" s="130"/>
      <c r="Z50" s="136"/>
    </row>
    <row r="51" spans="1:26" ht="16.5" hidden="1" customHeight="1" x14ac:dyDescent="0.25">
      <c r="A51" s="132"/>
      <c r="B51" s="129"/>
      <c r="C51" s="131"/>
      <c r="D51" s="131"/>
      <c r="E51" s="131"/>
      <c r="F51" s="130"/>
      <c r="G51" s="130"/>
      <c r="H51" s="130"/>
      <c r="I51" s="130"/>
      <c r="J51" s="172"/>
      <c r="K51" s="132"/>
      <c r="L51" s="130"/>
      <c r="M51" s="130"/>
      <c r="N51" s="130"/>
      <c r="O51" s="130"/>
      <c r="P51" s="130"/>
      <c r="Q51" s="130"/>
      <c r="R51" s="130"/>
      <c r="S51" s="130"/>
      <c r="T51" s="130"/>
      <c r="U51" s="130"/>
      <c r="V51" s="130"/>
      <c r="W51" s="130"/>
      <c r="X51" s="130"/>
      <c r="Y51" s="130"/>
      <c r="Z51" s="136"/>
    </row>
    <row r="52" spans="1:26" ht="16.5" hidden="1" customHeight="1" x14ac:dyDescent="0.25">
      <c r="A52" s="132"/>
      <c r="B52" s="129"/>
      <c r="C52" s="131"/>
      <c r="D52" s="131"/>
      <c r="E52" s="131"/>
      <c r="F52" s="130"/>
      <c r="G52" s="130"/>
      <c r="H52" s="130"/>
      <c r="I52" s="130"/>
      <c r="J52" s="172"/>
      <c r="K52" s="132"/>
      <c r="L52" s="130"/>
      <c r="M52" s="130"/>
      <c r="N52" s="130"/>
      <c r="O52" s="130"/>
      <c r="P52" s="130"/>
      <c r="Q52" s="130"/>
      <c r="R52" s="130"/>
      <c r="S52" s="130"/>
      <c r="T52" s="130"/>
      <c r="U52" s="130"/>
      <c r="V52" s="130"/>
      <c r="W52" s="130"/>
      <c r="X52" s="130"/>
      <c r="Y52" s="130"/>
      <c r="Z52" s="136"/>
    </row>
    <row r="53" spans="1:26" ht="15" hidden="1" customHeight="1" x14ac:dyDescent="0.25">
      <c r="A53" s="132"/>
      <c r="B53" s="129"/>
      <c r="C53" s="131"/>
      <c r="D53" s="131"/>
      <c r="E53" s="131"/>
      <c r="F53" s="130"/>
      <c r="G53" s="130"/>
      <c r="H53" s="130"/>
      <c r="I53" s="130"/>
      <c r="J53" s="172"/>
      <c r="K53" s="132"/>
      <c r="L53" s="130"/>
      <c r="M53" s="130"/>
      <c r="N53" s="130"/>
      <c r="O53" s="130"/>
      <c r="P53" s="130"/>
      <c r="Q53" s="130"/>
      <c r="R53" s="130"/>
      <c r="S53" s="130"/>
      <c r="T53" s="130"/>
      <c r="U53" s="130"/>
      <c r="V53" s="130"/>
      <c r="W53" s="130"/>
      <c r="X53" s="130"/>
      <c r="Y53" s="130"/>
      <c r="Z53" s="136"/>
    </row>
    <row r="54" spans="1:26" ht="15" hidden="1" customHeight="1" x14ac:dyDescent="0.25">
      <c r="A54" s="132"/>
      <c r="B54" s="129"/>
      <c r="C54" s="131"/>
      <c r="D54" s="131"/>
      <c r="E54" s="131"/>
      <c r="F54" s="130"/>
      <c r="G54" s="130"/>
      <c r="H54" s="130"/>
      <c r="I54" s="130"/>
      <c r="J54" s="172"/>
      <c r="K54" s="132"/>
      <c r="L54" s="130"/>
      <c r="M54" s="130"/>
      <c r="N54" s="130"/>
      <c r="O54" s="130"/>
      <c r="P54" s="130"/>
      <c r="Q54" s="130"/>
      <c r="R54" s="130"/>
      <c r="S54" s="130"/>
      <c r="T54" s="130"/>
      <c r="U54" s="130"/>
      <c r="V54" s="130"/>
      <c r="W54" s="130"/>
      <c r="X54" s="130"/>
      <c r="Y54" s="130"/>
      <c r="Z54" s="136"/>
    </row>
    <row r="55" spans="1:26" ht="15" hidden="1" customHeight="1" x14ac:dyDescent="0.25">
      <c r="A55" s="132"/>
      <c r="B55" s="129"/>
      <c r="C55" s="131"/>
      <c r="D55" s="131"/>
      <c r="E55" s="131"/>
      <c r="F55" s="130"/>
      <c r="G55" s="130"/>
      <c r="H55" s="130"/>
      <c r="I55" s="130"/>
      <c r="J55" s="172"/>
      <c r="K55" s="132"/>
      <c r="L55" s="130"/>
      <c r="M55" s="130"/>
      <c r="N55" s="130"/>
      <c r="O55" s="130"/>
      <c r="P55" s="130"/>
      <c r="Q55" s="130"/>
      <c r="R55" s="130"/>
      <c r="S55" s="130"/>
      <c r="T55" s="130"/>
      <c r="U55" s="130"/>
      <c r="V55" s="130"/>
      <c r="W55" s="130"/>
      <c r="X55" s="130"/>
      <c r="Y55" s="130"/>
      <c r="Z55" s="136"/>
    </row>
    <row r="56" spans="1:26" ht="15" hidden="1" customHeight="1" x14ac:dyDescent="0.25">
      <c r="A56" s="132"/>
      <c r="B56" s="129"/>
      <c r="C56" s="131"/>
      <c r="D56" s="131"/>
      <c r="E56" s="131"/>
      <c r="F56" s="130"/>
      <c r="G56" s="130"/>
      <c r="H56" s="130"/>
      <c r="I56" s="130"/>
      <c r="J56" s="172"/>
      <c r="K56" s="132"/>
      <c r="L56" s="130"/>
      <c r="M56" s="130"/>
      <c r="N56" s="130"/>
      <c r="O56" s="130"/>
      <c r="P56" s="130"/>
      <c r="Q56" s="130"/>
      <c r="R56" s="130"/>
      <c r="S56" s="130"/>
      <c r="T56" s="130"/>
      <c r="U56" s="130"/>
      <c r="V56" s="130"/>
      <c r="W56" s="130"/>
      <c r="X56" s="130"/>
      <c r="Y56" s="130"/>
      <c r="Z56" s="136"/>
    </row>
    <row r="57" spans="1:26" ht="15" hidden="1" customHeight="1" x14ac:dyDescent="0.25">
      <c r="A57" s="132"/>
      <c r="B57" s="129"/>
      <c r="C57" s="131"/>
      <c r="D57" s="131"/>
      <c r="E57" s="131"/>
      <c r="F57" s="130"/>
      <c r="G57" s="130"/>
      <c r="H57" s="130"/>
      <c r="I57" s="130"/>
      <c r="J57" s="172"/>
      <c r="K57" s="132"/>
      <c r="L57" s="130"/>
      <c r="M57" s="130"/>
      <c r="N57" s="130"/>
      <c r="O57" s="130"/>
      <c r="P57" s="130"/>
      <c r="Q57" s="130"/>
      <c r="R57" s="130"/>
      <c r="S57" s="130"/>
      <c r="T57" s="130"/>
      <c r="U57" s="130"/>
      <c r="V57" s="130"/>
      <c r="W57" s="130"/>
      <c r="X57" s="130"/>
      <c r="Y57" s="130"/>
      <c r="Z57" s="136"/>
    </row>
    <row r="58" spans="1:26" ht="15" hidden="1" customHeight="1" x14ac:dyDescent="0.25">
      <c r="A58" s="132"/>
      <c r="B58" s="129"/>
      <c r="C58" s="131"/>
      <c r="D58" s="131"/>
      <c r="E58" s="131"/>
      <c r="F58" s="130"/>
      <c r="G58" s="130"/>
      <c r="H58" s="130"/>
      <c r="I58" s="130"/>
      <c r="J58" s="172"/>
      <c r="K58" s="132"/>
      <c r="L58" s="130"/>
      <c r="M58" s="130"/>
      <c r="N58" s="130"/>
      <c r="O58" s="130"/>
      <c r="P58" s="130"/>
      <c r="Q58" s="130"/>
      <c r="R58" s="130"/>
      <c r="S58" s="130"/>
      <c r="T58" s="130"/>
      <c r="U58" s="130"/>
      <c r="V58" s="130"/>
      <c r="W58" s="130"/>
      <c r="X58" s="130"/>
      <c r="Y58" s="130"/>
      <c r="Z58" s="136"/>
    </row>
    <row r="59" spans="1:26" ht="15" hidden="1" customHeight="1" x14ac:dyDescent="0.25">
      <c r="A59" s="132"/>
      <c r="B59" s="129"/>
      <c r="C59" s="131"/>
      <c r="D59" s="131"/>
      <c r="E59" s="131"/>
      <c r="F59" s="130"/>
      <c r="G59" s="130"/>
      <c r="H59" s="130"/>
      <c r="I59" s="130"/>
      <c r="J59" s="172"/>
      <c r="K59" s="132"/>
      <c r="L59" s="130"/>
      <c r="M59" s="130"/>
      <c r="N59" s="130"/>
      <c r="O59" s="130"/>
      <c r="P59" s="130"/>
      <c r="Q59" s="130"/>
      <c r="R59" s="130"/>
      <c r="S59" s="130"/>
      <c r="T59" s="130"/>
      <c r="U59" s="130"/>
      <c r="V59" s="130"/>
      <c r="W59" s="130"/>
      <c r="X59" s="130"/>
      <c r="Y59" s="130"/>
      <c r="Z59" s="136"/>
    </row>
    <row r="60" spans="1:26" ht="15" hidden="1" customHeight="1" x14ac:dyDescent="0.25">
      <c r="A60" s="132"/>
      <c r="B60" s="129"/>
      <c r="C60" s="131"/>
      <c r="D60" s="131"/>
      <c r="E60" s="131"/>
      <c r="F60" s="130"/>
      <c r="G60" s="130"/>
      <c r="H60" s="130"/>
      <c r="I60" s="130"/>
      <c r="J60" s="172"/>
      <c r="K60" s="132"/>
      <c r="L60" s="130"/>
      <c r="M60" s="130"/>
      <c r="N60" s="130"/>
      <c r="O60" s="130"/>
      <c r="P60" s="130"/>
      <c r="Q60" s="130"/>
      <c r="R60" s="130"/>
      <c r="S60" s="130"/>
      <c r="T60" s="130"/>
      <c r="U60" s="130"/>
      <c r="V60" s="130"/>
      <c r="W60" s="130"/>
      <c r="X60" s="130"/>
      <c r="Y60" s="130"/>
      <c r="Z60" s="136"/>
    </row>
    <row r="61" spans="1:26" ht="15" hidden="1" customHeight="1" x14ac:dyDescent="0.25">
      <c r="A61" s="132"/>
      <c r="B61" s="129"/>
      <c r="C61" s="131"/>
      <c r="D61" s="131"/>
      <c r="E61" s="131"/>
      <c r="F61" s="130"/>
      <c r="G61" s="130"/>
      <c r="H61" s="130"/>
      <c r="I61" s="130"/>
      <c r="J61" s="172"/>
      <c r="K61" s="132"/>
      <c r="L61" s="130"/>
      <c r="M61" s="130"/>
      <c r="N61" s="130"/>
      <c r="O61" s="130"/>
      <c r="P61" s="130"/>
      <c r="Q61" s="130"/>
      <c r="R61" s="130"/>
      <c r="S61" s="130"/>
      <c r="T61" s="130"/>
      <c r="U61" s="130"/>
      <c r="V61" s="130"/>
      <c r="W61" s="130"/>
      <c r="X61" s="130"/>
      <c r="Y61" s="130"/>
      <c r="Z61" s="136"/>
    </row>
    <row r="62" spans="1:26" ht="15" hidden="1" customHeight="1" x14ac:dyDescent="0.25">
      <c r="A62" s="132"/>
      <c r="B62" s="129"/>
      <c r="C62" s="131"/>
      <c r="D62" s="131"/>
      <c r="E62" s="131"/>
      <c r="F62" s="130"/>
      <c r="G62" s="130"/>
      <c r="H62" s="130"/>
      <c r="I62" s="130"/>
      <c r="J62" s="172"/>
      <c r="K62" s="132"/>
      <c r="L62" s="130"/>
      <c r="M62" s="130"/>
      <c r="N62" s="130"/>
      <c r="O62" s="130"/>
      <c r="P62" s="130"/>
      <c r="Q62" s="130"/>
      <c r="R62" s="130"/>
      <c r="S62" s="130"/>
      <c r="T62" s="130"/>
      <c r="U62" s="130"/>
      <c r="V62" s="130"/>
      <c r="W62" s="130"/>
      <c r="X62" s="130"/>
      <c r="Y62" s="130"/>
      <c r="Z62" s="136"/>
    </row>
    <row r="63" spans="1:26" ht="15.75" hidden="1" customHeight="1" x14ac:dyDescent="0.25">
      <c r="A63" s="132"/>
      <c r="B63" s="129"/>
      <c r="C63" s="131"/>
      <c r="D63" s="131"/>
      <c r="E63" s="131"/>
      <c r="F63" s="130"/>
      <c r="G63" s="130"/>
      <c r="H63" s="130"/>
      <c r="I63" s="130"/>
      <c r="J63" s="172"/>
      <c r="K63" s="132"/>
      <c r="L63" s="130"/>
      <c r="M63" s="130"/>
      <c r="N63" s="130"/>
      <c r="O63" s="130"/>
      <c r="P63" s="130"/>
      <c r="Q63" s="130"/>
      <c r="R63" s="130"/>
      <c r="S63" s="130"/>
      <c r="T63" s="130"/>
      <c r="U63" s="130"/>
      <c r="V63" s="130"/>
      <c r="W63" s="130"/>
      <c r="X63" s="130"/>
      <c r="Y63" s="130"/>
      <c r="Z63" s="136"/>
    </row>
    <row r="64" spans="1:26" ht="15.75" hidden="1" customHeight="1" x14ac:dyDescent="0.25">
      <c r="A64" s="132"/>
      <c r="B64" s="129"/>
      <c r="C64" s="131"/>
      <c r="D64" s="131"/>
      <c r="E64" s="131"/>
      <c r="F64" s="130"/>
      <c r="G64" s="130"/>
      <c r="H64" s="130"/>
      <c r="I64" s="130"/>
      <c r="J64" s="172"/>
      <c r="K64" s="132"/>
      <c r="L64" s="130"/>
      <c r="M64" s="130"/>
      <c r="N64" s="130"/>
      <c r="O64" s="130"/>
      <c r="P64" s="130"/>
      <c r="Q64" s="130"/>
      <c r="R64" s="130"/>
      <c r="S64" s="130"/>
      <c r="T64" s="130"/>
      <c r="U64" s="130"/>
      <c r="V64" s="130"/>
      <c r="W64" s="130"/>
      <c r="X64" s="130"/>
      <c r="Y64" s="130"/>
      <c r="Z64" s="136"/>
    </row>
    <row r="65" spans="1:26" ht="15.75" hidden="1" customHeight="1" x14ac:dyDescent="0.25">
      <c r="A65" s="132"/>
      <c r="B65" s="129"/>
      <c r="C65" s="131"/>
      <c r="D65" s="131"/>
      <c r="E65" s="131"/>
      <c r="F65" s="130"/>
      <c r="G65" s="130"/>
      <c r="H65" s="130"/>
      <c r="I65" s="130"/>
      <c r="J65" s="172"/>
      <c r="K65" s="132"/>
      <c r="L65" s="130"/>
      <c r="M65" s="130"/>
      <c r="N65" s="130"/>
      <c r="O65" s="130"/>
      <c r="P65" s="130"/>
      <c r="Q65" s="130"/>
      <c r="R65" s="130"/>
      <c r="S65" s="130"/>
      <c r="T65" s="130"/>
      <c r="U65" s="130"/>
      <c r="V65" s="130"/>
      <c r="W65" s="130"/>
      <c r="X65" s="130"/>
      <c r="Y65" s="130"/>
      <c r="Z65" s="136"/>
    </row>
    <row r="66" spans="1:26" ht="15.75" hidden="1" customHeight="1" x14ac:dyDescent="0.25">
      <c r="A66" s="132"/>
      <c r="B66" s="129"/>
      <c r="C66" s="131"/>
      <c r="D66" s="131"/>
      <c r="E66" s="131"/>
      <c r="F66" s="130"/>
      <c r="G66" s="130"/>
      <c r="H66" s="130"/>
      <c r="I66" s="130"/>
      <c r="J66" s="172"/>
      <c r="K66" s="132"/>
      <c r="L66" s="130"/>
      <c r="M66" s="130"/>
      <c r="N66" s="130"/>
      <c r="O66" s="130"/>
      <c r="P66" s="130"/>
      <c r="Q66" s="130"/>
      <c r="R66" s="130"/>
      <c r="S66" s="130"/>
      <c r="T66" s="130"/>
      <c r="U66" s="130"/>
      <c r="V66" s="130"/>
      <c r="W66" s="130"/>
      <c r="X66" s="130"/>
      <c r="Y66" s="130"/>
      <c r="Z66" s="136"/>
    </row>
    <row r="67" spans="1:26" ht="15.75" hidden="1" customHeight="1" x14ac:dyDescent="0.25">
      <c r="A67" s="132"/>
      <c r="B67" s="129"/>
      <c r="C67" s="131"/>
      <c r="D67" s="131"/>
      <c r="E67" s="131"/>
      <c r="F67" s="130"/>
      <c r="G67" s="130"/>
      <c r="H67" s="130"/>
      <c r="I67" s="130"/>
      <c r="J67" s="172"/>
      <c r="K67" s="132"/>
      <c r="L67" s="130"/>
      <c r="M67" s="130"/>
      <c r="N67" s="130"/>
      <c r="O67" s="130"/>
      <c r="P67" s="130"/>
      <c r="Q67" s="130"/>
      <c r="R67" s="130"/>
      <c r="S67" s="130"/>
      <c r="T67" s="130"/>
      <c r="U67" s="130"/>
      <c r="V67" s="130"/>
      <c r="W67" s="130"/>
      <c r="X67" s="130"/>
      <c r="Y67" s="130"/>
      <c r="Z67" s="136"/>
    </row>
    <row r="68" spans="1:26" ht="15.75" hidden="1" customHeight="1" x14ac:dyDescent="0.25">
      <c r="A68" s="132"/>
      <c r="B68" s="129"/>
      <c r="C68" s="131"/>
      <c r="D68" s="131"/>
      <c r="E68" s="131"/>
      <c r="F68" s="130"/>
      <c r="G68" s="130"/>
      <c r="H68" s="130"/>
      <c r="I68" s="130"/>
      <c r="J68" s="172"/>
      <c r="K68" s="132"/>
      <c r="L68" s="130"/>
      <c r="M68" s="130"/>
      <c r="N68" s="130"/>
      <c r="O68" s="130"/>
      <c r="P68" s="130"/>
      <c r="Q68" s="130"/>
      <c r="R68" s="130"/>
      <c r="S68" s="130"/>
      <c r="T68" s="130"/>
      <c r="U68" s="130"/>
      <c r="V68" s="130"/>
      <c r="W68" s="130"/>
      <c r="X68" s="130"/>
      <c r="Y68" s="130"/>
      <c r="Z68" s="136"/>
    </row>
    <row r="69" spans="1:26" ht="15.75" hidden="1" customHeight="1" x14ac:dyDescent="0.25">
      <c r="A69" s="132"/>
      <c r="B69" s="129"/>
      <c r="C69" s="131"/>
      <c r="D69" s="131"/>
      <c r="E69" s="131"/>
      <c r="F69" s="130"/>
      <c r="G69" s="130"/>
      <c r="H69" s="130"/>
      <c r="I69" s="130"/>
      <c r="J69" s="172"/>
      <c r="K69" s="132"/>
      <c r="L69" s="130"/>
      <c r="M69" s="130"/>
      <c r="N69" s="130"/>
      <c r="O69" s="130"/>
      <c r="P69" s="130"/>
      <c r="Q69" s="130"/>
      <c r="R69" s="130"/>
      <c r="S69" s="130"/>
      <c r="T69" s="130"/>
      <c r="U69" s="130"/>
      <c r="V69" s="130"/>
      <c r="W69" s="130"/>
      <c r="X69" s="130"/>
      <c r="Y69" s="130"/>
      <c r="Z69" s="136"/>
    </row>
    <row r="70" spans="1:26" ht="15.75" hidden="1" customHeight="1" x14ac:dyDescent="0.25">
      <c r="A70" s="132"/>
      <c r="B70" s="129"/>
      <c r="C70" s="131"/>
      <c r="D70" s="131"/>
      <c r="E70" s="131"/>
      <c r="F70" s="130"/>
      <c r="G70" s="130"/>
      <c r="H70" s="130"/>
      <c r="I70" s="130"/>
      <c r="J70" s="172"/>
      <c r="K70" s="132"/>
      <c r="L70" s="130"/>
      <c r="M70" s="130"/>
      <c r="N70" s="130"/>
      <c r="O70" s="130"/>
      <c r="P70" s="130"/>
      <c r="Q70" s="130"/>
      <c r="R70" s="130"/>
      <c r="S70" s="130"/>
      <c r="T70" s="130"/>
      <c r="U70" s="130"/>
      <c r="V70" s="130"/>
      <c r="W70" s="130"/>
      <c r="X70" s="130"/>
      <c r="Y70" s="130"/>
      <c r="Z70" s="136"/>
    </row>
    <row r="71" spans="1:26" ht="15.75" hidden="1" customHeight="1" x14ac:dyDescent="0.25">
      <c r="A71" s="132"/>
      <c r="B71" s="129"/>
      <c r="C71" s="131"/>
      <c r="D71" s="131"/>
      <c r="E71" s="131"/>
      <c r="F71" s="130"/>
      <c r="G71" s="130"/>
      <c r="H71" s="130"/>
      <c r="I71" s="130"/>
      <c r="J71" s="172"/>
      <c r="K71" s="132"/>
      <c r="L71" s="130"/>
      <c r="M71" s="130"/>
      <c r="N71" s="130"/>
      <c r="O71" s="130"/>
      <c r="P71" s="130"/>
      <c r="Q71" s="130"/>
      <c r="R71" s="130"/>
      <c r="S71" s="130"/>
      <c r="T71" s="130"/>
      <c r="U71" s="130"/>
      <c r="V71" s="130"/>
      <c r="W71" s="130"/>
      <c r="X71" s="130"/>
      <c r="Y71" s="130"/>
      <c r="Z71" s="136"/>
    </row>
    <row r="72" spans="1:26" ht="15.75" hidden="1" customHeight="1" x14ac:dyDescent="0.25">
      <c r="A72" s="132"/>
      <c r="B72" s="129"/>
      <c r="C72" s="131"/>
      <c r="D72" s="131"/>
      <c r="E72" s="131"/>
      <c r="F72" s="130"/>
      <c r="G72" s="130"/>
      <c r="H72" s="130"/>
      <c r="I72" s="130"/>
      <c r="J72" s="172"/>
      <c r="K72" s="132"/>
      <c r="L72" s="130"/>
      <c r="M72" s="130"/>
      <c r="N72" s="130"/>
      <c r="O72" s="130"/>
      <c r="P72" s="130"/>
      <c r="Q72" s="130"/>
      <c r="R72" s="130"/>
      <c r="S72" s="130"/>
      <c r="T72" s="130"/>
      <c r="U72" s="130"/>
      <c r="V72" s="130"/>
      <c r="W72" s="130"/>
      <c r="X72" s="130"/>
      <c r="Y72" s="130"/>
      <c r="Z72" s="136"/>
    </row>
    <row r="73" spans="1:26" ht="15.75" hidden="1" customHeight="1" x14ac:dyDescent="0.25">
      <c r="A73" s="132"/>
      <c r="B73" s="129"/>
      <c r="C73" s="131"/>
      <c r="D73" s="131"/>
      <c r="E73" s="131"/>
      <c r="F73" s="130"/>
      <c r="G73" s="130"/>
      <c r="H73" s="130"/>
      <c r="I73" s="130"/>
      <c r="J73" s="172"/>
      <c r="K73" s="132"/>
      <c r="L73" s="130"/>
      <c r="M73" s="130"/>
      <c r="N73" s="130"/>
      <c r="O73" s="130"/>
      <c r="P73" s="130"/>
      <c r="Q73" s="130"/>
      <c r="R73" s="130"/>
      <c r="S73" s="130"/>
      <c r="T73" s="130"/>
      <c r="U73" s="130"/>
      <c r="V73" s="130"/>
      <c r="W73" s="130"/>
      <c r="X73" s="130"/>
      <c r="Y73" s="130"/>
      <c r="Z73" s="136"/>
    </row>
    <row r="74" spans="1:26" ht="15.75" hidden="1" customHeight="1" x14ac:dyDescent="0.25">
      <c r="A74" s="132"/>
      <c r="B74" s="129"/>
      <c r="C74" s="131"/>
      <c r="D74" s="131"/>
      <c r="E74" s="131"/>
      <c r="F74" s="130"/>
      <c r="G74" s="130"/>
      <c r="H74" s="130"/>
      <c r="I74" s="130"/>
      <c r="J74" s="172"/>
      <c r="K74" s="132"/>
      <c r="L74" s="130"/>
      <c r="M74" s="130"/>
      <c r="N74" s="130"/>
      <c r="O74" s="130"/>
      <c r="P74" s="130"/>
      <c r="Q74" s="130"/>
      <c r="R74" s="130"/>
      <c r="S74" s="130"/>
      <c r="T74" s="130"/>
      <c r="U74" s="130"/>
      <c r="V74" s="130"/>
      <c r="W74" s="130"/>
      <c r="X74" s="130"/>
      <c r="Y74" s="130"/>
      <c r="Z74" s="136"/>
    </row>
    <row r="75" spans="1:26" ht="15.75" hidden="1" customHeight="1" x14ac:dyDescent="0.25">
      <c r="A75" s="132"/>
      <c r="B75" s="129"/>
      <c r="C75" s="131"/>
      <c r="D75" s="131"/>
      <c r="E75" s="131"/>
      <c r="F75" s="130"/>
      <c r="G75" s="130"/>
      <c r="H75" s="130"/>
      <c r="I75" s="130"/>
      <c r="J75" s="172"/>
      <c r="K75" s="132"/>
      <c r="L75" s="130"/>
      <c r="M75" s="130"/>
      <c r="N75" s="130"/>
      <c r="O75" s="130"/>
      <c r="P75" s="130"/>
      <c r="Q75" s="130"/>
      <c r="R75" s="130"/>
      <c r="S75" s="130"/>
      <c r="T75" s="130"/>
      <c r="U75" s="130"/>
      <c r="V75" s="130"/>
      <c r="W75" s="130"/>
      <c r="X75" s="130"/>
      <c r="Y75" s="130"/>
      <c r="Z75" s="136"/>
    </row>
    <row r="76" spans="1:26" ht="15.75" hidden="1" customHeight="1" x14ac:dyDescent="0.25">
      <c r="A76" s="132"/>
      <c r="B76" s="129"/>
      <c r="C76" s="131"/>
      <c r="D76" s="131"/>
      <c r="E76" s="131"/>
      <c r="F76" s="130"/>
      <c r="G76" s="130"/>
      <c r="H76" s="130"/>
      <c r="I76" s="130"/>
      <c r="J76" s="172"/>
      <c r="K76" s="132"/>
      <c r="L76" s="130"/>
      <c r="M76" s="130"/>
      <c r="N76" s="130"/>
      <c r="O76" s="130"/>
      <c r="P76" s="130"/>
      <c r="Q76" s="130"/>
      <c r="R76" s="130"/>
      <c r="S76" s="130"/>
      <c r="T76" s="130"/>
      <c r="U76" s="130"/>
      <c r="V76" s="130"/>
      <c r="W76" s="130"/>
      <c r="X76" s="130"/>
      <c r="Y76" s="130"/>
      <c r="Z76" s="136"/>
    </row>
    <row r="77" spans="1:26" ht="15.75" hidden="1" customHeight="1" x14ac:dyDescent="0.25">
      <c r="A77" s="132"/>
      <c r="B77" s="129"/>
      <c r="C77" s="131"/>
      <c r="D77" s="131"/>
      <c r="E77" s="131"/>
      <c r="F77" s="130"/>
      <c r="G77" s="130"/>
      <c r="H77" s="130"/>
      <c r="I77" s="130"/>
      <c r="J77" s="172"/>
      <c r="K77" s="132"/>
      <c r="L77" s="130"/>
      <c r="M77" s="130"/>
      <c r="N77" s="130"/>
      <c r="O77" s="130"/>
      <c r="P77" s="130"/>
      <c r="Q77" s="130"/>
      <c r="R77" s="130"/>
      <c r="S77" s="130"/>
      <c r="T77" s="130"/>
      <c r="U77" s="130"/>
      <c r="V77" s="130"/>
      <c r="W77" s="130"/>
      <c r="X77" s="130"/>
      <c r="Y77" s="130"/>
      <c r="Z77" s="136"/>
    </row>
    <row r="78" spans="1:26" ht="15.75" hidden="1" customHeight="1" x14ac:dyDescent="0.25">
      <c r="A78" s="132"/>
      <c r="B78" s="129"/>
      <c r="C78" s="131"/>
      <c r="D78" s="131"/>
      <c r="E78" s="131"/>
      <c r="F78" s="130"/>
      <c r="G78" s="130"/>
      <c r="H78" s="130"/>
      <c r="I78" s="130"/>
      <c r="J78" s="172"/>
      <c r="K78" s="132"/>
      <c r="L78" s="130"/>
      <c r="M78" s="130"/>
      <c r="N78" s="130"/>
      <c r="O78" s="130"/>
      <c r="P78" s="130"/>
      <c r="Q78" s="130"/>
      <c r="R78" s="130"/>
      <c r="S78" s="130"/>
      <c r="T78" s="130"/>
      <c r="U78" s="130"/>
      <c r="V78" s="130"/>
      <c r="W78" s="130"/>
      <c r="X78" s="130"/>
      <c r="Y78" s="130"/>
      <c r="Z78" s="136"/>
    </row>
    <row r="79" spans="1:26" ht="15.75" hidden="1" customHeight="1" x14ac:dyDescent="0.25">
      <c r="A79" s="132"/>
      <c r="B79" s="129"/>
      <c r="C79" s="131"/>
      <c r="D79" s="131"/>
      <c r="E79" s="131"/>
      <c r="F79" s="130"/>
      <c r="G79" s="130"/>
      <c r="H79" s="130"/>
      <c r="I79" s="130"/>
      <c r="J79" s="172"/>
      <c r="K79" s="132"/>
      <c r="L79" s="130"/>
      <c r="M79" s="130"/>
      <c r="N79" s="130"/>
      <c r="O79" s="130"/>
      <c r="P79" s="130"/>
      <c r="Q79" s="130"/>
      <c r="R79" s="130"/>
      <c r="S79" s="130"/>
      <c r="T79" s="130"/>
      <c r="U79" s="130"/>
      <c r="V79" s="130"/>
      <c r="W79" s="130"/>
      <c r="X79" s="130"/>
      <c r="Y79" s="130"/>
      <c r="Z79" s="136"/>
    </row>
    <row r="80" spans="1:26" ht="15.75" hidden="1" customHeight="1" x14ac:dyDescent="0.25">
      <c r="A80" s="132"/>
      <c r="B80" s="129"/>
      <c r="C80" s="131"/>
      <c r="D80" s="131"/>
      <c r="E80" s="131"/>
      <c r="F80" s="130"/>
      <c r="G80" s="130"/>
      <c r="H80" s="130"/>
      <c r="I80" s="130"/>
      <c r="J80" s="172"/>
      <c r="K80" s="132"/>
      <c r="L80" s="130"/>
      <c r="M80" s="130"/>
      <c r="N80" s="130"/>
      <c r="O80" s="130"/>
      <c r="P80" s="130"/>
      <c r="Q80" s="130"/>
      <c r="R80" s="130"/>
      <c r="S80" s="130"/>
      <c r="T80" s="130"/>
      <c r="U80" s="130"/>
      <c r="V80" s="130"/>
      <c r="W80" s="130"/>
      <c r="X80" s="130"/>
      <c r="Y80" s="130"/>
      <c r="Z80" s="136"/>
    </row>
    <row r="81" spans="1:26" ht="15.75" hidden="1" customHeight="1" x14ac:dyDescent="0.25">
      <c r="A81" s="132"/>
      <c r="B81" s="129"/>
      <c r="C81" s="131"/>
      <c r="D81" s="131"/>
      <c r="E81" s="131"/>
      <c r="F81" s="130"/>
      <c r="G81" s="130"/>
      <c r="H81" s="130"/>
      <c r="I81" s="130"/>
      <c r="J81" s="172"/>
      <c r="K81" s="132"/>
      <c r="L81" s="130"/>
      <c r="M81" s="130"/>
      <c r="N81" s="130"/>
      <c r="O81" s="130"/>
      <c r="P81" s="130"/>
      <c r="Q81" s="130"/>
      <c r="R81" s="130"/>
      <c r="S81" s="130"/>
      <c r="T81" s="130"/>
      <c r="U81" s="130"/>
      <c r="V81" s="130"/>
      <c r="W81" s="130"/>
      <c r="X81" s="130"/>
      <c r="Y81" s="130"/>
      <c r="Z81" s="136"/>
    </row>
    <row r="82" spans="1:26" ht="15.75" hidden="1" customHeight="1" x14ac:dyDescent="0.25">
      <c r="A82" s="132"/>
      <c r="B82" s="129"/>
      <c r="C82" s="131"/>
      <c r="D82" s="131"/>
      <c r="E82" s="131"/>
      <c r="F82" s="130"/>
      <c r="G82" s="130"/>
      <c r="H82" s="130"/>
      <c r="I82" s="130"/>
      <c r="J82" s="172"/>
      <c r="K82" s="132"/>
      <c r="L82" s="130"/>
      <c r="M82" s="130"/>
      <c r="N82" s="130"/>
      <c r="O82" s="130"/>
      <c r="P82" s="130"/>
      <c r="Q82" s="130"/>
      <c r="R82" s="130"/>
      <c r="S82" s="130"/>
      <c r="T82" s="130"/>
      <c r="U82" s="130"/>
      <c r="V82" s="130"/>
      <c r="W82" s="130"/>
      <c r="X82" s="130"/>
      <c r="Y82" s="130"/>
      <c r="Z82" s="136"/>
    </row>
    <row r="83" spans="1:26" ht="15.75" hidden="1" customHeight="1" x14ac:dyDescent="0.25">
      <c r="A83" s="132"/>
      <c r="B83" s="129"/>
      <c r="C83" s="131"/>
      <c r="D83" s="131"/>
      <c r="E83" s="131"/>
      <c r="F83" s="130"/>
      <c r="G83" s="130"/>
      <c r="H83" s="130"/>
      <c r="I83" s="130"/>
      <c r="J83" s="172"/>
      <c r="K83" s="132"/>
      <c r="L83" s="130"/>
      <c r="M83" s="130"/>
      <c r="N83" s="130"/>
      <c r="O83" s="130"/>
      <c r="P83" s="130"/>
      <c r="Q83" s="130"/>
      <c r="R83" s="130"/>
      <c r="S83" s="130"/>
      <c r="T83" s="130"/>
      <c r="U83" s="130"/>
      <c r="V83" s="130"/>
      <c r="W83" s="130"/>
      <c r="X83" s="130"/>
      <c r="Y83" s="130"/>
      <c r="Z83" s="136"/>
    </row>
    <row r="84" spans="1:26" ht="15.75" hidden="1" customHeight="1" x14ac:dyDescent="0.25">
      <c r="A84" s="132"/>
      <c r="B84" s="129"/>
      <c r="C84" s="131"/>
      <c r="D84" s="131"/>
      <c r="E84" s="131"/>
      <c r="F84" s="130"/>
      <c r="G84" s="130"/>
      <c r="H84" s="130"/>
      <c r="I84" s="130"/>
      <c r="J84" s="172"/>
      <c r="K84" s="132"/>
      <c r="L84" s="130"/>
      <c r="M84" s="130"/>
      <c r="N84" s="130"/>
      <c r="O84" s="130"/>
      <c r="P84" s="130"/>
      <c r="Q84" s="130"/>
      <c r="R84" s="130"/>
      <c r="S84" s="130"/>
      <c r="T84" s="130"/>
      <c r="U84" s="130"/>
      <c r="V84" s="130"/>
      <c r="W84" s="130"/>
      <c r="X84" s="130"/>
      <c r="Y84" s="130"/>
      <c r="Z84" s="136"/>
    </row>
    <row r="85" spans="1:26" ht="15.75" hidden="1" customHeight="1" x14ac:dyDescent="0.25">
      <c r="A85" s="132"/>
      <c r="B85" s="129"/>
      <c r="C85" s="131"/>
      <c r="D85" s="131"/>
      <c r="E85" s="131"/>
      <c r="F85" s="130"/>
      <c r="G85" s="130"/>
      <c r="H85" s="130"/>
      <c r="I85" s="130"/>
      <c r="J85" s="172"/>
      <c r="K85" s="132"/>
      <c r="L85" s="130"/>
      <c r="M85" s="130"/>
      <c r="N85" s="130"/>
      <c r="O85" s="130"/>
      <c r="P85" s="130"/>
      <c r="Q85" s="130"/>
      <c r="R85" s="130"/>
      <c r="S85" s="130"/>
      <c r="T85" s="130"/>
      <c r="U85" s="130"/>
      <c r="V85" s="130"/>
      <c r="W85" s="130"/>
      <c r="X85" s="130"/>
      <c r="Y85" s="130"/>
      <c r="Z85" s="136"/>
    </row>
    <row r="86" spans="1:26" ht="15.75" hidden="1" customHeight="1" x14ac:dyDescent="0.25">
      <c r="A86" s="132"/>
      <c r="B86" s="129"/>
      <c r="C86" s="131"/>
      <c r="D86" s="131"/>
      <c r="E86" s="131"/>
      <c r="F86" s="130"/>
      <c r="G86" s="130"/>
      <c r="H86" s="130"/>
      <c r="I86" s="130"/>
      <c r="J86" s="172"/>
      <c r="K86" s="132"/>
      <c r="L86" s="130"/>
      <c r="M86" s="130"/>
      <c r="N86" s="130"/>
      <c r="O86" s="130"/>
      <c r="P86" s="130"/>
      <c r="Q86" s="130"/>
      <c r="R86" s="130"/>
      <c r="S86" s="130"/>
      <c r="T86" s="130"/>
      <c r="U86" s="130"/>
      <c r="V86" s="130"/>
      <c r="W86" s="130"/>
      <c r="X86" s="130"/>
      <c r="Y86" s="130"/>
      <c r="Z86" s="136"/>
    </row>
    <row r="87" spans="1:26" ht="15.75" hidden="1" customHeight="1" x14ac:dyDescent="0.25">
      <c r="A87" s="132"/>
      <c r="B87" s="129"/>
      <c r="C87" s="131"/>
      <c r="D87" s="131"/>
      <c r="E87" s="131"/>
      <c r="F87" s="130"/>
      <c r="G87" s="130"/>
      <c r="H87" s="130"/>
      <c r="I87" s="130"/>
      <c r="J87" s="172"/>
      <c r="K87" s="132"/>
      <c r="L87" s="130"/>
      <c r="M87" s="130"/>
      <c r="N87" s="130"/>
      <c r="O87" s="130"/>
      <c r="P87" s="130"/>
      <c r="Q87" s="130"/>
      <c r="R87" s="130"/>
      <c r="S87" s="130"/>
      <c r="T87" s="130"/>
      <c r="U87" s="130"/>
      <c r="V87" s="130"/>
      <c r="W87" s="130"/>
      <c r="X87" s="130"/>
      <c r="Y87" s="130"/>
      <c r="Z87" s="136"/>
    </row>
    <row r="88" spans="1:26" ht="15.75" hidden="1" customHeight="1" x14ac:dyDescent="0.25">
      <c r="A88" s="132"/>
      <c r="B88" s="129"/>
      <c r="C88" s="131"/>
      <c r="D88" s="131"/>
      <c r="E88" s="131"/>
      <c r="F88" s="130"/>
      <c r="G88" s="130"/>
      <c r="H88" s="130"/>
      <c r="I88" s="130"/>
      <c r="J88" s="172"/>
      <c r="K88" s="132"/>
      <c r="L88" s="130"/>
      <c r="M88" s="130"/>
      <c r="N88" s="130"/>
      <c r="O88" s="130"/>
      <c r="P88" s="130"/>
      <c r="Q88" s="130"/>
      <c r="R88" s="130"/>
      <c r="S88" s="130"/>
      <c r="T88" s="130"/>
      <c r="U88" s="130"/>
      <c r="V88" s="130"/>
      <c r="W88" s="130"/>
      <c r="X88" s="130"/>
      <c r="Y88" s="130"/>
      <c r="Z88" s="136"/>
    </row>
    <row r="89" spans="1:26" ht="15.75" hidden="1" customHeight="1" x14ac:dyDescent="0.25">
      <c r="A89" s="132"/>
      <c r="B89" s="129"/>
      <c r="C89" s="131"/>
      <c r="D89" s="131"/>
      <c r="E89" s="131"/>
      <c r="F89" s="130"/>
      <c r="G89" s="130"/>
      <c r="H89" s="130"/>
      <c r="I89" s="130"/>
      <c r="J89" s="172"/>
      <c r="K89" s="132"/>
      <c r="L89" s="130"/>
      <c r="M89" s="130"/>
      <c r="N89" s="130"/>
      <c r="O89" s="130"/>
      <c r="P89" s="130"/>
      <c r="Q89" s="130"/>
      <c r="R89" s="130"/>
      <c r="S89" s="130"/>
      <c r="T89" s="130"/>
      <c r="U89" s="130"/>
      <c r="V89" s="130"/>
      <c r="W89" s="130"/>
      <c r="X89" s="130"/>
      <c r="Y89" s="130"/>
      <c r="Z89" s="136"/>
    </row>
    <row r="90" spans="1:26" ht="15.75" hidden="1" customHeight="1" x14ac:dyDescent="0.25">
      <c r="A90" s="132"/>
      <c r="B90" s="129"/>
      <c r="C90" s="131"/>
      <c r="D90" s="131"/>
      <c r="E90" s="131"/>
      <c r="F90" s="130"/>
      <c r="G90" s="130"/>
      <c r="H90" s="130"/>
      <c r="I90" s="130"/>
      <c r="J90" s="172"/>
      <c r="K90" s="132"/>
      <c r="L90" s="130"/>
      <c r="M90" s="130"/>
      <c r="N90" s="130"/>
      <c r="O90" s="130"/>
      <c r="P90" s="130"/>
      <c r="Q90" s="130"/>
      <c r="R90" s="130"/>
      <c r="S90" s="130"/>
      <c r="T90" s="130"/>
      <c r="U90" s="130"/>
      <c r="V90" s="130"/>
      <c r="W90" s="130"/>
      <c r="X90" s="130"/>
      <c r="Y90" s="130"/>
      <c r="Z90" s="136"/>
    </row>
    <row r="91" spans="1:26" ht="15.75" hidden="1" customHeight="1" x14ac:dyDescent="0.25">
      <c r="A91" s="132"/>
      <c r="B91" s="129"/>
      <c r="C91" s="131"/>
      <c r="D91" s="131"/>
      <c r="E91" s="131"/>
      <c r="F91" s="130"/>
      <c r="G91" s="130"/>
      <c r="H91" s="130"/>
      <c r="I91" s="130"/>
      <c r="J91" s="172"/>
      <c r="K91" s="132"/>
      <c r="L91" s="130"/>
      <c r="M91" s="130"/>
      <c r="N91" s="130"/>
      <c r="O91" s="130"/>
      <c r="P91" s="130"/>
      <c r="Q91" s="130"/>
      <c r="R91" s="130"/>
      <c r="S91" s="130"/>
      <c r="T91" s="130"/>
      <c r="U91" s="130"/>
      <c r="V91" s="130"/>
      <c r="W91" s="130"/>
      <c r="X91" s="130"/>
      <c r="Y91" s="130"/>
      <c r="Z91" s="136"/>
    </row>
    <row r="92" spans="1:26" ht="15.75" hidden="1" customHeight="1" x14ac:dyDescent="0.25">
      <c r="A92" s="132"/>
      <c r="B92" s="129"/>
      <c r="C92" s="131"/>
      <c r="D92" s="131"/>
      <c r="E92" s="131"/>
      <c r="F92" s="130"/>
      <c r="G92" s="130"/>
      <c r="H92" s="130"/>
      <c r="I92" s="130"/>
      <c r="J92" s="172"/>
      <c r="K92" s="132"/>
      <c r="L92" s="130"/>
      <c r="M92" s="130"/>
      <c r="N92" s="130"/>
      <c r="O92" s="130"/>
      <c r="P92" s="130"/>
      <c r="Q92" s="130"/>
      <c r="R92" s="130"/>
      <c r="S92" s="130"/>
      <c r="T92" s="130"/>
      <c r="U92" s="130"/>
      <c r="V92" s="130"/>
      <c r="W92" s="130"/>
      <c r="X92" s="130"/>
      <c r="Y92" s="130"/>
      <c r="Z92" s="136"/>
    </row>
    <row r="93" spans="1:26" ht="15.75" hidden="1" customHeight="1" x14ac:dyDescent="0.25">
      <c r="A93" s="132"/>
      <c r="B93" s="129"/>
      <c r="C93" s="131"/>
      <c r="D93" s="131"/>
      <c r="E93" s="131"/>
      <c r="F93" s="130"/>
      <c r="G93" s="130"/>
      <c r="H93" s="130"/>
      <c r="I93" s="130"/>
      <c r="J93" s="172"/>
      <c r="K93" s="132"/>
      <c r="L93" s="130"/>
      <c r="M93" s="130"/>
      <c r="N93" s="130"/>
      <c r="O93" s="130"/>
      <c r="P93" s="130"/>
      <c r="Q93" s="130"/>
      <c r="R93" s="130"/>
      <c r="S93" s="130"/>
      <c r="T93" s="130"/>
      <c r="U93" s="130"/>
      <c r="V93" s="130"/>
      <c r="W93" s="130"/>
      <c r="X93" s="130"/>
      <c r="Y93" s="130"/>
      <c r="Z93" s="136"/>
    </row>
    <row r="94" spans="1:26" ht="15.75" hidden="1" customHeight="1" x14ac:dyDescent="0.25">
      <c r="A94" s="132"/>
      <c r="B94" s="129"/>
      <c r="C94" s="131"/>
      <c r="D94" s="131"/>
      <c r="E94" s="131"/>
      <c r="F94" s="130"/>
      <c r="G94" s="130"/>
      <c r="H94" s="130"/>
      <c r="I94" s="130"/>
      <c r="J94" s="172"/>
      <c r="K94" s="132"/>
      <c r="L94" s="130"/>
      <c r="M94" s="130"/>
      <c r="N94" s="130"/>
      <c r="O94" s="130"/>
      <c r="P94" s="130"/>
      <c r="Q94" s="130"/>
      <c r="R94" s="130"/>
      <c r="S94" s="130"/>
      <c r="T94" s="130"/>
      <c r="U94" s="130"/>
      <c r="V94" s="130"/>
      <c r="W94" s="130"/>
      <c r="X94" s="130"/>
      <c r="Y94" s="130"/>
      <c r="Z94" s="136"/>
    </row>
    <row r="95" spans="1:26" ht="15.75" hidden="1" customHeight="1" x14ac:dyDescent="0.25">
      <c r="A95" s="132"/>
      <c r="B95" s="129"/>
      <c r="C95" s="131"/>
      <c r="D95" s="131"/>
      <c r="E95" s="131"/>
      <c r="F95" s="130"/>
      <c r="G95" s="130"/>
      <c r="H95" s="130"/>
      <c r="I95" s="130"/>
      <c r="J95" s="172"/>
      <c r="K95" s="132"/>
      <c r="L95" s="130"/>
      <c r="M95" s="130"/>
      <c r="N95" s="130"/>
      <c r="O95" s="130"/>
      <c r="P95" s="130"/>
      <c r="Q95" s="130"/>
      <c r="R95" s="130"/>
      <c r="S95" s="130"/>
      <c r="T95" s="130"/>
      <c r="U95" s="130"/>
      <c r="V95" s="130"/>
      <c r="W95" s="130"/>
      <c r="X95" s="130"/>
      <c r="Y95" s="130"/>
      <c r="Z95" s="136"/>
    </row>
    <row r="96" spans="1:26" ht="15.75" hidden="1" customHeight="1" x14ac:dyDescent="0.25">
      <c r="A96" s="132"/>
      <c r="B96" s="129"/>
      <c r="C96" s="131"/>
      <c r="D96" s="131"/>
      <c r="E96" s="131"/>
      <c r="F96" s="130"/>
      <c r="G96" s="130"/>
      <c r="H96" s="130"/>
      <c r="I96" s="130"/>
      <c r="J96" s="172"/>
      <c r="K96" s="132"/>
      <c r="L96" s="130"/>
      <c r="M96" s="130"/>
      <c r="N96" s="130"/>
      <c r="O96" s="130"/>
      <c r="P96" s="130"/>
      <c r="Q96" s="130"/>
      <c r="R96" s="130"/>
      <c r="S96" s="130"/>
      <c r="T96" s="130"/>
      <c r="U96" s="130"/>
      <c r="V96" s="130"/>
      <c r="W96" s="130"/>
      <c r="X96" s="130"/>
      <c r="Y96" s="130"/>
      <c r="Z96" s="136"/>
    </row>
    <row r="97" spans="1:26" ht="15.75" hidden="1" customHeight="1" x14ac:dyDescent="0.25">
      <c r="A97" s="132"/>
      <c r="B97" s="129"/>
      <c r="C97" s="131"/>
      <c r="D97" s="131"/>
      <c r="E97" s="131"/>
      <c r="F97" s="130"/>
      <c r="G97" s="130"/>
      <c r="H97" s="130"/>
      <c r="I97" s="130"/>
      <c r="J97" s="172"/>
      <c r="K97" s="132"/>
      <c r="L97" s="130"/>
      <c r="M97" s="130"/>
      <c r="N97" s="130"/>
      <c r="O97" s="130"/>
      <c r="P97" s="130"/>
      <c r="Q97" s="130"/>
      <c r="R97" s="130"/>
      <c r="S97" s="130"/>
      <c r="T97" s="130"/>
      <c r="U97" s="130"/>
      <c r="V97" s="130"/>
      <c r="W97" s="130"/>
      <c r="X97" s="130"/>
      <c r="Y97" s="130"/>
      <c r="Z97" s="136"/>
    </row>
    <row r="98" spans="1:26" ht="15.75" hidden="1" customHeight="1" x14ac:dyDescent="0.25">
      <c r="A98" s="132"/>
      <c r="B98" s="129"/>
      <c r="C98" s="131"/>
      <c r="D98" s="131"/>
      <c r="E98" s="131"/>
      <c r="F98" s="130"/>
      <c r="G98" s="130"/>
      <c r="H98" s="130"/>
      <c r="I98" s="130"/>
      <c r="J98" s="172"/>
      <c r="K98" s="132"/>
      <c r="L98" s="130"/>
      <c r="M98" s="130"/>
      <c r="N98" s="130"/>
      <c r="O98" s="130"/>
      <c r="P98" s="130"/>
      <c r="Q98" s="130"/>
      <c r="R98" s="130"/>
      <c r="S98" s="130"/>
      <c r="T98" s="130"/>
      <c r="U98" s="130"/>
      <c r="V98" s="130"/>
      <c r="W98" s="130"/>
      <c r="X98" s="130"/>
      <c r="Y98" s="130"/>
      <c r="Z98" s="136"/>
    </row>
    <row r="99" spans="1:26" ht="15.75" hidden="1" customHeight="1" x14ac:dyDescent="0.25">
      <c r="A99" s="132"/>
      <c r="B99" s="129"/>
      <c r="C99" s="131"/>
      <c r="D99" s="131"/>
      <c r="E99" s="131"/>
      <c r="F99" s="130"/>
      <c r="G99" s="130"/>
      <c r="H99" s="130"/>
      <c r="I99" s="130"/>
      <c r="J99" s="172"/>
      <c r="K99" s="132"/>
      <c r="L99" s="130"/>
      <c r="M99" s="130"/>
      <c r="N99" s="130"/>
      <c r="O99" s="130"/>
      <c r="P99" s="130"/>
      <c r="Q99" s="130"/>
      <c r="R99" s="130"/>
      <c r="S99" s="130"/>
      <c r="T99" s="130"/>
      <c r="U99" s="130"/>
      <c r="V99" s="130"/>
      <c r="W99" s="130"/>
      <c r="X99" s="130"/>
      <c r="Y99" s="130"/>
      <c r="Z99" s="136"/>
    </row>
    <row r="100" spans="1:26" ht="15.75" hidden="1" customHeight="1" x14ac:dyDescent="0.25">
      <c r="A100" s="132"/>
      <c r="B100" s="129"/>
      <c r="C100" s="131"/>
      <c r="D100" s="131"/>
      <c r="E100" s="131"/>
      <c r="F100" s="130"/>
      <c r="G100" s="130"/>
      <c r="H100" s="130"/>
      <c r="I100" s="130"/>
      <c r="J100" s="172"/>
      <c r="K100" s="132"/>
      <c r="L100" s="130"/>
      <c r="M100" s="130"/>
      <c r="N100" s="130"/>
      <c r="O100" s="130"/>
      <c r="P100" s="130"/>
      <c r="Q100" s="130"/>
      <c r="R100" s="130"/>
      <c r="S100" s="130"/>
      <c r="T100" s="130"/>
      <c r="U100" s="130"/>
      <c r="V100" s="130"/>
      <c r="W100" s="130"/>
      <c r="X100" s="130"/>
      <c r="Y100" s="130"/>
      <c r="Z100" s="136"/>
    </row>
    <row r="101" spans="1:26" ht="15.75" hidden="1" customHeight="1" x14ac:dyDescent="0.25">
      <c r="A101" s="132"/>
      <c r="B101" s="129"/>
      <c r="C101" s="131"/>
      <c r="D101" s="131"/>
      <c r="E101" s="131"/>
      <c r="F101" s="130"/>
      <c r="G101" s="130"/>
      <c r="H101" s="130"/>
      <c r="I101" s="130"/>
      <c r="J101" s="172"/>
      <c r="K101" s="132"/>
      <c r="L101" s="130"/>
      <c r="M101" s="130"/>
      <c r="N101" s="130"/>
      <c r="O101" s="130"/>
      <c r="P101" s="130"/>
      <c r="Q101" s="130"/>
      <c r="R101" s="130"/>
      <c r="S101" s="130"/>
      <c r="T101" s="130"/>
      <c r="U101" s="130"/>
      <c r="V101" s="130"/>
      <c r="W101" s="130"/>
      <c r="X101" s="130"/>
      <c r="Y101" s="130"/>
      <c r="Z101" s="136"/>
    </row>
    <row r="102" spans="1:26" ht="15.75" hidden="1" customHeight="1" x14ac:dyDescent="0.25">
      <c r="A102" s="132"/>
      <c r="B102" s="129"/>
      <c r="C102" s="131"/>
      <c r="D102" s="131"/>
      <c r="E102" s="131"/>
      <c r="F102" s="130"/>
      <c r="G102" s="130"/>
      <c r="H102" s="130"/>
      <c r="I102" s="130"/>
      <c r="J102" s="172"/>
      <c r="K102" s="132"/>
      <c r="L102" s="130"/>
      <c r="M102" s="130"/>
      <c r="N102" s="130"/>
      <c r="O102" s="130"/>
      <c r="P102" s="130"/>
      <c r="Q102" s="130"/>
      <c r="R102" s="130"/>
      <c r="S102" s="130"/>
      <c r="T102" s="130"/>
      <c r="U102" s="130"/>
      <c r="V102" s="130"/>
      <c r="W102" s="130"/>
      <c r="X102" s="130"/>
      <c r="Y102" s="130"/>
      <c r="Z102" s="136"/>
    </row>
    <row r="103" spans="1:26" ht="15.75" hidden="1" customHeight="1" x14ac:dyDescent="0.25">
      <c r="A103" s="132"/>
      <c r="B103" s="129"/>
      <c r="C103" s="131"/>
      <c r="D103" s="131"/>
      <c r="E103" s="131"/>
      <c r="F103" s="130"/>
      <c r="G103" s="130"/>
      <c r="H103" s="130"/>
      <c r="I103" s="130"/>
      <c r="J103" s="172"/>
      <c r="K103" s="132"/>
      <c r="L103" s="130"/>
      <c r="M103" s="130"/>
      <c r="N103" s="130"/>
      <c r="O103" s="130"/>
      <c r="P103" s="130"/>
      <c r="Q103" s="130"/>
      <c r="R103" s="130"/>
      <c r="S103" s="130"/>
      <c r="T103" s="130"/>
      <c r="U103" s="130"/>
      <c r="V103" s="130"/>
      <c r="W103" s="130"/>
      <c r="X103" s="130"/>
      <c r="Y103" s="130"/>
      <c r="Z103" s="136"/>
    </row>
    <row r="104" spans="1:26" ht="15.75" hidden="1" customHeight="1" x14ac:dyDescent="0.25">
      <c r="A104" s="132"/>
      <c r="B104" s="129"/>
      <c r="C104" s="131"/>
      <c r="D104" s="131"/>
      <c r="E104" s="131"/>
      <c r="F104" s="130"/>
      <c r="G104" s="130"/>
      <c r="H104" s="130"/>
      <c r="I104" s="130"/>
      <c r="J104" s="172"/>
      <c r="K104" s="132"/>
      <c r="L104" s="130"/>
      <c r="M104" s="130"/>
      <c r="N104" s="130"/>
      <c r="O104" s="130"/>
      <c r="P104" s="130"/>
      <c r="Q104" s="130"/>
      <c r="R104" s="130"/>
      <c r="S104" s="130"/>
      <c r="T104" s="130"/>
      <c r="U104" s="130"/>
      <c r="V104" s="130"/>
      <c r="W104" s="130"/>
      <c r="X104" s="130"/>
      <c r="Y104" s="130"/>
      <c r="Z104" s="136"/>
    </row>
    <row r="105" spans="1:26" ht="15.75" hidden="1" customHeight="1" x14ac:dyDescent="0.25">
      <c r="A105" s="132"/>
      <c r="B105" s="129"/>
      <c r="C105" s="131"/>
      <c r="D105" s="131"/>
      <c r="E105" s="131"/>
      <c r="F105" s="130"/>
      <c r="G105" s="130"/>
      <c r="H105" s="130"/>
      <c r="I105" s="130"/>
      <c r="J105" s="172"/>
      <c r="K105" s="132"/>
      <c r="L105" s="130"/>
      <c r="M105" s="130"/>
      <c r="N105" s="130"/>
      <c r="O105" s="130"/>
      <c r="P105" s="130"/>
      <c r="Q105" s="130"/>
      <c r="R105" s="130"/>
      <c r="S105" s="130"/>
      <c r="T105" s="130"/>
      <c r="U105" s="130"/>
      <c r="V105" s="130"/>
      <c r="W105" s="130"/>
      <c r="X105" s="130"/>
      <c r="Y105" s="130"/>
      <c r="Z105" s="136"/>
    </row>
    <row r="106" spans="1:26" ht="15.75" hidden="1" customHeight="1" x14ac:dyDescent="0.25">
      <c r="A106" s="132"/>
      <c r="B106" s="129"/>
      <c r="C106" s="131"/>
      <c r="D106" s="131"/>
      <c r="E106" s="131"/>
      <c r="F106" s="130"/>
      <c r="G106" s="130"/>
      <c r="H106" s="130"/>
      <c r="I106" s="130"/>
      <c r="J106" s="172"/>
      <c r="K106" s="132"/>
      <c r="L106" s="130"/>
      <c r="M106" s="130"/>
      <c r="N106" s="130"/>
      <c r="O106" s="130"/>
      <c r="P106" s="130"/>
      <c r="Q106" s="130"/>
      <c r="R106" s="130"/>
      <c r="S106" s="130"/>
      <c r="T106" s="130"/>
      <c r="U106" s="130"/>
      <c r="V106" s="130"/>
      <c r="W106" s="130"/>
      <c r="X106" s="130"/>
      <c r="Y106" s="130"/>
      <c r="Z106" s="136"/>
    </row>
    <row r="107" spans="1:26" ht="15.75" hidden="1" customHeight="1" x14ac:dyDescent="0.25">
      <c r="A107" s="132"/>
      <c r="B107" s="129"/>
      <c r="C107" s="131"/>
      <c r="D107" s="131"/>
      <c r="E107" s="131"/>
      <c r="F107" s="130"/>
      <c r="G107" s="130"/>
      <c r="H107" s="130"/>
      <c r="I107" s="130"/>
      <c r="J107" s="172"/>
      <c r="K107" s="132"/>
      <c r="L107" s="130"/>
      <c r="M107" s="130"/>
      <c r="N107" s="130"/>
      <c r="O107" s="130"/>
      <c r="P107" s="130"/>
      <c r="Q107" s="130"/>
      <c r="R107" s="130"/>
      <c r="S107" s="130"/>
      <c r="T107" s="130"/>
      <c r="U107" s="130"/>
      <c r="V107" s="130"/>
      <c r="W107" s="130"/>
      <c r="X107" s="130"/>
      <c r="Y107" s="130"/>
      <c r="Z107" s="136"/>
    </row>
    <row r="108" spans="1:26" ht="15.75" hidden="1" customHeight="1" x14ac:dyDescent="0.25">
      <c r="A108" s="132"/>
      <c r="B108" s="129"/>
      <c r="C108" s="131"/>
      <c r="D108" s="131"/>
      <c r="E108" s="131"/>
      <c r="F108" s="130"/>
      <c r="G108" s="130"/>
      <c r="H108" s="130"/>
      <c r="I108" s="130"/>
      <c r="J108" s="172"/>
      <c r="K108" s="132"/>
      <c r="L108" s="130"/>
      <c r="M108" s="130"/>
      <c r="N108" s="130"/>
      <c r="O108" s="130"/>
      <c r="P108" s="130"/>
      <c r="Q108" s="130"/>
      <c r="R108" s="130"/>
      <c r="S108" s="130"/>
      <c r="T108" s="130"/>
      <c r="U108" s="130"/>
      <c r="V108" s="130"/>
      <c r="W108" s="130"/>
      <c r="X108" s="130"/>
      <c r="Y108" s="130"/>
      <c r="Z108" s="136"/>
    </row>
    <row r="109" spans="1:26" ht="15.75" hidden="1" customHeight="1" x14ac:dyDescent="0.25">
      <c r="A109" s="132"/>
      <c r="B109" s="129"/>
      <c r="C109" s="131"/>
      <c r="D109" s="131"/>
      <c r="E109" s="131"/>
      <c r="F109" s="130"/>
      <c r="G109" s="130"/>
      <c r="H109" s="130"/>
      <c r="I109" s="130"/>
      <c r="J109" s="172"/>
      <c r="K109" s="132"/>
      <c r="L109" s="130"/>
      <c r="M109" s="130"/>
      <c r="N109" s="130"/>
      <c r="O109" s="130"/>
      <c r="P109" s="130"/>
      <c r="Q109" s="130"/>
      <c r="R109" s="130"/>
      <c r="S109" s="130"/>
      <c r="T109" s="130"/>
      <c r="U109" s="130"/>
      <c r="V109" s="130"/>
      <c r="W109" s="130"/>
      <c r="X109" s="130"/>
      <c r="Y109" s="130"/>
      <c r="Z109" s="136"/>
    </row>
    <row r="110" spans="1:26" ht="15.75" hidden="1" customHeight="1" x14ac:dyDescent="0.25">
      <c r="A110" s="132"/>
      <c r="B110" s="129"/>
      <c r="C110" s="131"/>
      <c r="D110" s="131"/>
      <c r="E110" s="131"/>
      <c r="F110" s="130"/>
      <c r="G110" s="130"/>
      <c r="H110" s="130"/>
      <c r="I110" s="130"/>
      <c r="J110" s="172"/>
      <c r="K110" s="132"/>
      <c r="L110" s="130"/>
      <c r="M110" s="130"/>
      <c r="N110" s="130"/>
      <c r="O110" s="130"/>
      <c r="P110" s="130"/>
      <c r="Q110" s="130"/>
      <c r="R110" s="130"/>
      <c r="S110" s="130"/>
      <c r="T110" s="130"/>
      <c r="U110" s="130"/>
      <c r="V110" s="130"/>
      <c r="W110" s="130"/>
      <c r="X110" s="130"/>
      <c r="Y110" s="130"/>
      <c r="Z110" s="136"/>
    </row>
    <row r="111" spans="1:26" ht="15.75" hidden="1" customHeight="1" x14ac:dyDescent="0.25">
      <c r="A111" s="132"/>
      <c r="B111" s="129"/>
      <c r="C111" s="131"/>
      <c r="D111" s="131"/>
      <c r="E111" s="131"/>
      <c r="F111" s="130"/>
      <c r="G111" s="130"/>
      <c r="H111" s="130"/>
      <c r="I111" s="130"/>
      <c r="J111" s="172"/>
      <c r="K111" s="132"/>
      <c r="L111" s="130"/>
      <c r="M111" s="130"/>
      <c r="N111" s="130"/>
      <c r="O111" s="130"/>
      <c r="P111" s="130"/>
      <c r="Q111" s="130"/>
      <c r="R111" s="130"/>
      <c r="S111" s="130"/>
      <c r="T111" s="130"/>
      <c r="U111" s="130"/>
      <c r="V111" s="130"/>
      <c r="W111" s="130"/>
      <c r="X111" s="130"/>
      <c r="Y111" s="130"/>
      <c r="Z111" s="136"/>
    </row>
    <row r="112" spans="1:26" ht="15.75" hidden="1" customHeight="1" x14ac:dyDescent="0.25">
      <c r="A112" s="132"/>
      <c r="B112" s="129"/>
      <c r="C112" s="131"/>
      <c r="D112" s="131"/>
      <c r="E112" s="131"/>
      <c r="F112" s="130"/>
      <c r="G112" s="130"/>
      <c r="H112" s="130"/>
      <c r="I112" s="130"/>
      <c r="J112" s="172"/>
      <c r="K112" s="132"/>
      <c r="L112" s="130"/>
      <c r="M112" s="130"/>
      <c r="N112" s="130"/>
      <c r="O112" s="130"/>
      <c r="P112" s="130"/>
      <c r="Q112" s="130"/>
      <c r="R112" s="130"/>
      <c r="S112" s="130"/>
      <c r="T112" s="130"/>
      <c r="U112" s="130"/>
      <c r="V112" s="130"/>
      <c r="W112" s="130"/>
      <c r="X112" s="130"/>
      <c r="Y112" s="130"/>
      <c r="Z112" s="136"/>
    </row>
    <row r="113" spans="1:26" ht="15.75" hidden="1" customHeight="1" x14ac:dyDescent="0.25">
      <c r="A113" s="132"/>
      <c r="B113" s="129"/>
      <c r="C113" s="131"/>
      <c r="D113" s="131"/>
      <c r="E113" s="131"/>
      <c r="F113" s="130"/>
      <c r="G113" s="130"/>
      <c r="H113" s="130"/>
      <c r="I113" s="130"/>
      <c r="J113" s="172"/>
      <c r="K113" s="132"/>
      <c r="L113" s="130"/>
      <c r="M113" s="130"/>
      <c r="N113" s="130"/>
      <c r="O113" s="130"/>
      <c r="P113" s="130"/>
      <c r="Q113" s="130"/>
      <c r="R113" s="130"/>
      <c r="S113" s="130"/>
      <c r="T113" s="130"/>
      <c r="U113" s="130"/>
      <c r="V113" s="130"/>
      <c r="W113" s="130"/>
      <c r="X113" s="130"/>
      <c r="Y113" s="130"/>
      <c r="Z113" s="136"/>
    </row>
    <row r="114" spans="1:26" ht="15.75" hidden="1" customHeight="1" x14ac:dyDescent="0.25">
      <c r="A114" s="132"/>
      <c r="B114" s="129"/>
      <c r="C114" s="131"/>
      <c r="D114" s="131"/>
      <c r="E114" s="131"/>
      <c r="F114" s="130"/>
      <c r="G114" s="130"/>
      <c r="H114" s="130"/>
      <c r="I114" s="130"/>
      <c r="J114" s="172"/>
      <c r="K114" s="132"/>
      <c r="L114" s="130"/>
      <c r="M114" s="130"/>
      <c r="N114" s="130"/>
      <c r="O114" s="130"/>
      <c r="P114" s="130"/>
      <c r="Q114" s="130"/>
      <c r="R114" s="130"/>
      <c r="S114" s="130"/>
      <c r="T114" s="130"/>
      <c r="U114" s="130"/>
      <c r="V114" s="130"/>
      <c r="W114" s="130"/>
      <c r="X114" s="130"/>
      <c r="Y114" s="130"/>
      <c r="Z114" s="136"/>
    </row>
    <row r="115" spans="1:26" ht="15.75" hidden="1" customHeight="1" x14ac:dyDescent="0.25">
      <c r="A115" s="132"/>
      <c r="B115" s="129"/>
      <c r="C115" s="131"/>
      <c r="D115" s="131"/>
      <c r="E115" s="131"/>
      <c r="F115" s="130"/>
      <c r="G115" s="130"/>
      <c r="H115" s="130"/>
      <c r="I115" s="130"/>
      <c r="J115" s="172"/>
      <c r="K115" s="132"/>
      <c r="L115" s="130"/>
      <c r="M115" s="130"/>
      <c r="N115" s="130"/>
      <c r="O115" s="130"/>
      <c r="P115" s="130"/>
      <c r="Q115" s="130"/>
      <c r="R115" s="130"/>
      <c r="S115" s="130"/>
      <c r="T115" s="130"/>
      <c r="U115" s="130"/>
      <c r="V115" s="130"/>
      <c r="W115" s="130"/>
      <c r="X115" s="130"/>
      <c r="Y115" s="130"/>
      <c r="Z115" s="136"/>
    </row>
    <row r="116" spans="1:26" ht="15.75" hidden="1" customHeight="1" x14ac:dyDescent="0.25">
      <c r="A116" s="132"/>
      <c r="B116" s="129"/>
      <c r="C116" s="131"/>
      <c r="D116" s="131"/>
      <c r="E116" s="131"/>
      <c r="F116" s="130"/>
      <c r="G116" s="130"/>
      <c r="H116" s="130"/>
      <c r="I116" s="130"/>
      <c r="J116" s="172"/>
      <c r="K116" s="132"/>
      <c r="L116" s="130"/>
      <c r="M116" s="130"/>
      <c r="N116" s="130"/>
      <c r="O116" s="130"/>
      <c r="P116" s="130"/>
      <c r="Q116" s="130"/>
      <c r="R116" s="130"/>
      <c r="S116" s="130"/>
      <c r="T116" s="130"/>
      <c r="U116" s="130"/>
      <c r="V116" s="130"/>
      <c r="W116" s="130"/>
      <c r="X116" s="130"/>
      <c r="Y116" s="130"/>
      <c r="Z116" s="136"/>
    </row>
    <row r="117" spans="1:26" ht="15.75" hidden="1" customHeight="1" x14ac:dyDescent="0.25">
      <c r="A117" s="132"/>
      <c r="B117" s="129"/>
      <c r="C117" s="131"/>
      <c r="D117" s="131"/>
      <c r="E117" s="131"/>
      <c r="F117" s="130"/>
      <c r="G117" s="130"/>
      <c r="H117" s="130"/>
      <c r="I117" s="130"/>
      <c r="J117" s="172"/>
      <c r="K117" s="132"/>
      <c r="L117" s="130"/>
      <c r="M117" s="130"/>
      <c r="N117" s="130"/>
      <c r="O117" s="130"/>
      <c r="P117" s="130"/>
      <c r="Q117" s="130"/>
      <c r="R117" s="130"/>
      <c r="S117" s="130"/>
      <c r="T117" s="130"/>
      <c r="U117" s="130"/>
      <c r="V117" s="130"/>
      <c r="W117" s="130"/>
      <c r="X117" s="130"/>
      <c r="Y117" s="130"/>
      <c r="Z117" s="136"/>
    </row>
    <row r="118" spans="1:26" ht="15.75" hidden="1" customHeight="1" x14ac:dyDescent="0.25">
      <c r="A118" s="132"/>
      <c r="B118" s="129"/>
      <c r="C118" s="131"/>
      <c r="D118" s="131"/>
      <c r="E118" s="131"/>
      <c r="F118" s="130"/>
      <c r="G118" s="130"/>
      <c r="H118" s="130"/>
      <c r="I118" s="130"/>
      <c r="J118" s="172"/>
      <c r="K118" s="132"/>
      <c r="L118" s="130"/>
      <c r="M118" s="130"/>
      <c r="N118" s="130"/>
      <c r="O118" s="130"/>
      <c r="P118" s="130"/>
      <c r="Q118" s="130"/>
      <c r="R118" s="130"/>
      <c r="S118" s="130"/>
      <c r="T118" s="130"/>
      <c r="U118" s="130"/>
      <c r="V118" s="130"/>
      <c r="W118" s="130"/>
      <c r="X118" s="130"/>
      <c r="Y118" s="130"/>
      <c r="Z118" s="136"/>
    </row>
    <row r="119" spans="1:26" ht="15.75" hidden="1" customHeight="1" x14ac:dyDescent="0.25">
      <c r="A119" s="132"/>
      <c r="B119" s="129"/>
      <c r="C119" s="131"/>
      <c r="D119" s="131"/>
      <c r="E119" s="131"/>
      <c r="F119" s="130"/>
      <c r="G119" s="130"/>
      <c r="H119" s="130"/>
      <c r="I119" s="130"/>
      <c r="J119" s="172"/>
      <c r="K119" s="132"/>
      <c r="L119" s="130"/>
      <c r="M119" s="130"/>
      <c r="N119" s="130"/>
      <c r="O119" s="130"/>
      <c r="P119" s="130"/>
      <c r="Q119" s="130"/>
      <c r="R119" s="130"/>
      <c r="S119" s="130"/>
      <c r="T119" s="130"/>
      <c r="U119" s="130"/>
      <c r="V119" s="130"/>
      <c r="W119" s="130"/>
      <c r="X119" s="130"/>
      <c r="Y119" s="130"/>
      <c r="Z119" s="136"/>
    </row>
    <row r="120" spans="1:26" ht="15.75" hidden="1" customHeight="1" x14ac:dyDescent="0.25">
      <c r="A120" s="132"/>
      <c r="B120" s="129"/>
      <c r="C120" s="131"/>
      <c r="D120" s="131"/>
      <c r="E120" s="131"/>
      <c r="F120" s="130"/>
      <c r="G120" s="130"/>
      <c r="H120" s="130"/>
      <c r="I120" s="130"/>
      <c r="J120" s="172"/>
      <c r="K120" s="132"/>
      <c r="L120" s="130"/>
      <c r="M120" s="130"/>
      <c r="N120" s="130"/>
      <c r="O120" s="130"/>
      <c r="P120" s="130"/>
      <c r="Q120" s="130"/>
      <c r="R120" s="130"/>
      <c r="S120" s="130"/>
      <c r="T120" s="130"/>
      <c r="U120" s="130"/>
      <c r="V120" s="130"/>
      <c r="W120" s="130"/>
      <c r="X120" s="130"/>
      <c r="Y120" s="130"/>
      <c r="Z120" s="136"/>
    </row>
    <row r="121" spans="1:26" ht="15.75" hidden="1" customHeight="1" x14ac:dyDescent="0.25">
      <c r="A121" s="132"/>
      <c r="B121" s="129"/>
      <c r="C121" s="131"/>
      <c r="D121" s="131"/>
      <c r="E121" s="131"/>
      <c r="F121" s="130"/>
      <c r="G121" s="130"/>
      <c r="H121" s="130"/>
      <c r="I121" s="130"/>
      <c r="J121" s="172"/>
      <c r="K121" s="132"/>
      <c r="L121" s="130"/>
      <c r="M121" s="130"/>
      <c r="N121" s="130"/>
      <c r="O121" s="130"/>
      <c r="P121" s="130"/>
      <c r="Q121" s="130"/>
      <c r="R121" s="130"/>
      <c r="S121" s="130"/>
      <c r="T121" s="130"/>
      <c r="U121" s="130"/>
      <c r="V121" s="130"/>
      <c r="W121" s="130"/>
      <c r="X121" s="130"/>
      <c r="Y121" s="130"/>
      <c r="Z121" s="136"/>
    </row>
    <row r="122" spans="1:26" ht="15.75" hidden="1" customHeight="1" x14ac:dyDescent="0.25">
      <c r="A122" s="132"/>
      <c r="B122" s="129"/>
      <c r="C122" s="131"/>
      <c r="D122" s="131"/>
      <c r="E122" s="131"/>
      <c r="F122" s="130"/>
      <c r="G122" s="130"/>
      <c r="H122" s="130"/>
      <c r="I122" s="130"/>
      <c r="J122" s="172"/>
      <c r="K122" s="132"/>
      <c r="L122" s="130"/>
      <c r="M122" s="130"/>
      <c r="N122" s="130"/>
      <c r="O122" s="130"/>
      <c r="P122" s="130"/>
      <c r="Q122" s="130"/>
      <c r="R122" s="130"/>
      <c r="S122" s="130"/>
      <c r="T122" s="130"/>
      <c r="U122" s="130"/>
      <c r="V122" s="130"/>
      <c r="W122" s="130"/>
      <c r="X122" s="130"/>
      <c r="Y122" s="130"/>
      <c r="Z122" s="136"/>
    </row>
    <row r="123" spans="1:26" ht="15.75" hidden="1" customHeight="1" x14ac:dyDescent="0.25">
      <c r="A123" s="132"/>
      <c r="B123" s="129"/>
      <c r="C123" s="131"/>
      <c r="D123" s="131"/>
      <c r="E123" s="131"/>
      <c r="F123" s="130"/>
      <c r="G123" s="130"/>
      <c r="H123" s="130"/>
      <c r="I123" s="130"/>
      <c r="J123" s="172"/>
      <c r="K123" s="132"/>
      <c r="L123" s="130"/>
      <c r="M123" s="130"/>
      <c r="N123" s="130"/>
      <c r="O123" s="130"/>
      <c r="P123" s="130"/>
      <c r="Q123" s="130"/>
      <c r="R123" s="130"/>
      <c r="S123" s="130"/>
      <c r="T123" s="130"/>
      <c r="U123" s="130"/>
      <c r="V123" s="130"/>
      <c r="W123" s="130"/>
      <c r="X123" s="130"/>
      <c r="Y123" s="130"/>
      <c r="Z123" s="136"/>
    </row>
    <row r="124" spans="1:26" ht="15.75" hidden="1" customHeight="1" x14ac:dyDescent="0.25">
      <c r="A124" s="132"/>
      <c r="B124" s="129"/>
      <c r="C124" s="131"/>
      <c r="D124" s="131"/>
      <c r="E124" s="131"/>
      <c r="F124" s="130"/>
      <c r="G124" s="130"/>
      <c r="H124" s="130"/>
      <c r="I124" s="130"/>
      <c r="J124" s="172"/>
      <c r="K124" s="132"/>
      <c r="L124" s="130"/>
      <c r="M124" s="130"/>
      <c r="N124" s="130"/>
      <c r="O124" s="130"/>
      <c r="P124" s="130"/>
      <c r="Q124" s="130"/>
      <c r="R124" s="130"/>
      <c r="S124" s="130"/>
      <c r="T124" s="130"/>
      <c r="U124" s="130"/>
      <c r="V124" s="130"/>
      <c r="W124" s="130"/>
      <c r="X124" s="130"/>
      <c r="Y124" s="130"/>
      <c r="Z124" s="136"/>
    </row>
    <row r="125" spans="1:26" ht="15.75" hidden="1" customHeight="1" x14ac:dyDescent="0.25">
      <c r="A125" s="132"/>
      <c r="B125" s="129"/>
      <c r="C125" s="131"/>
      <c r="D125" s="131"/>
      <c r="E125" s="131"/>
      <c r="F125" s="130"/>
      <c r="G125" s="130"/>
      <c r="H125" s="130"/>
      <c r="I125" s="130"/>
      <c r="J125" s="172"/>
      <c r="K125" s="132"/>
      <c r="L125" s="130"/>
      <c r="M125" s="130"/>
      <c r="N125" s="130"/>
      <c r="O125" s="130"/>
      <c r="P125" s="130"/>
      <c r="Q125" s="130"/>
      <c r="R125" s="130"/>
      <c r="S125" s="130"/>
      <c r="T125" s="130"/>
      <c r="U125" s="130"/>
      <c r="V125" s="130"/>
      <c r="W125" s="130"/>
      <c r="X125" s="130"/>
      <c r="Y125" s="130"/>
      <c r="Z125" s="136"/>
    </row>
    <row r="126" spans="1:26" ht="15.75" hidden="1" customHeight="1" x14ac:dyDescent="0.25">
      <c r="A126" s="132"/>
      <c r="B126" s="129"/>
      <c r="C126" s="131"/>
      <c r="D126" s="131"/>
      <c r="E126" s="131"/>
      <c r="F126" s="130"/>
      <c r="G126" s="130"/>
      <c r="H126" s="130"/>
      <c r="I126" s="130"/>
      <c r="J126" s="172"/>
      <c r="K126" s="132"/>
      <c r="L126" s="130"/>
      <c r="M126" s="130"/>
      <c r="N126" s="130"/>
      <c r="O126" s="130"/>
      <c r="P126" s="130"/>
      <c r="Q126" s="130"/>
      <c r="R126" s="130"/>
      <c r="S126" s="130"/>
      <c r="T126" s="130"/>
      <c r="U126" s="130"/>
      <c r="V126" s="130"/>
      <c r="W126" s="130"/>
      <c r="X126" s="130"/>
      <c r="Y126" s="130"/>
      <c r="Z126" s="136"/>
    </row>
    <row r="127" spans="1:26" ht="15.75" hidden="1" customHeight="1" x14ac:dyDescent="0.25">
      <c r="A127" s="132"/>
      <c r="B127" s="129"/>
      <c r="C127" s="131"/>
      <c r="D127" s="131"/>
      <c r="E127" s="131"/>
      <c r="F127" s="130"/>
      <c r="G127" s="130"/>
      <c r="H127" s="130"/>
      <c r="I127" s="130"/>
      <c r="J127" s="172"/>
      <c r="K127" s="132"/>
      <c r="L127" s="130"/>
      <c r="M127" s="130"/>
      <c r="N127" s="130"/>
      <c r="O127" s="130"/>
      <c r="P127" s="130"/>
      <c r="Q127" s="130"/>
      <c r="R127" s="130"/>
      <c r="S127" s="130"/>
      <c r="T127" s="130"/>
      <c r="U127" s="130"/>
      <c r="V127" s="130"/>
      <c r="W127" s="130"/>
      <c r="X127" s="130"/>
      <c r="Y127" s="130"/>
      <c r="Z127" s="136"/>
    </row>
    <row r="128" spans="1:26" ht="15.75" hidden="1" customHeight="1" x14ac:dyDescent="0.25">
      <c r="A128" s="132"/>
      <c r="B128" s="129"/>
      <c r="C128" s="131"/>
      <c r="D128" s="131"/>
      <c r="E128" s="131"/>
      <c r="F128" s="130"/>
      <c r="G128" s="130"/>
      <c r="H128" s="130"/>
      <c r="I128" s="130"/>
      <c r="J128" s="172"/>
      <c r="K128" s="132"/>
      <c r="L128" s="130"/>
      <c r="M128" s="130"/>
      <c r="N128" s="130"/>
      <c r="O128" s="130"/>
      <c r="P128" s="130"/>
      <c r="Q128" s="130"/>
      <c r="R128" s="130"/>
      <c r="S128" s="130"/>
      <c r="T128" s="130"/>
      <c r="U128" s="130"/>
      <c r="V128" s="130"/>
      <c r="W128" s="130"/>
      <c r="X128" s="130"/>
      <c r="Y128" s="130"/>
      <c r="Z128" s="136"/>
    </row>
    <row r="129" spans="1:26" ht="15.75" hidden="1" customHeight="1" x14ac:dyDescent="0.25">
      <c r="A129" s="132"/>
      <c r="B129" s="129"/>
      <c r="C129" s="131"/>
      <c r="D129" s="131"/>
      <c r="E129" s="131"/>
      <c r="F129" s="130"/>
      <c r="G129" s="130"/>
      <c r="H129" s="130"/>
      <c r="I129" s="130"/>
      <c r="J129" s="172"/>
      <c r="K129" s="132"/>
      <c r="L129" s="130"/>
      <c r="M129" s="130"/>
      <c r="N129" s="130"/>
      <c r="O129" s="130"/>
      <c r="P129" s="130"/>
      <c r="Q129" s="130"/>
      <c r="R129" s="130"/>
      <c r="S129" s="130"/>
      <c r="T129" s="130"/>
      <c r="U129" s="130"/>
      <c r="V129" s="130"/>
      <c r="W129" s="130"/>
      <c r="X129" s="130"/>
      <c r="Y129" s="130"/>
      <c r="Z129" s="136"/>
    </row>
    <row r="130" spans="1:26" ht="15.75" hidden="1" customHeight="1" x14ac:dyDescent="0.25">
      <c r="A130" s="132"/>
      <c r="B130" s="129"/>
      <c r="C130" s="131"/>
      <c r="D130" s="131"/>
      <c r="E130" s="131"/>
      <c r="F130" s="130"/>
      <c r="G130" s="130"/>
      <c r="H130" s="130"/>
      <c r="I130" s="130"/>
      <c r="J130" s="172"/>
      <c r="K130" s="132"/>
      <c r="L130" s="130"/>
      <c r="M130" s="130"/>
      <c r="N130" s="130"/>
      <c r="O130" s="130"/>
      <c r="P130" s="130"/>
      <c r="Q130" s="130"/>
      <c r="R130" s="130"/>
      <c r="S130" s="130"/>
      <c r="T130" s="130"/>
      <c r="U130" s="130"/>
      <c r="V130" s="130"/>
      <c r="W130" s="130"/>
      <c r="X130" s="130"/>
      <c r="Y130" s="130"/>
      <c r="Z130" s="136"/>
    </row>
    <row r="131" spans="1:26" ht="15.75" hidden="1" customHeight="1" x14ac:dyDescent="0.25">
      <c r="A131" s="132"/>
      <c r="B131" s="129"/>
      <c r="C131" s="131"/>
      <c r="D131" s="131"/>
      <c r="E131" s="131"/>
      <c r="F131" s="130"/>
      <c r="G131" s="130"/>
      <c r="H131" s="130"/>
      <c r="I131" s="130"/>
      <c r="J131" s="172"/>
      <c r="K131" s="132"/>
      <c r="L131" s="130"/>
      <c r="M131" s="130"/>
      <c r="N131" s="130"/>
      <c r="O131" s="130"/>
      <c r="P131" s="130"/>
      <c r="Q131" s="130"/>
      <c r="R131" s="130"/>
      <c r="S131" s="130"/>
      <c r="T131" s="130"/>
      <c r="U131" s="130"/>
      <c r="V131" s="130"/>
      <c r="W131" s="130"/>
      <c r="X131" s="130"/>
      <c r="Y131" s="130"/>
      <c r="Z131" s="136"/>
    </row>
    <row r="132" spans="1:26" ht="15.75" hidden="1" customHeight="1" x14ac:dyDescent="0.25">
      <c r="A132" s="132"/>
      <c r="B132" s="129"/>
      <c r="C132" s="131"/>
      <c r="D132" s="131"/>
      <c r="E132" s="131"/>
      <c r="F132" s="130"/>
      <c r="G132" s="130"/>
      <c r="H132" s="130"/>
      <c r="I132" s="130"/>
      <c r="J132" s="172"/>
      <c r="K132" s="132"/>
      <c r="L132" s="130"/>
      <c r="M132" s="130"/>
      <c r="N132" s="130"/>
      <c r="O132" s="130"/>
      <c r="P132" s="130"/>
      <c r="Q132" s="130"/>
      <c r="R132" s="130"/>
      <c r="S132" s="130"/>
      <c r="T132" s="130"/>
      <c r="U132" s="130"/>
      <c r="V132" s="130"/>
      <c r="W132" s="130"/>
      <c r="X132" s="130"/>
      <c r="Y132" s="130"/>
      <c r="Z132" s="136"/>
    </row>
    <row r="133" spans="1:26" ht="15.75" hidden="1" customHeight="1" x14ac:dyDescent="0.25">
      <c r="A133" s="132"/>
      <c r="B133" s="129"/>
      <c r="C133" s="131"/>
      <c r="D133" s="131"/>
      <c r="E133" s="131"/>
      <c r="F133" s="130"/>
      <c r="G133" s="130"/>
      <c r="H133" s="130"/>
      <c r="I133" s="130"/>
      <c r="J133" s="172"/>
      <c r="K133" s="132"/>
      <c r="L133" s="130"/>
      <c r="M133" s="130"/>
      <c r="N133" s="130"/>
      <c r="O133" s="130"/>
      <c r="P133" s="130"/>
      <c r="Q133" s="130"/>
      <c r="R133" s="130"/>
      <c r="S133" s="130"/>
      <c r="T133" s="130"/>
      <c r="U133" s="130"/>
      <c r="V133" s="130"/>
      <c r="W133" s="130"/>
      <c r="X133" s="130"/>
      <c r="Y133" s="130"/>
      <c r="Z133" s="136"/>
    </row>
    <row r="134" spans="1:26" ht="15.75" hidden="1" customHeight="1" x14ac:dyDescent="0.25">
      <c r="A134" s="132"/>
      <c r="B134" s="129"/>
      <c r="C134" s="131"/>
      <c r="D134" s="131"/>
      <c r="E134" s="131"/>
      <c r="F134" s="130"/>
      <c r="G134" s="130"/>
      <c r="H134" s="130"/>
      <c r="I134" s="130"/>
      <c r="J134" s="172"/>
      <c r="K134" s="132"/>
      <c r="L134" s="130"/>
      <c r="M134" s="130"/>
      <c r="N134" s="130"/>
      <c r="O134" s="130"/>
      <c r="P134" s="130"/>
      <c r="Q134" s="130"/>
      <c r="R134" s="130"/>
      <c r="S134" s="130"/>
      <c r="T134" s="130"/>
      <c r="U134" s="130"/>
      <c r="V134" s="130"/>
      <c r="W134" s="130"/>
      <c r="X134" s="130"/>
      <c r="Y134" s="130"/>
      <c r="Z134" s="136"/>
    </row>
    <row r="135" spans="1:26" ht="15.75" hidden="1" customHeight="1" x14ac:dyDescent="0.25">
      <c r="A135" s="132"/>
      <c r="B135" s="129"/>
      <c r="C135" s="131"/>
      <c r="D135" s="131"/>
      <c r="E135" s="131"/>
      <c r="F135" s="130"/>
      <c r="G135" s="130"/>
      <c r="H135" s="130"/>
      <c r="I135" s="130"/>
      <c r="J135" s="172"/>
      <c r="K135" s="132"/>
      <c r="L135" s="130"/>
      <c r="M135" s="130"/>
      <c r="N135" s="130"/>
      <c r="O135" s="130"/>
      <c r="P135" s="130"/>
      <c r="Q135" s="130"/>
      <c r="R135" s="130"/>
      <c r="S135" s="130"/>
      <c r="T135" s="130"/>
      <c r="U135" s="130"/>
      <c r="V135" s="130"/>
      <c r="W135" s="130"/>
      <c r="X135" s="130"/>
      <c r="Y135" s="130"/>
      <c r="Z135" s="136"/>
    </row>
    <row r="136" spans="1:26" ht="15.75" hidden="1" customHeight="1" x14ac:dyDescent="0.25">
      <c r="A136" s="132"/>
      <c r="B136" s="129"/>
      <c r="C136" s="131"/>
      <c r="D136" s="131"/>
      <c r="E136" s="131"/>
      <c r="F136" s="130"/>
      <c r="G136" s="130"/>
      <c r="H136" s="130"/>
      <c r="I136" s="130"/>
      <c r="J136" s="172"/>
      <c r="K136" s="132"/>
      <c r="L136" s="130"/>
      <c r="M136" s="130"/>
      <c r="N136" s="130"/>
      <c r="O136" s="130"/>
      <c r="P136" s="130"/>
      <c r="Q136" s="130"/>
      <c r="R136" s="130"/>
      <c r="S136" s="130"/>
      <c r="T136" s="130"/>
      <c r="U136" s="130"/>
      <c r="V136" s="130"/>
      <c r="W136" s="130"/>
      <c r="X136" s="130"/>
      <c r="Y136" s="130"/>
      <c r="Z136" s="136"/>
    </row>
    <row r="137" spans="1:26" ht="15.75" hidden="1" customHeight="1" x14ac:dyDescent="0.25">
      <c r="A137" s="132"/>
      <c r="B137" s="129"/>
      <c r="C137" s="131"/>
      <c r="D137" s="131"/>
      <c r="E137" s="131"/>
      <c r="F137" s="130"/>
      <c r="G137" s="130"/>
      <c r="H137" s="130"/>
      <c r="I137" s="130"/>
      <c r="J137" s="172"/>
      <c r="K137" s="132"/>
      <c r="L137" s="130"/>
      <c r="M137" s="130"/>
      <c r="N137" s="130"/>
      <c r="O137" s="130"/>
      <c r="P137" s="130"/>
      <c r="Q137" s="130"/>
      <c r="R137" s="130"/>
      <c r="S137" s="130"/>
      <c r="T137" s="130"/>
      <c r="U137" s="130"/>
      <c r="V137" s="130"/>
      <c r="W137" s="130"/>
      <c r="X137" s="130"/>
      <c r="Y137" s="130"/>
      <c r="Z137" s="136"/>
    </row>
    <row r="138" spans="1:26" ht="15.75" hidden="1" customHeight="1" x14ac:dyDescent="0.25">
      <c r="A138" s="132"/>
      <c r="B138" s="129"/>
      <c r="C138" s="131"/>
      <c r="D138" s="131"/>
      <c r="E138" s="131"/>
      <c r="F138" s="130"/>
      <c r="G138" s="130"/>
      <c r="H138" s="130"/>
      <c r="I138" s="130"/>
      <c r="J138" s="172"/>
      <c r="K138" s="132"/>
      <c r="L138" s="130"/>
      <c r="M138" s="130"/>
      <c r="N138" s="130"/>
      <c r="O138" s="130"/>
      <c r="P138" s="130"/>
      <c r="Q138" s="130"/>
      <c r="R138" s="130"/>
      <c r="S138" s="130"/>
      <c r="T138" s="130"/>
      <c r="U138" s="130"/>
      <c r="V138" s="130"/>
      <c r="W138" s="130"/>
      <c r="X138" s="130"/>
      <c r="Y138" s="130"/>
      <c r="Z138" s="136"/>
    </row>
    <row r="139" spans="1:26" ht="15.75" hidden="1" customHeight="1" x14ac:dyDescent="0.25">
      <c r="A139" s="132"/>
      <c r="B139" s="129"/>
      <c r="C139" s="131"/>
      <c r="D139" s="131"/>
      <c r="E139" s="131"/>
      <c r="F139" s="130"/>
      <c r="G139" s="130"/>
      <c r="H139" s="130"/>
      <c r="I139" s="130"/>
      <c r="J139" s="172"/>
      <c r="K139" s="132"/>
      <c r="L139" s="130"/>
      <c r="M139" s="130"/>
      <c r="N139" s="130"/>
      <c r="O139" s="130"/>
      <c r="P139" s="130"/>
      <c r="Q139" s="130"/>
      <c r="R139" s="130"/>
      <c r="S139" s="130"/>
      <c r="T139" s="130"/>
      <c r="U139" s="130"/>
      <c r="V139" s="130"/>
      <c r="W139" s="130"/>
      <c r="X139" s="130"/>
      <c r="Y139" s="130"/>
      <c r="Z139" s="136"/>
    </row>
    <row r="140" spans="1:26" ht="15.75" hidden="1" customHeight="1" x14ac:dyDescent="0.25">
      <c r="A140" s="132"/>
      <c r="B140" s="129"/>
      <c r="C140" s="131"/>
      <c r="D140" s="131"/>
      <c r="E140" s="131"/>
      <c r="F140" s="130"/>
      <c r="G140" s="130"/>
      <c r="H140" s="130"/>
      <c r="I140" s="130"/>
      <c r="J140" s="172"/>
      <c r="K140" s="132"/>
      <c r="L140" s="130"/>
      <c r="M140" s="130"/>
      <c r="N140" s="130"/>
      <c r="O140" s="130"/>
      <c r="P140" s="130"/>
      <c r="Q140" s="130"/>
      <c r="R140" s="130"/>
      <c r="S140" s="130"/>
      <c r="T140" s="130"/>
      <c r="U140" s="130"/>
      <c r="V140" s="130"/>
      <c r="W140" s="130"/>
      <c r="X140" s="130"/>
      <c r="Y140" s="130"/>
      <c r="Z140" s="136"/>
    </row>
    <row r="141" spans="1:26" ht="15.75" hidden="1" customHeight="1" x14ac:dyDescent="0.25">
      <c r="A141" s="132"/>
      <c r="B141" s="129"/>
      <c r="C141" s="131"/>
      <c r="D141" s="131"/>
      <c r="E141" s="131"/>
      <c r="F141" s="130"/>
      <c r="G141" s="130"/>
      <c r="H141" s="130"/>
      <c r="I141" s="130"/>
      <c r="J141" s="172"/>
      <c r="K141" s="132"/>
      <c r="L141" s="130"/>
      <c r="M141" s="130"/>
      <c r="N141" s="130"/>
      <c r="O141" s="130"/>
      <c r="P141" s="130"/>
      <c r="Q141" s="130"/>
      <c r="R141" s="130"/>
      <c r="S141" s="130"/>
      <c r="T141" s="130"/>
      <c r="U141" s="130"/>
      <c r="V141" s="130"/>
      <c r="W141" s="130"/>
      <c r="X141" s="130"/>
      <c r="Y141" s="130"/>
      <c r="Z141" s="136"/>
    </row>
    <row r="142" spans="1:26" ht="15.75" hidden="1" customHeight="1" x14ac:dyDescent="0.25">
      <c r="A142" s="132"/>
      <c r="B142" s="129"/>
      <c r="C142" s="131"/>
      <c r="D142" s="131"/>
      <c r="E142" s="131"/>
      <c r="F142" s="130"/>
      <c r="G142" s="130"/>
      <c r="H142" s="130"/>
      <c r="I142" s="130"/>
      <c r="J142" s="172"/>
      <c r="K142" s="132"/>
      <c r="L142" s="130"/>
      <c r="M142" s="130"/>
      <c r="N142" s="130"/>
      <c r="O142" s="130"/>
      <c r="P142" s="130"/>
      <c r="Q142" s="130"/>
      <c r="R142" s="130"/>
      <c r="S142" s="130"/>
      <c r="T142" s="130"/>
      <c r="U142" s="130"/>
      <c r="V142" s="130"/>
      <c r="W142" s="130"/>
      <c r="X142" s="130"/>
      <c r="Y142" s="130"/>
      <c r="Z142" s="136"/>
    </row>
    <row r="143" spans="1:26" ht="15.75" hidden="1" customHeight="1" x14ac:dyDescent="0.25">
      <c r="A143" s="132"/>
      <c r="B143" s="129"/>
      <c r="C143" s="131"/>
      <c r="D143" s="131"/>
      <c r="E143" s="131"/>
      <c r="F143" s="130"/>
      <c r="G143" s="130"/>
      <c r="H143" s="130"/>
      <c r="I143" s="130"/>
      <c r="J143" s="172"/>
      <c r="K143" s="132"/>
      <c r="L143" s="130"/>
      <c r="M143" s="130"/>
      <c r="N143" s="130"/>
      <c r="O143" s="130"/>
      <c r="P143" s="130"/>
      <c r="Q143" s="130"/>
      <c r="R143" s="130"/>
      <c r="S143" s="130"/>
      <c r="T143" s="130"/>
      <c r="U143" s="130"/>
      <c r="V143" s="130"/>
      <c r="W143" s="130"/>
      <c r="X143" s="130"/>
      <c r="Y143" s="130"/>
      <c r="Z143" s="136"/>
    </row>
    <row r="144" spans="1:26" ht="15.75" hidden="1" customHeight="1" x14ac:dyDescent="0.25">
      <c r="A144" s="132"/>
      <c r="B144" s="129"/>
      <c r="C144" s="131"/>
      <c r="D144" s="131"/>
      <c r="E144" s="131"/>
      <c r="F144" s="130"/>
      <c r="G144" s="130"/>
      <c r="H144" s="130"/>
      <c r="I144" s="130"/>
      <c r="J144" s="172"/>
      <c r="K144" s="132"/>
      <c r="L144" s="130"/>
      <c r="M144" s="130"/>
      <c r="N144" s="130"/>
      <c r="O144" s="130"/>
      <c r="P144" s="130"/>
      <c r="Q144" s="130"/>
      <c r="R144" s="130"/>
      <c r="S144" s="130"/>
      <c r="T144" s="130"/>
      <c r="U144" s="130"/>
      <c r="V144" s="130"/>
      <c r="W144" s="130"/>
      <c r="X144" s="130"/>
      <c r="Y144" s="130"/>
      <c r="Z144" s="136"/>
    </row>
    <row r="145" spans="1:26" ht="15.75" hidden="1" customHeight="1" x14ac:dyDescent="0.25">
      <c r="A145" s="132"/>
      <c r="B145" s="129"/>
      <c r="C145" s="131"/>
      <c r="D145" s="131"/>
      <c r="E145" s="131"/>
      <c r="F145" s="130"/>
      <c r="G145" s="130"/>
      <c r="H145" s="130"/>
      <c r="I145" s="130"/>
      <c r="J145" s="172"/>
      <c r="K145" s="132"/>
      <c r="L145" s="130"/>
      <c r="M145" s="130"/>
      <c r="N145" s="130"/>
      <c r="O145" s="130"/>
      <c r="P145" s="130"/>
      <c r="Q145" s="130"/>
      <c r="R145" s="130"/>
      <c r="S145" s="130"/>
      <c r="T145" s="130"/>
      <c r="U145" s="130"/>
      <c r="V145" s="130"/>
      <c r="W145" s="130"/>
      <c r="X145" s="130"/>
      <c r="Y145" s="130"/>
      <c r="Z145" s="136"/>
    </row>
    <row r="146" spans="1:26" ht="15.75" hidden="1" customHeight="1" x14ac:dyDescent="0.25">
      <c r="A146" s="132"/>
      <c r="B146" s="129"/>
      <c r="C146" s="131"/>
      <c r="D146" s="131"/>
      <c r="E146" s="131"/>
      <c r="F146" s="130"/>
      <c r="G146" s="130"/>
      <c r="H146" s="130"/>
      <c r="I146" s="130"/>
      <c r="J146" s="172"/>
      <c r="K146" s="132"/>
      <c r="L146" s="130"/>
      <c r="M146" s="130"/>
      <c r="N146" s="130"/>
      <c r="O146" s="130"/>
      <c r="P146" s="130"/>
      <c r="Q146" s="130"/>
      <c r="R146" s="130"/>
      <c r="S146" s="130"/>
      <c r="T146" s="130"/>
      <c r="U146" s="130"/>
      <c r="V146" s="130"/>
      <c r="W146" s="130"/>
      <c r="X146" s="130"/>
      <c r="Y146" s="130"/>
      <c r="Z146" s="136"/>
    </row>
    <row r="147" spans="1:26" ht="15.75" hidden="1" customHeight="1" x14ac:dyDescent="0.25">
      <c r="A147" s="132"/>
      <c r="B147" s="129"/>
      <c r="C147" s="131"/>
      <c r="D147" s="131"/>
      <c r="E147" s="131"/>
      <c r="F147" s="130"/>
      <c r="G147" s="130"/>
      <c r="H147" s="130"/>
      <c r="I147" s="130"/>
      <c r="J147" s="172"/>
      <c r="K147" s="132"/>
      <c r="L147" s="130"/>
      <c r="M147" s="130"/>
      <c r="N147" s="130"/>
      <c r="O147" s="130"/>
      <c r="P147" s="130"/>
      <c r="Q147" s="130"/>
      <c r="R147" s="130"/>
      <c r="S147" s="130"/>
      <c r="T147" s="130"/>
      <c r="U147" s="130"/>
      <c r="V147" s="130"/>
      <c r="W147" s="130"/>
      <c r="X147" s="130"/>
      <c r="Y147" s="130"/>
      <c r="Z147" s="136"/>
    </row>
    <row r="148" spans="1:26" ht="15.75" hidden="1" customHeight="1" x14ac:dyDescent="0.25">
      <c r="A148" s="132"/>
      <c r="B148" s="129"/>
      <c r="C148" s="131"/>
      <c r="D148" s="131"/>
      <c r="E148" s="131"/>
      <c r="F148" s="130"/>
      <c r="G148" s="130"/>
      <c r="H148" s="130"/>
      <c r="I148" s="130"/>
      <c r="J148" s="172"/>
      <c r="K148" s="132"/>
      <c r="L148" s="130"/>
      <c r="M148" s="130"/>
      <c r="N148" s="130"/>
      <c r="O148" s="130"/>
      <c r="P148" s="130"/>
      <c r="Q148" s="130"/>
      <c r="R148" s="130"/>
      <c r="S148" s="130"/>
      <c r="T148" s="130"/>
      <c r="U148" s="130"/>
      <c r="V148" s="130"/>
      <c r="W148" s="130"/>
      <c r="X148" s="130"/>
      <c r="Y148" s="130"/>
      <c r="Z148" s="136"/>
    </row>
    <row r="149" spans="1:26" ht="15.75" hidden="1" customHeight="1" x14ac:dyDescent="0.25">
      <c r="A149" s="132"/>
      <c r="B149" s="129"/>
      <c r="C149" s="131"/>
      <c r="D149" s="131"/>
      <c r="E149" s="131"/>
      <c r="F149" s="130"/>
      <c r="G149" s="130"/>
      <c r="H149" s="130"/>
      <c r="I149" s="130"/>
      <c r="J149" s="172"/>
      <c r="K149" s="132"/>
      <c r="L149" s="130"/>
      <c r="M149" s="130"/>
      <c r="N149" s="130"/>
      <c r="O149" s="130"/>
      <c r="P149" s="130"/>
      <c r="Q149" s="130"/>
      <c r="R149" s="130"/>
      <c r="S149" s="130"/>
      <c r="T149" s="130"/>
      <c r="U149" s="130"/>
      <c r="V149" s="130"/>
      <c r="W149" s="130"/>
      <c r="X149" s="130"/>
      <c r="Y149" s="130"/>
      <c r="Z149" s="136"/>
    </row>
    <row r="150" spans="1:26" ht="15.75" hidden="1" customHeight="1" x14ac:dyDescent="0.25">
      <c r="A150" s="132"/>
      <c r="B150" s="129"/>
      <c r="C150" s="131"/>
      <c r="D150" s="131"/>
      <c r="E150" s="131"/>
      <c r="F150" s="130"/>
      <c r="G150" s="130"/>
      <c r="H150" s="130"/>
      <c r="I150" s="130"/>
      <c r="J150" s="172"/>
      <c r="K150" s="132"/>
      <c r="L150" s="130"/>
      <c r="M150" s="130"/>
      <c r="N150" s="130"/>
      <c r="O150" s="130"/>
      <c r="P150" s="130"/>
      <c r="Q150" s="130"/>
      <c r="R150" s="130"/>
      <c r="S150" s="130"/>
      <c r="T150" s="130"/>
      <c r="U150" s="130"/>
      <c r="V150" s="130"/>
      <c r="W150" s="130"/>
      <c r="X150" s="130"/>
      <c r="Y150" s="130"/>
      <c r="Z150" s="136"/>
    </row>
    <row r="151" spans="1:26" ht="15.75" hidden="1" customHeight="1" x14ac:dyDescent="0.25">
      <c r="A151" s="132"/>
      <c r="B151" s="129"/>
      <c r="C151" s="131"/>
      <c r="D151" s="131"/>
      <c r="E151" s="131"/>
      <c r="F151" s="130"/>
      <c r="G151" s="130"/>
      <c r="H151" s="130"/>
      <c r="I151" s="130"/>
      <c r="J151" s="172"/>
      <c r="K151" s="132"/>
      <c r="L151" s="130"/>
      <c r="M151" s="130"/>
      <c r="N151" s="130"/>
      <c r="O151" s="130"/>
      <c r="P151" s="130"/>
      <c r="Q151" s="130"/>
      <c r="R151" s="130"/>
      <c r="S151" s="130"/>
      <c r="T151" s="130"/>
      <c r="U151" s="130"/>
      <c r="V151" s="130"/>
      <c r="W151" s="130"/>
      <c r="X151" s="130"/>
      <c r="Y151" s="130"/>
      <c r="Z151" s="136"/>
    </row>
    <row r="152" spans="1:26" ht="15.75" hidden="1" customHeight="1" x14ac:dyDescent="0.25">
      <c r="A152" s="132"/>
      <c r="B152" s="129"/>
      <c r="C152" s="131"/>
      <c r="D152" s="131"/>
      <c r="E152" s="131"/>
      <c r="F152" s="130"/>
      <c r="G152" s="130"/>
      <c r="H152" s="130"/>
      <c r="I152" s="130"/>
      <c r="J152" s="172"/>
      <c r="K152" s="132"/>
      <c r="L152" s="130"/>
      <c r="M152" s="130"/>
      <c r="N152" s="130"/>
      <c r="O152" s="130"/>
      <c r="P152" s="130"/>
      <c r="Q152" s="130"/>
      <c r="R152" s="130"/>
      <c r="S152" s="130"/>
      <c r="T152" s="130"/>
      <c r="U152" s="130"/>
      <c r="V152" s="130"/>
      <c r="W152" s="130"/>
      <c r="X152" s="130"/>
      <c r="Y152" s="130"/>
      <c r="Z152" s="136"/>
    </row>
    <row r="153" spans="1:26" ht="15.75" hidden="1" customHeight="1" x14ac:dyDescent="0.25">
      <c r="A153" s="132"/>
      <c r="B153" s="129"/>
      <c r="C153" s="131"/>
      <c r="D153" s="131"/>
      <c r="E153" s="131"/>
      <c r="F153" s="130"/>
      <c r="G153" s="130"/>
      <c r="H153" s="130"/>
      <c r="I153" s="130"/>
      <c r="J153" s="172"/>
      <c r="K153" s="132"/>
      <c r="L153" s="130"/>
      <c r="M153" s="130"/>
      <c r="N153" s="130"/>
      <c r="O153" s="130"/>
      <c r="P153" s="130"/>
      <c r="Q153" s="130"/>
      <c r="R153" s="130"/>
      <c r="S153" s="130"/>
      <c r="T153" s="130"/>
      <c r="U153" s="130"/>
      <c r="V153" s="130"/>
      <c r="W153" s="130"/>
      <c r="X153" s="130"/>
      <c r="Y153" s="130"/>
      <c r="Z153" s="136"/>
    </row>
    <row r="154" spans="1:26" ht="15.75" hidden="1" customHeight="1" x14ac:dyDescent="0.25">
      <c r="A154" s="132"/>
      <c r="B154" s="129"/>
      <c r="C154" s="131"/>
      <c r="D154" s="131"/>
      <c r="E154" s="131"/>
      <c r="F154" s="130"/>
      <c r="G154" s="130"/>
      <c r="H154" s="130"/>
      <c r="I154" s="130"/>
      <c r="J154" s="172"/>
      <c r="K154" s="132"/>
      <c r="L154" s="130"/>
      <c r="M154" s="130"/>
      <c r="N154" s="130"/>
      <c r="O154" s="130"/>
      <c r="P154" s="130"/>
      <c r="Q154" s="130"/>
      <c r="R154" s="130"/>
      <c r="S154" s="130"/>
      <c r="T154" s="130"/>
      <c r="U154" s="130"/>
      <c r="V154" s="130"/>
      <c r="W154" s="130"/>
      <c r="X154" s="130"/>
      <c r="Y154" s="130"/>
      <c r="Z154" s="136"/>
    </row>
    <row r="155" spans="1:26" ht="15.75" hidden="1" customHeight="1" x14ac:dyDescent="0.25">
      <c r="A155" s="132"/>
      <c r="B155" s="129"/>
      <c r="C155" s="131"/>
      <c r="D155" s="131"/>
      <c r="E155" s="131"/>
      <c r="F155" s="130"/>
      <c r="G155" s="130"/>
      <c r="H155" s="130"/>
      <c r="I155" s="130"/>
      <c r="J155" s="172"/>
      <c r="K155" s="132"/>
      <c r="L155" s="130"/>
      <c r="M155" s="130"/>
      <c r="N155" s="130"/>
      <c r="O155" s="130"/>
      <c r="P155" s="130"/>
      <c r="Q155" s="130"/>
      <c r="R155" s="130"/>
      <c r="S155" s="130"/>
      <c r="T155" s="130"/>
      <c r="U155" s="130"/>
      <c r="V155" s="130"/>
      <c r="W155" s="130"/>
      <c r="X155" s="130"/>
      <c r="Y155" s="130"/>
      <c r="Z155" s="136"/>
    </row>
    <row r="156" spans="1:26" ht="15.75" hidden="1" customHeight="1" x14ac:dyDescent="0.25">
      <c r="A156" s="132"/>
      <c r="B156" s="129"/>
      <c r="C156" s="131"/>
      <c r="D156" s="131"/>
      <c r="E156" s="131"/>
      <c r="F156" s="130"/>
      <c r="G156" s="130"/>
      <c r="H156" s="130"/>
      <c r="I156" s="130"/>
      <c r="J156" s="172"/>
      <c r="K156" s="132"/>
      <c r="L156" s="130"/>
      <c r="M156" s="130"/>
      <c r="N156" s="130"/>
      <c r="O156" s="130"/>
      <c r="P156" s="130"/>
      <c r="Q156" s="130"/>
      <c r="R156" s="130"/>
      <c r="S156" s="130"/>
      <c r="T156" s="130"/>
      <c r="U156" s="130"/>
      <c r="V156" s="130"/>
      <c r="W156" s="130"/>
      <c r="X156" s="130"/>
      <c r="Y156" s="130"/>
      <c r="Z156" s="136"/>
    </row>
    <row r="157" spans="1:26" ht="15.75" hidden="1" customHeight="1" x14ac:dyDescent="0.25">
      <c r="A157" s="132"/>
      <c r="B157" s="129"/>
      <c r="C157" s="131"/>
      <c r="D157" s="131"/>
      <c r="E157" s="131"/>
      <c r="F157" s="130"/>
      <c r="G157" s="130"/>
      <c r="H157" s="130"/>
      <c r="I157" s="130"/>
      <c r="J157" s="172"/>
      <c r="K157" s="132"/>
      <c r="L157" s="130"/>
      <c r="M157" s="130"/>
      <c r="N157" s="130"/>
      <c r="O157" s="130"/>
      <c r="P157" s="130"/>
      <c r="Q157" s="130"/>
      <c r="R157" s="130"/>
      <c r="S157" s="130"/>
      <c r="T157" s="130"/>
      <c r="U157" s="130"/>
      <c r="V157" s="130"/>
      <c r="W157" s="130"/>
      <c r="X157" s="130"/>
      <c r="Y157" s="130"/>
      <c r="Z157" s="136"/>
    </row>
    <row r="158" spans="1:26" ht="15.75" hidden="1" customHeight="1" x14ac:dyDescent="0.25">
      <c r="A158" s="132"/>
      <c r="B158" s="129"/>
      <c r="C158" s="131"/>
      <c r="D158" s="131"/>
      <c r="E158" s="131"/>
      <c r="F158" s="130"/>
      <c r="G158" s="130"/>
      <c r="H158" s="130"/>
      <c r="I158" s="130"/>
      <c r="J158" s="172"/>
      <c r="K158" s="132"/>
      <c r="L158" s="130"/>
      <c r="M158" s="130"/>
      <c r="N158" s="130"/>
      <c r="O158" s="130"/>
      <c r="P158" s="130"/>
      <c r="Q158" s="130"/>
      <c r="R158" s="130"/>
      <c r="S158" s="130"/>
      <c r="T158" s="130"/>
      <c r="U158" s="130"/>
      <c r="V158" s="130"/>
      <c r="W158" s="130"/>
      <c r="X158" s="130"/>
      <c r="Y158" s="130"/>
      <c r="Z158" s="136"/>
    </row>
    <row r="159" spans="1:26" ht="15.75" hidden="1" customHeight="1" x14ac:dyDescent="0.25">
      <c r="A159" s="132"/>
      <c r="B159" s="129"/>
      <c r="C159" s="131"/>
      <c r="D159" s="131"/>
      <c r="E159" s="131"/>
      <c r="F159" s="130"/>
      <c r="G159" s="130"/>
      <c r="H159" s="130"/>
      <c r="I159" s="130"/>
      <c r="J159" s="172"/>
      <c r="K159" s="132"/>
      <c r="L159" s="130"/>
      <c r="M159" s="130"/>
      <c r="N159" s="130"/>
      <c r="O159" s="130"/>
      <c r="P159" s="130"/>
      <c r="Q159" s="130"/>
      <c r="R159" s="130"/>
      <c r="S159" s="130"/>
      <c r="T159" s="130"/>
      <c r="U159" s="130"/>
      <c r="V159" s="130"/>
      <c r="W159" s="130"/>
      <c r="X159" s="130"/>
      <c r="Y159" s="130"/>
      <c r="Z159" s="136"/>
    </row>
    <row r="160" spans="1:26" ht="15.75" hidden="1" customHeight="1" x14ac:dyDescent="0.25">
      <c r="A160" s="132"/>
      <c r="B160" s="129"/>
      <c r="C160" s="131"/>
      <c r="D160" s="131"/>
      <c r="E160" s="131"/>
      <c r="F160" s="130"/>
      <c r="G160" s="130"/>
      <c r="H160" s="130"/>
      <c r="I160" s="130"/>
      <c r="J160" s="172"/>
      <c r="K160" s="132"/>
      <c r="L160" s="130"/>
      <c r="M160" s="130"/>
      <c r="N160" s="130"/>
      <c r="O160" s="130"/>
      <c r="P160" s="130"/>
      <c r="Q160" s="130"/>
      <c r="R160" s="130"/>
      <c r="S160" s="130"/>
      <c r="T160" s="130"/>
      <c r="U160" s="130"/>
      <c r="V160" s="130"/>
      <c r="W160" s="130"/>
      <c r="X160" s="130"/>
      <c r="Y160" s="130"/>
      <c r="Z160" s="136"/>
    </row>
    <row r="161" spans="1:26" ht="15.75" hidden="1" customHeight="1" x14ac:dyDescent="0.25">
      <c r="A161" s="132"/>
      <c r="B161" s="129"/>
      <c r="C161" s="131"/>
      <c r="D161" s="131"/>
      <c r="E161" s="131"/>
      <c r="F161" s="130"/>
      <c r="G161" s="130"/>
      <c r="H161" s="130"/>
      <c r="I161" s="130"/>
      <c r="J161" s="172"/>
      <c r="K161" s="132"/>
      <c r="L161" s="130"/>
      <c r="M161" s="130"/>
      <c r="N161" s="130"/>
      <c r="O161" s="130"/>
      <c r="P161" s="130"/>
      <c r="Q161" s="130"/>
      <c r="R161" s="130"/>
      <c r="S161" s="130"/>
      <c r="T161" s="130"/>
      <c r="U161" s="130"/>
      <c r="V161" s="130"/>
      <c r="W161" s="130"/>
      <c r="X161" s="130"/>
      <c r="Y161" s="130"/>
      <c r="Z161" s="136"/>
    </row>
    <row r="162" spans="1:26" ht="15.75" hidden="1" customHeight="1" x14ac:dyDescent="0.25">
      <c r="A162" s="132"/>
      <c r="B162" s="129"/>
      <c r="C162" s="131"/>
      <c r="D162" s="131"/>
      <c r="E162" s="131"/>
      <c r="F162" s="130"/>
      <c r="G162" s="130"/>
      <c r="H162" s="130"/>
      <c r="I162" s="130"/>
      <c r="J162" s="172"/>
      <c r="K162" s="132"/>
      <c r="L162" s="130"/>
      <c r="M162" s="130"/>
      <c r="N162" s="130"/>
      <c r="O162" s="130"/>
      <c r="P162" s="130"/>
      <c r="Q162" s="130"/>
      <c r="R162" s="130"/>
      <c r="S162" s="130"/>
      <c r="T162" s="130"/>
      <c r="U162" s="130"/>
      <c r="V162" s="130"/>
      <c r="W162" s="130"/>
      <c r="X162" s="130"/>
      <c r="Y162" s="130"/>
      <c r="Z162" s="136"/>
    </row>
    <row r="163" spans="1:26" ht="15.75" hidden="1" customHeight="1" x14ac:dyDescent="0.25">
      <c r="A163" s="132"/>
      <c r="B163" s="129"/>
      <c r="C163" s="131"/>
      <c r="D163" s="131"/>
      <c r="E163" s="131"/>
      <c r="F163" s="130"/>
      <c r="G163" s="130"/>
      <c r="H163" s="130"/>
      <c r="I163" s="130"/>
      <c r="J163" s="172"/>
      <c r="K163" s="132"/>
      <c r="L163" s="130"/>
      <c r="M163" s="130"/>
      <c r="N163" s="130"/>
      <c r="O163" s="130"/>
      <c r="P163" s="130"/>
      <c r="Q163" s="130"/>
      <c r="R163" s="130"/>
      <c r="S163" s="130"/>
      <c r="T163" s="130"/>
      <c r="U163" s="130"/>
      <c r="V163" s="130"/>
      <c r="W163" s="130"/>
      <c r="X163" s="130"/>
      <c r="Y163" s="130"/>
      <c r="Z163" s="136"/>
    </row>
    <row r="164" spans="1:26" ht="15.75" hidden="1" customHeight="1" x14ac:dyDescent="0.25">
      <c r="A164" s="132"/>
      <c r="B164" s="129"/>
      <c r="C164" s="131"/>
      <c r="D164" s="131"/>
      <c r="E164" s="131"/>
      <c r="F164" s="130"/>
      <c r="G164" s="130"/>
      <c r="H164" s="130"/>
      <c r="I164" s="130"/>
      <c r="J164" s="172"/>
      <c r="K164" s="132"/>
      <c r="L164" s="130"/>
      <c r="M164" s="130"/>
      <c r="N164" s="130"/>
      <c r="O164" s="130"/>
      <c r="P164" s="130"/>
      <c r="Q164" s="130"/>
      <c r="R164" s="130"/>
      <c r="S164" s="130"/>
      <c r="T164" s="130"/>
      <c r="U164" s="130"/>
      <c r="V164" s="130"/>
      <c r="W164" s="130"/>
      <c r="X164" s="130"/>
      <c r="Y164" s="130"/>
      <c r="Z164" s="136"/>
    </row>
    <row r="165" spans="1:26" ht="15.75" hidden="1" customHeight="1" x14ac:dyDescent="0.25">
      <c r="A165" s="132"/>
      <c r="B165" s="129"/>
      <c r="C165" s="131"/>
      <c r="D165" s="131"/>
      <c r="E165" s="131"/>
      <c r="F165" s="130"/>
      <c r="G165" s="130"/>
      <c r="H165" s="130"/>
      <c r="I165" s="130"/>
      <c r="J165" s="172"/>
      <c r="K165" s="132"/>
      <c r="L165" s="130"/>
      <c r="M165" s="130"/>
      <c r="N165" s="130"/>
      <c r="O165" s="130"/>
      <c r="P165" s="130"/>
      <c r="Q165" s="130"/>
      <c r="R165" s="130"/>
      <c r="S165" s="130"/>
      <c r="T165" s="130"/>
      <c r="U165" s="130"/>
      <c r="V165" s="130"/>
      <c r="W165" s="130"/>
      <c r="X165" s="130"/>
      <c r="Y165" s="130"/>
      <c r="Z165" s="136"/>
    </row>
    <row r="166" spans="1:26" ht="15.75" hidden="1" customHeight="1" x14ac:dyDescent="0.25">
      <c r="A166" s="132"/>
      <c r="B166" s="129"/>
      <c r="C166" s="131"/>
      <c r="D166" s="131"/>
      <c r="E166" s="131"/>
      <c r="F166" s="130"/>
      <c r="G166" s="130"/>
      <c r="H166" s="130"/>
      <c r="I166" s="130"/>
      <c r="J166" s="172"/>
      <c r="K166" s="132"/>
      <c r="L166" s="130"/>
      <c r="M166" s="130"/>
      <c r="N166" s="130"/>
      <c r="O166" s="130"/>
      <c r="P166" s="130"/>
      <c r="Q166" s="130"/>
      <c r="R166" s="130"/>
      <c r="S166" s="130"/>
      <c r="T166" s="130"/>
      <c r="U166" s="130"/>
      <c r="V166" s="130"/>
      <c r="W166" s="130"/>
      <c r="X166" s="130"/>
      <c r="Y166" s="130"/>
      <c r="Z166" s="136"/>
    </row>
    <row r="167" spans="1:26" ht="15.75" hidden="1" customHeight="1" x14ac:dyDescent="0.25">
      <c r="A167" s="132"/>
      <c r="B167" s="129"/>
      <c r="C167" s="131"/>
      <c r="D167" s="131"/>
      <c r="E167" s="131"/>
      <c r="F167" s="130"/>
      <c r="G167" s="130"/>
      <c r="H167" s="130"/>
      <c r="I167" s="130"/>
      <c r="J167" s="172"/>
      <c r="K167" s="132"/>
      <c r="L167" s="130"/>
      <c r="M167" s="130"/>
      <c r="N167" s="130"/>
      <c r="O167" s="130"/>
      <c r="P167" s="130"/>
      <c r="Q167" s="130"/>
      <c r="R167" s="130"/>
      <c r="S167" s="130"/>
      <c r="T167" s="130"/>
      <c r="U167" s="130"/>
      <c r="V167" s="130"/>
      <c r="W167" s="130"/>
      <c r="X167" s="130"/>
      <c r="Y167" s="130"/>
      <c r="Z167" s="136"/>
    </row>
    <row r="168" spans="1:26" ht="15.75" hidden="1" customHeight="1" x14ac:dyDescent="0.25">
      <c r="A168" s="132"/>
      <c r="B168" s="129"/>
      <c r="C168" s="131"/>
      <c r="D168" s="131"/>
      <c r="E168" s="131"/>
      <c r="F168" s="130"/>
      <c r="G168" s="130"/>
      <c r="H168" s="130"/>
      <c r="I168" s="130"/>
      <c r="J168" s="172"/>
      <c r="K168" s="132"/>
      <c r="L168" s="130"/>
      <c r="M168" s="130"/>
      <c r="N168" s="130"/>
      <c r="O168" s="130"/>
      <c r="P168" s="130"/>
      <c r="Q168" s="130"/>
      <c r="R168" s="130"/>
      <c r="S168" s="130"/>
      <c r="T168" s="130"/>
      <c r="U168" s="130"/>
      <c r="V168" s="130"/>
      <c r="W168" s="130"/>
      <c r="X168" s="130"/>
      <c r="Y168" s="130"/>
      <c r="Z168" s="136"/>
    </row>
    <row r="169" spans="1:26" ht="15.75" hidden="1" customHeight="1" x14ac:dyDescent="0.25">
      <c r="A169" s="132"/>
      <c r="B169" s="129"/>
      <c r="C169" s="131"/>
      <c r="D169" s="131"/>
      <c r="E169" s="131"/>
      <c r="F169" s="130"/>
      <c r="G169" s="130"/>
      <c r="H169" s="130"/>
      <c r="I169" s="130"/>
      <c r="J169" s="172"/>
      <c r="K169" s="132"/>
      <c r="L169" s="130"/>
      <c r="M169" s="130"/>
      <c r="N169" s="130"/>
      <c r="O169" s="130"/>
      <c r="P169" s="130"/>
      <c r="Q169" s="130"/>
      <c r="R169" s="130"/>
      <c r="S169" s="130"/>
      <c r="T169" s="130"/>
      <c r="U169" s="130"/>
      <c r="V169" s="130"/>
      <c r="W169" s="130"/>
      <c r="X169" s="130"/>
      <c r="Y169" s="130"/>
      <c r="Z169" s="136"/>
    </row>
    <row r="170" spans="1:26" ht="15.75" hidden="1" customHeight="1" x14ac:dyDescent="0.25">
      <c r="A170" s="132"/>
      <c r="B170" s="129"/>
      <c r="C170" s="131"/>
      <c r="D170" s="131"/>
      <c r="E170" s="131"/>
      <c r="F170" s="130"/>
      <c r="G170" s="130"/>
      <c r="H170" s="130"/>
      <c r="I170" s="130"/>
      <c r="J170" s="172"/>
      <c r="K170" s="132"/>
      <c r="L170" s="130"/>
      <c r="M170" s="130"/>
      <c r="N170" s="130"/>
      <c r="O170" s="130"/>
      <c r="P170" s="130"/>
      <c r="Q170" s="130"/>
      <c r="R170" s="130"/>
      <c r="S170" s="130"/>
      <c r="T170" s="130"/>
      <c r="U170" s="130"/>
      <c r="V170" s="130"/>
      <c r="W170" s="130"/>
      <c r="X170" s="130"/>
      <c r="Y170" s="130"/>
      <c r="Z170" s="136"/>
    </row>
    <row r="171" spans="1:26" ht="15.75" hidden="1" customHeight="1" x14ac:dyDescent="0.25">
      <c r="A171" s="132"/>
      <c r="B171" s="129"/>
      <c r="C171" s="131"/>
      <c r="D171" s="131"/>
      <c r="E171" s="131"/>
      <c r="F171" s="130"/>
      <c r="G171" s="130"/>
      <c r="H171" s="130"/>
      <c r="I171" s="130"/>
      <c r="J171" s="172"/>
      <c r="K171" s="132"/>
      <c r="L171" s="130"/>
      <c r="M171" s="130"/>
      <c r="N171" s="130"/>
      <c r="O171" s="130"/>
      <c r="P171" s="130"/>
      <c r="Q171" s="130"/>
      <c r="R171" s="130"/>
      <c r="S171" s="130"/>
      <c r="T171" s="130"/>
      <c r="U171" s="130"/>
      <c r="V171" s="130"/>
      <c r="W171" s="130"/>
      <c r="X171" s="130"/>
      <c r="Y171" s="130"/>
      <c r="Z171" s="136"/>
    </row>
    <row r="172" spans="1:26" ht="15.75" hidden="1" customHeight="1" x14ac:dyDescent="0.25">
      <c r="A172" s="132"/>
      <c r="B172" s="129"/>
      <c r="C172" s="131"/>
      <c r="D172" s="131"/>
      <c r="E172" s="131"/>
      <c r="F172" s="130"/>
      <c r="G172" s="130"/>
      <c r="H172" s="130"/>
      <c r="I172" s="130"/>
      <c r="J172" s="172"/>
      <c r="K172" s="132"/>
      <c r="L172" s="130"/>
      <c r="M172" s="130"/>
      <c r="N172" s="130"/>
      <c r="O172" s="130"/>
      <c r="P172" s="130"/>
      <c r="Q172" s="130"/>
      <c r="R172" s="130"/>
      <c r="S172" s="130"/>
      <c r="T172" s="130"/>
      <c r="U172" s="130"/>
      <c r="V172" s="130"/>
      <c r="W172" s="130"/>
      <c r="X172" s="130"/>
      <c r="Y172" s="130"/>
      <c r="Z172" s="136"/>
    </row>
    <row r="173" spans="1:26" ht="15.75" hidden="1" customHeight="1" x14ac:dyDescent="0.25">
      <c r="A173" s="132"/>
      <c r="B173" s="129"/>
      <c r="C173" s="131"/>
      <c r="D173" s="131"/>
      <c r="E173" s="131"/>
      <c r="F173" s="130"/>
      <c r="G173" s="130"/>
      <c r="H173" s="130"/>
      <c r="I173" s="130"/>
      <c r="J173" s="172"/>
      <c r="K173" s="132"/>
      <c r="L173" s="130"/>
      <c r="M173" s="130"/>
      <c r="N173" s="130"/>
      <c r="O173" s="130"/>
      <c r="P173" s="130"/>
      <c r="Q173" s="130"/>
      <c r="R173" s="130"/>
      <c r="S173" s="130"/>
      <c r="T173" s="130"/>
      <c r="U173" s="130"/>
      <c r="V173" s="130"/>
      <c r="W173" s="130"/>
      <c r="X173" s="130"/>
      <c r="Y173" s="130"/>
      <c r="Z173" s="136"/>
    </row>
    <row r="174" spans="1:26" ht="15.75" hidden="1" customHeight="1" x14ac:dyDescent="0.25">
      <c r="A174" s="132"/>
      <c r="B174" s="129"/>
      <c r="C174" s="131"/>
      <c r="D174" s="131"/>
      <c r="E174" s="131"/>
      <c r="F174" s="130"/>
      <c r="G174" s="130"/>
      <c r="H174" s="130"/>
      <c r="I174" s="130"/>
      <c r="J174" s="172"/>
      <c r="K174" s="132"/>
      <c r="L174" s="130"/>
      <c r="M174" s="130"/>
      <c r="N174" s="130"/>
      <c r="O174" s="130"/>
      <c r="P174" s="130"/>
      <c r="Q174" s="130"/>
      <c r="R174" s="130"/>
      <c r="S174" s="130"/>
      <c r="T174" s="130"/>
      <c r="U174" s="130"/>
      <c r="V174" s="130"/>
      <c r="W174" s="130"/>
      <c r="X174" s="130"/>
      <c r="Y174" s="130"/>
      <c r="Z174" s="136"/>
    </row>
    <row r="175" spans="1:26" ht="15.75" hidden="1" customHeight="1" x14ac:dyDescent="0.25">
      <c r="A175" s="132"/>
      <c r="B175" s="129"/>
      <c r="C175" s="131"/>
      <c r="D175" s="131"/>
      <c r="E175" s="131"/>
      <c r="F175" s="130"/>
      <c r="G175" s="130"/>
      <c r="H175" s="130"/>
      <c r="I175" s="130"/>
      <c r="J175" s="172"/>
      <c r="K175" s="132"/>
      <c r="L175" s="130"/>
      <c r="M175" s="130"/>
      <c r="N175" s="130"/>
      <c r="O175" s="130"/>
      <c r="P175" s="130"/>
      <c r="Q175" s="130"/>
      <c r="R175" s="130"/>
      <c r="S175" s="130"/>
      <c r="T175" s="130"/>
      <c r="U175" s="130"/>
      <c r="V175" s="130"/>
      <c r="W175" s="130"/>
      <c r="X175" s="130"/>
      <c r="Y175" s="130"/>
      <c r="Z175" s="136"/>
    </row>
    <row r="176" spans="1:26" ht="15.75" hidden="1" customHeight="1" x14ac:dyDescent="0.25">
      <c r="A176" s="132"/>
      <c r="B176" s="129"/>
      <c r="C176" s="131"/>
      <c r="D176" s="131"/>
      <c r="E176" s="131"/>
      <c r="F176" s="130"/>
      <c r="G176" s="130"/>
      <c r="H176" s="130"/>
      <c r="I176" s="130"/>
      <c r="J176" s="172"/>
      <c r="K176" s="132"/>
      <c r="L176" s="130"/>
      <c r="M176" s="130"/>
      <c r="N176" s="130"/>
      <c r="O176" s="130"/>
      <c r="P176" s="130"/>
      <c r="Q176" s="130"/>
      <c r="R176" s="130"/>
      <c r="S176" s="130"/>
      <c r="T176" s="130"/>
      <c r="U176" s="130"/>
      <c r="V176" s="130"/>
      <c r="W176" s="130"/>
      <c r="X176" s="130"/>
      <c r="Y176" s="130"/>
      <c r="Z176" s="136"/>
    </row>
    <row r="177" spans="1:26" ht="15.75" hidden="1" customHeight="1" x14ac:dyDescent="0.25">
      <c r="A177" s="132"/>
      <c r="B177" s="129"/>
      <c r="C177" s="131"/>
      <c r="D177" s="131"/>
      <c r="E177" s="131"/>
      <c r="F177" s="130"/>
      <c r="G177" s="130"/>
      <c r="H177" s="130"/>
      <c r="I177" s="130"/>
      <c r="J177" s="172"/>
      <c r="K177" s="132"/>
      <c r="L177" s="130"/>
      <c r="M177" s="130"/>
      <c r="N177" s="130"/>
      <c r="O177" s="130"/>
      <c r="P177" s="130"/>
      <c r="Q177" s="130"/>
      <c r="R177" s="130"/>
      <c r="S177" s="130"/>
      <c r="T177" s="130"/>
      <c r="U177" s="130"/>
      <c r="V177" s="130"/>
      <c r="W177" s="130"/>
      <c r="X177" s="130"/>
      <c r="Y177" s="130"/>
      <c r="Z177" s="136"/>
    </row>
    <row r="178" spans="1:26" ht="15.75" hidden="1" customHeight="1" x14ac:dyDescent="0.25">
      <c r="A178" s="132"/>
      <c r="B178" s="129"/>
      <c r="C178" s="131"/>
      <c r="D178" s="131"/>
      <c r="E178" s="131"/>
      <c r="F178" s="130"/>
      <c r="G178" s="130"/>
      <c r="H178" s="130"/>
      <c r="I178" s="130"/>
      <c r="J178" s="172"/>
      <c r="K178" s="132"/>
      <c r="L178" s="130"/>
      <c r="M178" s="130"/>
      <c r="N178" s="130"/>
      <c r="O178" s="130"/>
      <c r="P178" s="130"/>
      <c r="Q178" s="130"/>
      <c r="R178" s="130"/>
      <c r="S178" s="130"/>
      <c r="T178" s="130"/>
      <c r="U178" s="130"/>
      <c r="V178" s="130"/>
      <c r="W178" s="130"/>
      <c r="X178" s="130"/>
      <c r="Y178" s="130"/>
      <c r="Z178" s="136"/>
    </row>
    <row r="179" spans="1:26" ht="15.75" hidden="1" customHeight="1" x14ac:dyDescent="0.25">
      <c r="A179" s="132"/>
      <c r="B179" s="129"/>
      <c r="C179" s="131"/>
      <c r="D179" s="131"/>
      <c r="E179" s="131"/>
      <c r="F179" s="130"/>
      <c r="G179" s="130"/>
      <c r="H179" s="130"/>
      <c r="I179" s="130"/>
      <c r="J179" s="172"/>
      <c r="K179" s="132"/>
      <c r="L179" s="130"/>
      <c r="M179" s="130"/>
      <c r="N179" s="130"/>
      <c r="O179" s="130"/>
      <c r="P179" s="130"/>
      <c r="Q179" s="130"/>
      <c r="R179" s="130"/>
      <c r="S179" s="130"/>
      <c r="T179" s="130"/>
      <c r="U179" s="130"/>
      <c r="V179" s="130"/>
      <c r="W179" s="130"/>
      <c r="X179" s="130"/>
      <c r="Y179" s="130"/>
      <c r="Z179" s="136"/>
    </row>
    <row r="180" spans="1:26" ht="15.75" hidden="1" customHeight="1" x14ac:dyDescent="0.25">
      <c r="A180" s="132"/>
      <c r="B180" s="129"/>
      <c r="C180" s="131"/>
      <c r="D180" s="131"/>
      <c r="E180" s="131"/>
      <c r="F180" s="130"/>
      <c r="G180" s="130"/>
      <c r="H180" s="130"/>
      <c r="I180" s="130"/>
      <c r="J180" s="172"/>
      <c r="K180" s="132"/>
      <c r="L180" s="130"/>
      <c r="M180" s="130"/>
      <c r="N180" s="130"/>
      <c r="O180" s="130"/>
      <c r="P180" s="130"/>
      <c r="Q180" s="130"/>
      <c r="R180" s="130"/>
      <c r="S180" s="130"/>
      <c r="T180" s="130"/>
      <c r="U180" s="130"/>
      <c r="V180" s="130"/>
      <c r="W180" s="130"/>
      <c r="X180" s="130"/>
      <c r="Y180" s="130"/>
      <c r="Z180" s="136"/>
    </row>
    <row r="181" spans="1:26" ht="15.75" hidden="1" customHeight="1" x14ac:dyDescent="0.25">
      <c r="A181" s="132"/>
      <c r="B181" s="129"/>
      <c r="C181" s="131"/>
      <c r="D181" s="131"/>
      <c r="E181" s="131"/>
      <c r="F181" s="130"/>
      <c r="G181" s="130"/>
      <c r="H181" s="130"/>
      <c r="I181" s="130"/>
      <c r="J181" s="172"/>
      <c r="K181" s="132"/>
      <c r="L181" s="130"/>
      <c r="M181" s="130"/>
      <c r="N181" s="130"/>
      <c r="O181" s="130"/>
      <c r="P181" s="130"/>
      <c r="Q181" s="130"/>
      <c r="R181" s="130"/>
      <c r="S181" s="130"/>
      <c r="T181" s="130"/>
      <c r="U181" s="130"/>
      <c r="V181" s="130"/>
      <c r="W181" s="130"/>
      <c r="X181" s="130"/>
      <c r="Y181" s="130"/>
      <c r="Z181" s="136"/>
    </row>
    <row r="182" spans="1:26" ht="15.75" hidden="1" customHeight="1" x14ac:dyDescent="0.25">
      <c r="A182" s="132"/>
      <c r="B182" s="129"/>
      <c r="C182" s="131"/>
      <c r="D182" s="131"/>
      <c r="E182" s="131"/>
      <c r="F182" s="130"/>
      <c r="G182" s="130"/>
      <c r="H182" s="130"/>
      <c r="I182" s="130"/>
      <c r="J182" s="172"/>
      <c r="K182" s="132"/>
      <c r="L182" s="130"/>
      <c r="M182" s="130"/>
      <c r="N182" s="130"/>
      <c r="O182" s="130"/>
      <c r="P182" s="130"/>
      <c r="Q182" s="130"/>
      <c r="R182" s="130"/>
      <c r="S182" s="130"/>
      <c r="T182" s="130"/>
      <c r="U182" s="130"/>
      <c r="V182" s="130"/>
      <c r="W182" s="130"/>
      <c r="X182" s="130"/>
      <c r="Y182" s="130"/>
      <c r="Z182" s="136"/>
    </row>
    <row r="183" spans="1:26" ht="15.75" hidden="1" customHeight="1" x14ac:dyDescent="0.25">
      <c r="A183" s="132"/>
      <c r="B183" s="129"/>
      <c r="C183" s="131"/>
      <c r="D183" s="131"/>
      <c r="E183" s="131"/>
      <c r="F183" s="130"/>
      <c r="G183" s="130"/>
      <c r="H183" s="130"/>
      <c r="I183" s="130"/>
      <c r="J183" s="172"/>
      <c r="K183" s="132"/>
      <c r="L183" s="130"/>
      <c r="M183" s="130"/>
      <c r="N183" s="130"/>
      <c r="O183" s="130"/>
      <c r="P183" s="130"/>
      <c r="Q183" s="130"/>
      <c r="R183" s="130"/>
      <c r="S183" s="130"/>
      <c r="T183" s="130"/>
      <c r="U183" s="130"/>
      <c r="V183" s="130"/>
      <c r="W183" s="130"/>
      <c r="X183" s="130"/>
      <c r="Y183" s="130"/>
      <c r="Z183" s="136"/>
    </row>
    <row r="184" spans="1:26" ht="15.75" hidden="1" customHeight="1" x14ac:dyDescent="0.25">
      <c r="A184" s="132"/>
      <c r="B184" s="129"/>
      <c r="C184" s="131"/>
      <c r="D184" s="131"/>
      <c r="E184" s="131"/>
      <c r="F184" s="130"/>
      <c r="G184" s="130"/>
      <c r="H184" s="130"/>
      <c r="I184" s="130"/>
      <c r="J184" s="172"/>
      <c r="K184" s="132"/>
      <c r="L184" s="130"/>
      <c r="M184" s="130"/>
      <c r="N184" s="130"/>
      <c r="O184" s="130"/>
      <c r="P184" s="130"/>
      <c r="Q184" s="130"/>
      <c r="R184" s="130"/>
      <c r="S184" s="130"/>
      <c r="T184" s="130"/>
      <c r="U184" s="130"/>
      <c r="V184" s="130"/>
      <c r="W184" s="130"/>
      <c r="X184" s="130"/>
      <c r="Y184" s="130"/>
      <c r="Z184" s="136"/>
    </row>
    <row r="185" spans="1:26" ht="15.75" hidden="1" customHeight="1" x14ac:dyDescent="0.25">
      <c r="A185" s="132"/>
      <c r="B185" s="129"/>
      <c r="C185" s="131"/>
      <c r="D185" s="131"/>
      <c r="E185" s="131"/>
      <c r="F185" s="130"/>
      <c r="G185" s="130"/>
      <c r="H185" s="130"/>
      <c r="I185" s="130"/>
      <c r="J185" s="172"/>
      <c r="K185" s="132"/>
      <c r="L185" s="130"/>
      <c r="M185" s="130"/>
      <c r="N185" s="130"/>
      <c r="O185" s="130"/>
      <c r="P185" s="130"/>
      <c r="Q185" s="130"/>
      <c r="R185" s="130"/>
      <c r="S185" s="130"/>
      <c r="T185" s="130"/>
      <c r="U185" s="130"/>
      <c r="V185" s="130"/>
      <c r="W185" s="130"/>
      <c r="X185" s="130"/>
      <c r="Y185" s="130"/>
      <c r="Z185" s="136"/>
    </row>
    <row r="186" spans="1:26" ht="15.75" hidden="1" customHeight="1" x14ac:dyDescent="0.25">
      <c r="A186" s="132"/>
      <c r="B186" s="129"/>
      <c r="C186" s="131"/>
      <c r="D186" s="131"/>
      <c r="E186" s="131"/>
      <c r="F186" s="130"/>
      <c r="G186" s="130"/>
      <c r="H186" s="130"/>
      <c r="I186" s="130"/>
      <c r="J186" s="172"/>
      <c r="K186" s="132"/>
      <c r="L186" s="130"/>
      <c r="M186" s="130"/>
      <c r="N186" s="130"/>
      <c r="O186" s="130"/>
      <c r="P186" s="130"/>
      <c r="Q186" s="130"/>
      <c r="R186" s="130"/>
      <c r="S186" s="130"/>
      <c r="T186" s="130"/>
      <c r="U186" s="130"/>
      <c r="V186" s="130"/>
      <c r="W186" s="130"/>
      <c r="X186" s="130"/>
      <c r="Y186" s="130"/>
      <c r="Z186" s="136"/>
    </row>
    <row r="187" spans="1:26" ht="15.75" hidden="1" customHeight="1" x14ac:dyDescent="0.25">
      <c r="A187" s="132"/>
      <c r="B187" s="129"/>
      <c r="C187" s="131"/>
      <c r="D187" s="131"/>
      <c r="E187" s="131"/>
      <c r="F187" s="130"/>
      <c r="G187" s="130"/>
      <c r="H187" s="130"/>
      <c r="I187" s="130"/>
      <c r="J187" s="172"/>
      <c r="K187" s="132"/>
      <c r="L187" s="130"/>
      <c r="M187" s="130"/>
      <c r="N187" s="130"/>
      <c r="O187" s="130"/>
      <c r="P187" s="130"/>
      <c r="Q187" s="130"/>
      <c r="R187" s="130"/>
      <c r="S187" s="130"/>
      <c r="T187" s="130"/>
      <c r="U187" s="130"/>
      <c r="V187" s="130"/>
      <c r="W187" s="130"/>
      <c r="X187" s="130"/>
      <c r="Y187" s="130"/>
      <c r="Z187" s="136"/>
    </row>
    <row r="188" spans="1:26" ht="15.75" hidden="1" customHeight="1" x14ac:dyDescent="0.25">
      <c r="A188" s="132"/>
      <c r="B188" s="129"/>
      <c r="C188" s="131"/>
      <c r="D188" s="131"/>
      <c r="E188" s="131"/>
      <c r="F188" s="130"/>
      <c r="G188" s="130"/>
      <c r="H188" s="130"/>
      <c r="I188" s="130"/>
      <c r="J188" s="172"/>
      <c r="K188" s="132"/>
      <c r="L188" s="130"/>
      <c r="M188" s="130"/>
      <c r="N188" s="130"/>
      <c r="O188" s="130"/>
      <c r="P188" s="130"/>
      <c r="Q188" s="130"/>
      <c r="R188" s="130"/>
      <c r="S188" s="130"/>
      <c r="T188" s="130"/>
      <c r="U188" s="130"/>
      <c r="V188" s="130"/>
      <c r="W188" s="130"/>
      <c r="X188" s="130"/>
      <c r="Y188" s="130"/>
      <c r="Z188" s="136"/>
    </row>
    <row r="189" spans="1:26" ht="15.75" hidden="1" customHeight="1" x14ac:dyDescent="0.25">
      <c r="A189" s="132"/>
      <c r="B189" s="129"/>
      <c r="C189" s="131"/>
      <c r="D189" s="131"/>
      <c r="E189" s="131"/>
      <c r="F189" s="130"/>
      <c r="G189" s="130"/>
      <c r="H189" s="130"/>
      <c r="I189" s="130"/>
      <c r="J189" s="172"/>
      <c r="K189" s="132"/>
      <c r="L189" s="130"/>
      <c r="M189" s="130"/>
      <c r="N189" s="130"/>
      <c r="O189" s="130"/>
      <c r="P189" s="130"/>
      <c r="Q189" s="130"/>
      <c r="R189" s="130"/>
      <c r="S189" s="130"/>
      <c r="T189" s="130"/>
      <c r="U189" s="130"/>
      <c r="V189" s="130"/>
      <c r="W189" s="130"/>
      <c r="X189" s="130"/>
      <c r="Y189" s="130"/>
      <c r="Z189" s="136"/>
    </row>
    <row r="190" spans="1:26" ht="15.75" hidden="1" customHeight="1" x14ac:dyDescent="0.25">
      <c r="A190" s="132"/>
      <c r="B190" s="129"/>
      <c r="C190" s="131"/>
      <c r="D190" s="131"/>
      <c r="E190" s="131"/>
      <c r="F190" s="130"/>
      <c r="G190" s="130"/>
      <c r="H190" s="130"/>
      <c r="I190" s="130"/>
      <c r="J190" s="172"/>
      <c r="K190" s="132"/>
      <c r="L190" s="130"/>
      <c r="M190" s="130"/>
      <c r="N190" s="130"/>
      <c r="O190" s="130"/>
      <c r="P190" s="130"/>
      <c r="Q190" s="130"/>
      <c r="R190" s="130"/>
      <c r="S190" s="130"/>
      <c r="T190" s="130"/>
      <c r="U190" s="130"/>
      <c r="V190" s="130"/>
      <c r="W190" s="130"/>
      <c r="X190" s="130"/>
      <c r="Y190" s="130"/>
      <c r="Z190" s="136"/>
    </row>
    <row r="191" spans="1:26" ht="15.75" hidden="1" customHeight="1" x14ac:dyDescent="0.25">
      <c r="A191" s="132"/>
      <c r="B191" s="129"/>
      <c r="C191" s="131"/>
      <c r="D191" s="131"/>
      <c r="E191" s="131"/>
      <c r="F191" s="130"/>
      <c r="G191" s="130"/>
      <c r="H191" s="130"/>
      <c r="I191" s="130"/>
      <c r="J191" s="172"/>
      <c r="K191" s="132"/>
      <c r="L191" s="130"/>
      <c r="M191" s="130"/>
      <c r="N191" s="130"/>
      <c r="O191" s="130"/>
      <c r="P191" s="130"/>
      <c r="Q191" s="130"/>
      <c r="R191" s="130"/>
      <c r="S191" s="130"/>
      <c r="T191" s="130"/>
      <c r="U191" s="130"/>
      <c r="V191" s="130"/>
      <c r="W191" s="130"/>
      <c r="X191" s="130"/>
      <c r="Y191" s="130"/>
      <c r="Z191" s="136"/>
    </row>
    <row r="192" spans="1:26" ht="15.75" hidden="1" customHeight="1" x14ac:dyDescent="0.25">
      <c r="A192" s="132"/>
      <c r="B192" s="129"/>
      <c r="C192" s="131"/>
      <c r="D192" s="131"/>
      <c r="E192" s="131"/>
      <c r="F192" s="130"/>
      <c r="G192" s="130"/>
      <c r="H192" s="130"/>
      <c r="I192" s="130"/>
      <c r="J192" s="172"/>
      <c r="K192" s="132"/>
      <c r="L192" s="130"/>
      <c r="M192" s="130"/>
      <c r="N192" s="130"/>
      <c r="O192" s="130"/>
      <c r="P192" s="130"/>
      <c r="Q192" s="130"/>
      <c r="R192" s="130"/>
      <c r="S192" s="130"/>
      <c r="T192" s="130"/>
      <c r="U192" s="130"/>
      <c r="V192" s="130"/>
      <c r="W192" s="130"/>
      <c r="X192" s="130"/>
      <c r="Y192" s="130"/>
      <c r="Z192" s="136"/>
    </row>
    <row r="193" spans="1:26" ht="15.75" hidden="1" customHeight="1" x14ac:dyDescent="0.25">
      <c r="A193" s="132"/>
      <c r="B193" s="129"/>
      <c r="C193" s="131"/>
      <c r="D193" s="131"/>
      <c r="E193" s="131"/>
      <c r="F193" s="130"/>
      <c r="G193" s="130"/>
      <c r="H193" s="130"/>
      <c r="I193" s="130"/>
      <c r="J193" s="172"/>
      <c r="K193" s="132"/>
      <c r="L193" s="130"/>
      <c r="M193" s="130"/>
      <c r="N193" s="130"/>
      <c r="O193" s="130"/>
      <c r="P193" s="130"/>
      <c r="Q193" s="130"/>
      <c r="R193" s="130"/>
      <c r="S193" s="130"/>
      <c r="T193" s="130"/>
      <c r="U193" s="130"/>
      <c r="V193" s="130"/>
      <c r="W193" s="130"/>
      <c r="X193" s="130"/>
      <c r="Y193" s="130"/>
      <c r="Z193" s="136"/>
    </row>
    <row r="194" spans="1:26" ht="15.75" hidden="1" customHeight="1" x14ac:dyDescent="0.25">
      <c r="A194" s="132"/>
      <c r="B194" s="129"/>
      <c r="C194" s="131"/>
      <c r="D194" s="131"/>
      <c r="E194" s="131"/>
      <c r="F194" s="130"/>
      <c r="G194" s="130"/>
      <c r="H194" s="130"/>
      <c r="I194" s="130"/>
      <c r="J194" s="172"/>
      <c r="K194" s="132"/>
      <c r="L194" s="130"/>
      <c r="M194" s="130"/>
      <c r="N194" s="130"/>
      <c r="O194" s="130"/>
      <c r="P194" s="130"/>
      <c r="Q194" s="130"/>
      <c r="R194" s="130"/>
      <c r="S194" s="130"/>
      <c r="T194" s="130"/>
      <c r="U194" s="130"/>
      <c r="V194" s="130"/>
      <c r="W194" s="130"/>
      <c r="X194" s="130"/>
      <c r="Y194" s="130"/>
      <c r="Z194" s="136"/>
    </row>
    <row r="195" spans="1:26" ht="15.75" hidden="1" customHeight="1" x14ac:dyDescent="0.25">
      <c r="A195" s="132"/>
      <c r="B195" s="129"/>
      <c r="C195" s="131"/>
      <c r="D195" s="131"/>
      <c r="E195" s="131"/>
      <c r="F195" s="130"/>
      <c r="G195" s="130"/>
      <c r="H195" s="130"/>
      <c r="I195" s="130"/>
      <c r="J195" s="172"/>
      <c r="K195" s="132"/>
      <c r="L195" s="130"/>
      <c r="M195" s="130"/>
      <c r="N195" s="130"/>
      <c r="O195" s="130"/>
      <c r="P195" s="130"/>
      <c r="Q195" s="130"/>
      <c r="R195" s="130"/>
      <c r="S195" s="130"/>
      <c r="T195" s="130"/>
      <c r="U195" s="130"/>
      <c r="V195" s="130"/>
      <c r="W195" s="130"/>
      <c r="X195" s="130"/>
      <c r="Y195" s="130"/>
      <c r="Z195" s="136"/>
    </row>
    <row r="196" spans="1:26" ht="15.75" hidden="1" customHeight="1" x14ac:dyDescent="0.25">
      <c r="A196" s="132"/>
      <c r="B196" s="129"/>
      <c r="C196" s="131"/>
      <c r="D196" s="131"/>
      <c r="E196" s="131"/>
      <c r="F196" s="130"/>
      <c r="G196" s="130"/>
      <c r="H196" s="130"/>
      <c r="I196" s="130"/>
      <c r="J196" s="172"/>
      <c r="K196" s="132"/>
      <c r="L196" s="130"/>
      <c r="M196" s="130"/>
      <c r="N196" s="130"/>
      <c r="O196" s="130"/>
      <c r="P196" s="130"/>
      <c r="Q196" s="130"/>
      <c r="R196" s="130"/>
      <c r="S196" s="130"/>
      <c r="T196" s="130"/>
      <c r="U196" s="130"/>
      <c r="V196" s="130"/>
      <c r="W196" s="130"/>
      <c r="X196" s="130"/>
      <c r="Y196" s="130"/>
      <c r="Z196" s="136"/>
    </row>
    <row r="197" spans="1:26" ht="15.75" hidden="1" customHeight="1" x14ac:dyDescent="0.25">
      <c r="A197" s="132"/>
      <c r="B197" s="129"/>
      <c r="C197" s="131"/>
      <c r="D197" s="131"/>
      <c r="E197" s="131"/>
      <c r="F197" s="130"/>
      <c r="G197" s="130"/>
      <c r="H197" s="130"/>
      <c r="I197" s="130"/>
      <c r="J197" s="172"/>
      <c r="K197" s="132"/>
      <c r="L197" s="130"/>
      <c r="M197" s="130"/>
      <c r="N197" s="130"/>
      <c r="O197" s="130"/>
      <c r="P197" s="130"/>
      <c r="Q197" s="130"/>
      <c r="R197" s="130"/>
      <c r="S197" s="130"/>
      <c r="T197" s="130"/>
      <c r="U197" s="130"/>
      <c r="V197" s="130"/>
      <c r="W197" s="130"/>
      <c r="X197" s="130"/>
      <c r="Y197" s="130"/>
      <c r="Z197" s="136"/>
    </row>
    <row r="198" spans="1:26" ht="15.75" hidden="1" customHeight="1" x14ac:dyDescent="0.25">
      <c r="A198" s="132"/>
      <c r="B198" s="129"/>
      <c r="C198" s="131"/>
      <c r="D198" s="131"/>
      <c r="E198" s="131"/>
      <c r="F198" s="130"/>
      <c r="G198" s="130"/>
      <c r="H198" s="130"/>
      <c r="I198" s="130"/>
      <c r="J198" s="172"/>
      <c r="K198" s="132"/>
      <c r="L198" s="130"/>
      <c r="M198" s="130"/>
      <c r="N198" s="130"/>
      <c r="O198" s="130"/>
      <c r="P198" s="130"/>
      <c r="Q198" s="130"/>
      <c r="R198" s="130"/>
      <c r="S198" s="130"/>
      <c r="T198" s="130"/>
      <c r="U198" s="130"/>
      <c r="V198" s="130"/>
      <c r="W198" s="130"/>
      <c r="X198" s="130"/>
      <c r="Y198" s="130"/>
      <c r="Z198" s="136"/>
    </row>
    <row r="199" spans="1:26" ht="15.75" hidden="1" customHeight="1" x14ac:dyDescent="0.25">
      <c r="A199" s="132"/>
      <c r="B199" s="129"/>
      <c r="C199" s="131"/>
      <c r="D199" s="131"/>
      <c r="E199" s="131"/>
      <c r="F199" s="130"/>
      <c r="G199" s="130"/>
      <c r="H199" s="130"/>
      <c r="I199" s="130"/>
      <c r="J199" s="172"/>
      <c r="K199" s="132"/>
      <c r="L199" s="130"/>
      <c r="M199" s="130"/>
      <c r="N199" s="130"/>
      <c r="O199" s="130"/>
      <c r="P199" s="130"/>
      <c r="Q199" s="130"/>
      <c r="R199" s="130"/>
      <c r="S199" s="130"/>
      <c r="T199" s="130"/>
      <c r="U199" s="130"/>
      <c r="V199" s="130"/>
      <c r="W199" s="130"/>
      <c r="X199" s="130"/>
      <c r="Y199" s="130"/>
      <c r="Z199" s="136"/>
    </row>
    <row r="200" spans="1:26" ht="15.75" hidden="1" customHeight="1" x14ac:dyDescent="0.25">
      <c r="A200" s="132"/>
      <c r="B200" s="129"/>
      <c r="C200" s="131"/>
      <c r="D200" s="131"/>
      <c r="E200" s="131"/>
      <c r="F200" s="130"/>
      <c r="G200" s="130"/>
      <c r="H200" s="130"/>
      <c r="I200" s="130"/>
      <c r="J200" s="172"/>
      <c r="K200" s="132"/>
      <c r="L200" s="130"/>
      <c r="M200" s="130"/>
      <c r="N200" s="130"/>
      <c r="O200" s="130"/>
      <c r="P200" s="130"/>
      <c r="Q200" s="130"/>
      <c r="R200" s="130"/>
      <c r="S200" s="130"/>
      <c r="T200" s="130"/>
      <c r="U200" s="130"/>
      <c r="V200" s="130"/>
      <c r="W200" s="130"/>
      <c r="X200" s="130"/>
      <c r="Y200" s="130"/>
      <c r="Z200" s="136"/>
    </row>
    <row r="201" spans="1:26" ht="15.75" hidden="1" customHeight="1" x14ac:dyDescent="0.25">
      <c r="A201" s="132"/>
      <c r="B201" s="129"/>
      <c r="C201" s="131"/>
      <c r="D201" s="131"/>
      <c r="E201" s="131"/>
      <c r="F201" s="130"/>
      <c r="G201" s="130"/>
      <c r="H201" s="130"/>
      <c r="I201" s="130"/>
      <c r="J201" s="172"/>
      <c r="K201" s="132"/>
      <c r="L201" s="130"/>
      <c r="M201" s="130"/>
      <c r="N201" s="130"/>
      <c r="O201" s="130"/>
      <c r="P201" s="130"/>
      <c r="Q201" s="130"/>
      <c r="R201" s="130"/>
      <c r="S201" s="130"/>
      <c r="T201" s="130"/>
      <c r="U201" s="130"/>
      <c r="V201" s="130"/>
      <c r="W201" s="130"/>
      <c r="X201" s="130"/>
      <c r="Y201" s="130"/>
      <c r="Z201" s="136"/>
    </row>
    <row r="202" spans="1:26" ht="15.75" hidden="1" customHeight="1" x14ac:dyDescent="0.25">
      <c r="A202" s="132"/>
      <c r="B202" s="129"/>
      <c r="C202" s="131"/>
      <c r="D202" s="131"/>
      <c r="E202" s="131"/>
      <c r="F202" s="130"/>
      <c r="G202" s="130"/>
      <c r="H202" s="130"/>
      <c r="I202" s="130"/>
      <c r="J202" s="172"/>
      <c r="K202" s="132"/>
      <c r="L202" s="130"/>
      <c r="M202" s="130"/>
      <c r="N202" s="130"/>
      <c r="O202" s="130"/>
      <c r="P202" s="130"/>
      <c r="Q202" s="130"/>
      <c r="R202" s="130"/>
      <c r="S202" s="130"/>
      <c r="T202" s="130"/>
      <c r="U202" s="130"/>
      <c r="V202" s="130"/>
      <c r="W202" s="130"/>
      <c r="X202" s="130"/>
      <c r="Y202" s="130"/>
      <c r="Z202" s="136"/>
    </row>
    <row r="203" spans="1:26" ht="15.75" hidden="1" customHeight="1" x14ac:dyDescent="0.25">
      <c r="A203" s="132"/>
      <c r="B203" s="129"/>
      <c r="C203" s="131"/>
      <c r="D203" s="131"/>
      <c r="E203" s="131"/>
      <c r="F203" s="130"/>
      <c r="G203" s="130"/>
      <c r="H203" s="130"/>
      <c r="I203" s="130"/>
      <c r="J203" s="172"/>
      <c r="K203" s="132"/>
      <c r="L203" s="130"/>
      <c r="M203" s="130"/>
      <c r="N203" s="130"/>
      <c r="O203" s="130"/>
      <c r="P203" s="130"/>
      <c r="Q203" s="130"/>
      <c r="R203" s="130"/>
      <c r="S203" s="130"/>
      <c r="T203" s="130"/>
      <c r="U203" s="130"/>
      <c r="V203" s="130"/>
      <c r="W203" s="130"/>
      <c r="X203" s="130"/>
      <c r="Y203" s="130"/>
      <c r="Z203" s="136"/>
    </row>
    <row r="204" spans="1:26" ht="15.75" hidden="1" customHeight="1" x14ac:dyDescent="0.25">
      <c r="A204" s="132"/>
      <c r="B204" s="129"/>
      <c r="C204" s="131"/>
      <c r="D204" s="131"/>
      <c r="E204" s="131"/>
      <c r="F204" s="130"/>
      <c r="G204" s="130"/>
      <c r="H204" s="130"/>
      <c r="I204" s="130"/>
      <c r="J204" s="172"/>
      <c r="K204" s="132"/>
      <c r="L204" s="130"/>
      <c r="M204" s="130"/>
      <c r="N204" s="130"/>
      <c r="O204" s="130"/>
      <c r="P204" s="130"/>
      <c r="Q204" s="130"/>
      <c r="R204" s="130"/>
      <c r="S204" s="130"/>
      <c r="T204" s="130"/>
      <c r="U204" s="130"/>
      <c r="V204" s="130"/>
      <c r="W204" s="130"/>
      <c r="X204" s="130"/>
      <c r="Y204" s="130"/>
      <c r="Z204" s="136"/>
    </row>
    <row r="205" spans="1:26" ht="15.75" hidden="1" customHeight="1" x14ac:dyDescent="0.25">
      <c r="A205" s="132"/>
      <c r="B205" s="129"/>
      <c r="C205" s="131"/>
      <c r="D205" s="131"/>
      <c r="E205" s="131"/>
      <c r="F205" s="130"/>
      <c r="G205" s="130"/>
      <c r="H205" s="130"/>
      <c r="I205" s="130"/>
      <c r="J205" s="172"/>
      <c r="K205" s="132"/>
      <c r="L205" s="130"/>
      <c r="M205" s="130"/>
      <c r="N205" s="130"/>
      <c r="O205" s="130"/>
      <c r="P205" s="130"/>
      <c r="Q205" s="130"/>
      <c r="R205" s="130"/>
      <c r="S205" s="130"/>
      <c r="T205" s="130"/>
      <c r="U205" s="130"/>
      <c r="V205" s="130"/>
      <c r="W205" s="130"/>
      <c r="X205" s="130"/>
      <c r="Y205" s="130"/>
      <c r="Z205" s="136"/>
    </row>
    <row r="206" spans="1:26" ht="15.75" hidden="1" customHeight="1" x14ac:dyDescent="0.25">
      <c r="A206" s="132"/>
      <c r="B206" s="129"/>
      <c r="C206" s="131"/>
      <c r="D206" s="131"/>
      <c r="E206" s="131"/>
      <c r="F206" s="130"/>
      <c r="G206" s="130"/>
      <c r="H206" s="130"/>
      <c r="I206" s="130"/>
      <c r="J206" s="172"/>
      <c r="K206" s="132"/>
      <c r="L206" s="130"/>
      <c r="M206" s="130"/>
      <c r="N206" s="130"/>
      <c r="O206" s="130"/>
      <c r="P206" s="130"/>
      <c r="Q206" s="130"/>
      <c r="R206" s="130"/>
      <c r="S206" s="130"/>
      <c r="T206" s="130"/>
      <c r="U206" s="130"/>
      <c r="V206" s="130"/>
      <c r="W206" s="130"/>
      <c r="X206" s="130"/>
      <c r="Y206" s="130"/>
      <c r="Z206" s="136"/>
    </row>
    <row r="207" spans="1:26" ht="15.75" hidden="1" customHeight="1" x14ac:dyDescent="0.25">
      <c r="A207" s="132"/>
      <c r="B207" s="129"/>
      <c r="C207" s="131"/>
      <c r="D207" s="131"/>
      <c r="E207" s="131"/>
      <c r="F207" s="130"/>
      <c r="G207" s="130"/>
      <c r="H207" s="130"/>
      <c r="I207" s="130"/>
      <c r="J207" s="172"/>
      <c r="K207" s="132"/>
      <c r="L207" s="130"/>
      <c r="M207" s="130"/>
      <c r="N207" s="130"/>
      <c r="O207" s="130"/>
      <c r="P207" s="130"/>
      <c r="Q207" s="130"/>
      <c r="R207" s="130"/>
      <c r="S207" s="130"/>
      <c r="T207" s="130"/>
      <c r="U207" s="130"/>
      <c r="V207" s="130"/>
      <c r="W207" s="130"/>
      <c r="X207" s="130"/>
      <c r="Y207" s="130"/>
      <c r="Z207" s="136"/>
    </row>
    <row r="208" spans="1:26" ht="15.75" hidden="1" customHeight="1" x14ac:dyDescent="0.25">
      <c r="A208" s="132"/>
      <c r="B208" s="129"/>
      <c r="C208" s="131"/>
      <c r="D208" s="131"/>
      <c r="E208" s="131"/>
      <c r="F208" s="130"/>
      <c r="G208" s="130"/>
      <c r="H208" s="130"/>
      <c r="I208" s="130"/>
      <c r="J208" s="172"/>
      <c r="K208" s="132"/>
      <c r="L208" s="130"/>
      <c r="M208" s="130"/>
      <c r="N208" s="130"/>
      <c r="O208" s="130"/>
      <c r="P208" s="130"/>
      <c r="Q208" s="130"/>
      <c r="R208" s="130"/>
      <c r="S208" s="130"/>
      <c r="T208" s="130"/>
      <c r="U208" s="130"/>
      <c r="V208" s="130"/>
      <c r="W208" s="130"/>
      <c r="X208" s="130"/>
      <c r="Y208" s="130"/>
      <c r="Z208" s="136"/>
    </row>
    <row r="209" spans="1:26" ht="15.75" hidden="1" customHeight="1" x14ac:dyDescent="0.25">
      <c r="A209" s="132"/>
      <c r="B209" s="129"/>
      <c r="C209" s="131"/>
      <c r="D209" s="131"/>
      <c r="E209" s="131"/>
      <c r="F209" s="130"/>
      <c r="G209" s="130"/>
      <c r="H209" s="130"/>
      <c r="I209" s="130"/>
      <c r="J209" s="172"/>
      <c r="K209" s="132"/>
      <c r="L209" s="130"/>
      <c r="M209" s="130"/>
      <c r="N209" s="130"/>
      <c r="O209" s="130"/>
      <c r="P209" s="130"/>
      <c r="Q209" s="130"/>
      <c r="R209" s="130"/>
      <c r="S209" s="130"/>
      <c r="T209" s="130"/>
      <c r="U209" s="130"/>
      <c r="V209" s="130"/>
      <c r="W209" s="130"/>
      <c r="X209" s="130"/>
      <c r="Y209" s="130"/>
      <c r="Z209" s="136"/>
    </row>
    <row r="210" spans="1:26" ht="15.75" hidden="1" customHeight="1" x14ac:dyDescent="0.25">
      <c r="A210" s="132"/>
      <c r="B210" s="129"/>
      <c r="C210" s="131"/>
      <c r="D210" s="131"/>
      <c r="E210" s="131"/>
      <c r="F210" s="130"/>
      <c r="G210" s="130"/>
      <c r="H210" s="130"/>
      <c r="I210" s="130"/>
      <c r="J210" s="172"/>
      <c r="K210" s="132"/>
      <c r="L210" s="130"/>
      <c r="M210" s="130"/>
      <c r="N210" s="130"/>
      <c r="O210" s="130"/>
      <c r="P210" s="130"/>
      <c r="Q210" s="130"/>
      <c r="R210" s="130"/>
      <c r="S210" s="130"/>
      <c r="T210" s="130"/>
      <c r="U210" s="130"/>
      <c r="V210" s="130"/>
      <c r="W210" s="130"/>
      <c r="X210" s="130"/>
      <c r="Y210" s="130"/>
      <c r="Z210" s="136"/>
    </row>
    <row r="211" spans="1:26" ht="15.75" hidden="1" customHeight="1" x14ac:dyDescent="0.25">
      <c r="A211" s="132"/>
      <c r="B211" s="129"/>
      <c r="C211" s="131"/>
      <c r="D211" s="131"/>
      <c r="E211" s="131"/>
      <c r="F211" s="130"/>
      <c r="G211" s="130"/>
      <c r="H211" s="130"/>
      <c r="I211" s="130"/>
      <c r="J211" s="172"/>
      <c r="K211" s="132"/>
      <c r="L211" s="130"/>
      <c r="M211" s="130"/>
      <c r="N211" s="130"/>
      <c r="O211" s="130"/>
      <c r="P211" s="130"/>
      <c r="Q211" s="130"/>
      <c r="R211" s="130"/>
      <c r="S211" s="130"/>
      <c r="T211" s="130"/>
      <c r="U211" s="130"/>
      <c r="V211" s="130"/>
      <c r="W211" s="130"/>
      <c r="X211" s="130"/>
      <c r="Y211" s="130"/>
      <c r="Z211" s="136"/>
    </row>
    <row r="212" spans="1:26" ht="15.75" hidden="1" customHeight="1" x14ac:dyDescent="0.25">
      <c r="A212" s="132"/>
      <c r="B212" s="129"/>
      <c r="C212" s="131"/>
      <c r="D212" s="131"/>
      <c r="E212" s="131"/>
      <c r="F212" s="130"/>
      <c r="G212" s="130"/>
      <c r="H212" s="130"/>
      <c r="I212" s="130"/>
      <c r="J212" s="172"/>
      <c r="K212" s="132"/>
      <c r="L212" s="130"/>
      <c r="M212" s="130"/>
      <c r="N212" s="130"/>
      <c r="O212" s="130"/>
      <c r="P212" s="130"/>
      <c r="Q212" s="130"/>
      <c r="R212" s="130"/>
      <c r="S212" s="130"/>
      <c r="T212" s="130"/>
      <c r="U212" s="130"/>
      <c r="V212" s="130"/>
      <c r="W212" s="130"/>
      <c r="X212" s="130"/>
      <c r="Y212" s="130"/>
      <c r="Z212" s="136"/>
    </row>
    <row r="213" spans="1:26" ht="15.75" hidden="1" customHeight="1" x14ac:dyDescent="0.25">
      <c r="A213" s="132"/>
      <c r="B213" s="129"/>
      <c r="C213" s="131"/>
      <c r="D213" s="131"/>
      <c r="E213" s="131"/>
      <c r="F213" s="130"/>
      <c r="G213" s="130"/>
      <c r="H213" s="130"/>
      <c r="I213" s="130"/>
      <c r="J213" s="172"/>
      <c r="K213" s="132"/>
      <c r="L213" s="130"/>
      <c r="M213" s="130"/>
      <c r="N213" s="130"/>
      <c r="O213" s="130"/>
      <c r="P213" s="130"/>
      <c r="Q213" s="130"/>
      <c r="R213" s="130"/>
      <c r="S213" s="130"/>
      <c r="T213" s="130"/>
      <c r="U213" s="130"/>
      <c r="V213" s="130"/>
      <c r="W213" s="130"/>
      <c r="X213" s="130"/>
      <c r="Y213" s="130"/>
      <c r="Z213" s="136"/>
    </row>
    <row r="214" spans="1:26" ht="15.75" hidden="1" customHeight="1" x14ac:dyDescent="0.25">
      <c r="A214" s="132"/>
      <c r="B214" s="129"/>
      <c r="C214" s="131"/>
      <c r="D214" s="131"/>
      <c r="E214" s="131"/>
      <c r="F214" s="130"/>
      <c r="G214" s="130"/>
      <c r="H214" s="130"/>
      <c r="I214" s="130"/>
      <c r="J214" s="172"/>
      <c r="K214" s="132"/>
      <c r="L214" s="130"/>
      <c r="M214" s="130"/>
      <c r="N214" s="130"/>
      <c r="O214" s="130"/>
      <c r="P214" s="130"/>
      <c r="Q214" s="130"/>
      <c r="R214" s="130"/>
      <c r="S214" s="130"/>
      <c r="T214" s="130"/>
      <c r="U214" s="130"/>
      <c r="V214" s="130"/>
      <c r="W214" s="130"/>
      <c r="X214" s="130"/>
      <c r="Y214" s="130"/>
      <c r="Z214" s="136"/>
    </row>
    <row r="215" spans="1:26" ht="15.75" hidden="1" customHeight="1" x14ac:dyDescent="0.25">
      <c r="A215" s="132"/>
      <c r="B215" s="129"/>
      <c r="C215" s="131"/>
      <c r="D215" s="131"/>
      <c r="E215" s="131"/>
      <c r="F215" s="130"/>
      <c r="G215" s="130"/>
      <c r="H215" s="130"/>
      <c r="I215" s="130"/>
      <c r="J215" s="172"/>
      <c r="K215" s="132"/>
      <c r="L215" s="130"/>
      <c r="M215" s="130"/>
      <c r="N215" s="130"/>
      <c r="O215" s="130"/>
      <c r="P215" s="130"/>
      <c r="Q215" s="130"/>
      <c r="R215" s="130"/>
      <c r="S215" s="130"/>
      <c r="T215" s="130"/>
      <c r="U215" s="130"/>
      <c r="V215" s="130"/>
      <c r="W215" s="130"/>
      <c r="X215" s="130"/>
      <c r="Y215" s="130"/>
      <c r="Z215" s="136"/>
    </row>
    <row r="216" spans="1:26" ht="15.75" hidden="1"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5.75" hidden="1"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5.75" hidden="1"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5.75" hidden="1"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5.75" hidden="1"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5.75" hidden="1"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5.75" hidden="1"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5.75" hidden="1"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5.75" hidden="1"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5.75" hidden="1"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5.75" hidden="1"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5.75" hidden="1"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5.75" hidden="1"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5.75" hidden="1"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5.75" hidden="1"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5.75" hidden="1"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5.75" hidden="1"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5.75" hidden="1"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5.75" hidden="1"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5.75" hidden="1"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5.75" hidden="1"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5.75" hidden="1"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5.75" hidden="1"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5.75" hidden="1"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5.75" hidden="1"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5.75" hidden="1"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5.75" hidden="1"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5.75" hidden="1"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5.75" hidden="1"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5.75" hidden="1"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5.75" hidden="1"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5.75" hidden="1"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5.75" hidden="1"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5.75" hidden="1"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5.75" hidden="1"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5.75" hidden="1"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5.75" hidden="1"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5.75" hidden="1"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5.75" hidden="1"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5.75" hidden="1"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5.75" hidden="1"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5.75" hidden="1"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5.75" hidden="1"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5.75" hidden="1"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5.75" hidden="1"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5.75" hidden="1"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5.75" hidden="1"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5.75" hidden="1"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5.75" hidden="1"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5.75" hidden="1"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5.75" hidden="1"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5.75" hidden="1"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5.75" hidden="1"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5.75" hidden="1"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5.75" hidden="1"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5.75" hidden="1"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5.75" hidden="1"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5.75" hidden="1"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5.75" hidden="1"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5.75" hidden="1"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5.75" hidden="1"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5.75" hidden="1"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5.75" hidden="1"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5.75" hidden="1"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5.75" hidden="1"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5.75" hidden="1"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5.75" hidden="1"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5.75" hidden="1"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5.75" hidden="1"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5.75" hidden="1"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5.75" hidden="1"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5.75" hidden="1"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5.75" hidden="1"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5.75" hidden="1"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5.75" hidden="1"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5.75" hidden="1"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5.75" hidden="1"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5.75" hidden="1"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5.75" hidden="1"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5.75" hidden="1"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5.75" hidden="1"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5.75" hidden="1"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5.75" hidden="1"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5.75" hidden="1"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5.75" hidden="1"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5.75" hidden="1"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5.75" hidden="1"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5.75" hidden="1"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5.75" hidden="1"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5.75" hidden="1"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5.75" hidden="1"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5.75" hidden="1"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5.75" hidden="1"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5.75" hidden="1"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5.75" hidden="1"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5.75" hidden="1"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5.75" hidden="1"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5.75" hidden="1"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5.75" hidden="1"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5.75" hidden="1"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5.75" hidden="1"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5.75" hidden="1"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5.75" hidden="1"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5.75" hidden="1"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5.75" hidden="1"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5.75" hidden="1"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5.75" hidden="1"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5.75" hidden="1"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5.75" hidden="1"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5.75" hidden="1"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5.75" hidden="1"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5.75" hidden="1"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5.75" hidden="1"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5.75" hidden="1"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5.75" hidden="1"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5.75" hidden="1"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5.75" hidden="1"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5.75" hidden="1"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5.75" hidden="1"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5.75" hidden="1"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5.75" hidden="1"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5.75" hidden="1"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5.75" hidden="1"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5.75" hidden="1"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5.75" hidden="1"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5.75" hidden="1"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5.75" hidden="1"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5.75" hidden="1"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5.75" hidden="1"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5.75" hidden="1"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5.75" hidden="1"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5.75" hidden="1"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5.75" hidden="1"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5.75" hidden="1"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5.75" hidden="1"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5.75" hidden="1"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5.75" hidden="1"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5.75" hidden="1"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5.75" hidden="1"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5.75" hidden="1"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5.75" hidden="1"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5.75" hidden="1"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5.75" hidden="1"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5.75" hidden="1"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5.75" hidden="1"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5.75" hidden="1"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5.75" hidden="1"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5.75" hidden="1"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5.75" hidden="1"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5.75" hidden="1"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5.75" hidden="1"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5.75" hidden="1"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5.75" hidden="1"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5.75" hidden="1"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5.75" hidden="1"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5.75" hidden="1"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5.75" hidden="1"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5.75" hidden="1"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5.75" hidden="1"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5.75" hidden="1"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5.75" hidden="1"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5.75" hidden="1"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5.75" hidden="1"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5.75" hidden="1"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5.75" hidden="1"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5.75" hidden="1"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5.75" hidden="1"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5.75" hidden="1"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5.75" hidden="1"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5.75" hidden="1"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5.75" hidden="1"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5.75" hidden="1"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5.75" hidden="1"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5.75" hidden="1"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5.75" hidden="1"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5.75" hidden="1"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5.75" hidden="1"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5.75" hidden="1"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5.75" hidden="1"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5.75" hidden="1"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5.75" hidden="1"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5.75" hidden="1"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5.75" hidden="1"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5.75" hidden="1"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5.75" hidden="1"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5.75" hidden="1"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5.75" hidden="1"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5.75" hidden="1"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5.75" hidden="1"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5.75" hidden="1"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5.75" hidden="1"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5.75" hidden="1"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5.75" hidden="1"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5.75" hidden="1"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5.75" hidden="1"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5.75" hidden="1"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5.75" hidden="1"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5.75" hidden="1"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5.75" hidden="1"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5.75" hidden="1"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5.75" hidden="1"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5.75" hidden="1"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5.75" hidden="1"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5.75" hidden="1"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5.75" hidden="1"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5.75" hidden="1"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5.75" hidden="1"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5.75" hidden="1"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5.75" hidden="1"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5.75" hidden="1"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5.75" hidden="1"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5.75" hidden="1"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5.75" hidden="1"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5.75" hidden="1"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5.75" hidden="1"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5.75" hidden="1"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5.75" hidden="1"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5.75" hidden="1"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5.75" hidden="1"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5.75" hidden="1"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5.75" hidden="1"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5.75" hidden="1"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5.75" hidden="1"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5.75" hidden="1"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5.75" hidden="1"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5.75" hidden="1"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5.75" hidden="1"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5.75" hidden="1"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5.75" hidden="1"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5.75" hidden="1"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5.75" hidden="1"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5.75" hidden="1"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5.75" hidden="1"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5.75" hidden="1"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5.75" hidden="1"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5.75" hidden="1"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5.75" hidden="1"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5.75" hidden="1"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5.75" hidden="1"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5.75" hidden="1"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5.75" hidden="1"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5.75" hidden="1"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5.75" hidden="1"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5.75" hidden="1"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5.75" hidden="1"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5.75" hidden="1"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5.75" hidden="1"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5.75" hidden="1"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5.75" hidden="1"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5.75" hidden="1"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5.75" hidden="1"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5.75" hidden="1"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5.75" hidden="1"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5.75" hidden="1"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5.75" hidden="1"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5.75" hidden="1"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5.75" hidden="1"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5.75" hidden="1"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5.75" hidden="1"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5.75" hidden="1"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5.75" hidden="1"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5.75" hidden="1"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5.75" hidden="1"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5.75" hidden="1"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5.75" hidden="1"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5.75" hidden="1"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5.75" hidden="1"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5.75" hidden="1"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5.75" hidden="1"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5.75" hidden="1"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5.75" hidden="1"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5.75" hidden="1"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5.75" hidden="1"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5.75" hidden="1"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5.75" hidden="1"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5.75" hidden="1"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5.75" hidden="1"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5.75" hidden="1"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5.75" hidden="1"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5.75" hidden="1"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5.75" hidden="1"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5.75" hidden="1"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5.75" hidden="1"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5.75" hidden="1"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5.75" hidden="1"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5.75" hidden="1"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5.75" hidden="1"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5.75" hidden="1"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5.75" hidden="1"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5.75" hidden="1"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5.75" hidden="1"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5.75" hidden="1"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5.75" hidden="1"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5.75" hidden="1"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5.75" hidden="1"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5.75" hidden="1"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5.75" hidden="1"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5.75" hidden="1"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5.75" hidden="1"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5.75" hidden="1"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5.75" hidden="1"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5.75" hidden="1"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5.75" hidden="1"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5.75" hidden="1"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5.75" hidden="1"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5.75" hidden="1"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5.75" hidden="1"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5.75" hidden="1"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5.75" hidden="1"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5.75" hidden="1"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5.75" hidden="1"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5.75" hidden="1"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5.75" hidden="1"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5.75" hidden="1"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5.75" hidden="1"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5.75" hidden="1"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5.75" hidden="1"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5.75" hidden="1"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5.75" hidden="1"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5.75" hidden="1"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5.75" hidden="1"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5.75" hidden="1"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5.75" hidden="1"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5.75" hidden="1"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5.75" hidden="1"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5.75" hidden="1"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5.75" hidden="1"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5.75" hidden="1"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5.75" hidden="1"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5.75" hidden="1"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5.75" hidden="1"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5.75" hidden="1"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5.75" hidden="1"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5.75" hidden="1"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5.75" hidden="1"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5.75" hidden="1"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5.75" hidden="1"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5.75" hidden="1"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5.75" hidden="1"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5.75" hidden="1"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5.75" hidden="1"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5.75" hidden="1"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5.75" hidden="1"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5.75" hidden="1"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5.75" hidden="1"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5.75" hidden="1"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5.75" hidden="1"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5.75" hidden="1"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5.75" hidden="1"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5.75" hidden="1"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5.75" hidden="1"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5.75" hidden="1"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5.75" hidden="1"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5.75" hidden="1"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5.75" hidden="1"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5.75" hidden="1"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5.75" hidden="1"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5.75" hidden="1"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5.75" hidden="1"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5.75" hidden="1"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5.75" hidden="1"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5.75" hidden="1"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5.75" hidden="1"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5.75" hidden="1"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5.75" hidden="1"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5.75" hidden="1"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5.75" hidden="1"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5.75" hidden="1"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5.75" hidden="1"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5.75" hidden="1"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5.75" hidden="1"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5.75" hidden="1"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5.75" hidden="1"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5.75" hidden="1"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5.75" hidden="1"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5.75" hidden="1"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5.75" hidden="1"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5.75" hidden="1"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5.75" hidden="1"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5.75" hidden="1"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5.75" hidden="1"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5.75" hidden="1"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5.75" hidden="1"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5.75" hidden="1"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5.75" hidden="1"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5.75" hidden="1"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5.75" hidden="1"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5.75" hidden="1"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5.75" hidden="1"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5.75" hidden="1"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5.75" hidden="1"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5.75" hidden="1"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5.75" hidden="1"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5.75" hidden="1"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5.75" hidden="1"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5.75" hidden="1"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5.75" hidden="1"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5.75" hidden="1"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5.75" hidden="1"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5.75" hidden="1"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5.75" hidden="1"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5.75" hidden="1"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5.75" hidden="1"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5.75" hidden="1"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5.75" hidden="1"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5.75" hidden="1"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5.75" hidden="1"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5.75" hidden="1"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5.75" hidden="1"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5.75" hidden="1"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5.75" hidden="1"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5.75" hidden="1"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5.75" hidden="1"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5.75" hidden="1"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5.75" hidden="1"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5.75" hidden="1"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5.75" hidden="1"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5.75" hidden="1"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5.75" hidden="1"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5.75" hidden="1"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5.75" hidden="1"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5.75" hidden="1"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5.75" hidden="1"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5.75" hidden="1"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5.75" hidden="1"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5.75" hidden="1"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5.75" hidden="1"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5.75" hidden="1"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5.75" hidden="1"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5.75" hidden="1"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5.75" hidden="1"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5.75" hidden="1"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5.75" hidden="1"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5.75" hidden="1"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5.75" hidden="1"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5.75" hidden="1"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5.75" hidden="1"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5.75" hidden="1"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5.75" hidden="1"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5.75" hidden="1"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5.75" hidden="1"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5.75" hidden="1"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5.75" hidden="1"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5.75" hidden="1"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5.75" hidden="1"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5.75" hidden="1"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5.75" hidden="1"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5.75" hidden="1"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5.75" hidden="1"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5.75" hidden="1"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5.75" hidden="1"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5.75" hidden="1"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5.75" hidden="1"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5.75" hidden="1"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5.75" hidden="1"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5.75" hidden="1"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5.75" hidden="1"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5.75" hidden="1"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5.75" hidden="1"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5.75" hidden="1"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5.75" hidden="1"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5.75" hidden="1"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5.75" hidden="1"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5.75" hidden="1"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5.75" hidden="1"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5.75" hidden="1"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5.75" hidden="1"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5.75" hidden="1"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5.75" hidden="1"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5.75" hidden="1"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5.75" hidden="1"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5.75" hidden="1"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5.75" hidden="1"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5.75" hidden="1"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5.75" hidden="1"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5.75" hidden="1"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5.75" hidden="1"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5.75" hidden="1"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5.75" hidden="1"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5.75" hidden="1"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5.75" hidden="1"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5.75" hidden="1"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5.75" hidden="1"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5.75" hidden="1"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5.75" hidden="1"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5.75" hidden="1"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5.75" hidden="1"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5.75" hidden="1"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5.75" hidden="1"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5.75" hidden="1"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5.75" hidden="1"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5.75" hidden="1"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5.75" hidden="1"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5.75" hidden="1"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5.75" hidden="1"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5.75" hidden="1"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5.75" hidden="1"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5.75" hidden="1"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5.75" hidden="1"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5.75" hidden="1"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5.75" hidden="1"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5.75" hidden="1"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5.75" hidden="1"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5.75" hidden="1"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5.75" hidden="1"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5.75" hidden="1"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5.75" hidden="1"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5.75" hidden="1"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5.75" hidden="1"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5.75" hidden="1"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5.75" hidden="1"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5.75" hidden="1"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5.75" hidden="1"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5.75" hidden="1"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5.75" hidden="1"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5.75" hidden="1"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5.75" hidden="1"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5.75" hidden="1"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5.75" hidden="1"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5.75" hidden="1"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5.75" hidden="1"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5.75" hidden="1"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5.75" hidden="1"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5.75" hidden="1"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5.75" hidden="1"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5.75" hidden="1"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5.75" hidden="1"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5.75" hidden="1"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5.75" hidden="1"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5.75" hidden="1"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5.75" hidden="1"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5.75" hidden="1"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5.75" hidden="1"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5.75" hidden="1"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5.75" hidden="1"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5.75" hidden="1"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5.75" hidden="1"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5.75" hidden="1"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5.75" hidden="1"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5.75" hidden="1"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5.75" hidden="1"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5.75" hidden="1"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5.75" hidden="1"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5.75" hidden="1"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5.75" hidden="1"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5.75" hidden="1"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5.75" hidden="1"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5.75" hidden="1"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5.75" hidden="1"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5.75" hidden="1"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5.75" hidden="1"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5.75" hidden="1"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5.75" hidden="1"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5.75" hidden="1"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5.75" hidden="1"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5.75" hidden="1"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5.75" hidden="1"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5.75" hidden="1"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5.75" hidden="1"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5.75" hidden="1"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5.75" hidden="1"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5.75" hidden="1"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5.75" hidden="1"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5.75" hidden="1"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5.75" hidden="1"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5.75" hidden="1"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5.75" hidden="1"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5.75" hidden="1"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5.75" hidden="1"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5.75" hidden="1"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5.75" hidden="1"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5.75" hidden="1"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5.75" hidden="1"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5.75" hidden="1"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5.75" hidden="1"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5.75" hidden="1"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5.75" hidden="1"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5.75" hidden="1"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5.75" hidden="1"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5.75" hidden="1"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5.75" hidden="1"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5.75" hidden="1"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5.75" hidden="1"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5.75" hidden="1"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5.75" hidden="1"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5.75" hidden="1"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5.75" hidden="1"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5.75" hidden="1"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5.75" hidden="1"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5.75" hidden="1"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5.75" hidden="1"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5.75" hidden="1"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5.75" hidden="1"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5.75" hidden="1"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5.75" hidden="1"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5.75" hidden="1"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5.75" hidden="1"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5.75" hidden="1"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5.75" hidden="1"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5.75" hidden="1"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5.75" hidden="1"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5.75" hidden="1"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5.75" hidden="1"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5.75" hidden="1"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5.75" hidden="1"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5.75" hidden="1"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5.75" hidden="1"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5.75" hidden="1"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5.75" hidden="1"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5.75" hidden="1"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5.75" hidden="1"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5.75" hidden="1"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5.75" hidden="1"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5.75" hidden="1"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5.75" hidden="1"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5.75" hidden="1"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5.75" hidden="1"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5.75" hidden="1"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5.75" hidden="1"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5.75" hidden="1"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5.75" hidden="1"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5.75" hidden="1"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5.75" hidden="1"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5.75" hidden="1"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5.75" hidden="1"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5.75" hidden="1"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5.75" hidden="1"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5.75" hidden="1"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5.75" hidden="1"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5.75" hidden="1"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5.75" hidden="1"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5.75" hidden="1"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5.75" hidden="1"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5.75" hidden="1"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5.75" hidden="1"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5.75" hidden="1"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5.75" hidden="1"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5.75" hidden="1"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5.75" hidden="1"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5.75" hidden="1"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5.75" hidden="1"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5.75" hidden="1"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5.75" hidden="1"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5.75" hidden="1"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5.75" hidden="1"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5.75" hidden="1"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5.75" hidden="1"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5.75" hidden="1"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5.75" hidden="1"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5.75" hidden="1"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5.75" hidden="1"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5.75" hidden="1"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5.75" hidden="1"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5.75" hidden="1"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5.75" hidden="1"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5.75" hidden="1"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5.75" hidden="1"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5.75" hidden="1"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5.75" hidden="1"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5.75" hidden="1"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5.75" hidden="1"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5.75" hidden="1"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5.75" hidden="1"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5.75" hidden="1"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5.75" hidden="1"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5.75" hidden="1"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5.75" hidden="1"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5.75" hidden="1"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5.75" hidden="1"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5.75" hidden="1"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5.75" hidden="1"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5.75" hidden="1"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5.75" hidden="1"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5.75" hidden="1"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5.75" hidden="1"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5.75" hidden="1"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5.75" hidden="1"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5.75" hidden="1"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5.75" hidden="1"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5.75" hidden="1"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5.75" hidden="1"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5.75" hidden="1"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5.75" hidden="1"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5.75" hidden="1"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5.75" hidden="1"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5.75" hidden="1"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5.75" hidden="1"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5.75" hidden="1"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5.75" hidden="1"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5.75" hidden="1"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5.75" hidden="1"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5.75" hidden="1"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5.75" hidden="1"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5.75" hidden="1"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5.75" hidden="1"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5.75" hidden="1"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5.75" hidden="1"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5.75" hidden="1"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5.75" hidden="1"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5.75" hidden="1"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5.75" hidden="1"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5.75" hidden="1"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5.75" hidden="1"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5.75" hidden="1"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5.75" hidden="1"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5.75" hidden="1"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5.75" hidden="1"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5.75" hidden="1"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5.75" hidden="1"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5.75" hidden="1"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5.75" hidden="1"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5.75" hidden="1"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5.75" hidden="1"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5.75" hidden="1"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5.75" hidden="1"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5.75" hidden="1"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5.75" hidden="1"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5.75" hidden="1"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5.75" hidden="1"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5.75" hidden="1"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5.75" hidden="1"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5.75" hidden="1"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5.75" hidden="1"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5.75" hidden="1"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5.75" hidden="1"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5.75" hidden="1"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5.75" hidden="1"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5.75" hidden="1"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5.75" hidden="1"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5.75" hidden="1"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5.75" hidden="1"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5.75" hidden="1"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5.75" hidden="1"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5.75" hidden="1"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5.75" hidden="1"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5.75" hidden="1"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5.75" hidden="1"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5.75" hidden="1"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5.75" hidden="1"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5.75" hidden="1"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5.75" hidden="1"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5.75" hidden="1"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5.75" hidden="1"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5.75" hidden="1"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5.75" hidden="1"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5.75" hidden="1"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5.75" hidden="1"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5.75" hidden="1"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5.75" hidden="1"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5.75" hidden="1"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5.75" hidden="1"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5.75" hidden="1"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5.75" hidden="1"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5.75" hidden="1"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5.75" hidden="1"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5.75" hidden="1"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5.75" hidden="1"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5.75" hidden="1"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5.75" hidden="1"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5.75" hidden="1"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5.75" hidden="1"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5.75" hidden="1"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5.75" hidden="1"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5.75" hidden="1"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5.75" hidden="1"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5.75" hidden="1"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5.75" hidden="1"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5.75" hidden="1"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5.75" hidden="1"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5.75" hidden="1"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5.75" hidden="1"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5.75" hidden="1"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5.75" hidden="1"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5.75" hidden="1"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5.75" hidden="1"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5.75" hidden="1"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5.75" hidden="1"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5.75" hidden="1"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5.75" hidden="1"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5.75" hidden="1"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c r="X995" s="136"/>
      <c r="Y995" s="136"/>
      <c r="Z995" s="136"/>
    </row>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31</vt:i4>
      </vt:variant>
    </vt:vector>
  </HeadingPairs>
  <TitlesOfParts>
    <vt:vector size="50" baseType="lpstr">
      <vt:lpstr>PAI 2022 - V3</vt:lpstr>
      <vt:lpstr>Matriz de Seguimiento</vt:lpstr>
      <vt:lpstr>HV</vt:lpstr>
      <vt:lpstr>Procesos</vt:lpstr>
      <vt:lpstr>AN-01 PFI</vt:lpstr>
      <vt:lpstr>AN-02 PETI</vt:lpstr>
      <vt:lpstr>AN-03 PSPI</vt:lpstr>
      <vt:lpstr>AN-04 PTRSI</vt:lpstr>
      <vt:lpstr>AN-05 PINAR </vt:lpstr>
      <vt:lpstr>AN-06 PIC</vt:lpstr>
      <vt:lpstr>AN-07 PERH</vt:lpstr>
      <vt:lpstr>AN-08 PBI</vt:lpstr>
      <vt:lpstr>AN-09 SG-SST</vt:lpstr>
      <vt:lpstr>ODS</vt:lpstr>
      <vt:lpstr>PDD</vt:lpstr>
      <vt:lpstr>MIPG</vt:lpstr>
      <vt:lpstr>Listas</vt:lpstr>
      <vt:lpstr>Resultados</vt:lpstr>
      <vt:lpstr>Gráficos y Tablas</vt:lpstr>
      <vt:lpstr>'Gráficos y Tablas'!Área_de_impresión</vt:lpstr>
      <vt:lpstr>Comunicaciones</vt:lpstr>
      <vt:lpstr>Control_Interno</vt:lpstr>
      <vt:lpstr>Digital</vt:lpstr>
      <vt:lpstr>Gerencia</vt:lpstr>
      <vt:lpstr>Gestión_Ambiental</vt:lpstr>
      <vt:lpstr>Gestión_Documental</vt:lpstr>
      <vt:lpstr>OBJETIVOS</vt:lpstr>
      <vt:lpstr>OE_1</vt:lpstr>
      <vt:lpstr>OE_2</vt:lpstr>
      <vt:lpstr>OE_3</vt:lpstr>
      <vt:lpstr>OE_4</vt:lpstr>
      <vt:lpstr>OE_5</vt:lpstr>
      <vt:lpstr>PERIODICIDAD</vt:lpstr>
      <vt:lpstr>Planeación</vt:lpstr>
      <vt:lpstr>Producción</vt:lpstr>
      <vt:lpstr>Programación</vt:lpstr>
      <vt:lpstr>Proyectos_Estratégicos</vt:lpstr>
      <vt:lpstr>Resultados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TENDENCIA</vt:lpstr>
      <vt:lpstr>TIPO</vt:lpstr>
      <vt:lpstr>'AN-01 PFI'!Títulos_a_imprimir</vt:lpstr>
      <vt:lpstr>'Matriz de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 García López</cp:lastModifiedBy>
  <cp:lastPrinted>2022-08-04T00:48:12Z</cp:lastPrinted>
  <dcterms:created xsi:type="dcterms:W3CDTF">2020-03-06T14:30:33Z</dcterms:created>
  <dcterms:modified xsi:type="dcterms:W3CDTF">2022-08-26T00:35:20Z</dcterms:modified>
</cp:coreProperties>
</file>