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hidePivotFieldList="1"/>
  <mc:AlternateContent xmlns:mc="http://schemas.openxmlformats.org/markup-compatibility/2006">
    <mc:Choice Requires="x15">
      <x15ac:absPath xmlns:x15ac="http://schemas.microsoft.com/office/spreadsheetml/2010/11/ac" url="C:\Users\jofga\Documents\John F\2023\PAI\T4-2022\"/>
    </mc:Choice>
  </mc:AlternateContent>
  <xr:revisionPtr revIDLastSave="0" documentId="13_ncr:1_{AFE26111-5ADA-4537-B4CC-C437EFE2E15D}" xr6:coauthVersionLast="47" xr6:coauthVersionMax="47" xr10:uidLastSave="{00000000-0000-0000-0000-000000000000}"/>
  <bookViews>
    <workbookView xWindow="-120" yWindow="-120" windowWidth="20730" windowHeight="11310" tabRatio="928" activeTab="1" xr2:uid="{00000000-000D-0000-FFFF-FFFF00000000}"/>
  </bookViews>
  <sheets>
    <sheet name="PAI 2022 - V4" sheetId="3" r:id="rId1"/>
    <sheet name="Matriz de Seguimiento" sheetId="20" r:id="rId2"/>
    <sheet name="HV" sheetId="21" state="hidden" r:id="rId3"/>
    <sheet name="Procesos" sheetId="24" state="hidden" r:id="rId4"/>
    <sheet name="AN-01 PFI" sheetId="19" state="hidden" r:id="rId5"/>
    <sheet name="AN-02 PETI" sheetId="10" state="hidden" r:id="rId6"/>
    <sheet name="AN-03 PSPI" sheetId="11" state="hidden" r:id="rId7"/>
    <sheet name="AN-04 PTRSI" sheetId="12" state="hidden" r:id="rId8"/>
    <sheet name="AN-05 PINAR " sheetId="13" state="hidden" r:id="rId9"/>
    <sheet name="AN-06 PIC" sheetId="14" state="hidden" r:id="rId10"/>
    <sheet name="AN-07 PERH" sheetId="16" state="hidden" r:id="rId11"/>
    <sheet name="AN-08 PBI" sheetId="15" state="hidden" r:id="rId12"/>
    <sheet name="AN-09 SG-SST" sheetId="17" state="hidden" r:id="rId13"/>
    <sheet name="ODS" sheetId="7" state="hidden" r:id="rId14"/>
    <sheet name="PDD" sheetId="8" state="hidden" r:id="rId15"/>
    <sheet name="MIPG" sheetId="9" state="hidden" r:id="rId16"/>
    <sheet name="Listas" sheetId="6" state="hidden" r:id="rId17"/>
    <sheet name="Resultados" sheetId="25" state="hidden" r:id="rId18"/>
    <sheet name="Gráficos y Tablas" sheetId="26" r:id="rId19"/>
  </sheets>
  <externalReferences>
    <externalReference r:id="rId20"/>
    <externalReference r:id="rId21"/>
    <externalReference r:id="rId22"/>
    <externalReference r:id="rId23"/>
  </externalReferences>
  <definedNames>
    <definedName name="_xlnm._FilterDatabase" localSheetId="4" hidden="1">'AN-01 PFI'!$A$11:$I$56</definedName>
    <definedName name="_xlnm._FilterDatabase" localSheetId="1" hidden="1">'Matriz de Seguimiento'!$A$5:$AT$54</definedName>
    <definedName name="_xlnm._FilterDatabase" localSheetId="0" hidden="1">'PAI 2022 - V4'!$A$7:$AD$56</definedName>
    <definedName name="_xlnm._FilterDatabase" localSheetId="14" hidden="1">PDD!$A$3:$C$38</definedName>
    <definedName name="_xlnm.Print_Area" localSheetId="18">'Gráficos y Tablas'!$A$1:$Q$62</definedName>
    <definedName name="Áreas" localSheetId="18">[1]LISTAS!$B$3:$B$19</definedName>
    <definedName name="Áreas" localSheetId="2">[2]LISTAS!$B$3:$B$19</definedName>
    <definedName name="Áreas" localSheetId="17">[1]LISTAS!$B$3:$B$19</definedName>
    <definedName name="Áreas">[3]LISTAS!$B$3:$B$19</definedName>
    <definedName name="Comunicaciones">Procesos!$E$3:$E$6</definedName>
    <definedName name="Control_Interno">Procesos!$T$3:$T$8</definedName>
    <definedName name="Digital">Procesos!$H$3</definedName>
    <definedName name="Gerencia">Procesos!$C$3:$C$5</definedName>
    <definedName name="Gestión_Ambiental">Procesos!$O$3</definedName>
    <definedName name="Gestión_Documental">Procesos!$L$3</definedName>
    <definedName name="OBJ_PROCESO" localSheetId="4">#REF!</definedName>
    <definedName name="OBJ_PROCESO" localSheetId="18">#REF!</definedName>
    <definedName name="OBJ_PROCESO" localSheetId="2">#REF!</definedName>
    <definedName name="OBJ_PROCESO" localSheetId="17">#REF!</definedName>
    <definedName name="OBJ_PROCESO">#REF!</definedName>
    <definedName name="OBJET" localSheetId="4">#REF!</definedName>
    <definedName name="OBJET" localSheetId="18">#REF!</definedName>
    <definedName name="OBJET" localSheetId="2">#REF!</definedName>
    <definedName name="OBJET" localSheetId="17">#REF!</definedName>
    <definedName name="OBJET">#REF!</definedName>
    <definedName name="Objetivos" localSheetId="4">'[4]PAI 2021 - V1'!$E$60:$E$65</definedName>
    <definedName name="Objetivos" localSheetId="2">'[2]PAI 2021 - V3'!$E$61:$E$66</definedName>
    <definedName name="OBJETIVOS">Listas!$C$3:$C$7</definedName>
    <definedName name="OE_1">Listas!$D$3:$D$7</definedName>
    <definedName name="OE_2">Listas!$E$3:$E$6</definedName>
    <definedName name="OE_3">Listas!$F$3:$F$6</definedName>
    <definedName name="OE_4">Listas!$G$2:$G$6</definedName>
    <definedName name="OE_5">Listas!$H$3:$H$6</definedName>
    <definedName name="PERIODICIDAD">Listas!$A$13:$A$16</definedName>
    <definedName name="Planeación">Procesos!$D$3:$D$6</definedName>
    <definedName name="Producción">Procesos!$F$3:$F$4</definedName>
    <definedName name="Programación">Procesos!$I$3</definedName>
    <definedName name="Proyectos_Estratégicos">Procesos!$G$3:$G$4</definedName>
    <definedName name="resultados" localSheetId="4">#REF!</definedName>
    <definedName name="resultados" localSheetId="18">#REF!</definedName>
    <definedName name="resultados" localSheetId="2">#REF!</definedName>
    <definedName name="resultados" localSheetId="17">#REF!</definedName>
    <definedName name="Resultados">Listas!$A$19:$A$23</definedName>
    <definedName name="Secretaría_General">Procesos!$R$3:$R$5</definedName>
    <definedName name="Servicio_Ciudadano">Procesos!$S$3:$S$4</definedName>
    <definedName name="Servicios_Administrativos">Procesos!$M$3:$M$4</definedName>
    <definedName name="Sistemas">Procesos!$N$3:$N$5</definedName>
    <definedName name="Subdirección_Administrativa">Procesos!$P$3</definedName>
    <definedName name="Subdirección_Financiera">Procesos!$Q$3:$Q$8</definedName>
    <definedName name="Talento_Humano">Procesos!$K$3:$K$7</definedName>
    <definedName name="Técnica">Procesos!$J$3</definedName>
    <definedName name="TENDENCIA">Listas!$A$8:$A$10</definedName>
    <definedName name="tipo" localSheetId="4">'[4]PAI 2021 - V1'!$AF$6:$AF$8</definedName>
    <definedName name="tipo" localSheetId="18">'[1]PAI 2021 - V4'!$AK$6:$AK$8</definedName>
    <definedName name="tipo" localSheetId="2">'[2]PAI 2021 - V3'!$AK$6:$AK$8</definedName>
    <definedName name="tipo" localSheetId="17">'[1]PAI 2021 - V4'!$AK$6:$AK$8</definedName>
    <definedName name="TIPO">Listas!$A$3:$A$5</definedName>
    <definedName name="_xlnm.Print_Titles" localSheetId="4">'AN-01 PFI'!$7:$11</definedName>
    <definedName name="_xlnm.Print_Titles" localSheetId="1">'Matriz de Seguimiento'!$1:$5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12" i="20" l="1"/>
  <c r="AC6" i="20"/>
  <c r="AO40" i="20" l="1"/>
  <c r="AM6" i="20" l="1"/>
  <c r="AL49" i="20" l="1"/>
  <c r="AM42" i="20" l="1"/>
  <c r="AJ42" i="20"/>
  <c r="AG42" i="20"/>
  <c r="AD42" i="20"/>
  <c r="AM41" i="20"/>
  <c r="AN40" i="20"/>
  <c r="AM40" i="20"/>
  <c r="AO39" i="20"/>
  <c r="AN39" i="20"/>
  <c r="AM39" i="20"/>
  <c r="AO38" i="20"/>
  <c r="AN38" i="20"/>
  <c r="AM38" i="20"/>
  <c r="AM37" i="20"/>
  <c r="AJ53" i="20" l="1"/>
  <c r="AM52" i="20"/>
  <c r="AJ51" i="20"/>
  <c r="AL50" i="20"/>
  <c r="AM48" i="20"/>
  <c r="AO47" i="20" l="1"/>
  <c r="AN47" i="20"/>
  <c r="AM47" i="20"/>
  <c r="AM46" i="20"/>
  <c r="AM45" i="20" l="1"/>
  <c r="AM44" i="20"/>
  <c r="AM43" i="20"/>
  <c r="AM36" i="20" l="1"/>
  <c r="AM35" i="20"/>
  <c r="AM34" i="20"/>
  <c r="AM33" i="20"/>
  <c r="AM32" i="20"/>
  <c r="AJ32" i="20"/>
  <c r="AG32" i="20"/>
  <c r="AD32" i="20"/>
  <c r="AM31" i="20"/>
  <c r="AM30" i="20"/>
  <c r="AM29" i="20"/>
  <c r="AM28" i="20"/>
  <c r="AM27" i="20"/>
  <c r="AM26" i="20"/>
  <c r="AM25" i="20"/>
  <c r="AM24" i="20"/>
  <c r="AM22" i="20" l="1"/>
  <c r="AO23" i="20"/>
  <c r="AM23" i="20"/>
  <c r="AN23" i="20"/>
  <c r="AM21" i="20"/>
  <c r="AM20" i="20"/>
  <c r="AM19" i="20"/>
  <c r="AL18" i="20" l="1"/>
  <c r="AH18" i="20"/>
  <c r="AD18" i="20"/>
  <c r="AM16" i="20" l="1"/>
  <c r="AM15" i="20"/>
  <c r="AM14" i="20"/>
  <c r="AM11" i="20"/>
  <c r="AO10" i="20"/>
  <c r="AN10" i="20"/>
  <c r="AM10" i="20"/>
  <c r="AM9" i="20"/>
  <c r="AM8" i="20" l="1"/>
  <c r="AM7" i="20"/>
  <c r="D20" i="3" l="1"/>
  <c r="D19" i="3"/>
  <c r="AJ6" i="20" l="1"/>
  <c r="AJ16" i="20" l="1"/>
  <c r="AJ15" i="20"/>
  <c r="AJ14" i="20"/>
  <c r="AJ8" i="20" l="1"/>
  <c r="AJ7" i="20"/>
  <c r="AJ36" i="20"/>
  <c r="AJ35" i="20"/>
  <c r="AJ34" i="20"/>
  <c r="AJ33" i="20"/>
  <c r="AJ31" i="20"/>
  <c r="AJ30" i="20"/>
  <c r="AJ29" i="20"/>
  <c r="AJ28" i="20"/>
  <c r="AJ27" i="20"/>
  <c r="AJ26" i="20"/>
  <c r="AJ25" i="20"/>
  <c r="AJ24" i="20"/>
  <c r="AJ41" i="20" l="1"/>
  <c r="AL40" i="20"/>
  <c r="AK40" i="20"/>
  <c r="AJ40" i="20"/>
  <c r="AL39" i="20"/>
  <c r="AK39" i="20"/>
  <c r="AJ39" i="20"/>
  <c r="AL38" i="20"/>
  <c r="AK38" i="20"/>
  <c r="AJ38" i="20"/>
  <c r="AJ37" i="20"/>
  <c r="AJ52" i="20"/>
  <c r="AH50" i="20"/>
  <c r="AH49" i="20"/>
  <c r="AJ48" i="20"/>
  <c r="AJ43" i="20" l="1"/>
  <c r="AJ45" i="20" l="1"/>
  <c r="AJ44" i="20"/>
  <c r="AJ46" i="20" l="1"/>
  <c r="AL47" i="20"/>
  <c r="AK47" i="20"/>
  <c r="AJ47" i="20"/>
  <c r="AL23" i="20" l="1"/>
  <c r="AK23" i="20"/>
  <c r="AJ23" i="20"/>
  <c r="AJ22" i="20"/>
  <c r="AJ21" i="20"/>
  <c r="AJ20" i="20"/>
  <c r="AJ19" i="20"/>
  <c r="AJ12" i="20" l="1"/>
  <c r="AJ11" i="20"/>
  <c r="AL10" i="20"/>
  <c r="AK10" i="20"/>
  <c r="AJ10" i="20"/>
  <c r="AI10" i="20"/>
  <c r="AH10" i="20"/>
  <c r="AG10" i="20"/>
  <c r="AJ9" i="20"/>
  <c r="AD9" i="20"/>
  <c r="D55" i="3"/>
  <c r="D54" i="3"/>
  <c r="D53" i="3"/>
  <c r="D52" i="3"/>
  <c r="D51" i="3"/>
  <c r="D50" i="3"/>
  <c r="D22" i="3"/>
  <c r="D21" i="3"/>
  <c r="D18" i="3"/>
  <c r="D17" i="3"/>
  <c r="D16" i="3"/>
  <c r="D14" i="3"/>
  <c r="D13" i="3"/>
  <c r="D12" i="3"/>
  <c r="D11" i="3"/>
  <c r="D10" i="3"/>
  <c r="R9" i="3"/>
  <c r="U9" i="3" s="1"/>
  <c r="D9" i="3"/>
  <c r="D8" i="3"/>
  <c r="V9" i="3" l="1"/>
  <c r="W9" i="3"/>
  <c r="AD8" i="20"/>
  <c r="AG8" i="20"/>
  <c r="AG7" i="20"/>
  <c r="AG36" i="20"/>
  <c r="AP1" i="20" l="1"/>
  <c r="AG35" i="20" l="1"/>
  <c r="AG34" i="20"/>
  <c r="AG33" i="20"/>
  <c r="AG31" i="20"/>
  <c r="AG30" i="20"/>
  <c r="AG29" i="20"/>
  <c r="AG28" i="20"/>
  <c r="AG27" i="20"/>
  <c r="AG26" i="20"/>
  <c r="AG25" i="20"/>
  <c r="AG24" i="20"/>
  <c r="AG41" i="20" l="1"/>
  <c r="AI40" i="20"/>
  <c r="AH40" i="20"/>
  <c r="AG40" i="20"/>
  <c r="AI39" i="20"/>
  <c r="AH39" i="20"/>
  <c r="AG39" i="20"/>
  <c r="AI38" i="20"/>
  <c r="AH38" i="20"/>
  <c r="AG38" i="20"/>
  <c r="AG37" i="20"/>
  <c r="AD52" i="20" l="1"/>
  <c r="AG48" i="20"/>
  <c r="AD49" i="20"/>
  <c r="AD50" i="20"/>
  <c r="AD51" i="20"/>
  <c r="AG52" i="20"/>
  <c r="AD53" i="20"/>
  <c r="AG45" i="20" l="1"/>
  <c r="AG44" i="20"/>
  <c r="AG43" i="20"/>
  <c r="AI47" i="20" l="1"/>
  <c r="AH47" i="20"/>
  <c r="AG47" i="20"/>
  <c r="AG46" i="20"/>
  <c r="AD45" i="20"/>
  <c r="AI23" i="20" l="1"/>
  <c r="AG23" i="20"/>
  <c r="AH23" i="20"/>
  <c r="AG20" i="20"/>
  <c r="AG22" i="20"/>
  <c r="AG21" i="20"/>
  <c r="AG19" i="20"/>
  <c r="I19" i="20"/>
  <c r="AG16" i="20" l="1"/>
  <c r="AG15" i="20"/>
  <c r="AG14" i="20"/>
  <c r="AG13" i="20"/>
  <c r="AG12" i="20"/>
  <c r="AG9" i="20"/>
  <c r="AG11" i="20"/>
  <c r="AG6" i="20" l="1"/>
  <c r="D15" i="3" l="1"/>
  <c r="K20" i="26" l="1"/>
  <c r="I31" i="25"/>
  <c r="K31" i="25" s="1"/>
  <c r="I32" i="25"/>
  <c r="K32" i="25" s="1"/>
  <c r="I33" i="25"/>
  <c r="K33" i="25" s="1"/>
  <c r="I34" i="25"/>
  <c r="K34" i="25" s="1"/>
  <c r="I35" i="25"/>
  <c r="K35" i="25"/>
  <c r="I36" i="25"/>
  <c r="K36" i="25"/>
  <c r="I37" i="25"/>
  <c r="K37" i="25" s="1"/>
  <c r="I38" i="25"/>
  <c r="K38" i="25" s="1"/>
  <c r="I30" i="25"/>
  <c r="K30" i="25" s="1"/>
  <c r="I23" i="25"/>
  <c r="K23" i="25" s="1"/>
  <c r="I24" i="25"/>
  <c r="K24" i="25" s="1"/>
  <c r="I25" i="25"/>
  <c r="K25" i="25" s="1"/>
  <c r="I26" i="25"/>
  <c r="K26" i="25" s="1"/>
  <c r="I22" i="25"/>
  <c r="K22" i="25" s="1"/>
  <c r="H27" i="25"/>
  <c r="G27" i="25"/>
  <c r="F27" i="25"/>
  <c r="E27" i="25"/>
  <c r="D27" i="25"/>
  <c r="AD36" i="20"/>
  <c r="AD6" i="20" l="1"/>
  <c r="D15" i="25" l="1"/>
  <c r="G15" i="25" s="1"/>
  <c r="K14" i="25"/>
  <c r="D14" i="25"/>
  <c r="G14" i="25" s="1"/>
  <c r="D13" i="25"/>
  <c r="G13" i="25" s="1"/>
  <c r="D12" i="25"/>
  <c r="G12" i="25" s="1"/>
  <c r="D11" i="25"/>
  <c r="G11" i="25" s="1"/>
  <c r="D16" i="25" l="1"/>
  <c r="E15" i="25" s="1"/>
  <c r="G16" i="25"/>
  <c r="E13" i="25" l="1"/>
  <c r="C10" i="25"/>
  <c r="K16" i="25" s="1"/>
  <c r="E11" i="25"/>
  <c r="E14" i="25"/>
  <c r="E12" i="25"/>
  <c r="D18" i="25" l="1"/>
  <c r="K17" i="25"/>
  <c r="K19" i="25" s="1"/>
  <c r="AD35" i="20"/>
  <c r="AD34" i="20"/>
  <c r="AD33" i="20"/>
  <c r="AD31" i="20"/>
  <c r="AD30" i="20"/>
  <c r="AD29" i="20"/>
  <c r="AD28" i="20"/>
  <c r="AD27" i="20"/>
  <c r="AD26" i="20"/>
  <c r="AD25" i="20"/>
  <c r="AD24" i="20"/>
  <c r="AD48" i="20" l="1"/>
  <c r="AD41" i="20" l="1"/>
  <c r="AF40" i="20"/>
  <c r="AE40" i="20"/>
  <c r="AD40" i="20"/>
  <c r="AF39" i="20"/>
  <c r="AF38" i="20"/>
  <c r="AE39" i="20"/>
  <c r="AD39" i="20"/>
  <c r="AE38" i="20"/>
  <c r="AD38" i="20"/>
  <c r="AD37" i="20"/>
  <c r="AF47" i="20" l="1"/>
  <c r="AE47" i="20"/>
  <c r="AD47" i="20"/>
  <c r="AD44" i="20" l="1"/>
  <c r="AD43" i="20"/>
  <c r="AE23" i="20" l="1"/>
  <c r="AF23" i="20"/>
  <c r="AD23" i="20"/>
  <c r="AD22" i="20" l="1"/>
  <c r="AD21" i="20"/>
  <c r="AD20" i="20"/>
  <c r="AD19" i="20"/>
  <c r="AD16" i="20" l="1"/>
  <c r="AD15" i="20"/>
  <c r="AD14" i="20"/>
  <c r="AD13" i="20"/>
  <c r="AD17" i="20" l="1"/>
  <c r="AG17" i="20" s="1"/>
  <c r="AJ17" i="20" s="1"/>
  <c r="AM17" i="20" s="1"/>
  <c r="C8" i="21"/>
  <c r="AD12" i="20" l="1"/>
  <c r="AD11" i="20"/>
  <c r="AF10" i="20"/>
  <c r="AE10" i="20"/>
  <c r="AD10" i="20"/>
  <c r="AD7" i="20" l="1"/>
  <c r="I30" i="20" l="1"/>
  <c r="J20" i="20"/>
  <c r="I20" i="20"/>
  <c r="B7" i="20"/>
  <c r="C7" i="20"/>
  <c r="D7" i="20"/>
  <c r="F7" i="20"/>
  <c r="G7" i="20"/>
  <c r="H7" i="20"/>
  <c r="A7" i="20" s="1"/>
  <c r="I7" i="20"/>
  <c r="J7" i="20"/>
  <c r="K7" i="20"/>
  <c r="L7" i="20"/>
  <c r="M7" i="20"/>
  <c r="N7" i="20"/>
  <c r="O7" i="20"/>
  <c r="P7" i="20"/>
  <c r="Q7" i="20"/>
  <c r="R7" i="20"/>
  <c r="S7" i="20"/>
  <c r="T7" i="20"/>
  <c r="U7" i="20"/>
  <c r="Y7" i="20"/>
  <c r="Z7" i="20"/>
  <c r="AA7" i="20"/>
  <c r="AB7" i="20"/>
  <c r="AC7" i="20"/>
  <c r="B8" i="20"/>
  <c r="C8" i="20"/>
  <c r="D8" i="20"/>
  <c r="F8" i="20"/>
  <c r="G8" i="20"/>
  <c r="H8" i="20"/>
  <c r="A8" i="20" s="1"/>
  <c r="I8" i="20"/>
  <c r="J8" i="20"/>
  <c r="K8" i="20"/>
  <c r="L8" i="20"/>
  <c r="M8" i="20"/>
  <c r="N8" i="20"/>
  <c r="O8" i="20"/>
  <c r="P8" i="20"/>
  <c r="Q8" i="20"/>
  <c r="R8" i="20"/>
  <c r="S8" i="20"/>
  <c r="T8" i="20"/>
  <c r="U8" i="20"/>
  <c r="V8" i="20"/>
  <c r="W8" i="20"/>
  <c r="X8" i="20"/>
  <c r="Y8" i="20"/>
  <c r="Z8" i="20"/>
  <c r="AA8" i="20"/>
  <c r="AB8" i="20"/>
  <c r="AC8" i="20"/>
  <c r="B9" i="20"/>
  <c r="C9" i="20"/>
  <c r="D9" i="20"/>
  <c r="F9" i="20"/>
  <c r="G9" i="20"/>
  <c r="H9" i="20"/>
  <c r="A9" i="20" s="1"/>
  <c r="I9" i="20"/>
  <c r="J9" i="20"/>
  <c r="K9" i="20"/>
  <c r="L9" i="20"/>
  <c r="M9" i="20"/>
  <c r="N9" i="20"/>
  <c r="O9" i="20"/>
  <c r="P9" i="20"/>
  <c r="Q9" i="20"/>
  <c r="R9" i="20"/>
  <c r="S9" i="20"/>
  <c r="T9" i="20"/>
  <c r="U9" i="20"/>
  <c r="V9" i="20"/>
  <c r="W9" i="20"/>
  <c r="X9" i="20"/>
  <c r="Y9" i="20"/>
  <c r="Z9" i="20"/>
  <c r="AA9" i="20"/>
  <c r="AB9" i="20"/>
  <c r="AC9" i="20"/>
  <c r="B10" i="20"/>
  <c r="C10" i="20"/>
  <c r="D10" i="20"/>
  <c r="F10" i="20"/>
  <c r="G10" i="20"/>
  <c r="H10" i="20"/>
  <c r="A10" i="20" s="1"/>
  <c r="I10" i="20"/>
  <c r="J10" i="20"/>
  <c r="K10" i="20"/>
  <c r="L10" i="20"/>
  <c r="M10" i="20"/>
  <c r="N10" i="20"/>
  <c r="O10" i="20"/>
  <c r="P10" i="20"/>
  <c r="Q10" i="20"/>
  <c r="R10" i="20"/>
  <c r="S10" i="20"/>
  <c r="T10" i="20"/>
  <c r="U10" i="20"/>
  <c r="V10" i="20"/>
  <c r="W10" i="20"/>
  <c r="X10" i="20"/>
  <c r="Y10" i="20"/>
  <c r="Z10" i="20"/>
  <c r="AA10" i="20"/>
  <c r="AB10" i="20"/>
  <c r="AC10" i="20"/>
  <c r="B11" i="20"/>
  <c r="C11" i="20"/>
  <c r="D11" i="20"/>
  <c r="F11" i="20"/>
  <c r="G11" i="20"/>
  <c r="H11" i="20"/>
  <c r="A11" i="20" s="1"/>
  <c r="I11" i="20"/>
  <c r="J11" i="20"/>
  <c r="K11" i="20"/>
  <c r="L11" i="20"/>
  <c r="M11" i="20"/>
  <c r="N11" i="20"/>
  <c r="O11" i="20"/>
  <c r="P11" i="20"/>
  <c r="Q11" i="20"/>
  <c r="R11" i="20"/>
  <c r="S11" i="20"/>
  <c r="T11" i="20"/>
  <c r="U11" i="20"/>
  <c r="V11" i="20"/>
  <c r="W11" i="20"/>
  <c r="X11" i="20"/>
  <c r="Y11" i="20"/>
  <c r="Z11" i="20"/>
  <c r="AA11" i="20"/>
  <c r="AB11" i="20"/>
  <c r="AC11" i="20"/>
  <c r="B12" i="20"/>
  <c r="C12" i="20"/>
  <c r="D12" i="20"/>
  <c r="F12" i="20"/>
  <c r="G12" i="20"/>
  <c r="H12" i="20"/>
  <c r="A12" i="20" s="1"/>
  <c r="I12" i="20"/>
  <c r="J12" i="20"/>
  <c r="K12" i="20"/>
  <c r="L12" i="20"/>
  <c r="M12" i="20"/>
  <c r="N12" i="20"/>
  <c r="O12" i="20"/>
  <c r="P12" i="20"/>
  <c r="Q12" i="20"/>
  <c r="R12" i="20"/>
  <c r="S12" i="20"/>
  <c r="T12" i="20"/>
  <c r="U12" i="20"/>
  <c r="V12" i="20"/>
  <c r="W12" i="20"/>
  <c r="X12" i="20"/>
  <c r="Y12" i="20"/>
  <c r="Z12" i="20"/>
  <c r="AA12" i="20"/>
  <c r="AB12" i="20"/>
  <c r="AC12" i="20"/>
  <c r="B13" i="20"/>
  <c r="C13" i="20"/>
  <c r="D13" i="20"/>
  <c r="F13" i="20"/>
  <c r="G13" i="20"/>
  <c r="H13" i="20"/>
  <c r="A13" i="20" s="1"/>
  <c r="I13" i="20"/>
  <c r="J13" i="20"/>
  <c r="K13" i="20"/>
  <c r="L13" i="20"/>
  <c r="M13" i="20"/>
  <c r="N13" i="20"/>
  <c r="O13" i="20"/>
  <c r="P13" i="20"/>
  <c r="Q13" i="20"/>
  <c r="R13" i="20"/>
  <c r="S13" i="20"/>
  <c r="T13" i="20"/>
  <c r="U13" i="20"/>
  <c r="V13" i="20"/>
  <c r="W13" i="20"/>
  <c r="X13" i="20"/>
  <c r="Y13" i="20"/>
  <c r="Z13" i="20"/>
  <c r="AA13" i="20"/>
  <c r="AB13" i="20"/>
  <c r="AC13" i="20"/>
  <c r="B14" i="20"/>
  <c r="C14" i="20"/>
  <c r="D14" i="20"/>
  <c r="F14" i="20"/>
  <c r="G14" i="20"/>
  <c r="H14" i="20"/>
  <c r="A14" i="20" s="1"/>
  <c r="I14" i="20"/>
  <c r="J14" i="20"/>
  <c r="K14" i="20"/>
  <c r="L14" i="20"/>
  <c r="M14" i="20"/>
  <c r="N14" i="20"/>
  <c r="O14" i="20"/>
  <c r="P14" i="20"/>
  <c r="Q14" i="20"/>
  <c r="R14" i="20"/>
  <c r="S14" i="20"/>
  <c r="T14" i="20"/>
  <c r="U14" i="20"/>
  <c r="V14" i="20"/>
  <c r="W14" i="20"/>
  <c r="X14" i="20"/>
  <c r="Y14" i="20"/>
  <c r="Z14" i="20"/>
  <c r="AA14" i="20"/>
  <c r="AB14" i="20"/>
  <c r="AC14" i="20"/>
  <c r="B15" i="20"/>
  <c r="C15" i="20"/>
  <c r="D15" i="20"/>
  <c r="F15" i="20"/>
  <c r="G15" i="20"/>
  <c r="H15" i="20"/>
  <c r="A15" i="20" s="1"/>
  <c r="I15" i="20"/>
  <c r="J15" i="20"/>
  <c r="K15" i="20"/>
  <c r="L15" i="20"/>
  <c r="M15" i="20"/>
  <c r="N15" i="20"/>
  <c r="O15" i="20"/>
  <c r="P15" i="20"/>
  <c r="Q15" i="20"/>
  <c r="R15" i="20"/>
  <c r="S15" i="20"/>
  <c r="T15" i="20"/>
  <c r="U15" i="20"/>
  <c r="V15" i="20"/>
  <c r="W15" i="20"/>
  <c r="X15" i="20"/>
  <c r="Y15" i="20"/>
  <c r="Z15" i="20"/>
  <c r="AA15" i="20"/>
  <c r="AB15" i="20"/>
  <c r="AC15" i="20"/>
  <c r="B16" i="20"/>
  <c r="C16" i="20"/>
  <c r="D16" i="20"/>
  <c r="F16" i="20"/>
  <c r="G16" i="20"/>
  <c r="H16" i="20"/>
  <c r="A16" i="20" s="1"/>
  <c r="I16" i="20"/>
  <c r="J16" i="20"/>
  <c r="K16" i="20"/>
  <c r="L16" i="20"/>
  <c r="M16" i="20"/>
  <c r="N16" i="20"/>
  <c r="O16" i="20"/>
  <c r="P16" i="20"/>
  <c r="Q16" i="20"/>
  <c r="R16" i="20"/>
  <c r="S16" i="20"/>
  <c r="T16" i="20"/>
  <c r="U16" i="20"/>
  <c r="V16" i="20"/>
  <c r="W16" i="20"/>
  <c r="X16" i="20"/>
  <c r="Y16" i="20"/>
  <c r="Z16" i="20"/>
  <c r="AA16" i="20"/>
  <c r="AB16" i="20"/>
  <c r="AC16" i="20"/>
  <c r="B17" i="20"/>
  <c r="C17" i="20"/>
  <c r="D17" i="20"/>
  <c r="F17" i="20"/>
  <c r="G17" i="20"/>
  <c r="H17" i="20"/>
  <c r="A17" i="20" s="1"/>
  <c r="I17" i="20"/>
  <c r="J17" i="20"/>
  <c r="K17" i="20"/>
  <c r="L17" i="20"/>
  <c r="M17" i="20"/>
  <c r="N17" i="20"/>
  <c r="O17" i="20"/>
  <c r="P17" i="20"/>
  <c r="Q17" i="20"/>
  <c r="R17" i="20"/>
  <c r="S17" i="20"/>
  <c r="T17" i="20"/>
  <c r="U17" i="20"/>
  <c r="V17" i="20"/>
  <c r="W17" i="20"/>
  <c r="X17" i="20"/>
  <c r="Y17" i="20"/>
  <c r="Z17" i="20"/>
  <c r="AA17" i="20"/>
  <c r="AB17" i="20"/>
  <c r="AC17" i="20"/>
  <c r="B18" i="20"/>
  <c r="C18" i="20"/>
  <c r="D18" i="20"/>
  <c r="F18" i="20"/>
  <c r="G18" i="20"/>
  <c r="H18" i="20"/>
  <c r="A18" i="20" s="1"/>
  <c r="I18" i="20"/>
  <c r="J18" i="20"/>
  <c r="K18" i="20"/>
  <c r="L18" i="20"/>
  <c r="M18" i="20"/>
  <c r="N18" i="20"/>
  <c r="O18" i="20"/>
  <c r="P18" i="20"/>
  <c r="Q18" i="20"/>
  <c r="R18" i="20"/>
  <c r="S18" i="20"/>
  <c r="T18" i="20"/>
  <c r="U18" i="20"/>
  <c r="V18" i="20"/>
  <c r="W18" i="20"/>
  <c r="X18" i="20"/>
  <c r="Y18" i="20"/>
  <c r="Z18" i="20"/>
  <c r="AA18" i="20"/>
  <c r="AB18" i="20"/>
  <c r="AC18" i="20"/>
  <c r="B19" i="20"/>
  <c r="C19" i="20"/>
  <c r="D19" i="20"/>
  <c r="F19" i="20"/>
  <c r="G19" i="20"/>
  <c r="H19" i="20"/>
  <c r="A19" i="20" s="1"/>
  <c r="J19" i="20"/>
  <c r="K19" i="20"/>
  <c r="L19" i="20"/>
  <c r="M19" i="20"/>
  <c r="N19" i="20"/>
  <c r="O19" i="20"/>
  <c r="P19" i="20"/>
  <c r="Q19" i="20"/>
  <c r="R19" i="20"/>
  <c r="S19" i="20"/>
  <c r="T19" i="20"/>
  <c r="U19" i="20"/>
  <c r="V19" i="20"/>
  <c r="W19" i="20"/>
  <c r="X19" i="20"/>
  <c r="Y19" i="20"/>
  <c r="Z19" i="20"/>
  <c r="AA19" i="20"/>
  <c r="AB19" i="20"/>
  <c r="AC19" i="20"/>
  <c r="B20" i="20"/>
  <c r="C20" i="20"/>
  <c r="D20" i="20"/>
  <c r="F20" i="20"/>
  <c r="G20" i="20"/>
  <c r="H20" i="20"/>
  <c r="A20" i="20" s="1"/>
  <c r="K20" i="20"/>
  <c r="L20" i="20"/>
  <c r="M20" i="20"/>
  <c r="N20" i="20"/>
  <c r="O20" i="20"/>
  <c r="P20" i="20"/>
  <c r="Q20" i="20"/>
  <c r="R20" i="20"/>
  <c r="S20" i="20"/>
  <c r="T20" i="20"/>
  <c r="U20" i="20"/>
  <c r="V20" i="20"/>
  <c r="W20" i="20"/>
  <c r="X20" i="20"/>
  <c r="Y20" i="20"/>
  <c r="Z20" i="20"/>
  <c r="AA20" i="20"/>
  <c r="AB20" i="20"/>
  <c r="AC20" i="20"/>
  <c r="B21" i="20"/>
  <c r="C21" i="20"/>
  <c r="D21" i="20"/>
  <c r="E21" i="20"/>
  <c r="F21" i="20"/>
  <c r="G21" i="20"/>
  <c r="H21" i="20"/>
  <c r="A21" i="20" s="1"/>
  <c r="I21" i="20"/>
  <c r="J21" i="20"/>
  <c r="K21" i="20"/>
  <c r="L21" i="20"/>
  <c r="M21" i="20"/>
  <c r="N21" i="20"/>
  <c r="O21" i="20"/>
  <c r="P21" i="20"/>
  <c r="Q21" i="20"/>
  <c r="R21" i="20"/>
  <c r="S21" i="20"/>
  <c r="T21" i="20"/>
  <c r="U21" i="20"/>
  <c r="V21" i="20"/>
  <c r="W21" i="20"/>
  <c r="X21" i="20"/>
  <c r="Y21" i="20"/>
  <c r="Z21" i="20"/>
  <c r="AA21" i="20"/>
  <c r="AB21" i="20"/>
  <c r="AC21" i="20"/>
  <c r="B22" i="20"/>
  <c r="C22" i="20"/>
  <c r="D22" i="20"/>
  <c r="E22" i="20"/>
  <c r="F22" i="20"/>
  <c r="G22" i="20"/>
  <c r="H22" i="20"/>
  <c r="A22" i="20" s="1"/>
  <c r="I22" i="20"/>
  <c r="J22" i="20"/>
  <c r="K22" i="20"/>
  <c r="L22" i="20"/>
  <c r="M22" i="20"/>
  <c r="N22" i="20"/>
  <c r="O22" i="20"/>
  <c r="P22" i="20"/>
  <c r="Q22" i="20"/>
  <c r="R22" i="20"/>
  <c r="S22" i="20"/>
  <c r="T22" i="20"/>
  <c r="U22" i="20"/>
  <c r="V22" i="20"/>
  <c r="W22" i="20"/>
  <c r="X22" i="20"/>
  <c r="Y22" i="20"/>
  <c r="Z22" i="20"/>
  <c r="AA22" i="20"/>
  <c r="AB22" i="20"/>
  <c r="AC22" i="20"/>
  <c r="B23" i="20"/>
  <c r="C23" i="20"/>
  <c r="D23" i="20"/>
  <c r="E23" i="20"/>
  <c r="F23" i="20"/>
  <c r="G23" i="20"/>
  <c r="H23" i="20"/>
  <c r="A23" i="20" s="1"/>
  <c r="I23" i="20"/>
  <c r="J23" i="20"/>
  <c r="K23" i="20"/>
  <c r="L23" i="20"/>
  <c r="M23" i="20"/>
  <c r="N23" i="20"/>
  <c r="O23" i="20"/>
  <c r="P23" i="20"/>
  <c r="Q23" i="20"/>
  <c r="R23" i="20"/>
  <c r="S23" i="20"/>
  <c r="T23" i="20"/>
  <c r="U23" i="20"/>
  <c r="V23" i="20"/>
  <c r="W23" i="20"/>
  <c r="X23" i="20"/>
  <c r="Y23" i="20"/>
  <c r="Z23" i="20"/>
  <c r="AA23" i="20"/>
  <c r="AB23" i="20"/>
  <c r="AC23" i="20"/>
  <c r="B24" i="20"/>
  <c r="C24" i="20"/>
  <c r="D24" i="20"/>
  <c r="E24" i="20"/>
  <c r="F24" i="20"/>
  <c r="G24" i="20"/>
  <c r="H24" i="20"/>
  <c r="A24" i="20" s="1"/>
  <c r="I24" i="20"/>
  <c r="J24" i="20"/>
  <c r="K24" i="20"/>
  <c r="L24" i="20"/>
  <c r="M24" i="20"/>
  <c r="N24" i="20"/>
  <c r="O24" i="20"/>
  <c r="P24" i="20"/>
  <c r="Q24" i="20"/>
  <c r="R24" i="20"/>
  <c r="S24" i="20"/>
  <c r="T24" i="20"/>
  <c r="U24" i="20"/>
  <c r="V24" i="20"/>
  <c r="W24" i="20"/>
  <c r="X24" i="20"/>
  <c r="Y24" i="20"/>
  <c r="Z24" i="20"/>
  <c r="AA24" i="20"/>
  <c r="AB24" i="20"/>
  <c r="AC24" i="20"/>
  <c r="B25" i="20"/>
  <c r="C25" i="20"/>
  <c r="D25" i="20"/>
  <c r="E25" i="20"/>
  <c r="F25" i="20"/>
  <c r="G25" i="20"/>
  <c r="H25" i="20"/>
  <c r="A25" i="20" s="1"/>
  <c r="I25" i="20"/>
  <c r="J25" i="20"/>
  <c r="K25" i="20"/>
  <c r="L25" i="20"/>
  <c r="M25" i="20"/>
  <c r="N25" i="20"/>
  <c r="O25" i="20"/>
  <c r="P25" i="20"/>
  <c r="Q25" i="20"/>
  <c r="R25" i="20"/>
  <c r="S25" i="20"/>
  <c r="T25" i="20"/>
  <c r="U25" i="20"/>
  <c r="V25" i="20"/>
  <c r="W25" i="20"/>
  <c r="X25" i="20"/>
  <c r="Y25" i="20"/>
  <c r="Z25" i="20"/>
  <c r="AA25" i="20"/>
  <c r="AB25" i="20"/>
  <c r="AC25" i="20"/>
  <c r="B26" i="20"/>
  <c r="C26" i="20"/>
  <c r="D26" i="20"/>
  <c r="E26" i="20"/>
  <c r="F26" i="20"/>
  <c r="G26" i="20"/>
  <c r="H26" i="20"/>
  <c r="A26" i="20" s="1"/>
  <c r="I26" i="20"/>
  <c r="J26" i="20"/>
  <c r="K26" i="20"/>
  <c r="L26" i="20"/>
  <c r="M26" i="20"/>
  <c r="N26" i="20"/>
  <c r="O26" i="20"/>
  <c r="P26" i="20"/>
  <c r="Q26" i="20"/>
  <c r="R26" i="20"/>
  <c r="S26" i="20"/>
  <c r="T26" i="20"/>
  <c r="U26" i="20"/>
  <c r="V26" i="20"/>
  <c r="W26" i="20"/>
  <c r="X26" i="20"/>
  <c r="Y26" i="20"/>
  <c r="Z26" i="20"/>
  <c r="AA26" i="20"/>
  <c r="AB26" i="20"/>
  <c r="AC26" i="20"/>
  <c r="B27" i="20"/>
  <c r="C27" i="20"/>
  <c r="D27" i="20"/>
  <c r="E27" i="20"/>
  <c r="F27" i="20"/>
  <c r="G27" i="20"/>
  <c r="H27" i="20"/>
  <c r="A27" i="20" s="1"/>
  <c r="I27" i="20"/>
  <c r="J27" i="20"/>
  <c r="K27" i="20"/>
  <c r="L27" i="20"/>
  <c r="M27" i="20"/>
  <c r="N27" i="20"/>
  <c r="O27" i="20"/>
  <c r="P27" i="20"/>
  <c r="Q27" i="20"/>
  <c r="R27" i="20"/>
  <c r="S27" i="20"/>
  <c r="T27" i="20"/>
  <c r="U27" i="20"/>
  <c r="V27" i="20"/>
  <c r="W27" i="20"/>
  <c r="X27" i="20"/>
  <c r="Y27" i="20"/>
  <c r="Z27" i="20"/>
  <c r="AA27" i="20"/>
  <c r="AB27" i="20"/>
  <c r="AC27" i="20"/>
  <c r="B28" i="20"/>
  <c r="C28" i="20"/>
  <c r="D28" i="20"/>
  <c r="E28" i="20"/>
  <c r="F28" i="20"/>
  <c r="G28" i="20"/>
  <c r="H28" i="20"/>
  <c r="A28" i="20" s="1"/>
  <c r="I28" i="20"/>
  <c r="J28" i="20"/>
  <c r="K28" i="20"/>
  <c r="L28" i="20"/>
  <c r="M28" i="20"/>
  <c r="N28" i="20"/>
  <c r="O28" i="20"/>
  <c r="P28" i="20"/>
  <c r="Q28" i="20"/>
  <c r="R28" i="20"/>
  <c r="S28" i="20"/>
  <c r="T28" i="20"/>
  <c r="U28" i="20"/>
  <c r="V28" i="20"/>
  <c r="W28" i="20"/>
  <c r="X28" i="20"/>
  <c r="Y28" i="20"/>
  <c r="Z28" i="20"/>
  <c r="AA28" i="20"/>
  <c r="AB28" i="20"/>
  <c r="AC28" i="20"/>
  <c r="B29" i="20"/>
  <c r="C29" i="20"/>
  <c r="D29" i="20"/>
  <c r="E29" i="20"/>
  <c r="F29" i="20"/>
  <c r="G29" i="20"/>
  <c r="H29" i="20"/>
  <c r="A29" i="20" s="1"/>
  <c r="I29" i="20"/>
  <c r="J29" i="20"/>
  <c r="K29" i="20"/>
  <c r="L29" i="20"/>
  <c r="M29" i="20"/>
  <c r="N29" i="20"/>
  <c r="O29" i="20"/>
  <c r="P29" i="20"/>
  <c r="Q29" i="20"/>
  <c r="R29" i="20"/>
  <c r="S29" i="20"/>
  <c r="T29" i="20"/>
  <c r="U29" i="20"/>
  <c r="V29" i="20"/>
  <c r="W29" i="20"/>
  <c r="X29" i="20"/>
  <c r="Y29" i="20"/>
  <c r="Z29" i="20"/>
  <c r="AA29" i="20"/>
  <c r="AB29" i="20"/>
  <c r="AC29" i="20"/>
  <c r="B30" i="20"/>
  <c r="C30" i="20"/>
  <c r="D30" i="20"/>
  <c r="E30" i="20"/>
  <c r="F30" i="20"/>
  <c r="G30" i="20"/>
  <c r="H30" i="20"/>
  <c r="A30" i="20" s="1"/>
  <c r="J30" i="20"/>
  <c r="K30" i="20"/>
  <c r="L30" i="20"/>
  <c r="M30" i="20"/>
  <c r="N30" i="20"/>
  <c r="O30" i="20"/>
  <c r="P30" i="20"/>
  <c r="Q30" i="20"/>
  <c r="R30" i="20"/>
  <c r="S30" i="20"/>
  <c r="T30" i="20"/>
  <c r="U30" i="20"/>
  <c r="V30" i="20"/>
  <c r="W30" i="20"/>
  <c r="X30" i="20"/>
  <c r="Y30" i="20"/>
  <c r="Z30" i="20"/>
  <c r="AA30" i="20"/>
  <c r="AB30" i="20"/>
  <c r="AC30" i="20"/>
  <c r="B31" i="20"/>
  <c r="C31" i="20"/>
  <c r="D31" i="20"/>
  <c r="E31" i="20"/>
  <c r="F31" i="20"/>
  <c r="G31" i="20"/>
  <c r="H31" i="20"/>
  <c r="A31" i="20" s="1"/>
  <c r="I31" i="20"/>
  <c r="J31" i="20"/>
  <c r="K31" i="20"/>
  <c r="L31" i="20"/>
  <c r="M31" i="20"/>
  <c r="N31" i="20"/>
  <c r="O31" i="20"/>
  <c r="P31" i="20"/>
  <c r="Q31" i="20"/>
  <c r="R31" i="20"/>
  <c r="S31" i="20"/>
  <c r="T31" i="20"/>
  <c r="U31" i="20"/>
  <c r="V31" i="20"/>
  <c r="W31" i="20"/>
  <c r="X31" i="20"/>
  <c r="Y31" i="20"/>
  <c r="Z31" i="20"/>
  <c r="AA31" i="20"/>
  <c r="AB31" i="20"/>
  <c r="AC31" i="20"/>
  <c r="B32" i="20"/>
  <c r="C32" i="20"/>
  <c r="D32" i="20"/>
  <c r="E32" i="20"/>
  <c r="F32" i="20"/>
  <c r="G32" i="20"/>
  <c r="H32" i="20"/>
  <c r="A32" i="20" s="1"/>
  <c r="I32" i="20"/>
  <c r="J32" i="20"/>
  <c r="K32" i="20"/>
  <c r="L32" i="20"/>
  <c r="M32" i="20"/>
  <c r="N32" i="20"/>
  <c r="O32" i="20"/>
  <c r="P32" i="20"/>
  <c r="Q32" i="20"/>
  <c r="R32" i="20"/>
  <c r="S32" i="20"/>
  <c r="T32" i="20"/>
  <c r="U32" i="20"/>
  <c r="V32" i="20"/>
  <c r="W32" i="20"/>
  <c r="X32" i="20"/>
  <c r="Y32" i="20"/>
  <c r="Z32" i="20"/>
  <c r="AA32" i="20"/>
  <c r="AB32" i="20"/>
  <c r="AC32" i="20"/>
  <c r="B33" i="20"/>
  <c r="C33" i="20"/>
  <c r="D33" i="20"/>
  <c r="E33" i="20"/>
  <c r="F33" i="20"/>
  <c r="G33" i="20"/>
  <c r="H33" i="20"/>
  <c r="A33" i="20" s="1"/>
  <c r="I33" i="20"/>
  <c r="J33" i="20"/>
  <c r="K33" i="20"/>
  <c r="L33" i="20"/>
  <c r="M33" i="20"/>
  <c r="N33" i="20"/>
  <c r="O33" i="20"/>
  <c r="P33" i="20"/>
  <c r="Q33" i="20"/>
  <c r="R33" i="20"/>
  <c r="S33" i="20"/>
  <c r="T33" i="20"/>
  <c r="U33" i="20"/>
  <c r="V33" i="20"/>
  <c r="W33" i="20"/>
  <c r="X33" i="20"/>
  <c r="Y33" i="20"/>
  <c r="Z33" i="20"/>
  <c r="AA33" i="20"/>
  <c r="AB33" i="20"/>
  <c r="AC33" i="20"/>
  <c r="B34" i="20"/>
  <c r="C34" i="20"/>
  <c r="D34" i="20"/>
  <c r="E34" i="20"/>
  <c r="F34" i="20"/>
  <c r="G34" i="20"/>
  <c r="H34" i="20"/>
  <c r="A34" i="20" s="1"/>
  <c r="I34" i="20"/>
  <c r="J34" i="20"/>
  <c r="K34" i="20"/>
  <c r="L34" i="20"/>
  <c r="M34" i="20"/>
  <c r="N34" i="20"/>
  <c r="O34" i="20"/>
  <c r="P34" i="20"/>
  <c r="Q34" i="20"/>
  <c r="R34" i="20"/>
  <c r="S34" i="20"/>
  <c r="T34" i="20"/>
  <c r="U34" i="20"/>
  <c r="V34" i="20"/>
  <c r="W34" i="20"/>
  <c r="X34" i="20"/>
  <c r="Y34" i="20"/>
  <c r="Z34" i="20"/>
  <c r="AA34" i="20"/>
  <c r="AB34" i="20"/>
  <c r="AC34" i="20"/>
  <c r="B35" i="20"/>
  <c r="C35" i="20"/>
  <c r="D35" i="20"/>
  <c r="E35" i="20"/>
  <c r="F35" i="20"/>
  <c r="G35" i="20"/>
  <c r="H35" i="20"/>
  <c r="A35" i="20" s="1"/>
  <c r="I35" i="20"/>
  <c r="J35" i="20"/>
  <c r="K35" i="20"/>
  <c r="L35" i="20"/>
  <c r="M35" i="20"/>
  <c r="N35" i="20"/>
  <c r="O35" i="20"/>
  <c r="P35" i="20"/>
  <c r="Q35" i="20"/>
  <c r="R35" i="20"/>
  <c r="S35" i="20"/>
  <c r="T35" i="20"/>
  <c r="U35" i="20"/>
  <c r="V35" i="20"/>
  <c r="W35" i="20"/>
  <c r="X35" i="20"/>
  <c r="Y35" i="20"/>
  <c r="Z35" i="20"/>
  <c r="AA35" i="20"/>
  <c r="AB35" i="20"/>
  <c r="AC35" i="20"/>
  <c r="B36" i="20"/>
  <c r="C36" i="20"/>
  <c r="D36" i="20"/>
  <c r="E36" i="20"/>
  <c r="F36" i="20"/>
  <c r="G36" i="20"/>
  <c r="H36" i="20"/>
  <c r="A36" i="20" s="1"/>
  <c r="I36" i="20"/>
  <c r="J36" i="20"/>
  <c r="K36" i="20"/>
  <c r="L36" i="20"/>
  <c r="M36" i="20"/>
  <c r="N36" i="20"/>
  <c r="O36" i="20"/>
  <c r="P36" i="20"/>
  <c r="Q36" i="20"/>
  <c r="R36" i="20"/>
  <c r="S36" i="20"/>
  <c r="T36" i="20"/>
  <c r="U36" i="20"/>
  <c r="V36" i="20"/>
  <c r="W36" i="20"/>
  <c r="X36" i="20"/>
  <c r="Y36" i="20"/>
  <c r="Z36" i="20"/>
  <c r="AA36" i="20"/>
  <c r="AB36" i="20"/>
  <c r="AC36" i="20"/>
  <c r="B37" i="20"/>
  <c r="C37" i="20"/>
  <c r="D37" i="20"/>
  <c r="E37" i="20"/>
  <c r="F37" i="20"/>
  <c r="G37" i="20"/>
  <c r="H37" i="20"/>
  <c r="A37" i="20" s="1"/>
  <c r="I37" i="20"/>
  <c r="J37" i="20"/>
  <c r="K37" i="20"/>
  <c r="L37" i="20"/>
  <c r="M37" i="20"/>
  <c r="N37" i="20"/>
  <c r="O37" i="20"/>
  <c r="P37" i="20"/>
  <c r="Q37" i="20"/>
  <c r="R37" i="20"/>
  <c r="S37" i="20"/>
  <c r="T37" i="20"/>
  <c r="U37" i="20"/>
  <c r="V37" i="20"/>
  <c r="W37" i="20"/>
  <c r="X37" i="20"/>
  <c r="Y37" i="20"/>
  <c r="Z37" i="20"/>
  <c r="AA37" i="20"/>
  <c r="AB37" i="20"/>
  <c r="AC37" i="20"/>
  <c r="B38" i="20"/>
  <c r="C38" i="20"/>
  <c r="D38" i="20"/>
  <c r="E38" i="20"/>
  <c r="F38" i="20"/>
  <c r="G38" i="20"/>
  <c r="H38" i="20"/>
  <c r="A38" i="20" s="1"/>
  <c r="I38" i="20"/>
  <c r="J38" i="20"/>
  <c r="K38" i="20"/>
  <c r="L38" i="20"/>
  <c r="M38" i="20"/>
  <c r="N38" i="20"/>
  <c r="O38" i="20"/>
  <c r="P38" i="20"/>
  <c r="Q38" i="20"/>
  <c r="R38" i="20"/>
  <c r="S38" i="20"/>
  <c r="T38" i="20"/>
  <c r="U38" i="20"/>
  <c r="V38" i="20"/>
  <c r="W38" i="20"/>
  <c r="X38" i="20"/>
  <c r="Y38" i="20"/>
  <c r="Z38" i="20"/>
  <c r="AA38" i="20"/>
  <c r="AB38" i="20"/>
  <c r="AC38" i="20"/>
  <c r="B39" i="20"/>
  <c r="C39" i="20"/>
  <c r="D39" i="20"/>
  <c r="E39" i="20"/>
  <c r="F39" i="20"/>
  <c r="G39" i="20"/>
  <c r="H39" i="20"/>
  <c r="A39" i="20" s="1"/>
  <c r="I39" i="20"/>
  <c r="J39" i="20"/>
  <c r="K39" i="20"/>
  <c r="L39" i="20"/>
  <c r="M39" i="20"/>
  <c r="N39" i="20"/>
  <c r="O39" i="20"/>
  <c r="P39" i="20"/>
  <c r="Q39" i="20"/>
  <c r="R39" i="20"/>
  <c r="S39" i="20"/>
  <c r="T39" i="20"/>
  <c r="U39" i="20"/>
  <c r="V39" i="20"/>
  <c r="W39" i="20"/>
  <c r="X39" i="20"/>
  <c r="Y39" i="20"/>
  <c r="Z39" i="20"/>
  <c r="AA39" i="20"/>
  <c r="AB39" i="20"/>
  <c r="AC39" i="20"/>
  <c r="B40" i="20"/>
  <c r="C40" i="20"/>
  <c r="D40" i="20"/>
  <c r="E40" i="20"/>
  <c r="F40" i="20"/>
  <c r="G40" i="20"/>
  <c r="H40" i="20"/>
  <c r="A40" i="20" s="1"/>
  <c r="I40" i="20"/>
  <c r="J40" i="20"/>
  <c r="K40" i="20"/>
  <c r="L40" i="20"/>
  <c r="M40" i="20"/>
  <c r="N40" i="20"/>
  <c r="O40" i="20"/>
  <c r="P40" i="20"/>
  <c r="Q40" i="20"/>
  <c r="R40" i="20"/>
  <c r="S40" i="20"/>
  <c r="T40" i="20"/>
  <c r="U40" i="20"/>
  <c r="V40" i="20"/>
  <c r="W40" i="20"/>
  <c r="X40" i="20"/>
  <c r="Y40" i="20"/>
  <c r="Z40" i="20"/>
  <c r="AA40" i="20"/>
  <c r="AB40" i="20"/>
  <c r="AC40" i="20"/>
  <c r="B41" i="20"/>
  <c r="C41" i="20"/>
  <c r="D41" i="20"/>
  <c r="E41" i="20"/>
  <c r="F41" i="20"/>
  <c r="G41" i="20"/>
  <c r="H41" i="20"/>
  <c r="A41" i="20" s="1"/>
  <c r="I41" i="20"/>
  <c r="J41" i="20"/>
  <c r="K41" i="20"/>
  <c r="L41" i="20"/>
  <c r="M41" i="20"/>
  <c r="N41" i="20"/>
  <c r="O41" i="20"/>
  <c r="P41" i="20"/>
  <c r="Q41" i="20"/>
  <c r="R41" i="20"/>
  <c r="S41" i="20"/>
  <c r="T41" i="20"/>
  <c r="U41" i="20"/>
  <c r="V41" i="20"/>
  <c r="W41" i="20"/>
  <c r="X41" i="20"/>
  <c r="Y41" i="20"/>
  <c r="Z41" i="20"/>
  <c r="AA41" i="20"/>
  <c r="AB41" i="20"/>
  <c r="AC41" i="20"/>
  <c r="B42" i="20"/>
  <c r="C42" i="20"/>
  <c r="D42" i="20"/>
  <c r="E42" i="20"/>
  <c r="F42" i="20"/>
  <c r="G42" i="20"/>
  <c r="H42" i="20"/>
  <c r="A42" i="20" s="1"/>
  <c r="I42" i="20"/>
  <c r="J42" i="20"/>
  <c r="K42" i="20"/>
  <c r="L42" i="20"/>
  <c r="M42" i="20"/>
  <c r="N42" i="20"/>
  <c r="O42" i="20"/>
  <c r="P42" i="20"/>
  <c r="Q42" i="20"/>
  <c r="R42" i="20"/>
  <c r="S42" i="20"/>
  <c r="T42" i="20"/>
  <c r="U42" i="20"/>
  <c r="V42" i="20"/>
  <c r="W42" i="20"/>
  <c r="X42" i="20"/>
  <c r="Y42" i="20"/>
  <c r="Z42" i="20"/>
  <c r="AA42" i="20"/>
  <c r="AB42" i="20"/>
  <c r="AC42" i="20"/>
  <c r="B43" i="20"/>
  <c r="C43" i="20"/>
  <c r="D43" i="20"/>
  <c r="E43" i="20"/>
  <c r="F43" i="20"/>
  <c r="G43" i="20"/>
  <c r="H43" i="20"/>
  <c r="A43" i="20" s="1"/>
  <c r="I43" i="20"/>
  <c r="J43" i="20"/>
  <c r="K43" i="20"/>
  <c r="L43" i="20"/>
  <c r="M43" i="20"/>
  <c r="N43" i="20"/>
  <c r="O43" i="20"/>
  <c r="P43" i="20"/>
  <c r="Q43" i="20"/>
  <c r="R43" i="20"/>
  <c r="S43" i="20"/>
  <c r="T43" i="20"/>
  <c r="U43" i="20"/>
  <c r="V43" i="20"/>
  <c r="W43" i="20"/>
  <c r="X43" i="20"/>
  <c r="Y43" i="20"/>
  <c r="Z43" i="20"/>
  <c r="AA43" i="20"/>
  <c r="AB43" i="20"/>
  <c r="AC43" i="20"/>
  <c r="B44" i="20"/>
  <c r="C44" i="20"/>
  <c r="D44" i="20"/>
  <c r="E44" i="20"/>
  <c r="F44" i="20"/>
  <c r="G44" i="20"/>
  <c r="H44" i="20"/>
  <c r="A44" i="20" s="1"/>
  <c r="I44" i="20"/>
  <c r="J44" i="20"/>
  <c r="K44" i="20"/>
  <c r="L44" i="20"/>
  <c r="M44" i="20"/>
  <c r="N44" i="20"/>
  <c r="O44" i="20"/>
  <c r="P44" i="20"/>
  <c r="Q44" i="20"/>
  <c r="R44" i="20"/>
  <c r="S44" i="20"/>
  <c r="T44" i="20"/>
  <c r="U44" i="20"/>
  <c r="V44" i="20"/>
  <c r="W44" i="20"/>
  <c r="X44" i="20"/>
  <c r="Y44" i="20"/>
  <c r="Z44" i="20"/>
  <c r="AA44" i="20"/>
  <c r="AB44" i="20"/>
  <c r="AC44" i="20"/>
  <c r="B45" i="20"/>
  <c r="C45" i="20"/>
  <c r="D45" i="20"/>
  <c r="E45" i="20"/>
  <c r="F45" i="20"/>
  <c r="G45" i="20"/>
  <c r="H45" i="20"/>
  <c r="A45" i="20" s="1"/>
  <c r="I45" i="20"/>
  <c r="J45" i="20"/>
  <c r="K45" i="20"/>
  <c r="L45" i="20"/>
  <c r="M45" i="20"/>
  <c r="N45" i="20"/>
  <c r="O45" i="20"/>
  <c r="P45" i="20"/>
  <c r="Q45" i="20"/>
  <c r="R45" i="20"/>
  <c r="S45" i="20"/>
  <c r="T45" i="20"/>
  <c r="U45" i="20"/>
  <c r="V45" i="20"/>
  <c r="W45" i="20"/>
  <c r="X45" i="20"/>
  <c r="Y45" i="20"/>
  <c r="Z45" i="20"/>
  <c r="AA45" i="20"/>
  <c r="AB45" i="20"/>
  <c r="AC45" i="20"/>
  <c r="B46" i="20"/>
  <c r="C46" i="20"/>
  <c r="D46" i="20"/>
  <c r="E46" i="20"/>
  <c r="F46" i="20"/>
  <c r="G46" i="20"/>
  <c r="H46" i="20"/>
  <c r="A46" i="20" s="1"/>
  <c r="I46" i="20"/>
  <c r="J46" i="20"/>
  <c r="K46" i="20"/>
  <c r="L46" i="20"/>
  <c r="M46" i="20"/>
  <c r="N46" i="20"/>
  <c r="O46" i="20"/>
  <c r="P46" i="20"/>
  <c r="Q46" i="20"/>
  <c r="R46" i="20"/>
  <c r="S46" i="20"/>
  <c r="T46" i="20"/>
  <c r="U46" i="20"/>
  <c r="V46" i="20"/>
  <c r="W46" i="20"/>
  <c r="X46" i="20"/>
  <c r="Y46" i="20"/>
  <c r="Z46" i="20"/>
  <c r="AA46" i="20"/>
  <c r="AB46" i="20"/>
  <c r="AC46" i="20"/>
  <c r="B47" i="20"/>
  <c r="C47" i="20"/>
  <c r="D47" i="20"/>
  <c r="E47" i="20"/>
  <c r="F47" i="20"/>
  <c r="G47" i="20"/>
  <c r="H47" i="20"/>
  <c r="A47" i="20" s="1"/>
  <c r="I47" i="20"/>
  <c r="J47" i="20"/>
  <c r="K47" i="20"/>
  <c r="L47" i="20"/>
  <c r="M47" i="20"/>
  <c r="N47" i="20"/>
  <c r="O47" i="20"/>
  <c r="P47" i="20"/>
  <c r="Q47" i="20"/>
  <c r="R47" i="20"/>
  <c r="S47" i="20"/>
  <c r="T47" i="20"/>
  <c r="U47" i="20"/>
  <c r="V47" i="20"/>
  <c r="W47" i="20"/>
  <c r="X47" i="20"/>
  <c r="Y47" i="20"/>
  <c r="Z47" i="20"/>
  <c r="AA47" i="20"/>
  <c r="AB47" i="20"/>
  <c r="AC47" i="20"/>
  <c r="B48" i="20"/>
  <c r="C48" i="20"/>
  <c r="D48" i="20"/>
  <c r="F48" i="20"/>
  <c r="G48" i="20"/>
  <c r="H48" i="20"/>
  <c r="A48" i="20" s="1"/>
  <c r="I48" i="20"/>
  <c r="J48" i="20"/>
  <c r="K48" i="20"/>
  <c r="L48" i="20"/>
  <c r="M48" i="20"/>
  <c r="N48" i="20"/>
  <c r="O48" i="20"/>
  <c r="P48" i="20"/>
  <c r="Q48" i="20"/>
  <c r="R48" i="20"/>
  <c r="S48" i="20"/>
  <c r="T48" i="20"/>
  <c r="U48" i="20"/>
  <c r="V48" i="20"/>
  <c r="W48" i="20"/>
  <c r="X48" i="20"/>
  <c r="Y48" i="20"/>
  <c r="Z48" i="20"/>
  <c r="AA48" i="20"/>
  <c r="AB48" i="20"/>
  <c r="AC48" i="20"/>
  <c r="B49" i="20"/>
  <c r="C49" i="20"/>
  <c r="D49" i="20"/>
  <c r="F49" i="20"/>
  <c r="G49" i="20"/>
  <c r="H49" i="20"/>
  <c r="A49" i="20" s="1"/>
  <c r="I49" i="20"/>
  <c r="J49" i="20"/>
  <c r="K49" i="20"/>
  <c r="L49" i="20"/>
  <c r="M49" i="20"/>
  <c r="N49" i="20"/>
  <c r="O49" i="20"/>
  <c r="P49" i="20"/>
  <c r="Q49" i="20"/>
  <c r="R49" i="20"/>
  <c r="S49" i="20"/>
  <c r="T49" i="20"/>
  <c r="U49" i="20"/>
  <c r="V49" i="20"/>
  <c r="W49" i="20"/>
  <c r="X49" i="20"/>
  <c r="Y49" i="20"/>
  <c r="Z49" i="20"/>
  <c r="AA49" i="20"/>
  <c r="AB49" i="20"/>
  <c r="AC49" i="20"/>
  <c r="B50" i="20"/>
  <c r="C50" i="20"/>
  <c r="D50" i="20"/>
  <c r="F50" i="20"/>
  <c r="G50" i="20"/>
  <c r="H50" i="20"/>
  <c r="A50" i="20" s="1"/>
  <c r="I50" i="20"/>
  <c r="J50" i="20"/>
  <c r="K50" i="20"/>
  <c r="L50" i="20"/>
  <c r="M50" i="20"/>
  <c r="N50" i="20"/>
  <c r="O50" i="20"/>
  <c r="P50" i="20"/>
  <c r="Q50" i="20"/>
  <c r="R50" i="20"/>
  <c r="S50" i="20"/>
  <c r="T50" i="20"/>
  <c r="U50" i="20"/>
  <c r="V50" i="20"/>
  <c r="W50" i="20"/>
  <c r="X50" i="20"/>
  <c r="Y50" i="20"/>
  <c r="Z50" i="20"/>
  <c r="AA50" i="20"/>
  <c r="AB50" i="20"/>
  <c r="AC50" i="20"/>
  <c r="B51" i="20"/>
  <c r="C51" i="20"/>
  <c r="D51" i="20"/>
  <c r="F51" i="20"/>
  <c r="G51" i="20"/>
  <c r="H51" i="20"/>
  <c r="A51" i="20" s="1"/>
  <c r="I51" i="20"/>
  <c r="J51" i="20"/>
  <c r="K51" i="20"/>
  <c r="L51" i="20"/>
  <c r="M51" i="20"/>
  <c r="N51" i="20"/>
  <c r="O51" i="20"/>
  <c r="P51" i="20"/>
  <c r="Q51" i="20"/>
  <c r="R51" i="20"/>
  <c r="S51" i="20"/>
  <c r="T51" i="20"/>
  <c r="U51" i="20"/>
  <c r="V51" i="20"/>
  <c r="W51" i="20"/>
  <c r="X51" i="20"/>
  <c r="Y51" i="20"/>
  <c r="Z51" i="20"/>
  <c r="AA51" i="20"/>
  <c r="AB51" i="20"/>
  <c r="AC51" i="20"/>
  <c r="B52" i="20"/>
  <c r="C52" i="20"/>
  <c r="D52" i="20"/>
  <c r="F52" i="20"/>
  <c r="G52" i="20"/>
  <c r="H52" i="20"/>
  <c r="A52" i="20" s="1"/>
  <c r="I52" i="20"/>
  <c r="J52" i="20"/>
  <c r="K52" i="20"/>
  <c r="L52" i="20"/>
  <c r="M52" i="20"/>
  <c r="N52" i="20"/>
  <c r="O52" i="20"/>
  <c r="P52" i="20"/>
  <c r="Q52" i="20"/>
  <c r="R52" i="20"/>
  <c r="S52" i="20"/>
  <c r="T52" i="20"/>
  <c r="U52" i="20"/>
  <c r="V52" i="20"/>
  <c r="W52" i="20"/>
  <c r="X52" i="20"/>
  <c r="Y52" i="20"/>
  <c r="Z52" i="20"/>
  <c r="AA52" i="20"/>
  <c r="AB52" i="20"/>
  <c r="AC52" i="20"/>
  <c r="B53" i="20"/>
  <c r="C53" i="20"/>
  <c r="D53" i="20"/>
  <c r="F53" i="20"/>
  <c r="G53" i="20"/>
  <c r="H53" i="20"/>
  <c r="A53" i="20" s="1"/>
  <c r="I53" i="20"/>
  <c r="J53" i="20"/>
  <c r="K53" i="20"/>
  <c r="L53" i="20"/>
  <c r="M53" i="20"/>
  <c r="N53" i="20"/>
  <c r="O53" i="20"/>
  <c r="P53" i="20"/>
  <c r="Q53" i="20"/>
  <c r="R53" i="20"/>
  <c r="S53" i="20"/>
  <c r="T53" i="20"/>
  <c r="U53" i="20"/>
  <c r="V53" i="20"/>
  <c r="W53" i="20"/>
  <c r="X53" i="20"/>
  <c r="Y53" i="20"/>
  <c r="Z53" i="20"/>
  <c r="AA53" i="20"/>
  <c r="AB53" i="20"/>
  <c r="AC53" i="20"/>
  <c r="C6" i="20"/>
  <c r="D6" i="20"/>
  <c r="F6" i="20"/>
  <c r="G6" i="20"/>
  <c r="H6" i="20"/>
  <c r="A6" i="20" s="1"/>
  <c r="I6" i="20"/>
  <c r="J6" i="20"/>
  <c r="K6" i="20"/>
  <c r="L6" i="20"/>
  <c r="M6" i="20"/>
  <c r="N6" i="20"/>
  <c r="O6" i="20"/>
  <c r="P6" i="20"/>
  <c r="Q6" i="20"/>
  <c r="R6" i="20"/>
  <c r="S6" i="20"/>
  <c r="T6" i="20"/>
  <c r="U6" i="20"/>
  <c r="V6" i="20"/>
  <c r="W6" i="20"/>
  <c r="X6" i="20"/>
  <c r="Y6" i="20"/>
  <c r="Z6" i="20"/>
  <c r="AA6" i="20"/>
  <c r="AB6" i="20"/>
  <c r="B6" i="20"/>
  <c r="I49" i="19"/>
  <c r="I44" i="19"/>
  <c r="I39" i="19"/>
  <c r="I36" i="19"/>
  <c r="I23" i="19"/>
  <c r="I19" i="19"/>
  <c r="I14" i="19"/>
  <c r="H58" i="26" l="1"/>
  <c r="H61" i="26"/>
  <c r="H59" i="26"/>
  <c r="H60" i="26"/>
  <c r="H62" i="26"/>
  <c r="H50" i="26"/>
  <c r="H56" i="26"/>
  <c r="H55" i="26"/>
  <c r="H54" i="26"/>
  <c r="H53" i="26"/>
  <c r="H52" i="26"/>
  <c r="H51" i="26"/>
  <c r="H57" i="26"/>
  <c r="D51" i="26"/>
  <c r="D53" i="26"/>
  <c r="D55" i="26"/>
  <c r="D57" i="26"/>
  <c r="D59" i="26"/>
  <c r="D61" i="26"/>
  <c r="G50" i="26"/>
  <c r="E51" i="26"/>
  <c r="E53" i="26"/>
  <c r="E55" i="26"/>
  <c r="E57" i="26"/>
  <c r="E59" i="26"/>
  <c r="E61" i="26"/>
  <c r="F50" i="26"/>
  <c r="F51" i="26"/>
  <c r="F53" i="26"/>
  <c r="F55" i="26"/>
  <c r="F57" i="26"/>
  <c r="F59" i="26"/>
  <c r="F61" i="26"/>
  <c r="E50" i="26"/>
  <c r="G51" i="26"/>
  <c r="G53" i="26"/>
  <c r="G55" i="26"/>
  <c r="G57" i="26"/>
  <c r="G59" i="26"/>
  <c r="G61" i="26"/>
  <c r="D52" i="26"/>
  <c r="D54" i="26"/>
  <c r="D56" i="26"/>
  <c r="D58" i="26"/>
  <c r="D60" i="26"/>
  <c r="D62" i="26"/>
  <c r="E52" i="26"/>
  <c r="E54" i="26"/>
  <c r="E56" i="26"/>
  <c r="E58" i="26"/>
  <c r="E60" i="26"/>
  <c r="E62" i="26"/>
  <c r="F52" i="26"/>
  <c r="F54" i="26"/>
  <c r="F56" i="26"/>
  <c r="F58" i="26"/>
  <c r="F60" i="26"/>
  <c r="F62" i="26"/>
  <c r="G52" i="26"/>
  <c r="G54" i="26"/>
  <c r="G56" i="26"/>
  <c r="G58" i="26"/>
  <c r="G60" i="26"/>
  <c r="G62" i="26"/>
  <c r="D50" i="26"/>
  <c r="G29" i="26"/>
  <c r="E31" i="26"/>
  <c r="H32" i="26"/>
  <c r="H29" i="26"/>
  <c r="F31" i="26"/>
  <c r="E28" i="26"/>
  <c r="D32" i="26"/>
  <c r="D30" i="26"/>
  <c r="G31" i="26"/>
  <c r="F28" i="26"/>
  <c r="E30" i="26"/>
  <c r="H31" i="26"/>
  <c r="G28" i="26"/>
  <c r="F30" i="26"/>
  <c r="D29" i="26"/>
  <c r="G30" i="26"/>
  <c r="E32" i="26"/>
  <c r="D28" i="26"/>
  <c r="D31" i="26"/>
  <c r="E29" i="26"/>
  <c r="H30" i="26"/>
  <c r="F32" i="26"/>
  <c r="F29" i="26"/>
  <c r="H28" i="26"/>
  <c r="G32" i="26"/>
  <c r="D38" i="26"/>
  <c r="G39" i="26"/>
  <c r="E41" i="26"/>
  <c r="H42" i="26"/>
  <c r="F44" i="26"/>
  <c r="E37" i="26"/>
  <c r="H39" i="26"/>
  <c r="F41" i="26"/>
  <c r="D43" i="26"/>
  <c r="G44" i="26"/>
  <c r="F37" i="26"/>
  <c r="F40" i="26"/>
  <c r="E38" i="26"/>
  <c r="F38" i="26"/>
  <c r="D40" i="26"/>
  <c r="G41" i="26"/>
  <c r="E43" i="26"/>
  <c r="H44" i="26"/>
  <c r="G37" i="26"/>
  <c r="E40" i="26"/>
  <c r="H41" i="26"/>
  <c r="F43" i="26"/>
  <c r="D45" i="26"/>
  <c r="H37" i="26"/>
  <c r="D42" i="26"/>
  <c r="G38" i="26"/>
  <c r="H38" i="26"/>
  <c r="D39" i="26"/>
  <c r="G40" i="26"/>
  <c r="E42" i="26"/>
  <c r="H43" i="26"/>
  <c r="F45" i="26"/>
  <c r="D37" i="26"/>
  <c r="E39" i="26"/>
  <c r="H40" i="26"/>
  <c r="F42" i="26"/>
  <c r="D44" i="26"/>
  <c r="G45" i="26"/>
  <c r="E45" i="26"/>
  <c r="F39" i="26"/>
  <c r="D41" i="26"/>
  <c r="G42" i="26"/>
  <c r="E44" i="26"/>
  <c r="H45" i="26"/>
  <c r="G43" i="26"/>
  <c r="F6" i="26"/>
  <c r="D10" i="26"/>
  <c r="G12" i="26"/>
  <c r="F14" i="26"/>
  <c r="G14" i="26"/>
  <c r="G4" i="26"/>
  <c r="H6" i="26"/>
  <c r="F10" i="26"/>
  <c r="E4" i="26"/>
  <c r="H14" i="26"/>
  <c r="D8" i="26"/>
  <c r="F8" i="26"/>
  <c r="D12" i="26"/>
  <c r="H4" i="26"/>
  <c r="H8" i="26"/>
  <c r="G6" i="26"/>
  <c r="D4" i="26"/>
  <c r="H10" i="26"/>
  <c r="D6" i="26"/>
  <c r="G8" i="26"/>
  <c r="E12" i="26"/>
  <c r="D14" i="26"/>
  <c r="E6" i="26"/>
  <c r="F12" i="26"/>
  <c r="E10" i="26"/>
  <c r="F4" i="26"/>
  <c r="E14" i="26"/>
  <c r="H12" i="26"/>
  <c r="G10" i="26"/>
  <c r="E8" i="26"/>
  <c r="B35" i="21"/>
  <c r="B34" i="21"/>
  <c r="D18" i="21"/>
  <c r="K29" i="21"/>
  <c r="D17" i="21"/>
  <c r="D29" i="21"/>
  <c r="K13" i="21"/>
  <c r="D24" i="21"/>
  <c r="F13" i="21"/>
  <c r="D23" i="21"/>
  <c r="A13" i="21"/>
  <c r="D19" i="21"/>
  <c r="M24" i="21"/>
  <c r="D25" i="21"/>
  <c r="D22" i="21"/>
  <c r="I8" i="21"/>
  <c r="D21" i="21"/>
  <c r="J6" i="21"/>
  <c r="D26" i="21"/>
  <c r="I11" i="19"/>
  <c r="I60" i="26" l="1"/>
  <c r="K60" i="26" s="1"/>
  <c r="I58" i="26"/>
  <c r="K58" i="26" s="1"/>
  <c r="I57" i="26"/>
  <c r="K57" i="26" s="1"/>
  <c r="I61" i="26"/>
  <c r="K61" i="26" s="1"/>
  <c r="I54" i="26"/>
  <c r="K54" i="26" s="1"/>
  <c r="I59" i="26"/>
  <c r="K59" i="26"/>
  <c r="I52" i="26"/>
  <c r="K52" i="26" s="1"/>
  <c r="I56" i="26"/>
  <c r="K56" i="26" s="1"/>
  <c r="I50" i="26"/>
  <c r="K50" i="26" s="1"/>
  <c r="I55" i="26"/>
  <c r="K55" i="26" s="1"/>
  <c r="I53" i="26"/>
  <c r="K53" i="26" s="1"/>
  <c r="I62" i="26"/>
  <c r="K62" i="26" s="1"/>
  <c r="I51" i="26"/>
  <c r="K51" i="26" s="1"/>
  <c r="I40" i="26"/>
  <c r="K40" i="26" s="1"/>
  <c r="I31" i="26"/>
  <c r="K31" i="26" s="1"/>
  <c r="I45" i="26"/>
  <c r="K45" i="26" s="1"/>
  <c r="I30" i="26"/>
  <c r="K30" i="26" s="1"/>
  <c r="I29" i="26"/>
  <c r="K29" i="26" s="1"/>
  <c r="I44" i="26"/>
  <c r="K44" i="26" s="1"/>
  <c r="I39" i="26"/>
  <c r="K39" i="26" s="1"/>
  <c r="I41" i="26"/>
  <c r="K41" i="26" s="1"/>
  <c r="I37" i="26"/>
  <c r="K37" i="26" s="1"/>
  <c r="I42" i="26"/>
  <c r="K42" i="26" s="1"/>
  <c r="I43" i="26"/>
  <c r="K43" i="26" s="1"/>
  <c r="I38" i="26"/>
  <c r="K38" i="26" s="1"/>
  <c r="I28" i="26"/>
  <c r="K28" i="26" s="1"/>
  <c r="I32" i="26"/>
  <c r="K32" i="26" s="1"/>
  <c r="D19" i="26"/>
  <c r="G19" i="26" s="1"/>
  <c r="D17" i="26"/>
  <c r="D21" i="26"/>
  <c r="G21" i="26" s="1"/>
  <c r="D20" i="26"/>
  <c r="D18" i="26"/>
  <c r="X7" i="20"/>
  <c r="M27" i="21" s="1"/>
  <c r="E8" i="20"/>
  <c r="E7" i="20"/>
  <c r="D22" i="26" l="1"/>
  <c r="E17" i="26" s="1"/>
  <c r="G20" i="26"/>
  <c r="G18" i="26"/>
  <c r="G17" i="26"/>
  <c r="V7" i="20"/>
  <c r="M25" i="21" s="1"/>
  <c r="W7" i="20"/>
  <c r="M26" i="21" s="1"/>
  <c r="E6" i="20"/>
  <c r="G22" i="26" l="1"/>
  <c r="B16" i="26" s="1"/>
  <c r="D24" i="26" s="1"/>
  <c r="E21" i="26"/>
  <c r="E19" i="26"/>
  <c r="E18" i="26"/>
  <c r="E20" i="26"/>
  <c r="I12" i="17"/>
  <c r="I12" i="16"/>
  <c r="I12" i="15"/>
  <c r="I12" i="14"/>
  <c r="I12" i="13"/>
  <c r="I13" i="12"/>
  <c r="I16" i="11"/>
  <c r="I14" i="10"/>
  <c r="K22" i="26" l="1"/>
  <c r="K23" i="26" s="1"/>
  <c r="K25" i="26" s="1"/>
  <c r="E53" i="20"/>
  <c r="E52" i="20"/>
  <c r="E51" i="20"/>
  <c r="E50" i="20"/>
  <c r="E49" i="20"/>
  <c r="E48" i="20"/>
  <c r="E16" i="20" l="1"/>
  <c r="E15" i="20"/>
  <c r="E14" i="20"/>
  <c r="E13" i="20"/>
  <c r="E17" i="20"/>
  <c r="E18" i="20"/>
  <c r="E19" i="20"/>
  <c r="E20" i="20"/>
  <c r="D56" i="3"/>
  <c r="H2" i="6"/>
  <c r="G2" i="6"/>
  <c r="F2" i="6"/>
  <c r="E2" i="6"/>
  <c r="D2" i="6"/>
  <c r="H5" i="6"/>
  <c r="H4" i="6"/>
  <c r="H3" i="6"/>
  <c r="G6" i="6"/>
  <c r="G5" i="6"/>
  <c r="G4" i="6"/>
  <c r="G3" i="6"/>
  <c r="F5" i="6"/>
  <c r="F4" i="6"/>
  <c r="F3" i="6"/>
  <c r="E6" i="6"/>
  <c r="E5" i="6"/>
  <c r="E4" i="6"/>
  <c r="E3" i="6"/>
  <c r="D7" i="6"/>
  <c r="D6" i="6"/>
  <c r="D5" i="6"/>
  <c r="D4" i="6"/>
  <c r="D3" i="6"/>
  <c r="E12" i="20"/>
  <c r="E11" i="20"/>
  <c r="E10" i="20" l="1"/>
  <c r="E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6D39BE5C-E15D-466C-8828-29ACCA65E2A9}">
      <text>
        <r>
          <rPr>
            <sz val="11"/>
            <color theme="1"/>
            <rFont val="Calibri"/>
            <family val="2"/>
          </rPr>
          <t>======
ID#AAAATNGAWJg
John Fredy García López    (2022-01-19 00:29:30)
Número consecutivo de acciones.</t>
        </r>
      </text>
    </comment>
    <comment ref="C12" authorId="0" shapeId="0" xr:uid="{FF119E25-79F1-433A-B8F5-CC4015B8064E}">
      <text>
        <r>
          <rPr>
            <sz val="11"/>
            <color theme="1"/>
            <rFont val="Calibri"/>
            <family val="2"/>
          </rPr>
          <t>======
ID#AAAATNGAWJw
John Fredy García López    (2022-01-19 00:29:30)
Descripción específica de las actividades a realizar en el cumplimiento de la implementación del subsistema.</t>
        </r>
      </text>
    </comment>
    <comment ref="D12" authorId="0" shapeId="0" xr:uid="{2AC8C802-D265-4D28-A691-674517DA097C}">
      <text>
        <r>
          <rPr>
            <sz val="11"/>
            <color theme="1"/>
            <rFont val="Calibri"/>
            <family val="2"/>
          </rPr>
          <t>======
ID#AAAATNGAWJE
John Fredy García López    (2022-01-19 00:29:30)
Defina el área y cargo responsable de la ejecución de la actividad planteada.</t>
        </r>
      </text>
    </comment>
    <comment ref="E12" authorId="0" shapeId="0" xr:uid="{EAD89332-3893-414A-9C05-78605AECCF9C}">
      <text>
        <r>
          <rPr>
            <sz val="11"/>
            <color theme="1"/>
            <rFont val="Calibri"/>
            <family val="2"/>
          </rPr>
          <t>======
ID#AAAATNGAWJ0
John Fredy García López    (2022-01-19 00:29:30)
Defina el indicador con el que se mide la actividad propuesta, o el producto esperado de la actividad propuesta.</t>
        </r>
      </text>
    </comment>
    <comment ref="F12" authorId="0" shapeId="0" xr:uid="{7E43D4AC-B242-4867-BC2B-15AEE901B03B}">
      <text>
        <r>
          <rPr>
            <sz val="11"/>
            <color theme="1"/>
            <rFont val="Calibri"/>
            <family val="2"/>
          </rPr>
          <t>======
ID#AAAATNGAWJo
John Fredy García López    (2022-01-19 00:29:30)
Establezca la meta que se pretende alcanzar, en cumplimiento del indicador formulado.</t>
        </r>
      </text>
    </comment>
    <comment ref="I12" authorId="0" shapeId="0" xr:uid="{741629F6-66A4-4E6C-90BD-A7A33CEFC1ED}">
      <text>
        <r>
          <rPr>
            <sz val="11"/>
            <color theme="1"/>
            <rFont val="Calibri"/>
            <family val="2"/>
          </rPr>
          <t>======
ID#AAAATNGAWJM
John Fredy García López    (2022-01-19 00:29:30)
Definir ponderación de la actividad (si se requiere)</t>
        </r>
      </text>
    </comment>
    <comment ref="I14" authorId="0" shapeId="0" xr:uid="{00F52926-C7EB-4FA2-8797-716D9E3C877D}">
      <text>
        <r>
          <rPr>
            <sz val="11"/>
            <color theme="1"/>
            <rFont val="Calibri"/>
            <family val="2"/>
          </rPr>
          <t>======
ID#AAAATNGAWI4
John Fredy García López    (2022-01-19 00:29:30)
Debe corresponder al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4" authorId="0" shapeId="0" xr:uid="{5ADC74C7-93DD-4D4A-94F9-8A9ADCF7117E}">
      <text>
        <r>
          <rPr>
            <sz val="11"/>
            <color theme="1"/>
            <rFont val="Calibri"/>
            <family val="2"/>
          </rPr>
          <t>======
ID#AAAATNGAWI0
John Fredy García López    (2022-01-19 00:29:30)
Número consecutivo de acciones.</t>
        </r>
      </text>
    </comment>
    <comment ref="C14" authorId="0" shapeId="0" xr:uid="{A915589A-B6B7-4906-BCD9-911C8E915394}">
      <text>
        <r>
          <rPr>
            <sz val="11"/>
            <color theme="1"/>
            <rFont val="Calibri"/>
            <family val="2"/>
          </rPr>
          <t>======
ID#AAAATNGAWI8
John Fredy García López    (2022-01-19 00:29:30)
Descripción específica de las actividades a realizar en el cumplimiento de la implementación del subsistema.</t>
        </r>
      </text>
    </comment>
    <comment ref="D14" authorId="0" shapeId="0" xr:uid="{A51E58DF-AB15-465A-8F69-CC1A6BD8ECE4}">
      <text>
        <r>
          <rPr>
            <sz val="11"/>
            <color theme="1"/>
            <rFont val="Calibri"/>
            <family val="2"/>
          </rPr>
          <t>======
ID#AAAATNGAWIk
John Fredy García López    (2022-01-19 00:29:30)
Defina el área y cargo responsable de la ejecución de la actividad planteada.</t>
        </r>
      </text>
    </comment>
    <comment ref="E14" authorId="0" shapeId="0" xr:uid="{DC027C75-BFDC-41A7-BD84-902390A2B662}">
      <text>
        <r>
          <rPr>
            <sz val="11"/>
            <color theme="1"/>
            <rFont val="Calibri"/>
            <family val="2"/>
          </rPr>
          <t>======
ID#AAAATNGAWJQ
John Fredy García López    (2022-01-19 00:29:30)
Defina el indicador con el que se mide la actividad propuesta, o el producto esperado de la actividad propuesta.</t>
        </r>
      </text>
    </comment>
    <comment ref="F14" authorId="0" shapeId="0" xr:uid="{133DAD46-57E0-4D38-A130-069150F23EFE}">
      <text>
        <r>
          <rPr>
            <sz val="11"/>
            <color theme="1"/>
            <rFont val="Calibri"/>
            <family val="2"/>
          </rPr>
          <t>======
ID#AAAATNGAWIo
John Fredy García López    (2022-01-19 00:29:30)
Establezca la meta que se pretende alcanzar, en cumplimiento del indicador formulado.</t>
        </r>
      </text>
    </comment>
    <comment ref="I15" authorId="0" shapeId="0" xr:uid="{5CF8511C-E1E3-44DA-B1EA-4ACB0B7DE41D}">
      <text>
        <r>
          <rPr>
            <sz val="11"/>
            <color theme="1"/>
            <rFont val="Calibri"/>
            <family val="2"/>
          </rPr>
          <t>======
ID#AAAATNGAWJs
John Fredy García López    (2022-01-19 00:29:30)
Definir ponderación de la actividad (si se requiere)</t>
        </r>
      </text>
    </comment>
    <comment ref="I16" authorId="0" shapeId="0" xr:uid="{5A3FA9E4-1DD7-45A5-94A6-4D0570042691}">
      <text>
        <r>
          <rPr>
            <sz val="11"/>
            <color theme="1"/>
            <rFont val="Calibri"/>
            <family val="2"/>
          </rPr>
          <t>======
ID#AAAATNGAWJc
John Fredy García López    (2022-01-19 00:29:30)
Debe corresponder al 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855F9A2A-3CBA-4A6A-B629-801279EEABA5}">
      <text>
        <r>
          <rPr>
            <sz val="11"/>
            <color theme="1"/>
            <rFont val="Calibri"/>
            <family val="2"/>
          </rPr>
          <t>======
ID#AAAATNGAWIs
John Fredy García López    (2022-01-19 00:29:30)
Número consecutivo de acciones.</t>
        </r>
      </text>
    </comment>
    <comment ref="C11" authorId="0" shapeId="0" xr:uid="{D277560E-2F28-4250-B991-C9CE4F092DDE}">
      <text>
        <r>
          <rPr>
            <sz val="11"/>
            <color theme="1"/>
            <rFont val="Calibri"/>
            <family val="2"/>
          </rPr>
          <t>======
ID#AAAATNGAWJA
John Fredy García López    (2022-01-19 00:29:30)
Descripción específica de las actividades a realizar en el cumplimiento de la implementación del subsistema.</t>
        </r>
      </text>
    </comment>
    <comment ref="D11" authorId="0" shapeId="0" xr:uid="{C8CD93B8-9E8B-4D3E-96D4-96F1DA3C6677}">
      <text>
        <r>
          <rPr>
            <sz val="11"/>
            <color theme="1"/>
            <rFont val="Calibri"/>
            <family val="2"/>
          </rPr>
          <t>======
ID#AAAATNGAWIw
John Fredy García López    (2022-01-19 00:29:30)
Defina el área y cargo responsable de la ejecución de la actividad planteada.</t>
        </r>
      </text>
    </comment>
    <comment ref="E11" authorId="0" shapeId="0" xr:uid="{AA89847C-C6E8-45A3-8FCE-07431E41D890}">
      <text>
        <r>
          <rPr>
            <sz val="11"/>
            <color theme="1"/>
            <rFont val="Calibri"/>
            <family val="2"/>
          </rPr>
          <t>======
ID#AAAATNGAWJY
John Fredy García López    (2022-01-19 00:29:30)
Defina el indicador con el que se mide la actividad propuesta, o el producto esperado de la actividad propuesta.</t>
        </r>
      </text>
    </comment>
    <comment ref="F11" authorId="0" shapeId="0" xr:uid="{F3DFD87A-8610-4ABC-B4E7-78F1F55DC65A}">
      <text>
        <r>
          <rPr>
            <sz val="11"/>
            <color theme="1"/>
            <rFont val="Calibri"/>
            <family val="2"/>
          </rPr>
          <t>======
ID#AAAATNGAWJk
John Fredy García López    (2022-01-19 00:29:30)
Establezca la meta que se pretende alcanzar, en cumplimiento del indicador formulado.</t>
        </r>
      </text>
    </comment>
    <comment ref="I11" authorId="0" shapeId="0" xr:uid="{2D6DF5C9-B850-4D84-A068-032F3986BFAE}">
      <text>
        <r>
          <rPr>
            <sz val="11"/>
            <color theme="1"/>
            <rFont val="Calibri"/>
            <family val="2"/>
          </rPr>
          <t>======
ID#AAAATNGAWJI
John Fredy García López    (2022-01-19 00:29:30)
Definir ponderación de la actividad (si se requiere)</t>
        </r>
      </text>
    </comment>
    <comment ref="I13" authorId="0" shapeId="0" xr:uid="{0518F910-1697-4114-9B9A-53B7C6CD0AB2}">
      <text>
        <r>
          <rPr>
            <sz val="11"/>
            <color theme="1"/>
            <rFont val="Calibri"/>
            <family val="2"/>
          </rPr>
          <t>======
ID#AAAATNGAWJU
John Fredy García López    (2022-01-19 00:29:30)
Debe corresponder al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549B184A-4389-4ADD-ADAC-13727AE1BECB}">
      <text>
        <r>
          <rPr>
            <sz val="11"/>
            <color theme="1"/>
            <rFont val="Calibri"/>
            <family val="2"/>
          </rPr>
          <t>======
ID#AAAAUY_uglA
    (2022-01-18 22:47:19)
Número consecutivo de acciones.</t>
        </r>
      </text>
    </comment>
    <comment ref="C11" authorId="0" shapeId="0" xr:uid="{5B89F76B-097C-4A25-A32D-6E25AA133BB9}">
      <text>
        <r>
          <rPr>
            <sz val="11"/>
            <color theme="1"/>
            <rFont val="Calibri"/>
            <family val="2"/>
          </rPr>
          <t>======
ID#AAAAUY_uglE
    (2022-01-18 22:47:19)
Descripción específica de las actividades a realizar en el cumplimiento de la implementación del subsistema.</t>
        </r>
      </text>
    </comment>
    <comment ref="D11" authorId="0" shapeId="0" xr:uid="{E09F976E-2CF8-4F40-998E-15EE2FB038F1}">
      <text>
        <r>
          <rPr>
            <sz val="11"/>
            <color theme="1"/>
            <rFont val="Calibri"/>
            <family val="2"/>
          </rPr>
          <t>======
ID#AAAAUY_ugk8
    (2022-01-18 22:47:19)
Defina el área y cargo responsable de la ejecución de la actividad planteada.</t>
        </r>
      </text>
    </comment>
    <comment ref="E11" authorId="0" shapeId="0" xr:uid="{72158CAA-4513-40CC-99FA-B4ED9A3226FE}">
      <text>
        <r>
          <rPr>
            <sz val="11"/>
            <color theme="1"/>
            <rFont val="Calibri"/>
            <family val="2"/>
          </rPr>
          <t>======
ID#AAAAUY_ugkw
    (2022-01-18 22:47:19)
Defina el indicador con el que se mide la actividad propuesta, o el producto esperado de la actividad propuesta.</t>
        </r>
      </text>
    </comment>
    <comment ref="F11" authorId="0" shapeId="0" xr:uid="{50061367-C6B4-4FE8-8060-193F18E670F7}">
      <text>
        <r>
          <rPr>
            <sz val="11"/>
            <color theme="1"/>
            <rFont val="Calibri"/>
            <family val="2"/>
          </rPr>
          <t>======
ID#AAAAUY_ugk0
    (2022-01-18 22:47:19)
Establezca la meta que se pretende alcanzar, en cumplimiento del indicador formulado.</t>
        </r>
      </text>
    </comment>
    <comment ref="I11" authorId="0" shapeId="0" xr:uid="{74D0E8C1-55A9-4B19-A657-BA7244AFC5D0}">
      <text>
        <r>
          <rPr>
            <sz val="11"/>
            <color theme="1"/>
            <rFont val="Calibri"/>
            <family val="2"/>
          </rPr>
          <t>======
ID#AAAAUY_uglI
    (2022-01-18 22:47:19)
Definir ponderación de la actividad (si se requiere)</t>
        </r>
      </text>
    </comment>
    <comment ref="I12" authorId="0" shapeId="0" xr:uid="{B04F84CF-F8A3-4965-ADD8-20E1986AFEA2}">
      <text>
        <r>
          <rPr>
            <sz val="11"/>
            <color theme="1"/>
            <rFont val="Calibri"/>
            <family val="2"/>
          </rPr>
          <t>======
ID#AAAAUY_ugk4
    (2022-01-18 22:47:19)
Debe corresponder al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CC4EF55B-BC85-4874-A3AA-AA0B6C16A20B}">
      <text>
        <r>
          <rPr>
            <b/>
            <sz val="9"/>
            <color indexed="81"/>
            <rFont val="MingLiU_HKSCS"/>
            <family val="1"/>
          </rPr>
          <t>Número consecutivo de acciones.</t>
        </r>
      </text>
    </comment>
    <comment ref="C11" authorId="0" shapeId="0" xr:uid="{19E12FB2-663B-4726-896D-9FEC6DDA7CD0}">
      <text>
        <r>
          <rPr>
            <b/>
            <sz val="9"/>
            <color indexed="81"/>
            <rFont val="Tahoma"/>
            <family val="2"/>
          </rPr>
          <t>Descripción específica de las actividades a realizar en el cumplimiento de la implementación del subsistema.</t>
        </r>
      </text>
    </comment>
    <comment ref="D11" authorId="0" shapeId="0" xr:uid="{43AAE523-33B9-46FC-9947-B0059399CF7C}">
      <text>
        <r>
          <rPr>
            <b/>
            <sz val="9"/>
            <color indexed="81"/>
            <rFont val="Tahoma"/>
            <family val="2"/>
          </rPr>
          <t>Defina el área y cargo responsable de la ejecución de la actividad planteada.</t>
        </r>
      </text>
    </comment>
    <comment ref="E11" authorId="0" shapeId="0" xr:uid="{7098A859-8F4E-4075-9E8C-01D77B6A9CBE}">
      <text>
        <r>
          <rPr>
            <b/>
            <sz val="9"/>
            <color indexed="81"/>
            <rFont val="Tahoma"/>
            <family val="2"/>
          </rPr>
          <t>Defina el indicador con el que se mide la actividad propuesta, o el producto esperado de la actividad propuesta.</t>
        </r>
      </text>
    </comment>
    <comment ref="F11" authorId="0" shapeId="0" xr:uid="{44D8B886-8A5A-42B3-9379-B336C0F942FA}">
      <text>
        <r>
          <rPr>
            <b/>
            <sz val="9"/>
            <color indexed="81"/>
            <rFont val="Tahoma"/>
            <family val="2"/>
          </rPr>
          <t>Establezca la meta que se pretende alcanzar, en cumplimiento del indicador formulado.</t>
        </r>
      </text>
    </comment>
    <comment ref="I11" authorId="0" shapeId="0" xr:uid="{B72A5AC6-F730-42A5-AA14-8EBE848B8D77}">
      <text>
        <r>
          <rPr>
            <b/>
            <sz val="9"/>
            <color indexed="81"/>
            <rFont val="Tahoma"/>
            <family val="2"/>
          </rPr>
          <t>Definir ponderación de la actividad (si se requiere)</t>
        </r>
        <r>
          <rPr>
            <sz val="9"/>
            <color indexed="81"/>
            <rFont val="Tahoma"/>
            <family val="2"/>
          </rPr>
          <t xml:space="preserve">
</t>
        </r>
      </text>
    </comment>
    <comment ref="I12" authorId="0" shapeId="0" xr:uid="{CDE37E70-8308-445E-BDC7-3760CF855686}">
      <text>
        <r>
          <rPr>
            <b/>
            <sz val="9"/>
            <color indexed="81"/>
            <rFont val="Tahoma"/>
            <family val="2"/>
          </rPr>
          <t>Debe corresponder al 100%</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CAAC15BA-1B9D-400B-8AA8-D362BFED2BC5}">
      <text>
        <r>
          <rPr>
            <b/>
            <sz val="9"/>
            <color indexed="81"/>
            <rFont val="MingLiU_HKSCS"/>
            <family val="1"/>
          </rPr>
          <t>Número consecutivo de acciones.</t>
        </r>
      </text>
    </comment>
    <comment ref="C11" authorId="0" shapeId="0" xr:uid="{B5A5BB7D-1FE5-487C-B973-16C87E4B07ED}">
      <text>
        <r>
          <rPr>
            <b/>
            <sz val="9"/>
            <color indexed="81"/>
            <rFont val="Tahoma"/>
            <family val="2"/>
          </rPr>
          <t>Descripción específica de las actividades a realizar en el cumplimiento de la implementación del subsistema.</t>
        </r>
      </text>
    </comment>
    <comment ref="D11" authorId="0" shapeId="0" xr:uid="{DE6B59A2-8801-48F5-8A91-33F4D3E89B4F}">
      <text>
        <r>
          <rPr>
            <b/>
            <sz val="9"/>
            <color indexed="81"/>
            <rFont val="Tahoma"/>
            <family val="2"/>
          </rPr>
          <t>Defina el área y cargo responsable de la ejecución de la actividad planteada.</t>
        </r>
      </text>
    </comment>
    <comment ref="E11" authorId="0" shapeId="0" xr:uid="{603E018D-A587-4316-8B4B-6E66033D88C1}">
      <text>
        <r>
          <rPr>
            <b/>
            <sz val="9"/>
            <color indexed="81"/>
            <rFont val="Tahoma"/>
            <family val="2"/>
          </rPr>
          <t>Defina el indicador con el que se mide la actividad propuesta, o el producto esperado de la actividad propuesta.</t>
        </r>
      </text>
    </comment>
    <comment ref="F11" authorId="0" shapeId="0" xr:uid="{03BEBB0A-034B-41E5-9219-536ACA19D04C}">
      <text>
        <r>
          <rPr>
            <b/>
            <sz val="9"/>
            <color indexed="81"/>
            <rFont val="Tahoma"/>
            <family val="2"/>
          </rPr>
          <t>Establezca la meta que se pretende alcanzar, en cumplimiento del indicador formulado.</t>
        </r>
      </text>
    </comment>
    <comment ref="I11" authorId="0" shapeId="0" xr:uid="{C4F4A7EB-986C-421B-81AC-80DF2A736C8F}">
      <text>
        <r>
          <rPr>
            <b/>
            <sz val="9"/>
            <color indexed="81"/>
            <rFont val="Tahoma"/>
            <family val="2"/>
          </rPr>
          <t>Definir ponderación de la actividad (si se requiere)</t>
        </r>
        <r>
          <rPr>
            <sz val="9"/>
            <color indexed="81"/>
            <rFont val="Tahoma"/>
            <family val="2"/>
          </rPr>
          <t xml:space="preserve">
</t>
        </r>
      </text>
    </comment>
    <comment ref="I12" authorId="0" shapeId="0" xr:uid="{2969CBA4-2460-4EFE-9D40-582D3E703B40}">
      <text>
        <r>
          <rPr>
            <b/>
            <sz val="9"/>
            <color indexed="81"/>
            <rFont val="Tahoma"/>
            <family val="2"/>
          </rPr>
          <t>Debe corresponder al 100%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John Fredy Garcia Lopez</author>
  </authors>
  <commentList>
    <comment ref="B11" authorId="0" shapeId="0" xr:uid="{F39A5282-A597-468B-B4D9-01445B6CB6F9}">
      <text>
        <r>
          <rPr>
            <b/>
            <sz val="9"/>
            <color indexed="81"/>
            <rFont val="MingLiU_HKSCS"/>
            <family val="1"/>
          </rPr>
          <t>Número consecutivo de acciones.</t>
        </r>
      </text>
    </comment>
    <comment ref="C11" authorId="0" shapeId="0" xr:uid="{9B1721B1-0457-4385-B362-F79F26AD5DA8}">
      <text>
        <r>
          <rPr>
            <b/>
            <sz val="9"/>
            <color indexed="81"/>
            <rFont val="Tahoma"/>
            <family val="2"/>
          </rPr>
          <t>Descripción específica de las actividades a realizar en el cumplimiento de la implementación del subsistema.</t>
        </r>
      </text>
    </comment>
    <comment ref="D11" authorId="0" shapeId="0" xr:uid="{1AB167BE-2F96-4CF6-840D-E4282265EB23}">
      <text>
        <r>
          <rPr>
            <b/>
            <sz val="9"/>
            <color indexed="81"/>
            <rFont val="Tahoma"/>
            <family val="2"/>
          </rPr>
          <t>Defina el área y cargo responsable de la ejecución de la actividad planteada.</t>
        </r>
      </text>
    </comment>
    <comment ref="E11" authorId="0" shapeId="0" xr:uid="{B4ED0E56-D422-4307-89DB-D0A8B8004B66}">
      <text>
        <r>
          <rPr>
            <b/>
            <sz val="9"/>
            <color indexed="81"/>
            <rFont val="Tahoma"/>
            <family val="2"/>
          </rPr>
          <t>Defina el indicador con el que se mide la actividad propuesta, o el producto esperado de la actividad propuesta.</t>
        </r>
      </text>
    </comment>
    <comment ref="F11" authorId="0" shapeId="0" xr:uid="{3734978A-B4B4-4C36-A625-285DB36F4ED6}">
      <text>
        <r>
          <rPr>
            <b/>
            <sz val="9"/>
            <color indexed="81"/>
            <rFont val="Tahoma"/>
            <family val="2"/>
          </rPr>
          <t>Establezca la meta que se pretende alcanzar, en cumplimiento del indicador formulado.</t>
        </r>
      </text>
    </comment>
    <comment ref="I11" authorId="0" shapeId="0" xr:uid="{5BCDBE35-121D-4376-8E84-43789278A1B9}">
      <text>
        <r>
          <rPr>
            <b/>
            <sz val="9"/>
            <color indexed="81"/>
            <rFont val="Tahoma"/>
            <family val="2"/>
          </rPr>
          <t>Definir ponderación de la actividad (si se requiere)</t>
        </r>
        <r>
          <rPr>
            <sz val="9"/>
            <color indexed="81"/>
            <rFont val="Tahoma"/>
            <family val="2"/>
          </rPr>
          <t xml:space="preserve">
</t>
        </r>
      </text>
    </comment>
    <comment ref="I12" authorId="0" shapeId="0" xr:uid="{92E9137C-FF44-4E22-9D57-52500C0A9899}">
      <text>
        <r>
          <rPr>
            <b/>
            <sz val="9"/>
            <color indexed="81"/>
            <rFont val="Tahoma"/>
            <family val="2"/>
          </rPr>
          <t>Debe corresponder al 100%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965B8C1-3F70-4721-8A9C-629FF9B6F2C2}">
      <text>
        <r>
          <rPr>
            <sz val="10"/>
            <color rgb="FF000000"/>
            <rFont val="Arial"/>
            <family val="2"/>
          </rPr>
          <t>Número consecutivo de acciones.</t>
        </r>
      </text>
    </comment>
    <comment ref="C11" authorId="0" shapeId="0" xr:uid="{73B00DEB-9A72-4488-AE72-A0F2EB40EB56}">
      <text>
        <r>
          <rPr>
            <sz val="10"/>
            <color rgb="FF000000"/>
            <rFont val="Arial"/>
            <family val="2"/>
          </rPr>
          <t>Descripción específica de las actividades a realizar en el cumplimiento de la implementación del subsistema.</t>
        </r>
      </text>
    </comment>
    <comment ref="D11" authorId="0" shapeId="0" xr:uid="{C46E9A2F-AE21-4467-8023-AE3AA56A53A5}">
      <text>
        <r>
          <rPr>
            <sz val="10"/>
            <color rgb="FF000000"/>
            <rFont val="Arial"/>
            <family val="2"/>
          </rPr>
          <t>Defina el área y cargo responsable de la ejecución de la actividad planteada.</t>
        </r>
      </text>
    </comment>
    <comment ref="E11" authorId="0" shapeId="0" xr:uid="{EF76537C-7730-403D-8076-F4E77B3F8C85}">
      <text>
        <r>
          <rPr>
            <sz val="10"/>
            <color rgb="FF000000"/>
            <rFont val="Arial"/>
            <family val="2"/>
          </rPr>
          <t>Defina el indicador con el que se mide la actividad propuesta, o el producto esperado de la actividad propuesta.</t>
        </r>
      </text>
    </comment>
    <comment ref="F11" authorId="0" shapeId="0" xr:uid="{38B71819-6818-47CA-B9D8-7A9CA4090E51}">
      <text>
        <r>
          <rPr>
            <sz val="10"/>
            <color rgb="FF000000"/>
            <rFont val="Arial"/>
            <family val="2"/>
          </rPr>
          <t>Establezca la meta que se pretende alcanzar, en cumplimiento del indicador formulado.</t>
        </r>
      </text>
    </comment>
    <comment ref="I11" authorId="0" shapeId="0" xr:uid="{99B0B914-BDD2-4FFF-A6A7-F77B8D050ED1}">
      <text>
        <r>
          <rPr>
            <sz val="10"/>
            <color rgb="FF000000"/>
            <rFont val="Arial"/>
            <family val="2"/>
          </rPr>
          <t xml:space="preserve">Definir ponderación de la actividad (si se requiere)
</t>
        </r>
      </text>
    </comment>
    <comment ref="I12" authorId="0" shapeId="0" xr:uid="{A2AF04FC-C825-4A0B-8F7D-64AED138C853}">
      <text>
        <r>
          <rPr>
            <sz val="10"/>
            <color rgb="FF000000"/>
            <rFont val="Arial"/>
            <family val="2"/>
          </rPr>
          <t xml:space="preserve">Debe corresponder al 100%
</t>
        </r>
      </text>
    </comment>
  </commentList>
</comments>
</file>

<file path=xl/sharedStrings.xml><?xml version="1.0" encoding="utf-8"?>
<sst xmlns="http://schemas.openxmlformats.org/spreadsheetml/2006/main" count="2481" uniqueCount="1235">
  <si>
    <t>Descripción</t>
  </si>
  <si>
    <t>Objetivo estratégico</t>
  </si>
  <si>
    <t>Proyecto / Plan</t>
  </si>
  <si>
    <t>Descripción del indicador</t>
  </si>
  <si>
    <t>Fórmula del indicador</t>
  </si>
  <si>
    <t>Actividades</t>
  </si>
  <si>
    <t>Unidad de medición</t>
  </si>
  <si>
    <t>Periodicidad</t>
  </si>
  <si>
    <t>Línea base</t>
  </si>
  <si>
    <t>Observaciones</t>
  </si>
  <si>
    <t>Líder estratégico</t>
  </si>
  <si>
    <t>Misión:</t>
  </si>
  <si>
    <t>Visión:</t>
  </si>
  <si>
    <t>Objetivos estratégicos:</t>
  </si>
  <si>
    <t>Correspondencia con ODS</t>
  </si>
  <si>
    <t>Correspondencia con PDD</t>
  </si>
  <si>
    <t>Correspondencia con MIPG</t>
  </si>
  <si>
    <t>2 Eficiencia: (uso de los recursos)</t>
  </si>
  <si>
    <t>3 Efectividad (impacto o beneficios generados)</t>
  </si>
  <si>
    <t>Indicador</t>
  </si>
  <si>
    <t>Objetivo del proyecto, plan o estrategia.</t>
  </si>
  <si>
    <t>Tipo de Indicador</t>
  </si>
  <si>
    <t>Alerta</t>
  </si>
  <si>
    <t>Aceptable</t>
  </si>
  <si>
    <t>Satisfactorio</t>
  </si>
  <si>
    <t>Muy satisfactorio</t>
  </si>
  <si>
    <t>Rangos de tolerancia</t>
  </si>
  <si>
    <t>Numerador</t>
  </si>
  <si>
    <t>Denominador</t>
  </si>
  <si>
    <t>Tendencia</t>
  </si>
  <si>
    <t>Meta 2022</t>
  </si>
  <si>
    <t>Magnitud</t>
  </si>
  <si>
    <t>Versión:</t>
  </si>
  <si>
    <t>Fecha:</t>
  </si>
  <si>
    <t>Plataforma estratégica - Aprobada mediante Resolución interna 128 de Noviembre de 2021.</t>
  </si>
  <si>
    <t>Capital es el sistema de comunicación pública de Bogotá-región que ubica a la ciudadanía en el centro a través del diseño, producción y circulación de contenidos y estrategias de comunicación, pertinentes para los grupos de interés, que aportan referentes de inteligencia colectiva para la construcción de una sociedad plural y participativa.</t>
  </si>
  <si>
    <t>En 2024 Capital será el sistema de comunicación pública, que fomenta la innovación audiovisual de Bogotá-Región y es reconocido y valorado por la ciudadanía como un espacio participativo y plural, garante del libre acceso a la información y gestor del conocimiento.</t>
  </si>
  <si>
    <t>1. Consolidar una oferta de contenidos de interés ciudadano en diferentes formatos y plataformas que promuevan la participación de la ciudadanía.</t>
  </si>
  <si>
    <t>2. Implementar prácticas de innovación en diseño, gestión, producción y circulación de contenidos para el posicionamiento del Sistema de Comunicación Pública en la Bogotá Región y la generación de múltiples audiencias ciudadanas.</t>
  </si>
  <si>
    <t xml:space="preserve">3. Generar una cultura digital y de gestión del conocimiento para la optimización de los procesos internos y externos.  </t>
  </si>
  <si>
    <t xml:space="preserve">4. Consolidar a Capital como una empresa que desarrolla nuevas estrategias de negocios de comunicación pública. </t>
  </si>
  <si>
    <t xml:space="preserve">5. Fortalecer la capacidad organizacional de Capital para ser una empresa transparente, eficiente y sostenible. </t>
  </si>
  <si>
    <t>TIPO</t>
  </si>
  <si>
    <t>Código</t>
  </si>
  <si>
    <t>TENDENCIA</t>
  </si>
  <si>
    <r>
      <rPr>
        <b/>
        <sz val="9"/>
        <color theme="1"/>
        <rFont val="Arial"/>
        <family val="2"/>
      </rPr>
      <t xml:space="preserve">1 Eficacia: </t>
    </r>
    <r>
      <rPr>
        <sz val="9"/>
        <color theme="1"/>
        <rFont val="Arial"/>
        <family val="2"/>
      </rPr>
      <t>Cumplimiento de metas</t>
    </r>
  </si>
  <si>
    <r>
      <rPr>
        <b/>
        <sz val="9"/>
        <color theme="1"/>
        <rFont val="Arial"/>
        <family val="2"/>
      </rPr>
      <t xml:space="preserve">2 Eficiencia: </t>
    </r>
    <r>
      <rPr>
        <sz val="9"/>
        <color theme="1"/>
        <rFont val="Arial"/>
        <family val="2"/>
      </rPr>
      <t>Uso de los recursos.</t>
    </r>
  </si>
  <si>
    <r>
      <rPr>
        <b/>
        <sz val="9"/>
        <color theme="1"/>
        <rFont val="Arial"/>
        <family val="2"/>
      </rPr>
      <t>3 Efectividad:</t>
    </r>
    <r>
      <rPr>
        <sz val="9"/>
        <color theme="1"/>
        <rFont val="Arial"/>
        <family val="2"/>
      </rPr>
      <t xml:space="preserve"> Impacto o beneficios generados.</t>
    </r>
  </si>
  <si>
    <r>
      <rPr>
        <b/>
        <sz val="9"/>
        <color theme="1"/>
        <rFont val="Arial"/>
        <family val="2"/>
      </rPr>
      <t>1 Creciente:</t>
    </r>
    <r>
      <rPr>
        <sz val="9"/>
        <color theme="1"/>
        <rFont val="Arial"/>
        <family val="2"/>
      </rPr>
      <t xml:space="preserve"> El resultado tiende a crecer en el tiempo</t>
    </r>
  </si>
  <si>
    <r>
      <rPr>
        <b/>
        <sz val="9"/>
        <color theme="1"/>
        <rFont val="Arial"/>
        <family val="2"/>
      </rPr>
      <t>2 Constante:</t>
    </r>
    <r>
      <rPr>
        <sz val="9"/>
        <color theme="1"/>
        <rFont val="Arial"/>
        <family val="2"/>
      </rPr>
      <t xml:space="preserve"> Se espera un valor o rango de resultado estable en el tiempo</t>
    </r>
  </si>
  <si>
    <r>
      <rPr>
        <b/>
        <sz val="9"/>
        <color theme="1"/>
        <rFont val="Arial"/>
        <family val="2"/>
      </rPr>
      <t>3 Decreciente:</t>
    </r>
    <r>
      <rPr>
        <sz val="9"/>
        <color theme="1"/>
        <rFont val="Arial"/>
        <family val="2"/>
      </rPr>
      <t xml:space="preserve"> El resultado tiende a decrecer en el tiempo</t>
    </r>
  </si>
  <si>
    <t>1 Mensual</t>
  </si>
  <si>
    <t>2 Bimensual</t>
  </si>
  <si>
    <t>3 Trimestral</t>
  </si>
  <si>
    <t>4 Cuatrimestral</t>
  </si>
  <si>
    <t>PERIODICIDAD</t>
  </si>
  <si>
    <t>OBJETIVOS</t>
  </si>
  <si>
    <t>ESTRATEGIAS</t>
  </si>
  <si>
    <t>1. Diseñar y desarrollar actividades de cocreación con las audiencias y el sector para ser una marca querida por la ciudadanía, reconocida por la industria y creadora de contenidos innovadores y de calidad.</t>
  </si>
  <si>
    <t>2. Conocer audiencias potenciales de Bogotá-Región en las distintas plataformas. (Identificar, caracterizar y perfilar).</t>
  </si>
  <si>
    <t>6. Articular los procesos y flujos de trabajo a la estructura de Capital.</t>
  </si>
  <si>
    <t>4. Diseñar y desarrollar mecanismos de apropiación de la marca Capital por parte de la ciudadanía.</t>
  </si>
  <si>
    <t>3. Realizar el diseño, desarrollo, producción y programación en diferentes plataformas para audiencias por nichos.</t>
  </si>
  <si>
    <t>8. Lograr una articulación estratégica con aliados públicos y privados, gracias a la gestión de un modelo de industria eficiente, productiva y sostenible.</t>
  </si>
  <si>
    <t>7. Adelantar fases de diagnóstico, actualización e implementación de una cultura digital y de gestión del conocimiento.</t>
  </si>
  <si>
    <t>OE_1</t>
  </si>
  <si>
    <t>OE_2</t>
  </si>
  <si>
    <t>OE_3</t>
  </si>
  <si>
    <t>OE_4</t>
  </si>
  <si>
    <t>OE_5</t>
  </si>
  <si>
    <t>Impulso y apropiación de herramientas de lecciones aprendidas.</t>
  </si>
  <si>
    <t>Posicionar al interior de Capital la cultura de gestión del conocimiento</t>
  </si>
  <si>
    <t>Lecciones aprendidas consolidadas.</t>
  </si>
  <si>
    <t>1 Eficacia: Cumplimiento de metas</t>
  </si>
  <si>
    <t>Medir la cantidad de lecciones aprendidas que se consolidan en la herramienta.</t>
  </si>
  <si>
    <t>Lecciones aprendidas documentadas</t>
  </si>
  <si>
    <t>Lecciones aprendidas identificadas para documentar.</t>
  </si>
  <si>
    <t>Porcentaje (%)</t>
  </si>
  <si>
    <t>1 Creciente: El resultado tiende a crecer en el tiempo</t>
  </si>
  <si>
    <t xml:space="preserve">1. Definición de los proyectos a los cuales se les documentará lecciones aprendidas.
2. Elaboración de los documentos de lecciones aprendidas.
3. Presentación de resultados. </t>
  </si>
  <si>
    <t>3. Salud y bienestar.
16. Paz, justicia e instituciones sólidas.</t>
  </si>
  <si>
    <t>Propósito 1
Logro de ciudad: 3 - 5
Propósito 5
Logro de ciudad: 30</t>
  </si>
  <si>
    <t>Gestión del conocimiento y la innovación.</t>
  </si>
  <si>
    <t>16. Paz, justicia e instituciones sólidas.</t>
  </si>
  <si>
    <t>Propósito 5 
Logro de ciudad: 30</t>
  </si>
  <si>
    <t>Planeación estratégica.
Seguimiento y evaluación del desempeño institucional</t>
  </si>
  <si>
    <t>Seguimiento a la ejecución de recursos del Plan Anual de Adquisiciones - PAA.</t>
  </si>
  <si>
    <t>5. Realizar el diagnóstico, diseño e implementación de una estructura administrativa acorde a las necesidades de Capital.</t>
  </si>
  <si>
    <t>Porcentaje de cumplimiento de los resultados del plan de fortalecimiento institucional.</t>
  </si>
  <si>
    <t>2 Eficiencia: Uso de los recursos.</t>
  </si>
  <si>
    <t>Realizar seguimientos sobre los avances mensuales a los resultados del plan de fortalecimiento institucional, con el fin de cumplir los requisitos de implementación y mantenimiento del Modelo Integrado de Planeación y Gestión - MIPG.</t>
  </si>
  <si>
    <t>Porcentaje de avances ejecutado para el mes</t>
  </si>
  <si>
    <t>Porcentaje de avances programado para el mes</t>
  </si>
  <si>
    <t>Lograr como mínimo el cumplimiento del 90% de los compromisos establecidos en el Plan de Fortalecimiento Institucional - PFI para la implementación del Modelo Integrado de Planeación y Gestión en la vigencia 2022.</t>
  </si>
  <si>
    <t>1. Mensualmente adelantar seguimiento a los resultados del PFI para reporte al SPI.
2. Trimestralmente consolidar el avance para el reporte a proyectos de inversión en SEGPLAN.</t>
  </si>
  <si>
    <t xml:space="preserve">Porcentaje del cumplimiento oportuno del cronograma de informes a cargo de planeación </t>
  </si>
  <si>
    <t xml:space="preserve">Número de informes o reportes ejecutados oportunamente por planeación </t>
  </si>
  <si>
    <t xml:space="preserve">Número de informes o reportes programados para ser ejecutados por planeación </t>
  </si>
  <si>
    <t>2 Constante: Se espera un valor o rango de resultado estable en el tiempo</t>
  </si>
  <si>
    <t>31% - 70%</t>
  </si>
  <si>
    <t xml:space="preserve">No aplica </t>
  </si>
  <si>
    <t>Medir el nivel de cumplimiento en la ejecución de los recursos sobre las adquisiciones planeadas para la vigencia</t>
  </si>
  <si>
    <t xml:space="preserve">Porcentaje de cumplimiento del Plan Anual de Adquisiciones </t>
  </si>
  <si>
    <t>Recursos ejecutados del Plan Anual de Adquisiciones - PAA de la vigencia 2022</t>
  </si>
  <si>
    <t>Total de recursos programados en el Plan Anual de Adquisiciones - PAA para la vigencia 2022</t>
  </si>
  <si>
    <t>31% - 60%</t>
  </si>
  <si>
    <t>61% - 90%</t>
  </si>
  <si>
    <t>Propósito 1
Logro de ciudad: 3 - 9 - 10
Propósito 3
Logro de ciudad: 22 - 23
Propósito 5
Logro de ciudad: 30</t>
  </si>
  <si>
    <t>Participación ciudadana en la gestión pública.</t>
  </si>
  <si>
    <t>Lograr la ejecución presupuestal como mínimo al 90% de acuerdo con la programación establecida en el Plan Anual de Adquisiciones - PAA.</t>
  </si>
  <si>
    <t>Informe mensual que exponga el trabajo conjunto con las entidades.</t>
  </si>
  <si>
    <t>La medición para el producto propuesto consiste en la elaboración de un documento que reúna las actividades realizadas con insumos. (piezas, imágenes, links).</t>
  </si>
  <si>
    <t>Informes elaborados, que den cuenta de las actividades adelantadas</t>
  </si>
  <si>
    <t>Número de informes planeados.</t>
  </si>
  <si>
    <t>Porcentaje (%).</t>
  </si>
  <si>
    <t>31%-60%</t>
  </si>
  <si>
    <t>61%-90%</t>
  </si>
  <si>
    <t>1. Levantamiento base de datos de aliados, entidades distritales y canales regionales.
2. Acompañamiento trabajo conjunto áreas de Capital y entidades objetivo.</t>
  </si>
  <si>
    <t>No aplica</t>
  </si>
  <si>
    <r>
      <t xml:space="preserve">Publicaciones logradas por el trabajo de </t>
    </r>
    <r>
      <rPr>
        <i/>
        <sz val="10"/>
        <color theme="1"/>
        <rFont val="Arial"/>
        <family val="2"/>
      </rPr>
      <t>free press</t>
    </r>
    <r>
      <rPr>
        <sz val="10"/>
        <color theme="1"/>
        <rFont val="Arial"/>
        <family val="2"/>
      </rPr>
      <t xml:space="preserve"> en los diferentes medios de comunicación.</t>
    </r>
  </si>
  <si>
    <t>Número de publicaciones alcanzadas</t>
  </si>
  <si>
    <t>Número de publicaciones proyectadas</t>
  </si>
  <si>
    <t>1. Recopilación de la información. 
2. Redacción de artículos / boletines.
3. Aprobación del producto.
4. Envío a medios.
5. Seguimiento.
6. Materialización de la publicación y/o entrevista.
7. Elaboración del informe de gestión.</t>
  </si>
  <si>
    <t>3 Efectividad: Impacto o beneficios generados.</t>
  </si>
  <si>
    <t>Realizar publicaciones, campañas, boletines y/o comunicados que ayuden a fomentar la cultura organizacional y el sentido de pertenencia.</t>
  </si>
  <si>
    <t>Número de solicitudes de comunicación recibidas sobre cultura organizacional y sentido de pertenencia.</t>
  </si>
  <si>
    <t>1. Definición de acciones con RRHH.
2. Recopilación de información
3. Realización de piezas gráficas.
4. Socialización</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</si>
  <si>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de marketing, Capital Social y relaciones públicas, aun no deben iniciar.
2. Los porcentajes de cada trimestre corresponderán al avance alcanzado de acuerdo con Estrategia de marketing, Capital Social y relaciones públicas establecidas para la vigencia.
3. Al final de la vigencia, la sumatoria del resultado de cada trimestre corresponderá a la meta establecida, es decir 100 %. Los resultados parciales (cada trimestre) serán definidos de acuerdo Estrategia de marketing,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de marketing, Capital Social y relaciones públicas.</t>
  </si>
  <si>
    <t>&lt; 70 %</t>
  </si>
  <si>
    <t>70 % - 99,5 %</t>
  </si>
  <si>
    <t>99,6 -100%</t>
  </si>
  <si>
    <t>&gt; 100%</t>
  </si>
  <si>
    <t>Proyecto audiovisual de cocreación de contenidos con el sector audiovisual local.</t>
  </si>
  <si>
    <t>Gestión presupuestal para llamados públicos</t>
  </si>
  <si>
    <t xml:space="preserve">Presupuesto diseñado, apropiado y/o comprometido para llamados públicos de cocreación con sector audiovisual local </t>
  </si>
  <si>
    <t>Presupuesto total para la producción de contenidos propios recursos hacienda y FuTic plan de inversión</t>
  </si>
  <si>
    <t>Rango entre 25 % al 40%</t>
  </si>
  <si>
    <t>Rango entre 25 % al 35,9 %</t>
  </si>
  <si>
    <t>Se realizará la medición teniendo en cuenta el intervalo de cumplimiento entre 25 % al 35,9 % del presupuesto total asignado a la Dirección Operativa, asignado a los llamados públicos.</t>
  </si>
  <si>
    <t>&lt; 23 %</t>
  </si>
  <si>
    <t>23 % al 24,9 %</t>
  </si>
  <si>
    <t>Entre 36 % y 40 %</t>
  </si>
  <si>
    <t>70 % - 99,9 %</t>
  </si>
  <si>
    <t xml:space="preserve">Rediseño de página web y optimización del canal de YouTube de capital </t>
  </si>
  <si>
    <t>Realizar acciones que potencialicen los recursos internos disponibles por Capital para unificar las páginas web de capital en una sola y cumplir con los lineamientos de gobierno en línea</t>
  </si>
  <si>
    <t>Porcentaje de avance en las plataformas digitales optimizadas para la publicación de contenidos (2)</t>
  </si>
  <si>
    <t>Hace referencia al porcentaje de avance en las actividades de intervención de las plataformas tecnológicas, durante la vigencia, para  unificar las páginas web de capital en una sola que cumpla con los lineamientos de gobierno en línea, así como del canal de YouTube.</t>
  </si>
  <si>
    <t>Porcentaje de avance en la intervención de las plataformas</t>
  </si>
  <si>
    <t>Medición de la continuidad del servicio.</t>
  </si>
  <si>
    <t>Garantizar la calidad y continuidad de la señal de transmisión del canal, evaluando y monitoreando el correcto funcionamiento de los equipos técnicos que intervienen en la cadena de emisión y transmisión.</t>
  </si>
  <si>
    <t>Continuidad en la prestación del servicio</t>
  </si>
  <si>
    <t>100 - ((∑(Tiempo en minutos de falla de la seña del periodo reportado)</t>
  </si>
  <si>
    <t>∑(tiempo en minutos de la señal programa total))100%</t>
  </si>
  <si>
    <t>99 % - 100 %</t>
  </si>
  <si>
    <t>86 % - 95 %</t>
  </si>
  <si>
    <t>96 % - 100 %</t>
  </si>
  <si>
    <t>&gt; 100 %</t>
  </si>
  <si>
    <t>5. Realizar el diagnóstico, diseño e implementación de una estructura administrativa acorde a las necesidades de capital.</t>
  </si>
  <si>
    <t>Plan institucional de Gestión Ambiental - PIGA</t>
  </si>
  <si>
    <t>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t>
  </si>
  <si>
    <t>Cumplimiento del Plan Institucional de Gestión Ambiental - PIGA</t>
  </si>
  <si>
    <t>Se espera llevar el seguimiento de la implementación de las acciones establecidas en el Plan de Acción PIGA para cada vigencia en coherencia con la concertación para el periodo 2021-2024</t>
  </si>
  <si>
    <t>Número de actividades ejecutadas del Plan Institucional de Gestión Ambiental - PIGA</t>
  </si>
  <si>
    <t>Número de actividades programadas del Plan Institucional de Gestión Ambiental - PIGA</t>
  </si>
  <si>
    <t>&lt;30%</t>
  </si>
  <si>
    <t>71% - 89%</t>
  </si>
  <si>
    <t>&gt;89%</t>
  </si>
  <si>
    <t>Formulación del Plan de Acción anual PIGA (10%)
Ejecución de las actividades programadas (80%)
Seguimiento semestral del Plan de Acción para informes ante la SDA. (10%)</t>
  </si>
  <si>
    <t>Realizar el seguimiento al cumplimiento de las actividades programadas en el Plan Estratégico de tecnologías de la información - PETI</t>
  </si>
  <si>
    <t>Ejecutar como mínimo el 95% de las actividades programadas en el plan de tecnologías de la información (Plan Estratégico de Tecnologías de la Información - PETI).</t>
  </si>
  <si>
    <t>1. Planificación (20%)
2. Ejecución (80%)
3. Seguimiento al cumplimiento
4. Análisis y mejoramiento</t>
  </si>
  <si>
    <t xml:space="preserve">Fortalecer la plataforma tecnológica de la Entidad (Hardware y Software), manteniendo un esquema de alta disponibilidad y seguridad. </t>
  </si>
  <si>
    <t>Cumplimiento de actividades del Plan de seguridad y privacidad de la información</t>
  </si>
  <si>
    <t>Realizar el seguimiento al cumplimiento de las actividades programadas en el Plan de seguridad y privacidad de la información</t>
  </si>
  <si>
    <t xml:space="preserve">Ejecutar como mínimo el 95% de las actividades programadas en el Plan de Seguridad y Privacidad de la Información </t>
  </si>
  <si>
    <t>Cumplimiento de actividades del Plan de tratamiento de riesgos de seguridad y privacidad de la información</t>
  </si>
  <si>
    <t>Realizar el seguimiento al cumplimiento de las actividades programadas en el Plan de tratamiento de riesgos de seguridad y privacidad de la información</t>
  </si>
  <si>
    <t>Ejecutar como mínimo el 95% de las actividades programadas en el Plan de tratamiento de riesgos de seguridad y privacidad de la información.</t>
  </si>
  <si>
    <t>Ejecutar los planes y proyectos definidos en el Plan Institucional de Archivos PINAR de Canal Capital</t>
  </si>
  <si>
    <t>En relación a lo definido en el PINAR se presente ejecutar las actividades en cumplimiento de los cronogramas establecidos.</t>
  </si>
  <si>
    <t>Número de actividades ejecutadas del Plan Institucional de Archivos PINAR</t>
  </si>
  <si>
    <t>Número de actividades programadas del Plan Institucional de Archivos PINAR</t>
  </si>
  <si>
    <t>Se pretende dar cumplimiento como mínimo al 90% de las actividades establecidas en el Plan Institucional de Archivos PINAR para la vigencia 2022</t>
  </si>
  <si>
    <t>1. Actualización Tabla de Retención Documental. (35%)
2. Implementación y ejecución del SGDEA. (35%)
3. Seguimiento al cumplimiento de los planes proyectados.(30%)</t>
  </si>
  <si>
    <t>Plan de Fortalecimiento a la gestión administrativa y operativa de Servicios Administrativos</t>
  </si>
  <si>
    <t>Garantizar condiciones adecuadas en la infraestructura física de Canal Capital en sus dos sedes.</t>
  </si>
  <si>
    <t>Cumplimiento en los mantenimientos, adecuaciones o reparaciones locativas en la vigencia 2022</t>
  </si>
  <si>
    <t>Se espera medir el avance en el cumplimiento de las actividades programadas para garantizar y mantener en condiciones adecuadas la infraestructura física de la entidad.</t>
  </si>
  <si>
    <t>Número de adecuaciones, mantenimientos o reparaciones ejecutadas</t>
  </si>
  <si>
    <t>Número de adecuaciones, mantenimientos o reparaciones programadas</t>
  </si>
  <si>
    <t>1. Compra e instalación de una cocina integral para el inmueble (50%)
2. Mantenimientos, adecuaciones y/o reparaciones correctivas tanto a la sede calle 26 como al inmueble. (10%)
3. Mantenimientos locativos preventivos tanto a la sede calle 26 como al inmueble (40%)</t>
  </si>
  <si>
    <t>Salvaguardar el patrimonio de bienes muebles de Canal Capital evitando detrimentos patrimoniales a la entidad</t>
  </si>
  <si>
    <t>Cumplimiento de los cronogramas de Tomas Físicas de Inventarios en la vigencia 2022</t>
  </si>
  <si>
    <t>Se espera medir el avance en el cumplimiento de las actividades programadas para salvaguardar el patrimonio de bienes muebles de la entidad</t>
  </si>
  <si>
    <t xml:space="preserve">Número de tomas físicas ejecutadas </t>
  </si>
  <si>
    <t>Número de áreas programadas para tomas físicas</t>
  </si>
  <si>
    <t>1. Realizar una toma física de inventarios a los elementos catalogados como Consumo Controlado de Canal Capital (20%)
2. Realizar una toma física aleatoria a los bienes catalogados como Propiedad, Planta y Equipo de Canal Capital. (20%)
3. Realizar una toma física completa a los bienes catalogados como Propiedad, Planta y Equipo de Canal Capital (60%)</t>
  </si>
  <si>
    <t>Porcentaje de avance en la implementación del plan institucional de capacitación</t>
  </si>
  <si>
    <t>Realizar el seguimiento al cumplimiento de las acciones definidas en el Plan Institucional de Capacitación de la vigencia 2022.</t>
  </si>
  <si>
    <t>1.Identificación de necesidades de capacitación (20%)
2.Formulación del Plan de capacitación (10%)
3.Ejecución de las actividades programadas (50%)
4.Seguimiento al plan de capacitación. (20%)</t>
  </si>
  <si>
    <t>Promedio de implementación de resultados del Plan estratégico de Recursos Humanos para las vigencias de medición.</t>
  </si>
  <si>
    <t>Realizar seguimiento al cumplimiento de las acciones definidas en el Plan Estratégico de Recursos Humanos de la vigencia 2022.</t>
  </si>
  <si>
    <t>1.Analisis de los resultados obtenidos vigencias anteriores(30%)
3.Ejecución de las actividades programadas (50%)
4.Seguimiento al plan de integridad. (20%)</t>
  </si>
  <si>
    <t>Cumplimiento del Plan de Bienestar e Incentivos</t>
  </si>
  <si>
    <t>Realizar el seguimiento al cumplimiento de las acciones definidas en el Plan de Bienestar e incentivos de la vigencia 2022.</t>
  </si>
  <si>
    <t xml:space="preserve">Se pretende dar cumplimiento al 90% de las actividades establecidas en el plan de bienestar e incentivos vigencia 2022, identificando las actividades que generan mayor impacto sobre los colaboradores de la entidad y que la evolución de la emergencia sanitaria permita desarrollar.
</t>
  </si>
  <si>
    <t>1.Formulación del Plan de bienestar e incentivos (30%)
3.Ejecución de las actividades programadas (50%)
4.Seguimiento al plan de bienestar. (20%)</t>
  </si>
  <si>
    <t>Cumplimiento del Plan de Seguridad y Salud formulado e implementado.</t>
  </si>
  <si>
    <t>Realizar el seguimiento al cumplimiento de las acciones definidas en el Plan de Seguridad y Salud en el trabajo de la vigencia 2022.</t>
  </si>
  <si>
    <t>1. Formulación del Plan de reinversión con ARL (150%)
2. Formulación del Plan de trabajo SST  (15%) 
3. Ejecución de las actividades programadas (50%)
4. Seguimiento al plan de trabajo. (20%)</t>
  </si>
  <si>
    <t>Plan de Integridad</t>
  </si>
  <si>
    <t>Identificar las acciones encaminadas a la socialización y fortalecimiento del Código de Integridad de Canal Capital.</t>
  </si>
  <si>
    <t>Cumplimiento del plan de integridad</t>
  </si>
  <si>
    <t>Realizar el seguimiento al cumplimiento de las acciones definidas en el Plan de integridad de la vigencia 2022.</t>
  </si>
  <si>
    <t>Se pretende dar cumplimiento al 100% de las actividades establecidas en el plan de integridad vigencia 2022, identificando la apropiación del plan y las actividades que generan mayor impacto sobre los colaboradores de la entidad.</t>
  </si>
  <si>
    <t>1.Formulación del Plan de integridad (30%)
3.Ejecución de las actividades programadas (50%)
4.Seguimiento al plan de integridad. (20%)</t>
  </si>
  <si>
    <t>Plan de Austeridad</t>
  </si>
  <si>
    <t xml:space="preserve">implementar el Plan de Austeridad en el gasto para la vigencia 2022 </t>
  </si>
  <si>
    <t>Cumplimiento del plan de austeridad</t>
  </si>
  <si>
    <t>No aplica.</t>
  </si>
  <si>
    <t>Equilibrio Presupuestal</t>
  </si>
  <si>
    <t>Optimización de recursos</t>
  </si>
  <si>
    <t>Medir el recaudo de los ingresos frente a los compromisos suscritos</t>
  </si>
  <si>
    <t xml:space="preserve">Recaudo Acumulado de Recursos Propios </t>
  </si>
  <si>
    <t xml:space="preserve">Compromisos Acumulados de Recursos Propios </t>
  </si>
  <si>
    <t>≥ 100%</t>
  </si>
  <si>
    <t>&lt;90%</t>
  </si>
  <si>
    <t>&gt;100%</t>
  </si>
  <si>
    <t>Trimestral.</t>
  </si>
  <si>
    <t xml:space="preserve">La meta del indicador el igual o mayor a 100% no obstante el comportamiento histórico ha evidenciado que el resultado en los períodos intermedios se encuentra por debajo de la meta. </t>
  </si>
  <si>
    <t xml:space="preserve">
Eficiencia en los pagos
 </t>
  </si>
  <si>
    <t>Trámite oportuno de pagos</t>
  </si>
  <si>
    <t>Oportunidad en la gestión de órdenes de pago</t>
  </si>
  <si>
    <t>Medir la eficiencia del proceso de pagos.</t>
  </si>
  <si>
    <t xml:space="preserve">∑ Ordenes de pago ≤ 5 días </t>
  </si>
  <si>
    <t xml:space="preserve"> Total Ordenes de Pago</t>
  </si>
  <si>
    <t>Mensual.</t>
  </si>
  <si>
    <t xml:space="preserve">Este indicador mide el pago de las personas naturales, sin embargo, por temas tributarios o documental se podría presentar una desviación en los días de trámite.  </t>
  </si>
  <si>
    <t xml:space="preserve">Disponibilidad Flujo de Caja </t>
  </si>
  <si>
    <t xml:space="preserve">Mantener los recursos necesarios para el cumplimiento de las obligaciones de la Entidad de forma oportuna. </t>
  </si>
  <si>
    <t>Gestión mensual del flujo de caja</t>
  </si>
  <si>
    <t>Presentar la situación de liquidez de la empresa.</t>
  </si>
  <si>
    <t xml:space="preserve">Ingresos </t>
  </si>
  <si>
    <t xml:space="preserve">Giros </t>
  </si>
  <si>
    <t>Número (#).</t>
  </si>
  <si>
    <t>≥ 0</t>
  </si>
  <si>
    <t xml:space="preserve">Contar con una disponibilidad suficiente de recursos en un período determinado. </t>
  </si>
  <si>
    <t xml:space="preserve">&lt;1 </t>
  </si>
  <si>
    <t>&gt;1</t>
  </si>
  <si>
    <t>&gt;2,5</t>
  </si>
  <si>
    <t>&gt;3</t>
  </si>
  <si>
    <t xml:space="preserve">Elaborar los estados contables mensuales                     </t>
  </si>
  <si>
    <t>Informar la situación financiera de la Entidad</t>
  </si>
  <si>
    <t>Gestión mensual contable - Estados contables</t>
  </si>
  <si>
    <t>Presentar la situación financiera de la empresa en el periodo correspondiente.</t>
  </si>
  <si>
    <t>Ingresos</t>
  </si>
  <si>
    <t>∑ Costos y/o Gastos</t>
  </si>
  <si>
    <t>≥ 1</t>
  </si>
  <si>
    <t>≤ 0,9</t>
  </si>
  <si>
    <t xml:space="preserve">=1 </t>
  </si>
  <si>
    <t xml:space="preserve">&gt; 1 </t>
  </si>
  <si>
    <t>&gt; 1 ,5</t>
  </si>
  <si>
    <t xml:space="preserve">Para que este indicador sea aceptable deber ser superior a 1 dado que aquí se encuentra el punto de equilibrio. </t>
  </si>
  <si>
    <t>Una Cartera efectiva</t>
  </si>
  <si>
    <t>Gestión de la cartera.</t>
  </si>
  <si>
    <t>Identificar las edades de cartera y oportunidad de recaudo de los diferentes clientes de la empresa.</t>
  </si>
  <si>
    <t xml:space="preserve">Total Recaudo </t>
  </si>
  <si>
    <t>Lograr al cierre del trimestre un recaudo igual o superior al 70% al respecto de lo facturado dentro del mismo</t>
  </si>
  <si>
    <t>&gt; 70%</t>
  </si>
  <si>
    <t>Elaborar informe de cartera.</t>
  </si>
  <si>
    <t xml:space="preserve">Financiera comunica </t>
  </si>
  <si>
    <t>Gestión de las comunicaciones internas de la subdirección financiera</t>
  </si>
  <si>
    <t xml:space="preserve">Dar a conocer al interior de la entidad información relevante de los procesos y la gestión financiera. </t>
  </si>
  <si>
    <t xml:space="preserve">Numero de piezas comunicativas realizadas </t>
  </si>
  <si>
    <t>Numero de piezas comunicativas programadas para la vigencia (11)</t>
  </si>
  <si>
    <t xml:space="preserve">Emitir piezas comunicativas sobres los procesos internos de la Subdirección Financiera. </t>
  </si>
  <si>
    <t xml:space="preserve">Suministrar insumo para piezas comunicativas          </t>
  </si>
  <si>
    <t>¿Cómo vamos?</t>
  </si>
  <si>
    <t xml:space="preserve">Revisión y actualización, de ser necesario, del Manual de supervisión e interventoría </t>
  </si>
  <si>
    <t>Revisar y actualizar, de ser necesario, el Manual de supervisión e interventoría de conformidad con el régimen contractual aplicable a la entidad</t>
  </si>
  <si>
    <t>Cumplimiento en la revisión y actualización (si es requerido) del Manual de supervisión e interventoría</t>
  </si>
  <si>
    <t>Revisar el Manual de supervisión e interventoría y adelantar los ajustes y actualizaciones que se consideren pertinentes y oportunos.</t>
  </si>
  <si>
    <t xml:space="preserve">Porcentaje de avance en la revisión y actualización del Manual de supervisión e interventoría </t>
  </si>
  <si>
    <t>1. Mesas de trabajo con las áreas involucradas en la revisión del Manual de supervisión e interventoría
2. Solicitud de revisión a Planeación del Manual de  supervisión e interventoría
3. Expedición de la resolución de adopción de la nueva versión del Manual de  supervisión e interventoría
4. Socialización de a nueva versión del Manual de  supervisión e interventoría
5. Capacitaciones a las áreas sobre el Manual de supervisión e interventoría</t>
  </si>
  <si>
    <t>Actualización de la información sobre procesos disciplinarios.</t>
  </si>
  <si>
    <t>Gestionar y mantener actualizada la información sobre procesos disciplinarios en el sistema distrital de información disciplinaria del Distrito Capital.</t>
  </si>
  <si>
    <t>Cumplimiento en el cargue y actualización del Sistema distrital de información disciplinaria</t>
  </si>
  <si>
    <t>Contar con información completa en la plataforma que permita adelantar seguimientos respecto a los procesos disciplinarios que adelanta la entidad.</t>
  </si>
  <si>
    <t>Capacitación en asuntos relacionados con la política de prevención de daño antijurídico.</t>
  </si>
  <si>
    <t>Capacitar a los supervisores a fin de evitar  que con sus conductas se generen daños antijurídicos</t>
  </si>
  <si>
    <t>Realización de capacitaciones en asuntos relacionados con la política de prevención de daño antijurídico.</t>
  </si>
  <si>
    <t>Suministrar herramientas para adelantar una adecuada supervisión a fin de evitar daños antijurídicos</t>
  </si>
  <si>
    <t>Capacitaciones realizadas</t>
  </si>
  <si>
    <t>Capacitaciones programadas</t>
  </si>
  <si>
    <t>Plan de Acción de la Política Institucional de Servicio al Ciudadano.</t>
  </si>
  <si>
    <t>Fortalecer y mejorar la atención que se brinda al ciudadano, garantizando la calidad del servicio que presta la entidad.</t>
  </si>
  <si>
    <t>Cumplimiento del Plan de Acción de la Política Institucional de Servicio al Ciudadano</t>
  </si>
  <si>
    <t>Realizar el seguimiento al cumplimiento de las actividades de mejora propuestas en el Plan de Acción.</t>
  </si>
  <si>
    <t xml:space="preserve"> &lt;30%</t>
  </si>
  <si>
    <t>Entre el 30% - 60%</t>
  </si>
  <si>
    <t>1. Seguimiento al cumplimiento de las actividades propuestas. (80%)
2.  Análisis de cumplimiento de expectativas. (20%)</t>
  </si>
  <si>
    <t>Gestión oportuna de PQRS</t>
  </si>
  <si>
    <t>Atender los diferentes requerimientos de los ciudadanos con el apoyo del área competente para satisfacer sus necesidades.</t>
  </si>
  <si>
    <t>Porcentaje de respuestas entregadas antes del cumplimiento de los términos de ley</t>
  </si>
  <si>
    <t>Establecer acciones de mejora y tomar decisiones que contribuyan al mejoramiento continuo en la atención y respuesta de PQRS</t>
  </si>
  <si>
    <t>Adelantar actividades de aseguramiento y consultoría de forma objetiva e independiente a los diferentes procesos, proyectos y políticas de Capital buscando generar valor a la entidad.</t>
  </si>
  <si>
    <t>Actividades de aseguramiento y Consultoría.</t>
  </si>
  <si>
    <t>Monitorear el cumplimiento de las actividades establecidas en el Plan Anual de Auditoría.</t>
  </si>
  <si>
    <t>Número de actividades cumplidas del Plan Anual de Auditorías a la fecha de reporte del PAI.</t>
  </si>
  <si>
    <t>Número de actividades programadas en el Plan Anual de Auditorías a la fecha de corte del PAI.</t>
  </si>
  <si>
    <t>90% - 94%</t>
  </si>
  <si>
    <t>94% - 96%</t>
  </si>
  <si>
    <t>&gt;96%</t>
  </si>
  <si>
    <t>Ejecutar las actividades formuladas en el Plan Anual de Auditoría.</t>
  </si>
  <si>
    <t>Cumplimiento plan de mejoramiento por procesos</t>
  </si>
  <si>
    <t>Monitorear el cumplimiento de las actividades formuladas en el Plan de Mejoramiento por Procesos (PMP)</t>
  </si>
  <si>
    <t>Número de acciones cumplidas con fecha vencida del Plan de Mejoramiento por procesos a la fecha de reporte del PAI.</t>
  </si>
  <si>
    <t>Número de acciones vencidas con estado abierto del Plan de Mejoramiento por procesos a la fecha de reporte del PAI.</t>
  </si>
  <si>
    <t>&lt;50%</t>
  </si>
  <si>
    <t>51% - 59%</t>
  </si>
  <si>
    <t>60% - 64%</t>
  </si>
  <si>
    <t>&gt;65%</t>
  </si>
  <si>
    <t>Realizar seguimiento a las acciones formuladas en el Plan de Mejoramiento por procesos.</t>
  </si>
  <si>
    <t>La información registrada dependerá del cumplimiento a lo formulado en el Plan por las áreas responsables.</t>
  </si>
  <si>
    <t>Cumplimiento de las actividades que se establezcan en el Plan Anticorrupción y de Atención al Ciudadano (PAAC)</t>
  </si>
  <si>
    <t>Monitorear el cumplimiento de las actividades formuladas en el PAAC.</t>
  </si>
  <si>
    <t>Avances en el cumplimiento de las acciones programadas en el Plan Anticorrupción y de Atención al Ciudadano - PAAC</t>
  </si>
  <si>
    <t>Total de acciones programadas en el Plan Anticorrupción y de Atención al Ciudadano - PAAC</t>
  </si>
  <si>
    <t>60% - 69%</t>
  </si>
  <si>
    <t>&gt;70%</t>
  </si>
  <si>
    <t>Realizar seguimiento a las actividades que se establezcan anualmente en el PAAC.</t>
  </si>
  <si>
    <t>Monitorear el cumplimiento de las actividades asociadas a la gestión de riesgos institucionales (Mapa de riesgos y política de administración de riesgos)</t>
  </si>
  <si>
    <t xml:space="preserve">Avances en el cumplimiento de las actividades establecidas en materia de gestión del riesgo. </t>
  </si>
  <si>
    <t>Total de acciones con seguimiento en la Política de Administración de Riesgos y en los mapas de riesgos por procesos .</t>
  </si>
  <si>
    <t>Realizar seguimiento a las actividades establecidas en materia de Gestión del riesgo.</t>
  </si>
  <si>
    <t>El reporte del indicador para el 2 y 4 trimestre de la vigencia incluirá el seguimiento a la Política de Administración de Riesgos y Mapas de riesgos de gestión.
La información registrada dependerá del cumplimiento a lo formulado en el Plan por las áreas responsables.</t>
  </si>
  <si>
    <t>Modificaciones al Plan Anual de Auditoría.</t>
  </si>
  <si>
    <t>Monitorear los cambios efectuados al Plan Anual de Auditoría durante la vigencia.</t>
  </si>
  <si>
    <t>Número de actualizaciones aprobadas al Plan Anual de Auditoría</t>
  </si>
  <si>
    <t>Número de actualizaciones esperadas (4)</t>
  </si>
  <si>
    <t>Formulación del Plan Anual sin modificaciones a lo largo de la vigencia.</t>
  </si>
  <si>
    <t xml:space="preserve"> &gt;= 100%</t>
  </si>
  <si>
    <t>&lt;= 75%</t>
  </si>
  <si>
    <t>&lt;= 50%</t>
  </si>
  <si>
    <t>&lt;= 25%</t>
  </si>
  <si>
    <t xml:space="preserve">Realizar el seguimiento al Plan Anual de Auditoría. </t>
  </si>
  <si>
    <t>La modificación al Plan Anual de Auditoría se realizaría bajo requerimiento de la Alta Dirección y/o requerimiento de entes de control y vigilancia o por alertas emitidas en el seguimiento trimestral de este.</t>
  </si>
  <si>
    <t xml:space="preserve">Impacto en la mejora de los procesos resultado de las Auditorías Internas </t>
  </si>
  <si>
    <t>Medir el valor generado mediante las Auditorías Internas adelantadas en Capital.</t>
  </si>
  <si>
    <t>Sumatoria de los Criterios de la Evaluación de Auditoría.</t>
  </si>
  <si>
    <t>Número de criterios Evaluados.</t>
  </si>
  <si>
    <t>Número</t>
  </si>
  <si>
    <t>&lt; 3</t>
  </si>
  <si>
    <t>3,1 - 3,5</t>
  </si>
  <si>
    <t>3,6 - 3,9</t>
  </si>
  <si>
    <t>(Promedio de horas de contenido infantil emitidas en el trimestre + promedio de horas de contenido para adolescente emitidas en el trimestre)</t>
  </si>
  <si>
    <t>(Promedio de horas totales emitidos en el trimestre)</t>
  </si>
  <si>
    <t>Rango entre 
20 % al 30 %</t>
  </si>
  <si>
    <t>Tramitar la totalidad de las PQRS recibidas en la entidad y hacer seguimiento mensual sobre el cumplimiento de las mismas.</t>
  </si>
  <si>
    <t>2.9.1</t>
  </si>
  <si>
    <t>2.4.2</t>
  </si>
  <si>
    <t>2.1.3</t>
  </si>
  <si>
    <t>3.3.1</t>
  </si>
  <si>
    <t>3.6.2</t>
  </si>
  <si>
    <t>3.7.3</t>
  </si>
  <si>
    <t>3.7.4</t>
  </si>
  <si>
    <t>3.7.5</t>
  </si>
  <si>
    <t>4.4.1</t>
  </si>
  <si>
    <t>4.8.2</t>
  </si>
  <si>
    <t>5.7.1</t>
  </si>
  <si>
    <t>5.6.2</t>
  </si>
  <si>
    <t>5.5.3</t>
  </si>
  <si>
    <t>5.5.4</t>
  </si>
  <si>
    <t>5.6.5</t>
  </si>
  <si>
    <t>5.6.6</t>
  </si>
  <si>
    <t>5.5.7</t>
  </si>
  <si>
    <t>5.6.8</t>
  </si>
  <si>
    <t>5.5.9</t>
  </si>
  <si>
    <t>5.5.10</t>
  </si>
  <si>
    <t>5.6.11</t>
  </si>
  <si>
    <t>5.6.12</t>
  </si>
  <si>
    <t>5.6.13</t>
  </si>
  <si>
    <t>5.6.14</t>
  </si>
  <si>
    <t>5.6.15</t>
  </si>
  <si>
    <t>5.6.16</t>
  </si>
  <si>
    <t>5.5.17</t>
  </si>
  <si>
    <t>5.5.18</t>
  </si>
  <si>
    <t>5.5.19</t>
  </si>
  <si>
    <t>5.5.20</t>
  </si>
  <si>
    <t>5.5.21</t>
  </si>
  <si>
    <t>5.5.22</t>
  </si>
  <si>
    <t>5.6.23</t>
  </si>
  <si>
    <t>5.6.24</t>
  </si>
  <si>
    <t>5.6.25</t>
  </si>
  <si>
    <t>5.5.26</t>
  </si>
  <si>
    <t>5.5.27</t>
  </si>
  <si>
    <t>5.6.28</t>
  </si>
  <si>
    <t>5.6.29</t>
  </si>
  <si>
    <t>5.6.30</t>
  </si>
  <si>
    <t>5.6.31</t>
  </si>
  <si>
    <t>5.6.32</t>
  </si>
  <si>
    <t>5.6.33</t>
  </si>
  <si>
    <t>Hacer seguimiento a la implementación de las acciones definidas para el cumplimiento del Modelo Integrado de Planeación y Gestión - MIPG, a través del Plan de Fortalecimiento Institucional - PFI.</t>
  </si>
  <si>
    <t>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t>
  </si>
  <si>
    <t>11. Ciudades y comunidades sostenibles.
17. Alianzas para lograr los objetivos.</t>
  </si>
  <si>
    <t>Propósito 5
Logro de ciudad: 27 - 30</t>
  </si>
  <si>
    <t>Transparencia, acceso a la información y lucha contra la corrupción.</t>
  </si>
  <si>
    <t>Elaborar doce (12) informes, uno cada mes, con la información de la gestión realizada en cada uno de ellos. Estos informes son de carácter cuantitativo y cualitativo en tanto que responden a cifras y descripciones.</t>
  </si>
  <si>
    <t>Lograr 320 impactos positivos en distintos medios de comunicación.</t>
  </si>
  <si>
    <t>Plan de Comunicaciones externas - informes mensuales de trabajo conjunto con entidades.</t>
  </si>
  <si>
    <t>Plan de Comunicaciones externas - Publicaciones free press</t>
  </si>
  <si>
    <t>Transparencia, acceso a la información y lucha contra la corrupción.
Fortalecimiento organizacional y simplificación de procesos.</t>
  </si>
  <si>
    <t>Definir un plan integral que incluya las acciones internas y externas, en lo concerniente al apoyo transversal y la asesoría de comunicación que se dé en el marco de las solicitudes de las distintas áreas de Capital.
Analizar, potenciar y crear, si es necesario y se cuenta con los recursos para ello, canales de comunicación interna que generen y compartan mensajes integrales, de pertenencia y de marca.</t>
  </si>
  <si>
    <t>Publicaciones free press gestionadas</t>
  </si>
  <si>
    <t>Continuar con la planificación estratégica de las tecnologías de la información de Capital, para el período 2022,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</si>
  <si>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Cumplimiento de actividades del Plan Estratégico de Tecnologías de la Información - PETI 2022</t>
  </si>
  <si>
    <t>Cumplimiento de lo establecido en el Plan Institucional de Archivos PINAR para la vigencia 2022</t>
  </si>
  <si>
    <t>Fomentar espacios de difusión del conocimiento interno, encaminados a fortalecer las competencias individuales y colectivas de los colaboradores, generando mejores prácticas de gestión.</t>
  </si>
  <si>
    <t>Contribuir al Mejoramiento de la Calidad de vida de los colaboradores de la Entidad, formulando y desarrollando programas que fomenten un ambiente de trabajo positivo generando así articulación y cumplimiento de los diferentes procesos internos.</t>
  </si>
  <si>
    <t>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t>
  </si>
  <si>
    <t>Implementar el Plan de Trabajo Anual de Seguridad y Salud en el Trabajo para el  año 2022, con el fin de alcanzar cada uno de los objetivos propuestos del SGSST, en concordancia con los Estándares Mínimos del Sistema Obligatorio de Garantía de Calidad del Sistema General de Riesgos Labores.</t>
  </si>
  <si>
    <t>Controlar que exista equilibrio presupuestal en las operaciones de la empresa.</t>
  </si>
  <si>
    <t>Comparar el ingreso frente al gasto de recursos propios y generar alertas.</t>
  </si>
  <si>
    <t>Se pretende mantener como mínimo el 90% de avance en la implementación del SGSST con el mantenimiento de acciones adelantadas en vigencias anteriores y el cumplimiento del plan de trabajo proyectado en la vigencia 2022.</t>
  </si>
  <si>
    <t xml:space="preserve">Liquidar ordenes e pago y diligenciar matriz de control  </t>
  </si>
  <si>
    <t>Mantener actualizado al 100% el sistema de información para los procesos disciplinarios.</t>
  </si>
  <si>
    <t>Plan Anual de Auditoría - Aseguramiento y consulta.</t>
  </si>
  <si>
    <t>Plan Anual de Auditoría - Plan de mejoramiento por procesos.</t>
  </si>
  <si>
    <t>Plan Anual de Auditoría - Plan Anticorrupción y de Atención al Ciudadano PAAC.</t>
  </si>
  <si>
    <t>Plan Anual de Auditoría - Gestión de Riesgos.</t>
  </si>
  <si>
    <t>Plan Anual de Auditoría - Modificaciones.</t>
  </si>
  <si>
    <t>Plan Anual de Auditoría - Impacto en la mejora de los procesos.</t>
  </si>
  <si>
    <t>Adelantar la documentación y análisis de dos (2) experiencias al interior de la entidad que puedan ser catalogadas como lecciones aprendidas, de acuerdo con las gestiones adelantadas en la vigencia 2021 y experiencias de la vigencia 2022.</t>
  </si>
  <si>
    <t xml:space="preserve">Con este indicador se pretende medir la oportunidad en los reportes de información respecto a la planeación establecida para el seguimiento a las diferentes temáticas de planeación, permitiendo generar alertas tempranas a posibles incumplimientos. </t>
  </si>
  <si>
    <t xml:space="preserve">Implementación y seguimiento al cronograma de informes de segunda línea de defensa a cargo de planeación </t>
  </si>
  <si>
    <t>Identificar las diferentes temáticas de gestión que se desarrollan desde planeación y que son articuladas en el cronograma de informes de segunda línea de defensa a cargo de planeación.</t>
  </si>
  <si>
    <t>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t>
  </si>
  <si>
    <t>1. Elaboración del Plan Anual de Adquisiciones - PAA de acuerdo con el presupuesto (40%). 
2. Actualizar el Plan Anual de Adquisiciones - PAA de acuerdo con los reportes del BOGDATA (30%)
3. Actualizaciones del Plan Anual de Adquisiciones PAA según solicitudes generadas por la diferentes áreas (30%).</t>
  </si>
  <si>
    <t>71% - 99%</t>
  </si>
  <si>
    <t>Plan de Comunicaciones - Sentido de pertenencia</t>
  </si>
  <si>
    <t>Definir un plan integral que incluya las acciones internas y externas a desarrollarse en el año 2022, haciendo énfasis en el sentido de pertenencia por la marca.
Trabajar con el área de Talento Humano para fortalecer la Cultura Organizacional y fomentar el sentido de pertenencia</t>
  </si>
  <si>
    <t>Número de comunicaciones gestionadas sobre cultura organizacional y sentido de pertenencia</t>
  </si>
  <si>
    <t>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t>
  </si>
  <si>
    <t>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t>
  </si>
  <si>
    <t>Nota aclaratorias: 
1. Los porcentajes de cada trimestre corresponden al avance alcanzado de acuerdo con el cronograma y disposiciones administrativas para la consecución del proyecto. 
2. Al final de la vigencia la sumatoria del resultado de cada trimestre corresponderá a la meta establecida, es decir 100 %.
3. Los rangos de tolerancia establecidos solo aplicarán para el resultado final del indicador con corte a 31 de diciembre de 2022, por cuanto el porcentaje de avance de cada trimestre puede variar de acuerdo a las condiciones del proyecto.</t>
  </si>
  <si>
    <t>1. Los rangos de tolerancia establecidos solo aplicarán para el resultado final del indicador con corte a 31 de diciembre de 2022, por cuanto el porcentaje de avance de cada trimestre puede variar de acuerdo a las condiciones del proyecto.</t>
  </si>
  <si>
    <t xml:space="preserve">Se pretende dar cumplimiento como mínimo al 90% de las actividades establecidas en el plan de acción PIGA para la vigencia 2022 atendiendo la capacidad operativa y financiera así como los cambios establecidos en el contexto interno y externo de la organización. </t>
  </si>
  <si>
    <t>&gt;90%</t>
  </si>
  <si>
    <t xml:space="preserve">Porcentaje de avances de las acciones programadas en el Plan Estratégico de tecnologías de la información - PETI </t>
  </si>
  <si>
    <t xml:space="preserve">Porcentaje de avances de las acciones programadas en el Plan de seguridad y privacidad de la información </t>
  </si>
  <si>
    <t>Porcentaje de avances de las acciones programadas en el Plan de tratamiento de riesgos de seguridad y privacidad de la información.</t>
  </si>
  <si>
    <t>71% - 94%</t>
  </si>
  <si>
    <t>&gt;95%</t>
  </si>
  <si>
    <t xml:space="preserve">Número de procesos disciplinarios cargados en el sistema de información </t>
  </si>
  <si>
    <t>Número de procesos disciplinarios presentados en la entidad.</t>
  </si>
  <si>
    <t>Porcentaje de avances de las acciones programadas en el Plan de Acción de Servicio a la Ciudadanía</t>
  </si>
  <si>
    <t>Entre el 60% - 99%</t>
  </si>
  <si>
    <t>Impulsar el posicionamiento de Capital en las diferentes entidades del orden Distrital, Regional y Nacional.
Con este se busca crear trabajo conjunto con las áreas creativas de Capital, las entidades del Distrito, canales regionales y aliados.</t>
  </si>
  <si>
    <t>Programación infantil y adolescentes en la pantalla principal de Capital</t>
  </si>
  <si>
    <t>Para el reporte de esta actividad se tendrá en cuenta el total de horas emitidas se tomará con base en 18 horas del total de la programación (de 6 am a las 23:59) emitidas en la pantalla principal de Capital (no incluye los indicadores del Canal Eureka)</t>
  </si>
  <si>
    <t>Lograr el cumplimiento al 100% de las actividades de rediseño en las plataformas a intervenir para la vigencia 2022.</t>
  </si>
  <si>
    <t>Realizar mediciones y seguimientos en procura de mantener la disponibilidad de la señal en promedio cercana al 100%.</t>
  </si>
  <si>
    <t>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t>
  </si>
  <si>
    <t>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t>
  </si>
  <si>
    <t>1. Se tendrán como exclusiones en la medición los mantenimientos programados que afecten el retorno de señal en alguno de los puntos de monitoreo.
2. El reporte se realizará a planeación de manera trimestral, sin embargo los datos serán reflejados en el reporte por cada uno de los meses.</t>
  </si>
  <si>
    <t xml:space="preserve">Fortalecer la gestión y tratamiento de riesgos de seguridad digital en las plataformas tecnológicas de la Entidad (Hardware y Software), manteniendo un esquema de alta disponibilidad y seguridad. </t>
  </si>
  <si>
    <t>Se pretende mantener en adecuadas condiciones de infraestructura física ambas sedes del canal asegurando espacios idóneos para el normal funcionamiento de la entidad.</t>
  </si>
  <si>
    <t xml:space="preserve">Porcentaje programado de acciones del Plan Estratégico de tecnologías de la información - PETI para la vigencia </t>
  </si>
  <si>
    <t>Porcentaje programado de acciones del Plan de seguridad y privacidad de la información para la vigencia</t>
  </si>
  <si>
    <t>Porcentaje programado de acciones del Plan de tratamiento de riesgos de  seguridad y privacidad de la información para la vigencia</t>
  </si>
  <si>
    <t>Porcentaje programado de acciones del Plan Institucional de Capacitación para la vigencia</t>
  </si>
  <si>
    <t>Porcentaje programado de acciones del Plan Estratégico de Recursos Humanos para la vigencia</t>
  </si>
  <si>
    <t>Porcentaje programado de acciones del Plan de Bienestar e incentivos para la vigencia</t>
  </si>
  <si>
    <t>Porcentaje programado de acciones del Plan de Seguridad y Salud en el Trabajo para la vigencia</t>
  </si>
  <si>
    <t>Porcentaje programado de acciones del Plan de Integridad para la vigencia</t>
  </si>
  <si>
    <t>Porcentaje de avances en las acciones programadas en el Plan de integridad</t>
  </si>
  <si>
    <t>Porcentaje de avances en las acciones programadas en el Plan de Seguridad y Seguridad en el trabajo</t>
  </si>
  <si>
    <t>Porcentaje de avances en las acciones programadas en el Plan de bienestar e inventivos</t>
  </si>
  <si>
    <t>Porcentaje de avances en las acciones programadas en el Plan Estratégico de Recursos Humanos</t>
  </si>
  <si>
    <t>Porcentaje de avances en las acciones programadas del Plan Institucional de Capacitación</t>
  </si>
  <si>
    <t>Se pretende dar cumplimiento al 100% de las actividades establecidas en el plan de capacitación PIC para la vigencia 2022 atendiendo las necesidades de los diferentes grupos de trabajo de la entidad, las ofertas institucionales y el cumplimiento normativo cuando se requiera.</t>
  </si>
  <si>
    <t>Lograr mantener el indicar en un resultado igual o mayor a 1</t>
  </si>
  <si>
    <t>Tomar las cifras de los estados contables mensuales para determinar el resultado del indicador.</t>
  </si>
  <si>
    <t>Actualizar el Manual de supervisión e interventoría.</t>
  </si>
  <si>
    <t>Porcentaje de avance programado para el manual de supervisión e interventoría para la vigencia.</t>
  </si>
  <si>
    <t>Porcentaje programado de acciones del Plan de Acción de Servicio a la Ciudadanía para la vigencia.</t>
  </si>
  <si>
    <t>Dar cumplimiento al 100% de las acciones de mejoras establecidas en el Plan de Acción de la Política Institucional de Servicio al Ciudadano, para la vigencia 2022.</t>
  </si>
  <si>
    <t>Gestionar el 100% de las PQRS recibidas en la entidad antes de los tiempos de Ley.</t>
  </si>
  <si>
    <t>Lograr un nivel de cumplimiento cercano al 96% de las actividades programadas en el Plan Anual de Auditorías, conforme a la normatividad vigente aplicable.</t>
  </si>
  <si>
    <t>Lograr un nivel de avance del 65% en el cierre de las acciones formuladas en el PMP</t>
  </si>
  <si>
    <t>Lograr un nivel de avance del 75% en el cumplimiento de las acciones formuladas en el PAAC</t>
  </si>
  <si>
    <t xml:space="preserve">Lograr un nivel de avance del 65% en el cumplimiento de las acciones con seguimiento de la Política de Administración de riesgo y de los mapas de riesgo institucional. </t>
  </si>
  <si>
    <t>Obtener una calificación promedio de 4 puntos en las Evaluaciones de las Auditorias ejecutadas.</t>
  </si>
  <si>
    <t>Plan de Comunicaciones internas - Gestión de comunicaciones internas.</t>
  </si>
  <si>
    <t>Gestión de comunicaciones internas adelantadas</t>
  </si>
  <si>
    <t xml:space="preserve">
Número de solicitudes de comunicaciones internas recibidas.</t>
  </si>
  <si>
    <t>Número de solicitudes de comunicaciones internas atendidas</t>
  </si>
  <si>
    <t>Se espera cumplir al menos, en un 90% de las solicitudes de comunicaciones internas recibidas</t>
  </si>
  <si>
    <t>Realizar Informes trimestrales que expongan el trabajo conjunto con las áreas transversales, las evidencias realizadas y el resultado de la medición de impacto (o percepción). También se adelantará encuesta de impacto trimestral que mida canal y comunicación. ¿Cuál canal tiene mejor acogida? ¿Por dónde se enteró…?
1. Aplicación de la encuesta
2. Análisis de medios 
3. Intervención - mejora</t>
  </si>
  <si>
    <t>Realizar gestión oportuna sobre los requerimientos y necesidades internas de comunicación, recibida por parte de las áreas de Capital.</t>
  </si>
  <si>
    <t>Gestión de comunicaciones internas adelantadas en el fortalecimiento de la Cultura Organizacional y el sentido de pertenencia.</t>
  </si>
  <si>
    <t>Se espera cumplir, al menos con el 90% de las solicitudes de comunicaciones internas recibidas sobre cultura organizacional y sentido de pertenencia.</t>
  </si>
  <si>
    <t>3. Salud y bienestar.
4. Educación de calidad.
5. Igualdad de Género.
9. Industria, innovación e infraestructura.
10. Reducción de las desigualdades.
17. Alianzas para lograr los objetivos.</t>
  </si>
  <si>
    <t>Participación ciudadana en la gestión pública.
Gestión del conocimiento y la innovación.
Gobierno Abierto.</t>
  </si>
  <si>
    <t>9. Industria, innovación e infraestructura.
16. Paz, justicia e instituciones sólidas.</t>
  </si>
  <si>
    <t>Propósito 1
Logro de ciudad: 5
Propósito 5
Logro de ciudad: 29 - 30</t>
  </si>
  <si>
    <t>Gobierno Digital.</t>
  </si>
  <si>
    <t>Gobierno Digital.
Seguridad Digital.</t>
  </si>
  <si>
    <t>6. Agua limpia y saneamiento.
7. Energía asequible y no contaminante.
12. Producción  y consumo responsable.
13. Acción por el clima.
15. Vida de ecosistemas terrestres.</t>
  </si>
  <si>
    <t>Propósito 2
Logro de ciudad: 14 - 18 - 20
Propósito 5
Logro de ciudad: 30</t>
  </si>
  <si>
    <t>Gestión Ambiental</t>
  </si>
  <si>
    <t>Propósito 5
Logro de ciudad: 29 - 30</t>
  </si>
  <si>
    <t>Gestión documental y archivo.
Seguimiento y evaluación del desempeño institucional.</t>
  </si>
  <si>
    <t>3. Salud y bienestar.
8. Trabajo decente y crecimiento económico.
11. Ciudades y comunidades sostenibles.
16. Paz, justicia e instituciones sólidas.</t>
  </si>
  <si>
    <t>Propósito 1
Logro de ciudad: 3
Propósito 5
Logro de ciudad: 30</t>
  </si>
  <si>
    <t>Gestión estratégica del talento humano.
Integridad</t>
  </si>
  <si>
    <t>Gestión presupuestal y eficiencia del gasto público.
Seguimiento y evaluación del desempeño institucional.</t>
  </si>
  <si>
    <t>Gestión estratégica del talento humano.
Integridad
Gestión presupuestal y eficiencia del gasto público.</t>
  </si>
  <si>
    <t>8. Trabajo decente y crecimiento económico.
16. Paz, justicia e instituciones sólidas.</t>
  </si>
  <si>
    <t>Propósito 5
Logro de ciudad: 30</t>
  </si>
  <si>
    <t>Gestión presupuestal y eficiencia del gasto público.</t>
  </si>
  <si>
    <t>Fortalecimiento organizacional y simplificación de procesos.</t>
  </si>
  <si>
    <t>Defensa jurídica.</t>
  </si>
  <si>
    <t>Propósito 1
Logro de ciudad: 3
Propósito 3
Logro de ciudad: 23
Propósito 5
Logros de ciudad: 27 - 30</t>
  </si>
  <si>
    <t>Servicio al ciudadano
Participación Ciudadana en la Gestión Pública
Racionalización de trámites</t>
  </si>
  <si>
    <t>11. Ciudades y comunidades sostenibles.
16. Paz, justicia e instituciones sólidas.</t>
  </si>
  <si>
    <t>Seguimiento y evaluación del desempeño institucional.
Control Interno.</t>
  </si>
  <si>
    <t>Realizar seguimiento a los componentes objeto de austeridad.</t>
  </si>
  <si>
    <t>Número de acciones adelantadas con relación al plan de austeridad para la vigencia</t>
  </si>
  <si>
    <t>Número de acciones programadas para realizar con relación al plan de austeridad para la vigencia</t>
  </si>
  <si>
    <t>En cumplimiento con el Decreto 492 de 2019 los informes se deben realizar cada semestre.</t>
  </si>
  <si>
    <t>Gestión estratégica del talento humano.
Integridad
Gestión del conocimiento y la innovación.</t>
  </si>
  <si>
    <t>PLAN DE ACCIÓN INSTITUCIONAL 2022
CAPITAL - SISTEMA DE COMUNICACIÓN PÚBLICA</t>
  </si>
  <si>
    <t>Versiones del plan de acción institucional 2022</t>
  </si>
  <si>
    <t>01 - (31 de enero)</t>
  </si>
  <si>
    <t>5. Igualdad de Género.
10. Reducción de las desigualdades.
11. Ciudades y comunidades sostenibles.
16. Paz, justicia e instituciones sólidas.
17. Alianzas para lograr los objetivos.</t>
  </si>
  <si>
    <t>Planeación estratégica.
Seguimiento y evaluación del desempeño institucional
Participación ciudadana en la gestión pública.</t>
  </si>
  <si>
    <t>FUENTE:</t>
  </si>
  <si>
    <t>Página web de la Organización de las naciones Unidas - ONU</t>
  </si>
  <si>
    <t>https://www.un.org/sustainabledevelopment/es/objetivos-de-desarrollo-sostenible/</t>
  </si>
  <si>
    <t>https://www.fundacionseres.org/Repositorio%20Archivos/ODS,%20empresas%20y%20valor%20compartido.pdf</t>
  </si>
  <si>
    <t>Objetivo de desarrollo</t>
  </si>
  <si>
    <t>Síntesis</t>
  </si>
  <si>
    <t>1. Poner fin a la pobreza en todas sus formas y en todo el mundo.</t>
  </si>
  <si>
    <t>I) En una década, la pobreza se ha reducido a la mitad, pero una de 8 personas seguía viviendo en la pobreza extrema en 2012. 
II) De entre los trabajadores pobres, los jóvenes están en mayor riesgo de pobreza extrema. 
III) Casi una de cada cinco personas recibe algún tipo de beneficio social en los países de bajos ingresos.</t>
  </si>
  <si>
    <t>2. Poner fin al hambre, lograr la seguridad alimentaria y la mejora de la nutrición y promover la agricultura sostenible</t>
  </si>
  <si>
    <t>I) Más de 790 millones de personas pasan hambre. 
II) Uno de cada cuatro niños menores de 5 años padece desnutrición crónica o retraso del crecimiento, y la proporción de niños con sobrepeso ha aumentado un 20%. 
III) Desde el año 2000, ha disminuido la ayuda a la agricultura.</t>
  </si>
  <si>
    <t>3. Garantizar una vida sana y promover el bienestar de todos a todas las edades.</t>
  </si>
  <si>
    <t>I) Las tasas de mortalidad materna, neonatal e infantil siguen siendo inaceptablemente altas.
II) La incidencia de enfermedades trasmisibles ha disminuido pero millones de personas se infectan cada año. 
III) Aumentan las muertes por enfermedades cardiovasculares y cáncer.
IV) Las muertes por accidentes de tráfico aumentan en países de ingresos bajos y medianos.</t>
  </si>
  <si>
    <t>4. Garantizar una educación inclusiva y equitativa de calidad y promover oportunidades de aprendizaje permanente para todos.</t>
  </si>
  <si>
    <t>I) Acceso desigual a la educación. 
II) Se debería garantizar el acceso a nueva formación durante toda la vida.</t>
  </si>
  <si>
    <t>5. Lograr la igualdad de género y empoderar a todas las mujeres y las niñas.</t>
  </si>
  <si>
    <t>I) Disminuyen las tasas de matrimonio infantil. 
II) Se siguen practicando la mutilación genital. 
III) Sigue existiendo mucha desigualdad en el reparto de tareas no remuneradas. 
IV) Las mujeres siguen infrarrepresentadas en los parlamentos nacionales.</t>
  </si>
  <si>
    <t>6. Garantizar la disponibilidad y la gestión sostenible del agua y el saneamiento para todos.</t>
  </si>
  <si>
    <t>I) Aumenta el estrés por falta de agua. 
II) Todavía el 100 % de las fuentes de agua no se administran de manera segura. 
III) Un tercio de la población mundial no tiene estructuras de saneamiento. 
IV) Los planes de gestión del agua son una realidad en la mayoría de países.</t>
  </si>
  <si>
    <t>7. Garantizar el acceso a una energía asequible, fi able, sostenible y moderna para todos.</t>
  </si>
  <si>
    <t>I) Todavía 1.100 millones de personas no tienen acceso a electricidad. 
II) El 40% de la población emplea combustibles insalubres para cocinar. 
III) Aumenta el empleo de energía renovable. 
IV) Se disocia el crecimiento del consumo eléctrico, pero no sufi cientemente rápido.</t>
  </si>
  <si>
    <t>8. Promover el crecimiento económico sostenido inclusivo y sostenible, el empleo pleno y productivo y el trabajo decente para todos.</t>
  </si>
  <si>
    <t>I) Hay que crecer más para llegar al objetivo del 7% del PIB en los países menos desarrollados. 
II) Las diferencias en productividad siguen siendo muy grandes. 
III) Las mujeres tienen más probabilidad de estar desempleadas. 
IV) 2.000 millones de personas siguen sin acceso a servicios financieros.</t>
  </si>
  <si>
    <t>9. Construir infraestructuras resilientes, promover la industrialización inclusiva y sostenible, y fomentar la innovación.</t>
  </si>
  <si>
    <t>I) El potencial de manufactura es una gran oportunidad de crecimiento. 
II) Disminuyen las emisiones de dióxido de carbono por unidad de valor. 
III) El gasto en I+D aumenta, pero desigualmente. 
IV) El acceso a internet sigue siendo bajo en zonas rurales.</t>
  </si>
  <si>
    <t>10. Reducir la desigualdad en los países y entre ellos.</t>
  </si>
  <si>
    <t>I) Algunos países recortan la desigualdad de ingresos. 
II) Disminuye la contribución laboral al PIB. 
III) Disminuyen las barreras arancelarias. 
IV) Disminuyen los costos de envío de remesas.</t>
  </si>
  <si>
    <t>11. Lograr que las ciudades y los asentamientos humanos sean inclusivos, seguros, resilientes y sostenibles.</t>
  </si>
  <si>
    <t>I) Un tercio de la población urbana de países en desarrollo vive en zonas marginales. 
II) Gran parte del crecimiento urbano es descontrolado. 
III) La contaminación de muchas zonas urbanas es peligrosamente alto. 
IV) Aumentan las políticas de desarrollo urbano.</t>
  </si>
  <si>
    <t>12. Garantizar modalidades de consumo y producción sostenibles.</t>
  </si>
  <si>
    <t>I) Aumenta el uso de materias primas. 
II) El consumo de recursos per cápita disminuye en los países desarrollados y crece en los países en desarrollo. 
III) Aumentan los acuerdos internacionales en medio ambiente y desechos peligrosos.</t>
  </si>
  <si>
    <t>13. Adoptar medidas urgentes para combatir el cambio climático y sus efectos.</t>
  </si>
  <si>
    <t>I) El Acuerdo de París sienta unas buenas bases para el desarrollo sostenible. 
II) Un 70% de los países presentó planes de adaptación al cambio climático en París. 
III) Crece la frecuencia e intensidad de los desastres naturales, afectando a más personas. 
IV) 83 países cuentan con estrategias de gestión de desastres.</t>
  </si>
  <si>
    <t>14. Conservar y utilizar sosteniblemente los océanos, los mares y los recursos marinos para el desarrollo sostenible.</t>
  </si>
  <si>
    <t>I) Se frena la disminución de poblaciones sostenibles de peces. 
II) Se han cuadriplicado las zonas marinas y costeras protegidas desde el 2000. 
III) Importantes ecosistemas marinos están en alto riesgo de eutrofización (exceso de nutrientes causante de la disminución de oxígeno).</t>
  </si>
  <si>
    <t>15. Proteger, restablecer y promover el uso sostenible de los ecosistemas terrestres, gestionar sosteniblemente los bosques, luchar contra la desertificación, detener e invertir la degradación de las tierras y detener la pérdida de biodiversidad.</t>
  </si>
  <si>
    <t xml:space="preserve">I) La pérdida neta de bosques se ha reducido a la mitad. 
II) Aumentan las áreas protegidas para zonas clave de biodiversidad. 
III) La supervivencia de las especies está cada vez más amenazada. 
IV) El tráfico ilegal de especies y caza furtiva sigue siendo un problema importante. </t>
  </si>
  <si>
    <t>16. Promover sociedades pacíficas e inclusivas para el desarrollo sostenible, facilitar el acceso a la justicia para todos y construir a todos los niveles instituciones eficaces e inclusivas que rindan cuentas.</t>
  </si>
  <si>
    <t>I) Hay muchas diferencias en las tasas de homicidios entre regiones. 
II) Los niños, en su mayoría niñas, son el 30% de las víctimas de trata. 
III) El 30% de los encarcelados a nivel mundial lo están sin sentencia. 
IV) Uno de cada cuatro niños que nace no está inscrito en ningún registro.</t>
  </si>
  <si>
    <t>17. Fortalecer los medios de implementación y revitalizar la Alianza Mundial para el Desarrollo Sostenible.</t>
  </si>
  <si>
    <t>I) Crece la Ayuda Oficial al Desarrollo (AOD). 
II) La carga de la deuda internacional disminuye. 
III) La mayor parte de la población de los países en desarrollo no tiene acceso a internet de alta velocidad. 
IV) Aumenta la contribución a la exportación de los países en desarrollo. 
V) Los aranceles de ropa y textiles siguen siendo muy altos. 
VI) Los recursos estadísticos nacionales necesitan actualización en muchos países. 
VII) No todos los países tienen censos de población y vivienda. 
VIII) El registro de defunciones aún no es universal.</t>
  </si>
  <si>
    <t>Fuente:</t>
  </si>
  <si>
    <t>Plan distrital de desarrollo. Acuerdo 761 de 2020</t>
  </si>
  <si>
    <t>https://bogota.gov.co/sites/default/files/acuerdo-761-de-2020-pdd.pdf</t>
  </si>
  <si>
    <t>¿Aplica?</t>
  </si>
  <si>
    <t>Propósito 1</t>
  </si>
  <si>
    <t>Hacer un nuevo contrato social con igualdad de oportunidades para la inclusión social, productiva y política.</t>
  </si>
  <si>
    <t>Si</t>
  </si>
  <si>
    <t>Logros de ciudad</t>
  </si>
  <si>
    <t>1 Rediseñar el esquema de subsidios y contribuciones de Bogotá para garantizar un ingreso mínimo por hogar, que reduzca el peso de los factores que afectan la equidad del ingreso de los hogares.</t>
  </si>
  <si>
    <t>No</t>
  </si>
  <si>
    <t>2 Reducir la pobreza monetaria, multidimensional y la feminización de la pobreza.</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</si>
  <si>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</si>
  <si>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4 Completar la implementación de un modelo de salud pública con enfoque poblacional - diferencial, de género, participativo, resolutivo y territorial que aporte a la modificación de los determinantes sociales de la salud.</t>
  </si>
  <si>
    <t>5 Cerrar las brechas digitales, de cobertura, calidad y competencias a lo largo del ciclo de la formación integral, desde la primera infancia hasta la educación superior y continua para la vida.</t>
  </si>
  <si>
    <t xml:space="preserve">6 Disminuir el porcentaje de jóvenes que ni estudian ni trabajan con énfasis en jóvenes de bajos ingresos y vulnerables. </t>
  </si>
  <si>
    <t xml:space="preserve">7 Aumentar la inclusión productiva y el acceso a las economías de aglomeración con emprendimiento y empleabilidad con enfoque poblacional - diferencial, territorial y de género. </t>
  </si>
  <si>
    <t>8 Aumentar el acceso a vivienda digna, espacio público y equipamientos de la población vulnerable en suelo urbano y rural.</t>
  </si>
  <si>
    <t>9 Promover la participación, la transformación cultural, deportiva, recreativa, patrimonial y artística que propicien espacios de encuentro, tejido social y reconocimiento del otro.</t>
  </si>
  <si>
    <t>10 Apropiar el territorio rural desde su diversidad étnica y cultural como parte de Bogotá - Región.</t>
  </si>
  <si>
    <t>11 Promover aglomeraciones productivas y sectores de alto impacto con visión de largo plazo en Bogotá - Región.</t>
  </si>
  <si>
    <t>12 Incrementar la oferta de actividades y la infraestructura para el uso y disfrute del tiempo libre, con enfoque de género, diferencial, e integración territorial.</t>
  </si>
  <si>
    <t>Propósito 2</t>
  </si>
  <si>
    <t>Cambiar nuestros hábitos de vida para reverdecer a Bogotá y adaptarnos y mitigar la crisis climática.</t>
  </si>
  <si>
    <t>13 Formular y ejecutar estrategias concertadas de adaptación y mitigación de la crisis climática teniendo como marco la justicia ambiental.</t>
  </si>
  <si>
    <t>14 Implementar estrategias de mantenimiento, recuperación, rehabilitación o restauración de la estructura ecológica principal y demás áreas de interés ambiental en la Bogotá - Región.</t>
  </si>
  <si>
    <t>15 Intervenir integralmente áreas estratégicas de Bogotá teniendo en cuenta las dinámicas patrimoniales, ambientales, sociales y culturales.</t>
  </si>
  <si>
    <t>16 Aumentar la oferta de espacio público y áreas verdes de Bogotá promoviendo su uso, goce y disfrute con acceso universal para la ciudadanía.</t>
  </si>
  <si>
    <t>17 Reconocer y proteger todas las formas de vida, en particular la fauna urbana.</t>
  </si>
  <si>
    <t>18 Reducir la contaminación ambiental atmosférica, visual y auditiva y el impacto en morbilidad y mortalidad por esos factores.</t>
  </si>
  <si>
    <t>19 Cuidar y proteger el agua, el Río Bogotá, el sistema de páramos y el sistema hídrico de la ciudad y mejorar la prestación de los servicios públicos.</t>
  </si>
  <si>
    <t>20 Aumentar la separación en la fuente, reciclaje, reutilización y la adecuada disposición final de los residuos de la ciudad.</t>
  </si>
  <si>
    <t>Propósito 3</t>
  </si>
  <si>
    <t>Inspirar confianza y legitimidad para vivir sin miedo y ser epicentro de cultura ciudadana, paz y reconciliación.</t>
  </si>
  <si>
    <t xml:space="preserve">21 Posicionar a Bogotá – Región como el epicentro de paz y reconciliación del país, incluyendo un PDET rural en Sumapaz y un PDET urbano en el borde suroccidental en límites con el municipio de Soacha. </t>
  </si>
  <si>
    <t xml:space="preserve">22 Reducir la aceptación cultural e institucional del machismo y las violencias contra las mujeres, y garantizar el acceso efectivo a la justicia. </t>
  </si>
  <si>
    <t xml:space="preserve">23 Fomentar la autorregulación, regulación mutua, la concertación y el diálogo social generando confianza y convivencia entre la ciudadanía y entre esta y las instituciones. </t>
  </si>
  <si>
    <t xml:space="preserve">24 Disminuir la ilegalidad y la conflictividad en el uso y ordenamiento del espacio público, privado y en el medio ambiente rural y urbano. </t>
  </si>
  <si>
    <t>25 Reducir los mercados criminales, los delitos de alto impacto y hechos violentos con énfasis en los que afectan a mujeres, peatones, biciusuarios y usuarios del transporte público.</t>
  </si>
  <si>
    <t>Propósito 4</t>
  </si>
  <si>
    <t>Hacer de Bogotá -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</si>
  <si>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público y la red de ciclorutas.</t>
  </si>
  <si>
    <t>Propósito 5</t>
  </si>
  <si>
    <t>Construir Bogotá - Región con gobierno abierto, transparente y ciudadanía consciente.</t>
  </si>
  <si>
    <t xml:space="preserve">27 Posicionar al Gobierno Abierto de Bogotá – GABO – como una nueva forma de gobernanza que reduce el riesgo de corrupción e incrementa el control ciudadano del gobierno. </t>
  </si>
  <si>
    <t xml:space="preserve">28 Promover procesos de integración y ordenamiento territorial en la Bogotá - Región sostenibles social, económica, ambiental e institucionalmente. </t>
  </si>
  <si>
    <t xml:space="preserve">29 Posicionar globalmente a Bogotá como territorio inteligente (Smart City). </t>
  </si>
  <si>
    <t>30 Incrementar la efectividad de la gestión pública distrital y local.</t>
  </si>
  <si>
    <t>Manual Operativo del Modelo Integrado de Planeación y Gestión - MIPG Versión 03. Diciembre de 2019</t>
  </si>
  <si>
    <t>DIMENSIÓN</t>
  </si>
  <si>
    <t>POLÍTICA</t>
  </si>
  <si>
    <t>Talento Humano</t>
  </si>
  <si>
    <t>Gestión Estratégica del Talento Humano</t>
  </si>
  <si>
    <t>Integridad</t>
  </si>
  <si>
    <t>Direccionamiento Estratégico y Planeación</t>
  </si>
  <si>
    <t>Planeación institucional</t>
  </si>
  <si>
    <t>Gestión Presupuestal y Eficiencia del Gasto Público</t>
  </si>
  <si>
    <t>Gestión con valores para resultados</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</si>
  <si>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</si>
  <si>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</si>
  <si>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</si>
  <si>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</si>
  <si>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</si>
  <si>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</si>
  <si>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</si>
  <si>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</si>
  <si>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Evaluación de Resultados</t>
  </si>
  <si>
    <t>Seguimiento y evaluación del desempeño institucional</t>
  </si>
  <si>
    <t>Información y Comunicación</t>
  </si>
  <si>
    <t>Gestión Documental</t>
  </si>
  <si>
    <t>Transparencia, acceso a la información pública y lucha contra la corrupción</t>
  </si>
  <si>
    <t>Gestión de la Información Estadística</t>
  </si>
  <si>
    <t>Gestión del Conocimiento y la Innovación</t>
  </si>
  <si>
    <t>Control Interno</t>
  </si>
  <si>
    <t>PLAN DE T.I.</t>
  </si>
  <si>
    <t xml:space="preserve">Objetivo:    </t>
  </si>
  <si>
    <t>Establecer la planificación estratégica de las tecnologías de la información de Capital, para el período comprendido entre el 2021 y 2024,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t>
  </si>
  <si>
    <t>Versión del plan:</t>
  </si>
  <si>
    <t>Fecha de Aprobación:</t>
  </si>
  <si>
    <t>Plan de actividades</t>
  </si>
  <si>
    <t>No.</t>
  </si>
  <si>
    <t>Actividad a desarrollar</t>
  </si>
  <si>
    <t>Responsable</t>
  </si>
  <si>
    <t>Indicador y/o producto esperado</t>
  </si>
  <si>
    <t>Meta programada</t>
  </si>
  <si>
    <t>Cronograma</t>
  </si>
  <si>
    <t>Ponderación</t>
  </si>
  <si>
    <t>INICIO</t>
  </si>
  <si>
    <t>FIN</t>
  </si>
  <si>
    <t>Monitoreo del protocolo IPV6</t>
  </si>
  <si>
    <t>Sistemas</t>
  </si>
  <si>
    <t>Informes mensuales de monitoreo</t>
  </si>
  <si>
    <t>Data center con replicación implementado</t>
  </si>
  <si>
    <t>Adquisición e implementación del robot de backup LTO8 en el data center principal</t>
  </si>
  <si>
    <t>Robot de backup LTO8 implementado</t>
  </si>
  <si>
    <t>Adquisición e implementación del sistema de seguridad perimetral firewall para alta disponibilidad</t>
  </si>
  <si>
    <t>Firewall del alta disponibilidad adquirido e implementado</t>
  </si>
  <si>
    <t>Desarrollar y mejora de los módulos administrativos el marco del sistema de gestión empresarial</t>
  </si>
  <si>
    <r>
      <rPr>
        <b/>
        <sz val="10"/>
        <color theme="1"/>
        <rFont val="Arial"/>
        <family val="2"/>
      </rPr>
      <t xml:space="preserve">Nota: </t>
    </r>
    <r>
      <rPr>
        <sz val="10"/>
        <color theme="1"/>
        <rFont val="Arial"/>
        <family val="2"/>
      </rPr>
      <t>Tanto las actividades como las fechas de este plan pueden variar en cualquier momento debido a necesidades, costos y/o presupuesto. El seguimiento se realizará de acuerdo al cronograma del presente plan.</t>
    </r>
  </si>
  <si>
    <t>Control de Modificaciones realizadas al Plan</t>
  </si>
  <si>
    <t>Versión</t>
  </si>
  <si>
    <t>Descripción del ajuste realizado</t>
  </si>
  <si>
    <t>Fecha</t>
  </si>
  <si>
    <t>Actualización de las actividades y demás campos para la vigencia 2022.</t>
  </si>
  <si>
    <t>Documentar políticas, procedimientos, lineamientos, instructivos, etc. Asociados al MSPI y Gobierno Digital.</t>
  </si>
  <si>
    <t>Documentos publicados en la intranet de la entidad</t>
  </si>
  <si>
    <t>Estrategias implementadas del SGSI.</t>
  </si>
  <si>
    <t>Implementar controles de seguridad en la plataforma tecnológica de la entidad</t>
  </si>
  <si>
    <t>Controles implementados en la plataforma tecnológica</t>
  </si>
  <si>
    <t>Alistamiento para la certificación en ISO 27001 de un proceso de la entidad.</t>
  </si>
  <si>
    <t xml:space="preserve">Documento de gestión </t>
  </si>
  <si>
    <t>Seguimiento</t>
  </si>
  <si>
    <t>Matriz de riesgos de seguridad digital</t>
  </si>
  <si>
    <t>PLAN INSTITUCIONAL DE ARCHIVOS - PINAR</t>
  </si>
  <si>
    <t>Fecha de Aprobación</t>
  </si>
  <si>
    <t xml:space="preserve">Transferencias Secundarias </t>
  </si>
  <si>
    <t xml:space="preserve">Entrega de transferencias secundarias por parte de Canal Capital al Archivo de Bogotá. </t>
  </si>
  <si>
    <t>Reporte de actividades y avances de acuerdo con lo definido en el Plan Institucional de Archivos - PINAR</t>
  </si>
  <si>
    <t>Actualización de las TRD</t>
  </si>
  <si>
    <t xml:space="preserve">Aprobación de TRD </t>
  </si>
  <si>
    <t xml:space="preserve">Sistema de Gestión Documental </t>
  </si>
  <si>
    <t xml:space="preserve">Implementación y ejecución del SGDEA. </t>
  </si>
  <si>
    <t>PLAN DE CAPACITACIONES</t>
  </si>
  <si>
    <t>Atender las necesidades de capacitación para el fortalecimiento de las competencias del personal de Canal Capital, con el propósito de afrontar los retos que conllevan a la mejora individual e institucional.</t>
  </si>
  <si>
    <t>Capacitaciones en temas técnicos (áreas específicas del canal)</t>
  </si>
  <si>
    <t>Recursos Humanos</t>
  </si>
  <si>
    <t>Capacitaciones realizadas / Capacitaciones planeadas</t>
  </si>
  <si>
    <t>Reporte de actividades y avances de acuerdo con lo definido en el cronograma del Plan Institucional de Capacitaciones</t>
  </si>
  <si>
    <t>Capacitaciones en conocimientos generales (aplica para todas las áreas del canal).</t>
  </si>
  <si>
    <r>
      <rPr>
        <b/>
        <sz val="10"/>
        <rFont val="Arial"/>
        <family val="2"/>
      </rPr>
      <t xml:space="preserve">Nota: </t>
    </r>
    <r>
      <rPr>
        <sz val="10"/>
        <rFont val="Arial"/>
        <family val="2"/>
      </rPr>
      <t>Tanto las actividades como las fechas de este plan pueden variar en cualquier momento debido a necesidades, costos y/o presupuesto. El seguimiento se realizará de acuerdo al cronograma del presente plan.</t>
    </r>
  </si>
  <si>
    <t>PLAN DE BIENESTAR E INCENTIVOS</t>
  </si>
  <si>
    <t>Fortalecer las actuaciones de la Entidad a través de la formulación y desarrollo de procesos y programas que fomenten un ambiente de trabajo positivo, generando labores eficientes y productivas dentro de la Entidad.</t>
  </si>
  <si>
    <t>ACTIVIDADES DE CLIMA Y CULTURA ORGANIZACIONAL</t>
  </si>
  <si>
    <t>Actividades realizadas/ actividades programadas</t>
  </si>
  <si>
    <t>Reporte de actividades y avances de acuerdo con lo definido en el Plan de Bienestar e Incentivos.</t>
  </si>
  <si>
    <t>ACTIVIDADES DEPORTIVAS</t>
  </si>
  <si>
    <t>ACTIVIDADES RECREATIVAS</t>
  </si>
  <si>
    <t>ACTIVIDADES CULTURALES</t>
  </si>
  <si>
    <t>ACTIVIDADES PREVENCIÓN EN SALUD</t>
  </si>
  <si>
    <t>PLAN ESTRATÉGICO DE RECURSOS HUMANOS</t>
  </si>
  <si>
    <t>Implementar un proceso de selección de personal para el personal de planta del canal.</t>
  </si>
  <si>
    <t>% de implementación de proceso</t>
  </si>
  <si>
    <t>Reporte de actividades y avances de acuerdo con lo definido en el Plan Estratégico de Recursos Humanos.</t>
  </si>
  <si>
    <t>Actualización documental del sistema de gestión de seguridad y salud en el trabajo e integración en el sistema de gestión de la empresa en un 100%.</t>
  </si>
  <si>
    <t>% de cumplimiento de los estándares mínimos del sistema de gestión de seguridad y salud en el trabajo con respecto a la Resolución 0312 de 2019</t>
  </si>
  <si>
    <t>Actualización normativa del área de Recursos Humanos</t>
  </si>
  <si>
    <t>% de actualización frente al cronograma</t>
  </si>
  <si>
    <t>PLAN DE SEGURIDAD Y SALUD EN EL TRABAJO</t>
  </si>
  <si>
    <t>Cumplir  la normatividad aplicable a seguridad y salud en el trabajo y atender las observaciones provenientes de auditorias y planes de mejoramiento.</t>
  </si>
  <si>
    <t>Cumplimiento de requisitos legales referente a SST - Resolución 0312 -2019</t>
  </si>
  <si>
    <t>Profesional SST</t>
  </si>
  <si>
    <t>Numero de requisitos cumplidos / Numero de requisitos establecidos en la Resolución</t>
  </si>
  <si>
    <t>Reporte de actividades y avances de acuerdo con lo definido en el Plan de trabajo del Sistema de Seguridad y Salud en el Trabajo - SG-SST.</t>
  </si>
  <si>
    <t>Cumplimiento en plan de trabajo de seguridad y salud en el trabajo</t>
  </si>
  <si>
    <t>Numero de capacitaciones ejecutadas/ Numero de capacitaciones planeadas</t>
  </si>
  <si>
    <t>Ejecución de las actividades de reinversión de la ARL</t>
  </si>
  <si>
    <t>Numero de horas ejecutadas/ Numero de horas asignadas</t>
  </si>
  <si>
    <t>Reporte de actividades y avances de acuerdo con lo definido en el Plan de trabajo del Subsistema de Seguridad y Salud en el Trabajo - SG-SST.</t>
  </si>
  <si>
    <t>Porcentaje de avance de la Estrategia Capital Social y relaciones públicas</t>
  </si>
  <si>
    <t xml:space="preserve">Porcentaje de avance de la formulación y ejecución de la Estrategia Capital Social y relaciones públicas. </t>
  </si>
  <si>
    <t xml:space="preserve">Porcentaje total de avance  planeada para 2022 para la  formulación y ejecución de la Estrategia Capital Social y relaciones públicas.  </t>
  </si>
  <si>
    <t>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Capital Social y relaciones públicas, aun no deben iniciar.
2. Los porcentajes de cada trimestre corresponderán al avance alcanzado de acuerdo con Estrategia Capital Social y relaciones públicas establecidas para la vigencia.
3. Al final de la vigencia, la sumatoria del resultado de cada trimestre corresponderá a la meta establecida, es decir 100 %. Los resultados parciales (cada trimestre) serán definidos de acuerdo Estrategia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Capital Social y relaciones públicas.</t>
  </si>
  <si>
    <t>Da cuenta del avance en las ventas a través de suscripción de contratos, adiciones contractuales, ofertas comerciales (comunicación pública, ATL, BTL, producción audiovisual, transmisiones audiovisuales, estrategias 360o) y recaudos de pauta digital en plataformas y redes sociales de Capital.</t>
  </si>
  <si>
    <t>&lt;20%</t>
  </si>
  <si>
    <t>* Diseñar la Estrategia Capital Social y relaciones públicas  de Capital.
* Ejecutar la Estrategia Capital Social y relaciones públicas  de Capital.
* Suscripción de contratos y ejecución según Estrategia Capital Social y relaciones públicas de Capital.</t>
  </si>
  <si>
    <t>Porcentaje de cumplimiento de la meta de ventas para el 2022.</t>
  </si>
  <si>
    <t>Elaborar, socializar e implementar el Plan Institucional de Archivos (PINAR) con el propósito de facilitar la planeación estratégica de la función archivística y articularla con los demás planes y proyectos estratégicos asociados al Modelo Integrado de Planeación y Gestión (MIPG) previstos por Canal Capital.</t>
  </si>
  <si>
    <t>Plan de Fortalecimiento Institucional - Modelo Integrado de Planeación y Gestión - MIPG</t>
  </si>
  <si>
    <t>Objetivo</t>
  </si>
  <si>
    <t>Gestionar el 100% de las acciones definidas por la entidad para la armonización de productos y requisitos del SIG con las dimensiones y políticas del MIPG para Capital.</t>
  </si>
  <si>
    <t>Fecha de publicación</t>
  </si>
  <si>
    <t>Política operativa asociada</t>
  </si>
  <si>
    <t>Realizar los ejercicios de reporte de avances en el FURAG, de acuerdo con los lineamientos que se definan para ello.</t>
  </si>
  <si>
    <t>Planeación - Líderes de procesos</t>
  </si>
  <si>
    <t>Consolidar el plan de fortalecimiento y realizar seguimientos mensuales</t>
  </si>
  <si>
    <t>Un plan de fortalecimiento consolidado
Seguimientos mensuales realizados.</t>
  </si>
  <si>
    <t>Definir e implementar las actividades asociadas a la dimensión 01 - "Talento Humano" y sus políticas operativas</t>
  </si>
  <si>
    <t>Planeación - Líder de política (según circular 06 de 2019)</t>
  </si>
  <si>
    <t>Porcentaje de avance en la implementación de actividades asociadas a la política.</t>
  </si>
  <si>
    <t>Definir e implementar las actividades asociadas a la dimensión 02 - "Direccionamiento estratégico y planeación "y sus políticas operativas</t>
  </si>
  <si>
    <t>Definir e implementar las actividades asociadas a la dimensión 03 - "Gestión con valores para el resultado" y sus políticas operativas.</t>
  </si>
  <si>
    <t>Definir e implementar las actividades asociadas a la dimensión 04 - "Evaluación de resultados" y sus políticas operativas</t>
  </si>
  <si>
    <t>Definir e implementar las actividades asociadas a la dimensión 05 - "Información y comunicación" y sus políticas operativas</t>
  </si>
  <si>
    <t>Definir e implementar las actividades asociadas a la dimensión 06 - "Gestión del conocimiento y la innovación "y sus políticas operativas</t>
  </si>
  <si>
    <t>Definir e implementar las actividades asociadas a la dimensión 07 - "Control Interno "y sus políticas operativas</t>
  </si>
  <si>
    <t>Control Interno - Líder de política (según circular 06 de 2019)</t>
  </si>
  <si>
    <t>FURAG reportado
Línea base a partir del reporte de la vigencia 2021.</t>
  </si>
  <si>
    <t>Plan de Fortalecimiento Institucional - PFI (Anexo 1)</t>
  </si>
  <si>
    <t>Plan Estratégico de Tecnologías de la Información - PETI 2022 (Anexo 2)</t>
  </si>
  <si>
    <t>PLAN SEGURIDAD Y PRIVACIDAD DE LA INFORMACIÓN</t>
  </si>
  <si>
    <t>PLAN TRATAMIENTO DE RIESGOS DE SEGURIDAD Y PRIVACIDAD DE LA INFORMACIÓN</t>
  </si>
  <si>
    <t>Plan Institucional de Archivos - PINAR (Anexo 5)</t>
  </si>
  <si>
    <t>Plan Institucional de Capacitación - PIC (Anexo 6)</t>
  </si>
  <si>
    <t xml:space="preserve"> Plan del Subsistema de Gestión de Seguridad y Salud en el Trabajo, SG-SST (Anexo 9)</t>
  </si>
  <si>
    <t>Plan de bienestar e incentivos - PBI (Anexo 8)</t>
  </si>
  <si>
    <t>Plan estratégico de Recursos Humanos - PERH (Anexo 7)</t>
  </si>
  <si>
    <t>Plan de Seguridad y Privacidad de la Información 2022 - PSPI (Anexo 3)</t>
  </si>
  <si>
    <t>Plan de tratamiento de riesgos de seguridad y privacidad de la información 2022 - PTRSI (Anexo 4)</t>
  </si>
  <si>
    <t>Estrategia</t>
  </si>
  <si>
    <t>Esta acción se llevará a cabo en colaboración con el área de sistemas de la Subdirección Administrativa.</t>
  </si>
  <si>
    <t xml:space="preserve">Dar cumplimiento al 100% de los compromisos de planeación en la presentación de informes o reportes asignados al área  </t>
  </si>
  <si>
    <t>1. Publicar y socializar el cronograma de informes de segunda línea de defensa (20%). 
2. Llevar a cabo los seguimientos programados según las temáticas definidas a cargo de planeación (60%). 
3. Revisar y analizar posibles mejoras a partir de los seguimientos a través del Plan de Acción Institucional (20%).</t>
  </si>
  <si>
    <t>Promover a Capital entre potenciales clientes / aliados y directivos del sector público, como una empresa idónea para el desarrollo de estrategias de comunicación y relaciones públicas, así mismo gestionar una estrategia de negocios bajo un modelo de "Capital Social".</t>
  </si>
  <si>
    <t>Con base en la Estrategia Capital Social y relaciones públicas 2022 se realizará el monitoreo de los resultados del indicador.
Los resultados parciales mensualmente definidos en la estratégica, serán sumados trimestralmente para obtener los resultados de este reporte. El resultado obtenido en diciembre de 2022 corresponderá a la sumatoria de los resultados trimestrales reportados.</t>
  </si>
  <si>
    <t>Los valores registrados en las metas parciales pueden verse afectados por aspectos tales como:
1. Cambios en las prioridades presupuestales de los clientes.
2.Orden de austeridad en el gasto de los clientes distritales.
3. Restricciones de Ley, por las garantías en los procesos electorales.
4. Restricciones para participar en procesos licitatorios cuando exigen requisitos de indicadores financieros, que Capital no está en capacidad de cumplir.
5. Efectos colaterales a las medidas para la contención de la pandemia asociadas a COVID 19.
6. Implementación de nuevas prácticas o tecnologías implementadas por Capital o los clientes para la suscripción del contrato
Algunos de estos serán claves al momento del monitoreo y reporte, así como de la necesidad de ajuste a lo largo de la vigencia.</t>
  </si>
  <si>
    <t>Realizar llamados públicos  en búsqueda de invitar al sector audiovisual local para Cocrear (a partir de un detonante creativo generado por Capital) proyectos audiovisuales que deberán ser ejecutados bajo la supervisión de Capital.</t>
  </si>
  <si>
    <t>Porcentaje programado para 2022 de actividades de rediseño en las plataformas a intervenir (página web y canal de YouTube)</t>
  </si>
  <si>
    <t>Para ejecutar de manera adecuada las actividades descritas, dependerá de los recursos que se destinen para tal fin y de contar con el personal idóneo para realizarlas.</t>
  </si>
  <si>
    <t>Se pretende cuidar y proteger el patrimonio de la entidad realizando revisiones física periódicas.</t>
  </si>
  <si>
    <t xml:space="preserve">
Se pretende dar cumplimiento como mínimo del 90% de las actividades establecidas en el plan estratégico de recursos humanos para la vigencia 2022 partiendo de los avances realizados en las vigencias anteriores y la consecución de los objetivos establecidos </t>
  </si>
  <si>
    <t>se pretende dar cumplimiento en el 100% en lo relacionado con el seguimiento en la implementación del plan de austeridad y sus componentes</t>
  </si>
  <si>
    <t>Formulación del plan de Austeridad 20%
Socialización del plan de austeridad 10%
Realizar informes 70%</t>
  </si>
  <si>
    <t xml:space="preserve">Lograr mínimo el 85% del total de cuentas tramitadas en 5 días. </t>
  </si>
  <si>
    <t>Cumplimiento de los tiempos establecidos para el recaudo, generando una cartera dinámica</t>
  </si>
  <si>
    <t xml:space="preserve">La información acá reportada es el recaudo bruto es decir incluye los descuentos hechos por los clientes, dado que si se hiciera sin esta información no sería comparable. </t>
  </si>
  <si>
    <t xml:space="preserve">Dar a conocer a los colaboradores las diferentes etapas de los procedimientos financieros y temas de interés. </t>
  </si>
  <si>
    <t>Realizar 4 capacitaciones en el transcurso de la vigencia, orientados a evitar daños antijurídicos</t>
  </si>
  <si>
    <t>Cumplimiento de las actividades que se establecidas en materia de gestión del riesgo.</t>
  </si>
  <si>
    <t xml:space="preserve">Los resultados de la auditoría corresponderán a las evaluaciones diligenciadas y remitidas por parte de los líderes de los procesos evaluados. </t>
  </si>
  <si>
    <t>Creación del plan estratégico y plan de acción institucional de la vigencia 2022, que contiene las acciones propuestas por los líderes y responsables de los procesos orientados al cumplimiento de los objetivos estratégicos. Esta versión se encuentra sujeta a revisión permanente por parte de la Alta Dirección y de los líderes y responsables de los procesos de la entidad en atención a las posibles modificaciones que puedan presentarse o en los objetivos propuestos por las áreas. Así mismo, en cumplimiento de lo establecido mediante Decreto número 612 de 2018 "Por el cual se fijan las directrices para la integración de los planes institucionales y estratégicos al plan de acción por parte de las entidades del estado", se incorporan acciones de medición y seguimiento de los planes allí definidos, exceptuando los siguientes planes que no son aplicables para esta entidad: Plan Anual de Vacantes, Plan de Previsión de Recursos Humanos y Plan de Incentivos Institucionales. Lo anterior, teniendo en cuenta la naturaleza de Canal Capital como empresa industrial y comercial del estado, que la entidad no tiene régimen de carrera administrativa  y que además la planta está compuesta por trabajadores oficiales.</t>
  </si>
  <si>
    <t>Data center con replicación tier 2 en la sede principal</t>
  </si>
  <si>
    <t>Módulos administrativos implementados del ERP</t>
  </si>
  <si>
    <t>Implementar el plan de sensibilización del SGSI.</t>
  </si>
  <si>
    <t>Implementación de la matriz de riesgos de seguridad digital</t>
  </si>
  <si>
    <r>
      <t xml:space="preserve">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Capital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
</t>
    </r>
    <r>
      <rPr>
        <b/>
        <sz val="10"/>
        <rFont val="Arial"/>
        <family val="2"/>
      </rPr>
      <t>Nota 1:</t>
    </r>
    <r>
      <rPr>
        <sz val="10"/>
        <rFont val="Arial"/>
        <family val="2"/>
      </rPr>
      <t xml:space="preserve"> La persona designada por la Dirección Operativa para la consolidación y reporte de este indicador será el contratista que asesora los procesos que pertenecen a dicha instancia.
</t>
    </r>
    <r>
      <rPr>
        <b/>
        <sz val="10"/>
        <rFont val="Arial"/>
        <family val="2"/>
      </rPr>
      <t>Nota 2:</t>
    </r>
    <r>
      <rPr>
        <sz val="10"/>
        <rFont val="Arial"/>
        <family val="2"/>
      </rPr>
      <t xml:space="preserve"> El Director Operativo, los equipos de producción,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r>
  </si>
  <si>
    <t>1. Elaboración de las condiciones técnicas y precontractuales del proyecto, según aplique
2. Contratación de recursos para la ejecución del proyecto, según aplique
3. Producción del proyecto, según aplique
4. Circulación del proyecto, según aplique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según aplique y de acuerdo con la etapa de desarrollo del indicador, serán los responsables de producir y comunicar el dato o información a suministrar a planeación al momento de realizar la medición, análisis y reporte del indicador.</t>
  </si>
  <si>
    <t>1. Definir plan de trabajo interno para el rediseño de la página web y el correspondiente a la fortalecimiento del canal de YouTube respecto a los recursos y decisiones administrativas de Capital
2. Ejecutar plan de trabajo de intervención de las plataformas a optimizar
3. Realizar las etapas técnicas concernientes a la producción de las plataformas.
Nota 1: La persona designada por la Dirección Operativa para la consolidación y reporte de este indicador será el contratista que asesora los procesos que pertenecen a dicha instancia.
Nota 2: El equipo de producción digital,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t>
  </si>
  <si>
    <t>Emitir programación infantil y adolescente en la pantalla principal de Capital, de tal manera que entre el 20 % y el 30 % de los contenidos que están en pantalla entre las 6:00 y las 24:00 correspondan a este tipo de programación.</t>
  </si>
  <si>
    <t>9. Promover el relacionamiento con la ciudadanía y grupos poblacionales, a través de diferentes mecanismos, plataformas y herramientas.</t>
  </si>
  <si>
    <t>2 - (17 de marzo)</t>
  </si>
  <si>
    <t>5. Igualdad de Género.
10. Reducción de las desigualdades.
11. Ciudades y comunidades sostenibles.
17. Alianzas para lograr los objetivos.</t>
  </si>
  <si>
    <t>1.9.1</t>
  </si>
  <si>
    <t>Capital plural</t>
  </si>
  <si>
    <t>Desarrollar un plan de acción interno y externo para la transversalización de las políticas públicas poblacionales y de medios comunitarios, en las prácticas de gestión y misionales propias de Capital.</t>
  </si>
  <si>
    <t>Gestión de compromisos poblacionales y de medios comunitarios.</t>
  </si>
  <si>
    <t>Medir las gestiones adelantadas para el cumplimiento de compromisos sobre políticas públicas poblacionales y medios comunitarios.
Se parte de la atención a los compromisos sobre 6 grupos étnicos, 7 grupos sociales, y medios comunitarios.</t>
  </si>
  <si>
    <t>Actividades de gestión adelantadas sobre compromisos poblacionales y de medios comunitarios</t>
  </si>
  <si>
    <t>Compromisos adquiridos para grupos poblacionales y de medios comunitarios.</t>
  </si>
  <si>
    <t>Atender el 100% de los compromisos adquiridos por parte de Capital en el marco de las políticas públicas poblacionales y medios comunitarios.</t>
  </si>
  <si>
    <t>Menos de 70%</t>
  </si>
  <si>
    <t>71% - 80%</t>
  </si>
  <si>
    <t>81% - 99%</t>
  </si>
  <si>
    <t>• Gestionar la generación de contenidos por medio del desarrollo colectivo de proyectos en conjunto con los grupos poblacionales y gestión de recursos sostenibles.
* Apoyar la visibilización de las prácticas, liderazgos y productos de comunicación de los grupo poblacionales y medios comunitarios en las plataformas digitales, señal abierta y en los entornos sonoros.
* Acompañar el fortalecimiento de capacidades del equipo humano de capital en derechos humanos desde una perspectiva plural.
* Promover la transformación e implementación de procesos y procedimientos en el sistema de gestión para la transversalización de los enfoques de política pública orientados a las poblaciones y a la comunicación comunitaria.</t>
  </si>
  <si>
    <t>Podrán reportarse acciones e iniciativas adicionales que se deriven del accionar estratégico de la entidad y que aportan a la visibilización y gestiones de los compromisos definidos.</t>
  </si>
  <si>
    <t>1.2.2</t>
  </si>
  <si>
    <t>Conocer y caracterizar las audiencias de Capital, para contar con información que permita desarrollar productos y contenidos enfocados al cliente final.</t>
  </si>
  <si>
    <t>Audiencias caracterizadas</t>
  </si>
  <si>
    <t>Proyectos desarrollados a través de la estrategia inbound</t>
  </si>
  <si>
    <t>Capital pretende identificar, a través de este indicador, la caracterización de nuestras audiencias para de esa manera producir y circular contenido de valor para cada una de ellas y sus necesidades. Asimismo, Capital podrá entregar contenido uno a uno con cada ciudadano o ciudadana interesados en la entidad.</t>
  </si>
  <si>
    <t>Número de leads convertidos</t>
  </si>
  <si>
    <t>Número de visitantes a las plataformas de Capital</t>
  </si>
  <si>
    <t>Con este indicador, Capital quiere segmentar e identificar los intereses de la ciudadanía en cada uno de los proyectos que tiene la entidad y el estado de avance de los mismos.</t>
  </si>
  <si>
    <t xml:space="preserve">Porcentaje de avance en los proyectos </t>
  </si>
  <si>
    <t>Número de proyectos a adelantar en la vigencia</t>
  </si>
  <si>
    <t>Lograr una tasa de conversión de 0.01% de visitantes a los contenidos de Capital</t>
  </si>
  <si>
    <t>&lt;0.0052%</t>
  </si>
  <si>
    <t>1. Diseñar formularios para el registro de datos de las audiencias de Capital.
2. Desarrollar landing pages con contenido atractivo para promover el intercambio de datos.
3. Implementar planes de pauta digital segmentada para cada uno de nuestros proyectos con el fin de finalizar visitantes y convertirlos en leads y leads calificados (sujeto a disponibilidad de recursos).</t>
  </si>
  <si>
    <t xml:space="preserve">Lograr el 95% de avance en la ejecución de los proyectos de Capital </t>
  </si>
  <si>
    <t>&lt;40%</t>
  </si>
  <si>
    <t>40% - 70%</t>
  </si>
  <si>
    <t>70% - 94%</t>
  </si>
  <si>
    <t>1. Adelantar 4 proyectos de inbound marketing para las áreas de Eureka, Comunicaciones y Proyectos estratégicos.
2. Semanalmente se adelantan comités de inbound marketing para analizar el avance en la implementación de los proyectos.
3. Trimestralmente se consolida y reporta el avance en los 4 proyectos.</t>
  </si>
  <si>
    <t>Conocimiento de audiencias a través de la estrategia inbound (caracterización de audiencias)</t>
  </si>
  <si>
    <t>Conocimiento de audiencias a través de la estrategia inbound (desarrollo de proyectos)</t>
  </si>
  <si>
    <t>Estrategia de marketing, Capital Social y relaciones públicas (avance en la estrategia).</t>
  </si>
  <si>
    <t>Estrategia de marketing, Capital Social y relaciones públicas (cumplimiento de ventas)</t>
  </si>
  <si>
    <t>02 - Actualización del plan de acción con la inclusión de los siguientes proyectos / planes, para su medición en la vigencia: 1.9.1 - "Capital Plural" y 1.2.1 y 1.2.2 - "Conocimiento de audiencias a través de la estrategia inbound". Se realiza la revisión a los indicadores comerciales 4.4.1 y 4.8.2 - "Estrategia de marketing, Capital Social y relaciones públicas", y se adelanta ajuste en la meta propuesta de acuerdo a lo solicitado por el área. Se revisa el indicador 3.7.3 "Plan Estratégico de Tecnologías de la Información - PETI 2022" y se ajusta en cuanto a su responsabilidad compartida entre las áreas de sistemas y la coordinación técnica. Se actualiza a su versión 1 el anexo 01 - Plan de fortalecimiento institucional, de acuerdo con las actividades concertadas con las diferentes áreas de la entidad. Finalmente, se incluye la revisión de forma y ajustes menores en la redacción y descripción en general de los indicadores.</t>
  </si>
  <si>
    <t>1 - Se formula el documento a partir de las actividades pendientes por finalizar el cumplimiento del Plan de Fortalecimiento Institucional 2021 así como con el análisis realizado por las áreas de la entidad frente a las actividades identificadas en la matriz de recomendaciones del FURAG.</t>
  </si>
  <si>
    <t>3.1</t>
  </si>
  <si>
    <t xml:space="preserve">Gestión estratégica del talento humano </t>
  </si>
  <si>
    <t>Implementar programas de desvinculación asistida en la entidad.</t>
  </si>
  <si>
    <t>Talento humano</t>
  </si>
  <si>
    <t>Programa de Desvinculación asistida</t>
  </si>
  <si>
    <t>3.2</t>
  </si>
  <si>
    <t>Gestionar lo relacionado con la ampliación gradual de la planta de personal de la entidad en concordancia con el cumplimiento de los objetivos institucionales</t>
  </si>
  <si>
    <t>proyecto de ampliación de planta radicado en el DASCD</t>
  </si>
  <si>
    <t>3.3</t>
  </si>
  <si>
    <t>Gestionar la implementación de los lineamientos antisoborno y relacionados con temas de integridad contenidos en la Política Integral de Transparencia, Acceso a la Información, Lucha contra la Corrupción y Gestión Antisoborno.</t>
  </si>
  <si>
    <t>Lineamientos antisoborno</t>
  </si>
  <si>
    <t>3.4</t>
  </si>
  <si>
    <t>Implementar canales de consulta y orientación para el manejo de conflictos de interés</t>
  </si>
  <si>
    <t>Canal de consulta implementado</t>
  </si>
  <si>
    <t>4.1</t>
  </si>
  <si>
    <t xml:space="preserve">Planeación estratégica </t>
  </si>
  <si>
    <t>Revisar y actualizar la política de planeación institucional teniendo en cuenta los cambios en el contexto estratégico y el diagnóstico de capacidades y entornos.</t>
  </si>
  <si>
    <t>Planeación</t>
  </si>
  <si>
    <t>Una (1) política revisada y actualizada durante la vigencia</t>
  </si>
  <si>
    <t>4.2</t>
  </si>
  <si>
    <t>Revisar y actualizar (si aplica) el manual de implementación del MIPG en Capital.</t>
  </si>
  <si>
    <t>Un Manual revisado y actualizado (si aplica)</t>
  </si>
  <si>
    <t>4.3</t>
  </si>
  <si>
    <t>Revisar las matrices de riesgos de acuerdo con la metodología vigente.</t>
  </si>
  <si>
    <t>Matrices de gestión de riesgo revisadas y actualizadas/Total de procesos de la entidad</t>
  </si>
  <si>
    <t>5.1</t>
  </si>
  <si>
    <t>Actualizar en lo pertinente el Modelo de Operación por Procesos y alinear al mismo la información de los procesos institucionales.</t>
  </si>
  <si>
    <t>Información de procesos actualizada/Total de procesos de la entidad</t>
  </si>
  <si>
    <t>5.2</t>
  </si>
  <si>
    <t>Participación ciudadana en la gestión pública</t>
  </si>
  <si>
    <t xml:space="preserve">Implementar la Política Institucional de Participación Ciudadana de acuerdo con la programación y los lineamientos para la vigencia 2022. </t>
  </si>
  <si>
    <t xml:space="preserve">Planeación </t>
  </si>
  <si>
    <t>Matrices de seguimiento diligenciadas</t>
  </si>
  <si>
    <t>5.3</t>
  </si>
  <si>
    <t xml:space="preserve">Realizar la revisión y actualización de la caracterización de los procesos de la entidad </t>
  </si>
  <si>
    <t>Número de caracterizaciones de proceso actualizadas/Total de procesos de la entidad</t>
  </si>
  <si>
    <t>Racionalización de Trámites</t>
  </si>
  <si>
    <t>Documentar la política institucional de racionalización de trámites</t>
  </si>
  <si>
    <t>Planeación
Servicio al ciudadano</t>
  </si>
  <si>
    <t>Una (1) política documentada</t>
  </si>
  <si>
    <t xml:space="preserve">Servicio al ciudadano </t>
  </si>
  <si>
    <t xml:space="preserve">Gestionar mejoras de software para la atención a la ciudadanía </t>
  </si>
  <si>
    <t>Servicio al ciudadano
Sistemas</t>
  </si>
  <si>
    <t>Articulación del sistema Bogotá Te Escucha con el sistema de Correspondencia</t>
  </si>
  <si>
    <t>Desarrollar una estrategia para fortalecer los sistemas de medición de satisfacción de los ciudadanos y su seguimiento.</t>
  </si>
  <si>
    <t xml:space="preserve">Una estrategia diseñada e implementada </t>
  </si>
  <si>
    <t>Gestionar capacitaciones para el personal de atención al ciudadano y otros colaboradores en asuntos de atención preferencial con enfoque diferencial.</t>
  </si>
  <si>
    <t>Servicio al ciudadano
Talento Humano</t>
  </si>
  <si>
    <t>Dos (2) capacitaciones realizadas</t>
  </si>
  <si>
    <t>Gestionar la adopción de lineamientos, políticas y normas para la atención diferencial a población en condición de discapacidad o grupos poblacionales/étnicos.</t>
  </si>
  <si>
    <t xml:space="preserve">Mejoras diseñadas e implementadas en  la atención diferencial a población en condición de discapacidad o grupos poblacionales/étnico </t>
  </si>
  <si>
    <t xml:space="preserve">Adoptar y aplicar los lineamientos de la guía de lenguaje claro a los documentos internos de la entidad. </t>
  </si>
  <si>
    <t>100% del lineamiento implementado</t>
  </si>
  <si>
    <t>Revisar e implementar las mejoras de accesibilidad y los lineamientos de MINTIC para el portal web de Capital.</t>
  </si>
  <si>
    <t>Equipo Digital</t>
  </si>
  <si>
    <t>Actualmente Capital cuenta con dos páginas: Una, canalcapital.gov.co destinada a los temas oficiales y conexioncapital.co, enfocada en el tráfico de noticias, especiales web, estrenos de series, podcast y demás. Como parte del proyecto del 2022 del equipo digital de Capital está la fase final de desarrollo de una página nueva que unificará las dos existentes y con este fin, poder llevar a nuestras audiencias a un mismo lugar donde se encuentren todos los temas de interés. 
En ese mismo sentido implementaremos las mejoras en temas de accesibilidad como: 
-Botón de Accesibilidad en el menú con las opciones:
1. Zona de relevo - Lenguaje de señas.
2. Contraste de color.
3. Tamaño de letra.
4. Lupa.</t>
  </si>
  <si>
    <t>Realizar la medición a la gestión institucional de la información contemplada en los portales de datos abiertos del caso.</t>
  </si>
  <si>
    <t>Reportes trimestrales  de seguimiento sobre el uso externo que le dan a los set de datos abiertos.</t>
  </si>
  <si>
    <t>Llevar a cabo el monitoreo de la exposición al riesgo específicamente en lo relacionado con tecnologías nuevas y emergentes.</t>
  </si>
  <si>
    <t>Monitoreos e informes de los riesgos asociados a la plataforma tecnológica del  canal</t>
  </si>
  <si>
    <t>6.1</t>
  </si>
  <si>
    <t xml:space="preserve">Seguimiento y evaluación del desempeño institucional </t>
  </si>
  <si>
    <t>Presentar balances periódicos ante la alta dirección sobre el estado de avance de la gestión institucional.</t>
  </si>
  <si>
    <t>Número de balances periódicos presentados/Total de sesiones ordinarias CIGD adelantadas</t>
  </si>
  <si>
    <t>6.2</t>
  </si>
  <si>
    <t xml:space="preserve">Realizar un ejercicio de autoevaluación institucional </t>
  </si>
  <si>
    <t>Un (1) ejercicio de autoevaluación realizado en la vigencia</t>
  </si>
  <si>
    <t>7.1</t>
  </si>
  <si>
    <t xml:space="preserve">Transparencia, acceso a la información y lucha contra la corrupción </t>
  </si>
  <si>
    <t xml:space="preserve">Actualizar el normograma y publicarlo en la página web para consulta ciudadana. </t>
  </si>
  <si>
    <t>Planeación 
Coordinación Jurídica</t>
  </si>
  <si>
    <t xml:space="preserve">Normograma actualizado y publicado en página web. </t>
  </si>
  <si>
    <t>7.2</t>
  </si>
  <si>
    <t>Formular el plan de implementación de la Política de Transparencia, Acceso a la Información, lucha contra la corrupción y gestión antisoborno</t>
  </si>
  <si>
    <t>Un (1) plan de implementación diseñado para la política</t>
  </si>
  <si>
    <t>7.3</t>
  </si>
  <si>
    <t>Actualizar las TRD teniendo en cuenta los cambios en el modelo de operación del canal.</t>
  </si>
  <si>
    <t xml:space="preserve">Gestión Documental </t>
  </si>
  <si>
    <t>Numero de actividades ejecutadas/Numero de actividades programadas</t>
  </si>
  <si>
    <t xml:space="preserve">Implementar las fases del sistema el SGDEA (Sistema de Gestión de Documentos Electrónicos de Archivo). </t>
  </si>
  <si>
    <t>Numero de fases ejecutadas/Numero de fases programadas</t>
  </si>
  <si>
    <t>8.1</t>
  </si>
  <si>
    <t xml:space="preserve">Gestión del conocimiento y la innovación </t>
  </si>
  <si>
    <t xml:space="preserve">Diseñar el Plan de Implementación de la Política y avanzar en la implementación de acuerdo con las capacidades institucionales y recursos disponibles durante la vigencia. </t>
  </si>
  <si>
    <t>8.2</t>
  </si>
  <si>
    <t>Implementar y analizar resultados de la herramienta de lecciones aprendidas en proyectos y procesos institucionales.</t>
  </si>
  <si>
    <t>Cinco (5) lecciones aprendidas documentadas</t>
  </si>
  <si>
    <t>8.3</t>
  </si>
  <si>
    <t xml:space="preserve">Participar en los espacios de capacitación y socialización de herramientas, lineamientos y/o conocimientos relacionados con la Gestión del Conocimiento y la Innovación convocados por entidades distritales rectoras en la materia. </t>
  </si>
  <si>
    <t>Número de participaciones en espacios de capacitación y socialización/Invitaciones recibidas</t>
  </si>
  <si>
    <t>8.4</t>
  </si>
  <si>
    <t xml:space="preserve">Diseñar e implementar el Plan de Capacitaciones de acuerdo con las necesidades de conocimiento identificadas al interior de la entidad.  </t>
  </si>
  <si>
    <t>Plan de capacitación</t>
  </si>
  <si>
    <t>9.1</t>
  </si>
  <si>
    <t xml:space="preserve">Control Interno </t>
  </si>
  <si>
    <t>Realizar el monitoreo a los riesgos institucionales atendiendo a los tiempos definidos por la segunda línea de defensa.</t>
  </si>
  <si>
    <t>Número de monitoreos adelantados/Número de monitoreos definidos en el calendario de segunda línea de defensa</t>
  </si>
  <si>
    <t>9.2</t>
  </si>
  <si>
    <t>Revisar y actualizar la política institucional de administración del riesgo teniendo en cuenta los cambios en el contexto estratégico y el diagnóstico de capacidades y entornos</t>
  </si>
  <si>
    <t>9.3</t>
  </si>
  <si>
    <t xml:space="preserve">Realizar mínimo una capacitación asociada a la gestión institucional del riesgo. </t>
  </si>
  <si>
    <t>Una (1) capacitación asociada a la gestión institucional del riesgo</t>
  </si>
  <si>
    <t>9.4</t>
  </si>
  <si>
    <t xml:space="preserve">Documentar mapa de aseguramiento según los lineamientos de la circular 003 de 2020 </t>
  </si>
  <si>
    <t>Control Interno
Planeación</t>
  </si>
  <si>
    <t>Mapa de Aseguramiento documentado</t>
  </si>
  <si>
    <t>9.5</t>
  </si>
  <si>
    <t xml:space="preserve">Formular lineamientos orientados a complementar la gestión del riesgo desde el enfoque de corrupción de forma complementaria a las directrices definidas desde la segunda línea de defensa </t>
  </si>
  <si>
    <t>Documento de recomendaciones que permitan el fortalecimiento en la gestión de los riesgos de corrupción</t>
  </si>
  <si>
    <t>9.6</t>
  </si>
  <si>
    <t>Realizar seguimiento a la gestión de riesgos de corrupción de la entidad y monitorear el progreso del tratamiento de la línea de denuncia.</t>
  </si>
  <si>
    <t xml:space="preserve">Soporte de los seguimientos realizados </t>
  </si>
  <si>
    <t>9.7</t>
  </si>
  <si>
    <t xml:space="preserve">Llevar a cabo seguimientos a la implementación de la política de administración del riesgo de la entidad en la vigencia 2022. </t>
  </si>
  <si>
    <t xml:space="preserve">Realizado dos seguimientos a la implementación de la política de administración de riesgos- </t>
  </si>
  <si>
    <t>1.2.3</t>
  </si>
  <si>
    <t>1.3.4</t>
  </si>
  <si>
    <t>1.1.5</t>
  </si>
  <si>
    <t>HOJA DE VIDA DEL INDICADOR</t>
  </si>
  <si>
    <t>CÓDIGO: EPLE-FT-017</t>
  </si>
  <si>
    <t>RESPONSABLE: PLANEACIÓN</t>
  </si>
  <si>
    <t>ÁREA RESPONSABLE</t>
  </si>
  <si>
    <t>CÓDIGO</t>
  </si>
  <si>
    <t>PROYECTO / PLAN</t>
  </si>
  <si>
    <t>LÍDER ESTRATÉGICO</t>
  </si>
  <si>
    <t>RESPONSABLE(S) DE LA MEDICIÓN</t>
  </si>
  <si>
    <t>1. ALINEACIÓN ESTRATÉGICA</t>
  </si>
  <si>
    <t>Correspondencia ODS</t>
  </si>
  <si>
    <t>Correspondencia PDD</t>
  </si>
  <si>
    <t>Correspondencia MIPG</t>
  </si>
  <si>
    <t>2. INFORMACIÓN DEL INDICADOR</t>
  </si>
  <si>
    <t>Tipo de indicador</t>
  </si>
  <si>
    <t>Actividades de gestión</t>
  </si>
  <si>
    <t>Periodicidad de reporte</t>
  </si>
  <si>
    <t>3. REPORTE DE INFORMACIÓN</t>
  </si>
  <si>
    <t>INDICADOR</t>
  </si>
  <si>
    <t>Enero</t>
  </si>
  <si>
    <t>Febrero</t>
  </si>
  <si>
    <t>Marzo</t>
  </si>
  <si>
    <t>Abril</t>
  </si>
  <si>
    <t>Mayo</t>
  </si>
  <si>
    <t>Junio</t>
  </si>
  <si>
    <t>Julio</t>
  </si>
  <si>
    <t>Agosto</t>
  </si>
  <si>
    <t>Septiembre</t>
  </si>
  <si>
    <t>Octubre</t>
  </si>
  <si>
    <t>Noviembre</t>
  </si>
  <si>
    <t>Diciembre</t>
  </si>
  <si>
    <t>RESULTADO</t>
  </si>
  <si>
    <t>4. ANÁLISIS DE RESULTADOS</t>
  </si>
  <si>
    <t>El análisis de resultados en la presente sección debe ser consecuente con los avance obtenidos en el período de seguimiento para el indicador reportado, teniendo en cuenta las actividades de gestión descritas para el mismo.</t>
  </si>
  <si>
    <t>SEGUIMIENTO 1</t>
  </si>
  <si>
    <t>SEGUIMIENTO 2</t>
  </si>
  <si>
    <t>SEGUIMIENTO 3</t>
  </si>
  <si>
    <t>SEGUIMIENTO 4</t>
  </si>
  <si>
    <t>ÁREA</t>
  </si>
  <si>
    <t>Comunicaciones</t>
  </si>
  <si>
    <t>Proyectos_Estratégicos</t>
  </si>
  <si>
    <t>Digital</t>
  </si>
  <si>
    <t>Programación</t>
  </si>
  <si>
    <t>Técnica</t>
  </si>
  <si>
    <t>Talento_Humano</t>
  </si>
  <si>
    <t>Gestión_Documental</t>
  </si>
  <si>
    <t>Servicios_Administrativos</t>
  </si>
  <si>
    <t>Gestión_Ambiental</t>
  </si>
  <si>
    <t>Subdirección_Administrativa</t>
  </si>
  <si>
    <t>Subdirección_Financiera</t>
  </si>
  <si>
    <t>Secretaría_General</t>
  </si>
  <si>
    <t>Servicio_Ciudadano</t>
  </si>
  <si>
    <t>Control_Interno</t>
  </si>
  <si>
    <t>Gerencia</t>
  </si>
  <si>
    <t>Producción</t>
  </si>
  <si>
    <t>Objetivo(s) del proyecto, plan o estrategia</t>
  </si>
  <si>
    <t>Nombre del indicador</t>
  </si>
  <si>
    <t>VERSIÓN: 6</t>
  </si>
  <si>
    <t>Meta</t>
  </si>
  <si>
    <t>FECHA: 01/04/2022</t>
  </si>
  <si>
    <t>Ene</t>
  </si>
  <si>
    <t>Feb</t>
  </si>
  <si>
    <t>Mar</t>
  </si>
  <si>
    <t>Abr</t>
  </si>
  <si>
    <t>May</t>
  </si>
  <si>
    <t>Jun</t>
  </si>
  <si>
    <t>Jul</t>
  </si>
  <si>
    <t>Ago</t>
  </si>
  <si>
    <t>Sep</t>
  </si>
  <si>
    <t>Oct</t>
  </si>
  <si>
    <t>Nov</t>
  </si>
  <si>
    <t>Dic</t>
  </si>
  <si>
    <t>REPORTE 2022</t>
  </si>
  <si>
    <t>SEGUIMIENTOS</t>
  </si>
  <si>
    <t>Estado</t>
  </si>
  <si>
    <t>RESULTADOS</t>
  </si>
  <si>
    <t>Sin iniciar</t>
  </si>
  <si>
    <t>-</t>
  </si>
  <si>
    <r>
      <rPr>
        <b/>
        <sz val="10"/>
        <color theme="1"/>
        <rFont val="Arial"/>
        <family val="2"/>
      </rPr>
      <t xml:space="preserve">Dirección Operativa </t>
    </r>
    <r>
      <rPr>
        <sz val="10"/>
        <color theme="1"/>
        <rFont val="Arial"/>
        <family val="2"/>
      </rPr>
      <t xml:space="preserve">
(Coordinación de Producción, Contenidos ciudadanos,  Digital, Coordinación de Programación y Coordinación Técnica)</t>
    </r>
  </si>
  <si>
    <r>
      <rPr>
        <b/>
        <sz val="10"/>
        <color theme="1"/>
        <rFont val="Arial"/>
        <family val="2"/>
      </rPr>
      <t>Secretaría General</t>
    </r>
    <r>
      <rPr>
        <sz val="10"/>
        <color theme="1"/>
        <rFont val="Arial"/>
        <family val="2"/>
      </rPr>
      <t xml:space="preserve">
(Coordinación Jurídica y Atención Al Ciudadano)</t>
    </r>
  </si>
  <si>
    <r>
      <rPr>
        <b/>
        <sz val="10"/>
        <color theme="1"/>
        <rFont val="Arial"/>
        <family val="2"/>
      </rPr>
      <t xml:space="preserve">Subdirección Administrativa </t>
    </r>
    <r>
      <rPr>
        <sz val="10"/>
        <color theme="1"/>
        <rFont val="Arial"/>
        <family val="2"/>
      </rPr>
      <t xml:space="preserve">
(Talento Humano, Sistemas, Servicios Administrativos, Gestión Documental y Gestión Ambiental)</t>
    </r>
  </si>
  <si>
    <r>
      <rPr>
        <b/>
        <sz val="10"/>
        <color theme="1"/>
        <rFont val="Arial"/>
        <family val="2"/>
      </rPr>
      <t>Subdirección Financiera</t>
    </r>
    <r>
      <rPr>
        <sz val="10"/>
        <color theme="1"/>
        <rFont val="Arial"/>
        <family val="2"/>
      </rPr>
      <t xml:space="preserve">
(Presupuesto, Tesorería, Contabilidad, Facturación)</t>
    </r>
  </si>
  <si>
    <t>#</t>
  </si>
  <si>
    <t>%</t>
  </si>
  <si>
    <t># * Pond</t>
  </si>
  <si>
    <t>Alerta - Sin avance</t>
  </si>
  <si>
    <t>Total</t>
  </si>
  <si>
    <t>Valor</t>
  </si>
  <si>
    <t>Avance ponderado para el tercer trimestre</t>
  </si>
  <si>
    <t>Antes</t>
  </si>
  <si>
    <t>Puntero</t>
  </si>
  <si>
    <t>Después</t>
  </si>
  <si>
    <r>
      <rPr>
        <b/>
        <sz val="10"/>
        <color theme="1"/>
        <rFont val="Arial"/>
        <family val="2"/>
      </rPr>
      <t xml:space="preserve">Gerencia </t>
    </r>
    <r>
      <rPr>
        <sz val="10"/>
        <color theme="1"/>
        <rFont val="Arial"/>
        <family val="2"/>
      </rPr>
      <t xml:space="preserve">
(Gerencia, Planeación, Prensa y Comunicaciones, proyectos estratégicos)</t>
    </r>
  </si>
  <si>
    <t>Estrategias</t>
  </si>
  <si>
    <t>Muy Satisfactorio</t>
  </si>
  <si>
    <t>Valoración</t>
  </si>
  <si>
    <t>Desempeño</t>
  </si>
  <si>
    <t>OE-1</t>
  </si>
  <si>
    <t>OE-2</t>
  </si>
  <si>
    <t>OE-3</t>
  </si>
  <si>
    <t>OE-4</t>
  </si>
  <si>
    <t>OE-5</t>
  </si>
  <si>
    <t>Muy satisfactorio (Superior a 90%)</t>
  </si>
  <si>
    <t>Satisfactorio (entre 60% y 90%)</t>
  </si>
  <si>
    <t>Aceptable (entre 30% y 60%)</t>
  </si>
  <si>
    <t>Alerta (Inferior al 30%)</t>
  </si>
  <si>
    <t xml:space="preserve">Valor en pesos de la venta cuatrimetral (BTL, ATL, Digital, pauta canal, transmisiones, proyecto audiovisual y recaudo pauta digital)
</t>
  </si>
  <si>
    <t>0%
La línea base en cero ya que este indicador no fue medido en la vigencia 2021 y la dinámica de 2020 fue atípica para ser tenida en cuenta como línea base.</t>
  </si>
  <si>
    <t>3 - (07 de julio)</t>
  </si>
  <si>
    <r>
      <t>03 - Actualización del plan de acción, con la revisión y ajustes solicitados por el área de proyectos estratégicos a los indicadores 4.8.2 "Estrategia de marketing, Capital Social y relaciones públicas (cumplimiento de ventas)" y 4.4.1 "Estrategia de marketing, Capital Social y relaciones públicas (avance en la estrategia)"</t>
    </r>
    <r>
      <rPr>
        <sz val="10"/>
        <color rgb="FFFF0000"/>
        <rFont val="Arial"/>
        <family val="2"/>
      </rPr>
      <t xml:space="preserve"> </t>
    </r>
    <r>
      <rPr>
        <sz val="10"/>
        <color theme="1"/>
        <rFont val="Arial"/>
        <family val="2"/>
      </rPr>
      <t>solicitado por correo electrónico d</t>
    </r>
    <r>
      <rPr>
        <sz val="10"/>
        <rFont val="Arial"/>
        <family val="2"/>
      </rPr>
      <t xml:space="preserve">e fecha 17 de junio. </t>
    </r>
    <r>
      <rPr>
        <sz val="10"/>
        <color theme="1"/>
        <rFont val="Arial"/>
        <family val="2"/>
      </rPr>
      <t xml:space="preserve">Adicionalmente, se hacen ajustes menores de redacción y fortalecimiento a la descripción en general de los indicadores, así como los ajustes pertinentes en los responsables de medición, de acuerdo con las denominaciones definidas </t>
    </r>
    <r>
      <rPr>
        <sz val="10"/>
        <rFont val="Arial"/>
        <family val="2"/>
      </rPr>
      <t xml:space="preserve">por Resolución interna 050 </t>
    </r>
    <r>
      <rPr>
        <sz val="10"/>
        <color theme="1"/>
        <rFont val="Arial"/>
        <family val="2"/>
      </rPr>
      <t>de 2022, para funcionarios de la planta.</t>
    </r>
  </si>
  <si>
    <t>T1: Gestionar la generación de contenidos por medio del desarrollo colectivo de proyectos en conjunto con los grupos poblacionales y gestión de recursos sostenibles: Realizamos una alianza con la SCRD para diseñar una convocatoria que permita la producción de contenidos audiovisuales para los 7 grupos étnicos priorizados (Afro, Raizal, Palenquero, Rrom, Indígena, AIB, Muisca). * Apoyar la visibilización de las prácticas, liderazgos y productos de comunicación de los grupo poblacionales y medios comunitarios en las plataformas digitales, señal abierta y en los entornos sonoros: Apoyamos la conmemoración del día internacional de los derechos de las mujeres, así como la fecha emblemática del Año Bueno Muisca adelantada por el Cabildo de Suba. * Acompañar el fortalecimiento de capacidades del equipo humano de capital en derechos humanos desde una perspectiva plural: Realizamos una sesión de fortalecimiento de capacidades con el equipo administrativo de Capital sobre género, sexo, identidad de género y orientaciones sexuales. Así mismo, acordamos una serie de sensibilizaciones a desarrollarse durante el año de la mano de la Secretaría de la Mujer y la SDP.
T2: Gestionar la generación de contenidos por medio del desarrollo colectivo de proyectos en conjunto con los grupos poblacionales y gestión de recursos sostenibles: Una vez gestionada la alianza de la Convocatoria para la Comuncación Comunitaria de Grupos Étnicos, se realizá el lanzamiento de la convocatoria que beneficiará a los grupos étnicos del Distrito con 300 millones de pesos en becas de 10 millones, recurso fuente SCRD. * Apoyar la visibilización de las prácticas, liderazgos y productos de comunicación de los grupo poblacionales y medios comunitarios en las plataformas digitales, señal abierta y en los entornos sonoros: Apoyamos la conmemoración del día del pueblo Rrom, el día de la afrocolombianidad y los preparativos de cubrimiento para el día por la ciudadanía LGBTIQ. * Acompañar el fortalecimiento de capacidades del equipo humano de capital en derechos humanos desde una perspectiva plural: Realizamos una sesión de fortalecimiento de capacidades con el equipo administrativo de Capital sobre grupos étnicos. Así mismo, acompañamos a los equipos en el desarrollo de las campañas asociadas a fechas emblemáticas.</t>
  </si>
  <si>
    <t>Sin iniciar / Sin reporte</t>
  </si>
  <si>
    <t>T1: Durante el primer trimestre del año se determinó al interior del área que una de las lecciones aprendidas a documentar estaría asociada a los avances en la implementación del ERP en los procesos administrativos de la entidad y su impacto positivo en la eficiencia y optimización de las gestiones internas. Para este fin, se avanzó en la construcción de un documento de memorias y presentación con información (desde la óptica de planeación) de los principales aspectos a resaltar y de mejorar en los diferentes módulos; información que sirve de insumo para la construcción del documento de lecciones aprendidas. En este sentido se evidencian avances en la gestión del indicador y se espera en los trimestres posteriores la consolidación de ésta en la herramienta de documentación correspondiente, así como la definición de la segunda lección aprendida, para dar cumplimiento de la meta propuesta.
T2: Durante el segundo trimestre del año se llevó a cabo el diseño del Plan de Implementación para la Política Institucional de Gestión del Conocimiento e Innovación Pública de Capital, la cual incorpora en su estrategia de Gestión del Conocimiento la implementación de la herramienta de lecciones aprendidas, formalizando así su uso al interior de la entidad. De esta manera se genera una gestión complementaria entre los instrumentos de Planeación que permite posicionar la herramienta de cara a la documentación de lecciones de diferentes proyectos y áreas.</t>
  </si>
  <si>
    <t>T1: Con corte al 31 de marzo, se realizaron tres informes mensuales que dan cuenta del trabajo realizado por Comunicaciones Estrategicas en cuanto al relacionamiento con entidades públicas y privaas del sector cultural, lo cual dió como resultado: 1 Alianza con evento/entidad del sector cultura. 1 Apoyo en divulgación por parte del sector cultura. 7 Alianzas con evento/entidad del sector privado. 1 Alianza a evento/entidad del sector audiovisual. 1 Apoyo a evento/entidad del Distrito.  
T2: Con corte al 30 de junio, se realizaron tres informes mensuales que dan cuenta del trabajo realizado por Comunicaciones Estrategicas en cuanto al relacionamiento con entidades públicas y privaas del sector cultural, lo cual dió como resultado: 1 Alianza con evento/entidad del sector cultura. 3 Alianzas con evento/entidad del sector privado. 3 Alianza a evento/entidad del sector audiovisual. 2 Alianzas con evento/entidad del sector académico. 1 Alianza con evento/entidad de la televisión regional.</t>
  </si>
  <si>
    <t>T1: Durante el primer trimestre del año se lograron 101 impactos en medios de comunicación a nivel nacional, en prensa escrita, radio e internet.
T2: Durante el segundo trimestre del año se lograron 151 impactos en medios de comunicación a nivel nacional, en prensa escrita, radio e internet.</t>
  </si>
  <si>
    <t>T1: Durante el primer trimestre del año se cumplieron con todas las solicitudes de las áreas de Capital para efectos de comunicaciones internas, las cuales se compartieron a través de comunicados/mailing (19)  y en el boletín interno semanal (8) que se enviaron a todos los colaboradores del Sistema. 
T2: Durante el segundo trimestre del año se cumplieron con todas las solicitudes de las áreas de Capital para efectos de comunicaciones internas, las cuales se compartieron a través de comunicados/mailing (24)  y en el boletín interno semanal (12) que se enviaron a todos los colaboradores del Sistema.</t>
  </si>
  <si>
    <t>T1: La elaboración del Plan Anual de Adquisiciones para la presente vigencia se realizó por medio de la nueva herramienta ERP del Canal, el cual tomó como base el PAA 2021 en ejecución, este PAA se revisó con cada una de las áreas. En cuanto a la ejecución 2022, se tiene un porcentaje de avance bastante bueno debido a que por la Ley de gerantías se adelantó la contratación sobre todo para el primer semestre en la parte operativa y para el total de la vigencia en la mayoría de la parte administrativa, quedando pendiente la contratación por convocatorias públicas la cual dará inicio a partir del segundo trimestre.
T2: En el presente periodo aunque estuvimos en ley de garantías, se realizaron adiciones a contratos que venían de la vigencia anterior, pero lo más relevante de la ejecución de recursos fue la adjudicación de convoicatorias públicas para la ejecución de recursos del Futic. Con esta ejecución se garantiza la producción de programas en el segundo semestre del año. Quedan pendientes por adjudicar oras convocatorias, pero éstas se encuentran dentrop de los cronogramas planteados, al igual que los contratos pendientes tanto en la parte administrativa con en la misional, esta contratación se llevará a cabo en el segundo semestre de acuerdo con lo programado.</t>
  </si>
  <si>
    <t>T1: Durante el primer trimestre del año se cumplieron con todas las solicitudes de comunicaciones sobre cultura organizacional y sentido de pertenencia, las cuales se evidencian a través del envío semanal del boletín interno (8) donde figuraron comunicaciones como las de los valores que nos caracterizan como capital y la carta del trato digno.
T2: Durante el segundo trimestre del año se cumplieron con todas las solicitudes de comunicaciones sobre cultura organizacional y sentido de pertenencia, las cuales se evidencian a través del envío semanal del boletín interno (12) donde figuraron comunicaciones como las de los valores que nos caracterizan como capital, un (1) comunicado interno y cuatro (4) mailing.</t>
  </si>
  <si>
    <t>T1: En lo corrido del 1er trimestre de 2022 la estrategia de Capital Social ha tenido un avance del 23 % y se ha desarrollo sin anomalias, a continuación se describe el avance alcanzado por cada componente: Componente 1: Avance del 50%, en coherencia con el plan definido para el trimestre. Componente 2: Avance del 19,16 %, en coherencia con el plan definido para el trimestre Componente 3: Se han iniciado las actividades propuestas para el trimestre pero su desarrollo y finalización se encuentra en proceso, por esta razón el valor de este componente es de cero (0), en coherencia con el plan definido para el trimestre. Los resultados de esta medición serán acumulados a lo largo del año hasta alcanzar el 100 % total de cumplimiento para la vigencia. Por lo anterior se concluye se ha alcanzado la meta definida respecto a la estrategia diseñada por Proyectos estratégicos.
T2: En lo corrido del 2do trimestre de 2022 la estrategia de Capital Social ha tenido un avance del 34 % y se ha desarrollo sin anomalias, a continuación se describe el avance alcanzado por cada componente: Componente 1: Avance del 36 %, en coherencia con el plan definido para el trimestre. Componente 2: Avance del 50 %, en coherencia con el plan definido para el trimestre. Componente 3: Avance del 15 %, en coherencia con el plan definido para el trimestre. Los resultados de esta medición serán acumulados a lo largo del año hasta alcanzar el 100 % total de cumplimiento para la vigencia. Por lo anterior se concluye se ha alcanzado la meta definida respecto a la estrategia diseñada por Proyectos estratégicos.</t>
  </si>
  <si>
    <t>&lt; 15 %</t>
  </si>
  <si>
    <t>15 % al 19.9 %</t>
  </si>
  <si>
    <t>20 % al 30 %</t>
  </si>
  <si>
    <t>entre 31 % y 40 %</t>
  </si>
  <si>
    <t xml:space="preserve">Estrategia de cocreación de contenidos con la ciudadanía </t>
  </si>
  <si>
    <t xml:space="preserve">Gestionar una estrategia que incluya la participación activa de la ciudadania infantil en el diseño, producción y/o circulación del contenidos de Capital y de Eureka </t>
  </si>
  <si>
    <t>Porcentaje de avance de la estrategia que incluya la participación activa de la ciudadanía infantil en alguna o varias etapas definidas para su ejecución</t>
  </si>
  <si>
    <t>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t>
  </si>
  <si>
    <t>Porcentaje de avance en la ejecución del proyecto que incluya participación ciudadana infantil</t>
  </si>
  <si>
    <t>Porcentaje total planeado de ejecución del proyecto audiovisual que incluyen la participación activa de la ciudadanía infantil</t>
  </si>
  <si>
    <t>Lograr el cumplimiento al 100% para la  ejecución del proyecto audiovisual que incluya la participación activa de la ciudadanía infantil</t>
  </si>
  <si>
    <t>T1: En el primer trimestre de 2022 la Estrategia de cocreación de contenidos, que incluye la participación activa de la ciudadanía infantil en alguna o varias etapas definidas para su ejecución, tuvo avance en la etapa denominada "diseño" la cual hace referencia a la estructuración de la propuesta técnica que podría tener el proyecto audiovisual de cocreación, alcanzando el siguiente resultado: 1. Mundo Eureka 25% de avance: se realizó publicación en SECOP II de la solicitud a cotizar para el estudio de mercado de la convocatoria pública para administración delegada para proveer los bienes y servicios asociados a la preproducción y producción del proyecto Mundo Eureka. 2. Microcontenidos 1er infancia 25 % de avance: se realizó elaboración de estudios previos para la convocatoria CP-02-2022
3. Microcontenidos adolescentes 25 % de avance: se realizó elaboración de estudios previos para la convocatoria CP-02-2022 4. Cuidado del planeta 25 % de avance: se realizó elaboración de estudios previos para la convocatoria CP-02-2022 5. Estereotipo de genero 25 % de avance: se realizó elaboración de estudios previos para la convocatoria CP-02-2022. Asi mismo se obtiene avance del proyecto Generación eureka 25 % de avance por cuanto se realizaron 5 talleres (4 (cuatro) virtuales y 1 (uno) presencial) se cuenta con soporte de la metodologia y de las conclusiones de cada taller. Con base en la información descrita se obtiene un resultado promedio del 25 % de avance de la estrategia de cocreación de contenidos infantiles para el periodo de medición en coherencia con la meta de 25 % establecida para el primer trimestre de 2022. El resultado del trimestre corresponde a 100% permitiendo concluir que se ha alcanzado la meta propuesta. Nota: esta medición será progresiva a lo largo del año hasta alcanzar el 100 % total acumulado de cumplimiento.
T2: En el segundo trimestre de 2022 la Estrategia de cocreación de contenidos, que incluye la participación activa de la ciudadanía infantil en alguna o varias etapas definidas para su ejecución, tuvo avance en la etapa denominada "diseño" la cual hace referencia a la estructuración de la propuesta técnica que podría tener el proyecto audiovisual de cocreación, alcanzando el siguiente resultado: 1. Mundo Eureka 25% de avance: se elaboró del Estudios Previos Convocatoria Pública CP-03-2022 cuyo objeto es suministrar los bienes y servicios requeridos, bajo la modalidad de administración delegada, para prestar los servicios de administración de recursos financieros y proveer los servicios asociados de preproducción y producción del proyecto Mundo Eureka o como llegue a denominarse entre otros proyectos, de la línea de Ciudadanía, Cultura y Educación y demás necesidades de Canal Capital, en el marco de la Resolución 00021 del 18 de enero de 2022 del Fondo Único de las Tecnologías de la Información (FUTIC). Se realizó la publicación proyecto de pliego de condiciones de la convocatoria CP-03-2022 Administración Delegada en SECOP II, la publicación de pliego definitivo de la convocatoria CP-03-2022 Administración Delegada en SECOP II y se recibieron las propuestas allegadas de la convocatoria CP-03-2022 Administración Delegada. 2. Microcontenidos 1er infancia 25 % de avance: Se realizo la Publicación de proyecto de pliego de condiciones Publicación de pliego definitivo y se realizó la declaratoria de desierto el Lote 5: “PROYECTO NO FICCIÓN MICROHISTORIAS EUREKA PRIMERA INFANCIA” mediante resolución 91 de 2022. 3. Microcontenidos adolescentes 25 % de avance: Se realizo la Publicación de proyecto de pliego de condiciones Publicación de pliego definitivo y se realizó la adjudicación del Lote 6: Proyecto “NO FICCIÓN MICROHISTORIAS EUREKA ADOLESCENTES” mediante resolución 99 de 2022. 4. Cuidado del planeta 25 % de avance: Se realizo la Publicación de proyecto de pliego de condiciones Publicación de pliego definitivo y se realizo la Adjudicado Lote 1: Proyecto “FICCIÓN CUIDADO DEL PLANETA” mediante resolución 95 de 2022. 5. Estereotipo de genero 25 % de avance: Se realizo la Publicación de proyecto de pliego de condiciones Publicación de pliego definitivo y se realizó la adjudicación Lote 2: Proyecto “FICCIÓN ESTEREOTIPOS DE GÉNERO” mediante resolución 96 de 2022. Así mismo se obtiene avance del proyecto Generación eureka 25 % de avance en el diseño y publicación de las piezas promocionales para los llamados de participación de la ciudadanía infantil correspondientes a: *Lanzamiento de la serie Animalxs
*Lanzamiento de la serie Valentine *Lanzamiento de la serie Alpha.  Llamado a participar de la ciudadanía infantil para que nos envíen sus mensajes sobre qué harían si fueran presidente. Llamado a participar de la ciudadanía infantil para que nos envíen sus creaciones en eureka comparte tu arte.  Actividad de participación en el marco de la Feria Internacional del Libro de Bogotá con presencia de 1736 niñas, niños, adolescentes, educadores y padres/madres de familia. Lanzamiento de la serie Animalxs en el marco de la feria del libro con un conversatorio con protagonistas y guías de la serie, en la cual participaron 45 adolescentes, 2 profesores, con un alcance en redes de 1600 personas. Conversatorio eureka tu canal para la socialización de la propuesta de canal con participación de niñas y niños de Generación Eureka, así como de 45 personas asistentes dentro del marco de la Feria Internacional del Libro. Encuentro virtual Facebook Live para poner en diálogo y en discusión de una manera cotidiana la siguiente pregunta: ¿Por qué cuesta tanto hablar de sexualidad con nuestros padres? para aportar acerca del tema y generar reflexiones acerca de la ciudadanía sexual y la construcción de la identidad sexual. Encuentro virtual Facebook Live para poner en diálogo y en discusión de una manera cotidiana la siguiente pregunta: ¿Cómo prevenir y enfrentar el bullying? para brindar información relevante a las familias, maestros, chicos y chicas que sufren o hacen parte de esta problemática, que les permita una mejor comprensión del tema, revertir estereotipos y transmitir buenas prácticas para prevenir y enfrentar las situaciones de bullying.En el segundo trimestre se elaboró la metodologia y se realizaron talleres con generación eureka en las siguientes fechas: 1. Abril 9 de 2022 2. Abril 21 y 22 de 2022 3. Mayo 12 y 13 de 2022 4. Junio 2 y 3 de 2022 5. Junio 18 de 2022
Con base en la información descrita se obtiene un resultado promedio del 25 % de avance de la estrategia de cocreación de contenidos infantiles para el periodo de medición en coherencia con la meta de 25 % establecida para el periodo de reporte. El resultado del trimestre corresponde a 100% permitiendo concluir que se ha alcanzado la meta propuesta. Nota: esta medición será  progresiva a lo largo del año hasta alcanzar el 100 % total acumulado de cumplimiento.</t>
  </si>
  <si>
    <t>T1: En el primer trimestre de 2022 se ha tenido un avance con relación al rediseño de página web y optimización del canal de YouTube de capital como se describe a continuación: 1. Se dio inicio a la segunda fase del rediseño con el proceso de contratación de los ingerieros que tendrán a cargo el desarrollo, esta vinculación se realizó a través de la temporal Soluciones Inmediatas. Un (1) ingeniero lider de desarrollo, Dos (2) desarrolladores Fullstack, Un (1) desarrollador Backend. Nota: los soportes de las contrataciones reposan en la temporal. En el transcurso del mes de marzo el equipo tuvo avances en el dignóstico de contenido de la página para poder iniciar el proceso de migración de la información. Se adjunta archivo con el resultado del diagnóstico (Tipos de contenido Taxonomia).
El anterior resultado corresponde al 25 % de avance establecido para el periodo de medición el cual se cumplio al 100 %, esta medición será acumulada a lo largo del año hasta alcanzar el 100 % total acumulado de cumplimiento. Por lo anterior se concluye se ha alcanzado la meta definida respecto al valor definido para el trimestre.
T2: El segundo trimestre se realizó el desarrollo del sitio web de Canal Capital para lo cual se han efectuado las siguientes actividades: 1. Montaje de Drupal base en versión 9. 2. Desarrollo de tipos de contenido. 3. Maquetación de secciones principales. 4. Maquetación de despliegue de contenidos. 5. Maquetación de despliegue de programas. 6. Opciones de accesibilidad. 7. Desarrollo de Scripts de Migración para los contenidos de https://www.canalcapital.gov.co/ y https://conexioncapital.co/ El anterior resultado corresponde al 25 % de avance establecido para el periodo de medición el cual se cumplio al 100 %, esta medición será acumulada a lo largo del año hasta alcanzar el 100 % del cumplimiento. Por lo anterior se concluye se ha alcanzado la meta definida respecto al valor establecido para el trimestre.</t>
  </si>
  <si>
    <t>T1: Los datos reportados hacen parte del informe entregado trimestralmente a la Comisión de Regulación de Comunicaciones (CRC). La información permite concluir que en el primer trimestre de 2022 se realizó un aporte del 24 % de contenido infantil y adolescente respecto a la parrilla de programación del periodo, que se mide entre 6:00 a.m. y 12:00 p.m. Las cifras alcanzadas se encuentran dentro del rango de meta propuesta clasificada como "satisfactoria". Se mantuvo la estrategia la franja de Eureka en Capital en cuanto a la intensidad horaria de los contenidos infantiles y juveniles teniendo en cuenta periodos vacacionales y estudiantiles.
T2: Los datos reportados hacen parte del informe entregado trimestralmente a la Comisión de Regulación de Comunicaciones (CRC). La información permite concluir que en el segundo trimestre de 2022 se realizó un aporte del 34 % de contenido infantil y adolescente respecto a la parrilla de programación del periodo, que se mide entre 6:00 a.m. y 12:00 p.m. Las cifras alcanzadas se encuentran dentro del rango clasificado como "muy satisfactorio" por cuanto el resultado supera el rango del 20 al 30 % en cuatro puntos porcentuales, lo anterior debido a que en abril y junio se dio un incremento signitificativo ocasionado por los periodos correspondientes a semana santa, vacaciones de mitad de año y festivos, adicionalemente se dieron mútiples estrenos para público adolescente y eso también aportó al incremento.</t>
  </si>
  <si>
    <t>T1: Durante el primer trimestre no se presentó indisponibilidad en la señal del Canal, teniendo para este trimestre, la continuidad en la prestación del servicio al 100%.
T2: Durante el segundo trimestre se presentó indisponibilidad en la señal por fallas operativas en los días 01, 24 y 29 de junio, se reporta la continuidad del servicio para el mes de junio del 99,89%, el promedio para el trimestre del indicador de la continuidad en la prestación del servicio es del 99,96%. Con base en la información se permite concluir que durante el segundo trimestre del año el indicador se ha cumplido conforme se ha establecido y que las fallas presentadas no afectaron el resultado total de la medición y que fueron implementadas las acciones correspondientes a la mitigación de las mismas.</t>
  </si>
  <si>
    <t>T1: Para este periodo aún no se han adelantado avances frente a las acciones propuestas.
T2: Se encuentra en construcción el formato para medición de turnos en el canal presencial, por lo que se solicito a otras entidades ejemplos o guías de su implementación teniendo en cuenta que Capital no recibe tantas PQRS por este medio.</t>
  </si>
  <si>
    <t xml:space="preserve">T1: Para este periodo se reportan las peticiones recibidas versus las peticiones respondidas antes de los tiempos definidos por la Ley. Se evidencia que ninguna petición se respondió después de los tiempos de Ley.
T2: Para el trimestre se recibieron 104 peticiones y se dio respuesta antes de los tiempos definidos por la Ley a 119 peticiones, esto teniendo en cuenta que las peticiones cerradas dentro de los tiempos de Ley incluyen algunas peticiones registradas en el trimestre anterior. </t>
  </si>
  <si>
    <t>T1: El manual se encuentra elaborado en su totalidad y en proceso de revisión final por parte de la Secretaría General, previo al trámite de concepto favorable por parte del comité de contratación.
T2: Mediante la Resolución No. 115 del 1 de julio de 2022, se adoptó el nuevo manual de Supervisión e Interventoria del Canal e igualmente, se realizó la socialización del citado manual.</t>
  </si>
  <si>
    <t>T1: Con el propósito de definir aspectos relativos a la división de roles prevista en la Ley 1952 de 2019 modificada por la Ley 2094 de 2021 Código Unico Disicplinario, el Canal ha elevado consultas a la Dirección Distrital de Asuntos Disciplinarios de la Secretaría Jurídica Distrital, al Departamento Administrativo del Servicio Civil Distrital (DASCD) y a la Secretaría Jurídica Distrital para de esta manera estudiar la posibilidad de acceder a la creación de la Oficina de Control Disciplinario Interno que haga parte de la estructura organizacional de la entidad, o a la conformación de un Grupo Formal de trabajo para así solicitar las capacitaciones respectivas del manejo del Sistema de Información Disciplinaria -SID a la Dirección Distrital de Asuntos Disciplinarios. Con ocasión de las nuevas disposiciones de la Dirección Distrital de Asuntos Disciplinarios respecto de las solicitudes de creación, modificación o eliminación de usuarios SID y otras observaciones, informadas mediante el oficio de radicado extermo 2-2022-1201 del 2 de febrero, se está tomandon las acciones necesarias para retomar los trámites solicitados al 31 de diciembre de 2021 relacionados con la creación de implicados en el Sistema de Información Disciplinaria y los usuarios nuevos que se requieran con ocasión de la estructuración del Grupo Formal de Control Interno Disciplinario.
T2: 1, 2, 3 y 4. Con ocasión de las nuevas disposiciones de la Dirección Distrital de Asuntos Disciplinarios - DDAD respecto de las solicitudes de creación, modificación o eliminación de usuarios SID y otras observaciones, informadas mediante el oficio de radicado extermo 2-2022-1201 del 2 de febrero, se realizó la solicitud a la DDAD relacionada con (i) la desvinculación de dos usuarios, (ii) la verificación y cambio en el rol de la Secretaria general, (iii) la creación de un trabajador oficial para vincularlo como implicado en el Sistema de Información Disciplinaria, (iv) la creación de un usuario nuevo para una abogada que hacer parte del equipo de Control Interno Disciplinario del Canal y, (v) la programación de capacitación para el manual de usuario para el manejo del sistema. A dicha solicitud se obtuvo respuesta por parte de Yuly Tatiana Palacios Vargas del Grupo Sistema de Información Disciplinario y en tal sentido se está llevando a cabo la actualización del sistema con los procesos disciplinarios que se llevan actualmente en la entidad. Adicional a lo anterior se tiene previsto realizar el registro a la Comunidad Jurídica del Conocimiento de la Agencia Nacional de Defensa Jurídica del Estado, la cual ofrece herramientas para fortalecer las competencias de los abogados que ejercen la defensa judicial del Estado, consolidando una red de buenas prácticas para mejorar la calidad del litigio público. 5. Con ocasión de la entrada en vigencia de la Ley 1952 de 2019, modificada por la Ley 2094 de 2021, se está llevando a cabo la actualización del procedimiento diisplinario en lo relacionado con la división de roles y la fase de prevención, intrucción y juzgamiento establecida en la norma.</t>
  </si>
  <si>
    <t>T1: Se está llevando a cabo la organización para el agendamiento de capacitaciones para el próximo trimestre en materia de prevención de daño antijurídico. 
T2: Dando cumplimiento a lo consagrado en el artículo 42 de la Resolución 104 de 2018 de la Secretaría Jurídica Distrital, y de conformidad con la Circular No. 002 de 2022, se llevó a cabo la mesa de trabajo de seguimiento de la información por parte de la Dirección Distrital de Defensa Judicial y Prevención del Daño Antijurídico de la Secretaría Jurídica Distrital, la cual se realiza anualmente, y en la que, se elevó solicitud a la Secretaría Jurídica para que se programe una capacitación en el tema de la Política de Prevención del Daño Antijurídico para los colaboradores del Canal; sin embargo aún cuando la entidad ha informado que presenta demoras en el agendamiento de la misma debido al cronograma de las mesas de trabajo de todas las entidades del Distrito, tambien mencionan que está pendiente la fecha para que esta se lleve a cabo.</t>
  </si>
  <si>
    <t>5 Semestral</t>
  </si>
  <si>
    <t xml:space="preserve">S1: Resultado de las evaluaciones remitidas (2) por parte de los procesos que fueron objeto de evaluación durante el segundo semestre de la vigencia se logro un resultado "muy satisfactorio" en los resultados de las informes presentados. Sin embargo es necesario fortalecer las acciones de revisión continua, articulación con los resposables de los procesos y de la información, con el fin de presentar observaciones más acertadas que permitan el fortalecimiento del Sistema de Control Interno Institucional. </t>
  </si>
  <si>
    <t>T1: La modificación al Plan anual de auditoria se dio como resultado de la solicitud del grupo directivo. La petición fue dirigida para dejar programada la verificación al proceso de emisión de contenidos para el segundo semestre de 2022 e incluir la auditoria de acompañamiento al área de sistemas para alistamiento a la certificación en la norma 27001. La modificación al Plan anual de auditoria se efectuó el 07 de marzo  en el Comité institucional de Coordinación de control interno.
T2: Durante el segundo trimetre no se realizaron ajustes al Plan anual de auditoria.</t>
  </si>
  <si>
    <t xml:space="preserve">C1: El resultado obtenido se da gracias al reporte continuo previo al corte del seguimiento. Como estrategia de aviso se uso el correo institucional a traves del cual se envio pieza informativa. </t>
  </si>
  <si>
    <t xml:space="preserve">C1: El resultado obtenido se da por la falta de reporte de las areas con acciones pendientes en el plan de mejoramiento por procesos. En particular la subdirección administrativa - gestion documental y subdireccion financiera, no efectuaron el reporte completo de acuerdo a los paramestros establecidos para todas las dependencias del canal. Para el proximo seguimiento se mantendran las mesas de trabajo y seguimiento con las areas referenciadas para mitigar dudas o confusiones en el reporte. De igual manera se remitiran comunicaciones separadas de solicitud de informacion para el reporte de plan de mejoramiento a las areas gestion documental y subdirecion financiera las cuales tendran copia dirigida a la Gerencia General.  </t>
  </si>
  <si>
    <t xml:space="preserve">T1: Se dio cumplimiento a las actividades programadas. El seguimiento permanente a las actividades desarrolladas por el equipo permite tener un control en el desempeño y en el cumplimiento de los tiempos establecidos. 
T2: A pesar de la dificultades administrativas en la vinculacion del equipo de trabajo de la oficina de control interno por la situacion especial de ley de garantias y la gestion de la empresa temporal, la oficina cumplio con las actividades programadas dentro de los plazos establecidos. </t>
  </si>
  <si>
    <t>T1: El indicador se encuentra en un 23,27% lo cual corresponde en estado de alerta, no obstante es de aclarar que con corte a 31 de marzo de 2022 la ejecucioón de compromisos es mayor a la de recauda dado que en el mes de enero se adelanto la contratación que cubriria el periodo de ley de garatias y algunos contratos fueron registrados por el total de la vigencia; se recomienda realizar revisión del flujo de caja y el plan anual de adquisiones para deterinar el respaldo de los pagos de los comprimisos adquiridos, como al igual el planteamineto de estrategias de ventas de servicios para incrementar el recaudo de recursos propios.
T2: Con corte a 30 de junio de 2022 el indicador se encuentra en grado de tolerancia en alerta, dado que presenta un procentaje del 41,27%; lo anterior dado que el  valor de la contratación es superior a los ingresos que la entidad ha recibido puesto que en el primer mes de la vigencia se adelanto la contratación que cubriria el periodo de ley de garatias y algunos contratos fueron registratos por el total de la vigencia; se recomienda realizar revisión del flujo de caja y el plan anual de adquisiones para deterinar el respaldo de los pagos de los comprimisos adquiridos, como al igual el planteamineto de estrategias de ventas de servicios para incrementar el recaudo de recursos propios. Es importante resaltar que se cuenta con un apaplancamiento de futic para el pago de gastos de funcionamiento por valor de $1,077 millones de pesos.</t>
  </si>
  <si>
    <t xml:space="preserve">T1: Durante el primer trimestre se evidenció que el promedio de pagos inferior a 5 días corresponde al 83,77% teniendo en cuenta que se le da prioridad a los contratistas personas naturales, esto indica que se esta realizando una buena gestion en la cadena de: radicacion, liquidacion, descargue de presupuesto y pago tesoral.
T2: Durante el segundo trimestre se evidenció que mas del 80% de los pagos se realizan dentro de los 5 días después de su radicación, esto indica que el promedio de los 5 días del trámite de cuentas dentro de la Subdirección presenta una buena gestión, dando prioridad a las cuentas de cobro de personas naturales. </t>
  </si>
  <si>
    <t>T1: Para el primer trimestre del 2022, se observa una mayor disponibilidad de fondos teniendo en cuenta que se toma la Disponibilidad Final del 2021 que para el ejercicio es de aproximadamente la suma de $6,923 millones de pesos; Y un primer desembolso por parte de la Secretaria de Hacienda por concepto de  aporte ordinario por valor de $ 3,500 millones de pesos.  Es de anotar que a lafecha  se han realizado giros por valor de $5,906 millones de pesos.
T2: En el segundo trimestre de 2022, econtramos una disponibilidad de $ 6,519 un poco menor al trimestre anterior, debido al aumento de  los giros que  en promedio fueron de $ 2,239 millones de pesos; Se recibio por parte de la Secretaria de Hacienda la segunda transferencia de aporte de ordinario por valor de $3,500 millones de pesos programada en PAC autorizado.</t>
  </si>
  <si>
    <t>T1: Capital presentó un déficit preliminar con corte a 31 de marzo por valor de -$701 millones de pesos, sustentado principalmente en el incremento en los costos y gastos de administración y operación
T2: Para el cierre preliminar del periodo de junio de 2022 se presentó un déficit preliminar de $3.854 millones de pesos m/cte, sustentado principalmente en el incremento en los costos y gastos de administración y operación. Al corte preliminar del mes de junio de 2022 Canal Capital tiene un resultado como déficit acumulado de $44.936 millones, que equivale al 73% de los aportes sociales del Canal, por lo cual se sugiere especial atención dado que el déficit acumulado ha ido disminuyendo de manera considerable el patrimonio neto.</t>
  </si>
  <si>
    <t>T1: A 31 de marzo de 2022 se obtubo una gestion de cobro 70,26% del total de servicios facturados por venta de servicios al cierre del trimestre y realizando la compraración con el total del recaudo de dichos servicios facturados en el primer trimestre de 2022 (cabe indicar que este recaudo es bruto, es decir se incluyen los descuentos que realizaron los clientes), quedado una cartera por recolectar de $226.918.339. Cabe resaltar que el 86,31% de los recursos pendientes por recaudo corresponden a facturas emitidas en el mes de marzo de 2022.
T2:A 30 de junio de 2022 se obtubo una gestion de cobro 83.40% del total de servicios facturados por venta de servicios al cierre del trimestre y realizando la compraración con el total del recaudo de dichos servicios facturados en el segundo trimestre de 2022 (cabe indicar que este recaudo es bruto, es decir se incluyen los descuentos que realizaron los clientes). Quedó un saldo cartera por recolectar (este monto solo hace alusion al trimestre) de $322.648.523. Cabe resaltar que el 85.08% de los recursos pendientes por recaudo corresponden a facturas emitidas en el mes de junio de 2022.</t>
  </si>
  <si>
    <t>T1: A traves de comunicado interno emitido por el área de Comunicaciones el 20 de enero y 04 de febrero se realizaron actualizaciones al Formato de Certificado de Supervisor 
T2: En el segundo trimestre la Subdirección Financiera emitio tres comunicados internos: El día 7 de junio se publicó la pieza comunicativa del área de facturación y Cartera donde indicaba los Tips al momento de solicitar Facturas. El día 22 de junio se publicó la pieza comunicatica del área de Radicación donde indican las recomendaciones para el trámite de cuentas.  El dia 28 de junio se publicó pieza comunicativa del áre de presupuesto en lo referente a las liberaciones de CDP y RP.</t>
  </si>
  <si>
    <t>T1: Para el periodo reportado, se realizaron las siguientes actividades acorde a la hoja de ruta programada para la ejecución del PETI 2022: * Durante los meses de enero, febrero y marzo, se desarrollaron mejoras al Módulo Financiera y se realiza el lanzamiento completo del módulo en el mes de marzo. * Adicionalmente, se realizaron reuniones y capacitaciones con el equipo multidisciplinario ERP. * Se estructuró Jerárquica de acceso a equipos de comunicaciones del Canal Capital área Técnica. * Se realizan las configuraciones necesarias para levantar la administración remota del servicio de almacenamiento SAN MSA HP 2050. * Se recibe certificado SSL para su respectiva configuración en el servidor de la intranet, específicamente para el dominio “intranetcanalcapital.gov.co”
T2: * Durante los meses de abril, mayo y junio de 2022, se desarrollaron ajustes finales modulo Plan Anual de Adquisiciones (PAA) -Financiera y se dió inicio al desarollo de los siguientes módulos: (i) elecciones, (ii) radicacion, (iii) gestion documental y (iv) proveedores. * Adicionalmente, se realizaron reuniones y capacitaciones con el equipo multidisciplinario ERP con los equipos de: Financiera, Radicacion, Gestion Documental, Elecciones y Proveedores. * Se realiza monitoreo sobre el módulo de alarmas y de alertas de disponibilidad de los servicios tecnológicos. * Se elaboró el procedimiento de desarrollo de software AGRI-SI-PD-019 DESARROLLO DE SOFTWARE, de conformidad con la metodolia ágil de scrum para el ciclo de vida del desarrollo de la entidad. * Se realiza upgrade general mandatorio con el fin de solucionar una falla potencial en un grupo de Routers.</t>
  </si>
  <si>
    <t>T1: Para el periodo reportado, se realizaron las siguientes actividades acorde al Plan de Seguridad y privacidad de la información 2022: * Informe de seguridad desde la plataforma de antivirus bitdefender. * Se realizó monitoreo en el módulo de alertas y se encuentran una serie de eventos de desconexión. * Se realizó la publicación del documento Indice_de_informacion_Clasificada_Reservada_2021 V2, en el botón de transparencia de la página web de la entidad * Se realizó la actualización del Registro Nacional de las Bases de Datos de la entidad, ante la Superintendencia de Industria y Comercio-SIC. * Se participó en mesas técnicas de trabajo de seguridad y privacidad de la información, convocadas por la Alta Consejería Distrital de TIC:
T2: Para el periodo reportado, correspondiente al segundo trimestre de 2022, se adelantaron  las  actividades que a continuación se relacionan, en observancia de lo fijado en el Plan de Seguridad y privacidad de la información 2022: * Se reportó la herramienta del Modelo de Seguridad y Privacidad de la Información-MSPI y Protección de Datos Personales a la Alta Consejeria Distrital para las TIC. * Se gestionaron incidentes de indisponibilidad del servicio DHCP RELAY al proveedor de la entidad para este servicio: Columbus. * En el marco de la implementación del Sistema de Gestión de  Seguridad de la Información (SGSI), se llevó a cabo una Charla sobre los servicios tecnológicos y procesos que lidera el área de Sistemas, lo anterior dirigido a todos los colaboradores y contratistas de la entidad. * Participación en todo el proceso de la auditoría interna realizada al procedimiento de Copias de Seguridad, con el fin de iniciar con el proceso de la certificación en ISO27001, donde se formuló borrador del Plan de mejoramiento de acuerdo con las observaciones realizadas por la Oficina de Control Interno de Canal Capital.</t>
  </si>
  <si>
    <t>T1: Para el periodo reportado, se realizaron las siguientes actividades acorde al plan de tratamiento de riesgos de seguridad y privacidad de la información 2022: * Se revisan y se toman medidas preventivas sobre vulnerabilidades reportadas en los  boletines de seguridad del CSIRPONAL y COLCERT. * Se realizo monitoreo en el módulo de alertas y se encuentran  eventos de seguridad los cuales han sido bloqueados. *  Se enviaron correos electrónicos al área de comunicaciones  sobre socializaciones de modalidades de MALWARE, SPAM, Phishing y medidas preventivas de seguridad de la información para mitigar riesgos sobre la data de la entidad. * Se realizó ajuste y entrega de la matriz de riesgos de seguridad digital al área de planeación, con la identificación y tratamiento a realizar sobre los riesgos.
T2: Para el periodo reportado, se emprendieron  las siguientes actividades enmarcadas y dando pleno cumplimiento del Plan de tratamiento de riesgos de seguridad y privacidad de la información 2022: * Revisiión e implementación de medidas preventivas sobre vulnerabilidades reportadas en los  boletines de seguridad del CSIRPONAL y COLCERT del CSIRT Distrito. * Remisión de correos electrónicos al área de Comunicaciones Internas de la entidad en donde se dan a conocer las socializaciones de modalidades de MALWARE, SPAM, Phishing y de medidas preventivas de seguridad de la información para mitigar riesgos sobre la data de la entidad. * Se aprobo y oficializó el Formato de AGRI-SI-FT-045 MATRIZ DE RIESGOS DE SEGURIDAD DIGITAL en su V01. * Se implementaron reglas y políticas en el sistema de seguridad perimetral: FIREWALL de la entidad, con el fin de mitigar riesgos de seguridad y privacidad de la información en los servicios tecnológicos.</t>
  </si>
  <si>
    <t>T1: Para el primer trimestre del año se obtuvo un avance del 15%, el mismo se relaciona con la entrega de los residuos peligrosos y RAEES dispuestos en el cuarto de almacenamiento temporal de la sede principal. De igual forma se avanzó en la gestión logística para la construcción de la estrategia de comunicación de movilidad sostenible; así como en la comunicación de diferentes temas de índole ambiental a los diferentes colaboradores de la entidad. Adicionalmente, se gestionó de forma parcial la fase de planificación de la semana ambiental 2022. Finalmente se gestionó el traslado presupuestal para la adición de los contratos de bienestar y ferretería en cumplimiento al Plan de Acción PIGA 2022. 
T2: Para el segundo trimestre del año se obtuvo un avance del 35%, relacionado con la continuidad en el desarrollo de las acciones definidas en el Plan de Acción Institucional del PIGA, para ello durante el periodo de reporte se avanzó en la realización de las inspecciones a los sistemas de abastecimiento de agua, energía y disposición final de residuos. Asimismo, se llevó a cabo el proceso de registro y análisis de consumo de los recursos consumidos en el segundo trimestre del año en la entidad emitiendo el respectivo informe. Finalmente, se realizó la Semana Ambiental 2022 y se abrieron espacios de capacitación en diferentes temas de gestión ambiental como: residuos peligrosos, ahorro y uso eficiente del agua o plásticos de un solo uso.</t>
  </si>
  <si>
    <t>T1: Se realizaron entrevistas con las areas productores para la revisión y aprobación de las tablas de retención documental. Se realizaron reuniones para la revisión del módulo de correspondencia en relación a la ejecución e implementación del ERP. (SGDEA).
T2: * Durante las Jornadas de Archivatón que se han adelantado desde el mes de mayo de 2022 con las diferentes áreas de la entidad, se ha realizado la revisión de las Tablas de Retención Documental de las mismas. * Se han realizado reuniones parala implementación y desarrollo del Módulo de Correspondencia con el Área de Sistemas.</t>
  </si>
  <si>
    <t>T1: Acción No.1 - Durante el I Trimestre del 2022 se realizó la compra e instalación de una cocina integral para la casa de la 69, inmueble propiedad de Canal Capital. Acción No. 2 - Durante el I Trimestre del 2022 se realizó la adecuación de estantería para un archivador en la casa de la 69 y adecuación de la oficina de Gestión Documental.
T2: * Acción No. 2 - Durante el segundo trimestre de 2022 se implementaron las adecuaciones necesarias para el traslado de Sala Teusaquillo de la sede Calle 69 a la sede Calle 26 y la adecuación de puestos de trabajo en la sede Calle 69 de la entidad. *Acción No. 3 - Durante el segundo trimestre de 2022 se realizaron diversos mantenimientos locativos, entre los cuales se destacan los siguientes: Sede calle 26: Modificación mueble del Máster de Emisión, resane y pintura en estudio No. 2 y cafetería sexto piso. Por suparte, para la  Sede Calle 69 se ejecutaron las siguientes labores destacables: Resane y pintura en muro exterior, cambio de bordes en madera de escaleras, limpieza y fumigación de matamaleza ubicada alrededor del inmueble.</t>
  </si>
  <si>
    <t>T1: Durante el I Trimestre de 2022 se realizó la Toma Física del Inventario asignado al Director Operativo de la entidad de elementos de Propiedad, Planta y Equipo.
T2: Durante el segundo trimestre de 2022 se llevó a cabo la toma física del Inventario a los bienes catalogados como consumo controlado de Canal Capital.</t>
  </si>
  <si>
    <t>T1: Dentro del PIC para este periodo estaban contempladas seis (6) capacitaciones de las cuales se desarrollaron seis (6)
Además, se realizaron siete (7) capacitaciones no programadas las cuales no estaban incluidas en el PIC, lo que nos arroja un total de trece (13) capacitaciones dictadas en el primer periodo de 2022. No obstante lo anterior, solo se reportan las seis (6) contempladas en el PIC, dos (2) por contrato y cuatro (4) internas.
T2: Dentro del PIC para el periodo objeto de reporte, se encontraban contempladas dieciséis (16) capacitaciones de las cuales se desarrollaron dieciséis (16). Además, se realizaron dieciséis (16) capacitaciones no programadas las cuales no estaban incluidas en el PIC, lo que nos arroja un total de treinta y dos (32) capacitaciones dictadas en el segundo trimestre de 2022. No obstante lo anterior, para efectos del presente repore, únicamente se consignan las dieciséis (16) contempladas en el PIC, cinco (5) por contrato y once (11) internas. Adicionalmente, durante la vigencia evaluada se realizaron dos(2) cursos con el SENA: uno de Excel avanzado y otro de Inglés básico.</t>
  </si>
  <si>
    <t>T1: Se han realizado las capacitaciones pertinentes en el primer trimestre del año. Adicionalmente, se realizaron las intervenciones y reuniones grupales por áreas de acuerdo con los resultados arrojados por la Encuesta de riesgo Psicosocial y clima laboral. 
T2: Para el segundo trimestre de 2022, se evidenció una mayor participación en las capacitaciones donde alcanzamos un 42% de colaboradores que asistieron y participaron activamente de las mismas. Sumado a ello, se contrató a una profesional en psicología para relizar los talleres de trabajo en equipo, solución de conflictos y sentido de pertenencia por la entidad. Por su parte, en relación al software de nómina se identificaron las características de contratación pra ello y actualmente, este asunto se encuentra en proceso de cotización con socieades que cumplan con la herramienta que cuente con las características que requiere Capital para la gestión de su nómina.</t>
  </si>
  <si>
    <t>T1: Para este primer periodo se tenian programadas diez (10) actividades, de las cuales se realizaron un total de veinte (20), distribuidas de la siguiente manera: (i) Las diez (10) que estaban contempladas en el cronograma de Bienestar e Incentivos y (ii) diez (10) adicionales como valor agregado.
T2: Para el segundo trimestre se tenian programadas quince (15) actividades, de las cuales se realizaron un total de veinticinco (25). Dichas actividades se encontraban distribuidas de la siguiente manera: (i) Quince (15) que estaban contempladas en el cronograma del Plan de Bienestar e Incentivos y (ii) diez (10) adicionales como valor agregado.</t>
  </si>
  <si>
    <t>T1: Se realizaron las actividades de inversión definidas en el plan de trabajo diseñado con la ARL (Asesoría COVID y EPP- Suministro de sofware para pausas activas - capacitacion en prevencion y manejo de emergencias) Dentro del Plan de Trabajo del SGSST para el año 2022, se realizaron las reuniones programadas para el COPASST y el Comité de Convivencia Laboral; asi como las actividaes relacionadas al programa de riesgo psicosocial. Se cargan los soportes de actividades en Drive. 
T2: Se llevaron a cabo las actividades de inversión definidas en el Plan de Trabajo diseñado con la ARL (Asesoría COVID y EPP,  Jornadas mensuales de pausas activas, capacitación en prevención y manejo de emergencias, riesgo quimico, riesgo eléctrico, jornadas de relajación en puesto de trabajo). Dentro del Plan de Trabajo del Sistema de Gestión de la Seguridad y Salud en el trabajo (SGSST) para la vigencia 2022, se adelantaron las reuniones programadas para el Comité paritario de seguridad en el trabajo (COPASST) y el Comité de Convivencia Laboral. Adicionalmente, se destaca que dentro de la vigencia evalauda, se continuó con la ejecución del programa de Riesgo Psicosocial.</t>
  </si>
  <si>
    <t>T1: Se realizaron las actividades de inversión definidas en el plan de trabajo diseñado con la ARL (Asesoría COVID y EPP- Suministro de sofware para pausas activas - capacitacion en prevencion y manejo de emergencias). Dentro del Plan de Trabajo del SGSST para el año 2022, se realizaron las reuniones programadas para el COPASST y el Comité de Convivencia Laboral; asi como las actividaes relacionadas al programa de riesgo psicosocial. Se cargan los soportes de actividades en Drive. 
T2: Se adelantó la implementación de una serie de actividades al interior de la entidad con el fin de incentivar el conocimiento del Código de Integridad de Canal Capital, de las cuales se destaca lo siguiente: (i) Realzación de cursos a gestores de integridad vigentes; (ii) Concurso del código de integridad para todos los colaboradores de la entidad; (iii) divulgación de los valores en los canales de comunicación interna como: Boletines internos y comunicado actividades de bienestar y capacitación. Sumado a lo anterior, se realizó una encuesta sobre el Código de Integridad de la entidad, con base en la cual se analizaron  resultados y se publicaron en la Intranet para el conocimiento de todos nuestros colaboradores.</t>
  </si>
  <si>
    <t>Dirección Operativa</t>
  </si>
  <si>
    <t>(Gerencia, Planeación, Prensa y Comunicaciones, Proyectos Estratégicos).</t>
  </si>
  <si>
    <t>(Producción, Contenidos ciudadanos,  Digital, Programación y Técnica).</t>
  </si>
  <si>
    <t>Secretaría General</t>
  </si>
  <si>
    <t>Subdirección Administrativa</t>
  </si>
  <si>
    <t>(Talento Humano, Sistemas, Servicios Administrativos, Gestión Documental y Gestión Ambiental).</t>
  </si>
  <si>
    <t>Subdirección Financiera</t>
  </si>
  <si>
    <t>(Presupuesto, Tesorería, Contabilidad, Facturación).</t>
  </si>
  <si>
    <t>Gerencia General</t>
  </si>
  <si>
    <t>Liderazgo estratégico</t>
  </si>
  <si>
    <t>T1: * Proyección memorando solicitud de información a las áreas de la Subdirección Administrativa para iniciar el esquema del Plan de Austeridad 2022. * Recepción de información de parte de las áreas de la Subdirección Administrativa para plasmar dichos datos en la proyección del Plan de Austeridad. * Realización de reunión para concertar asuntos de la proyección del Plan de Austeridad 2022 de la entidad. * Memorando con observaciones a sugerencias al Plan de Austeridad (Memorando 240 OCI). NOTA: Para el primer trimestre de la vigencia 2022 se adelantaron las gestiones correspondientes para obtener los datos por exponer en el Plan de Austeridad 2022 para los rubros objeto de austeridad, encontrandose pendiente la realización de una Mesa de Trabajo con la Oficina de Control Interno para coordinar asuntos concernientes a la formulación del Plan, de conformidad con las observaciones que allí se planteen. Así las cosas, se prevé que para el segundo trimestre de 2022, se cuente con la versión aprobada del referido Plan de Austeridad.
T2: * Para el segundo trimestre de 2022, se realizó la formulación correspondiente al Plan de Austeridad de la entidad, de conformidad con los lineamientos fijados en el Decreto Distrital 492 de 2019. * Adicionalmente, en lo que concierne a la socialización del mismo, se tiene que dicho documento fue socializado y aprobado ante el Comité de Gestión y Desempeño adelantado el día seis (06) de junio de 2022.
NOTA: El periodo de socializaciones con los colaboradores de la entidad se inició en el mes de julio de 2022 -por ejemplo, se llevó a cabo una primera socialización el 11 de julio de 2022 mediante el Boletín interno de la entidad-.
Por su parte, en relación a los reportes internos y externos sobre el Plan de Austeridad, tqmbién iniciaron el mes de julio; razón por la cual no se contemplan avances sobre este particular (envío de informes) para el segundo trimestre de 2022, dado que los requerimientos allegados a la Subdireccion Administrativa en relación a dicho Plan, datan del mes de julio.</t>
  </si>
  <si>
    <t>(Jurídica y Atención Al Ciudadano).</t>
  </si>
  <si>
    <t>T1: Durante enero, febrero y marzo hubo un total de visitantes de 1177977 de los cuales se conviertieron 157 en leads, esto implica una tasa de conversión del 0.013% En los rasgos de tolerencia corresponde a un indicador muy satisfactorio. En este periodo le fue muy bien a la implementación de la plataforma teniendo en cuenta que hasta ahora los equipos están aprendiendo a utilizarla.
T2: Durante abril, mayo y junio hubo un total de visitantes de 822916 de los cuales se convirtieron 2546 en leads, esto implica una tasa de conversión del 0.3094%. Lo cual indica un crecimiento en la taza de conversión, casi el 30% de los visitantes de este trimestre, se transformaron en Leads. Esto gracias a los esfuerzos para implementar la estrategia INBOUND.</t>
  </si>
  <si>
    <t>T1: Proyecto 1 - Durante el primer trimestre el equipo de proyectos estratégicos realizó las siguientes actividades: Capacitación del equipo en Inbound Marketing y uso de RD Station, Creación del flujo del cliente y acciones para activar la conversión de leads, Trabajo conjunto con el área de digital para la creación de piezas tales como sticker para usar en el portal de Conexión Capital y la creación de un banner lateral en el Home de Conexión Capital, Diseño de la landing de Capital Social que contiene el formulario para recolectar datos de posibles leads. Envío de conceptos de copys para avanzar en la estrategia de expectativa y promoción de Capital Social que puedan ser usados en Redes Sociales para luego dirigir a la Landing. Gracias al trabajo con digital, se cuenta con un kit de imágenes y fondos para trabajar los contenidos. Teniendo en cuenta que la fecha de lanzamiento de Capital Social se modificó para el 2 de mayo, el equipo se encuentra trabajando en las siguientes acciones: Descarga y migración de la base de datos de la Cámara de Comercio a la plataforma de RD Station. Creación y envío del mailing de bienvenida a los leads y para el mailing de la base de datos Diseño (con apoyo de Digital) del video de 5" para el pop up de salida. Diseño del micrositio de capital. Conversión de leads obtenidos por el diligenciamiento del formulario en Capital Social.
Proyecto 2 - Durante el primer trimestre de 2022 se realizaron las siguientes acciones de Eureka para alcanzar la meta planteada: Envío de 4 correos electrónicos Tres con la propuesta de contenido y programación del mes y uno adicional para apoyar la actividad de participación del videoclip de Pa' las que sea. Pop up para inclusión en base de datos  Se rediseñó el pop up y la landing con el form que registra nuevos leads en la base de datos de eureka. Durante el primer trimestre se registraron 65 leads nuevos. Pop up videoclip PA' las que sea. Durante dos semanas del mes de marzo se activó un pop up informativo que invitaba a la participación en el videoclip de la canción de la serie. Activación de botón de WhatsApp en el micrositio. En línea con el cumplimiento de la meta anual planteada, que fue duplicar el número de leads orgánicos, es decir, obtener 64 nuevos lead trimestralmente, 514 al cierre de 2022, el proyecto eureka cumplió en un 100% el objetivo durante este periodo.
Proyecto 3 - Boletin de prensa: Durante el primer trimestre de 2022 se construyó e implementó la plantilla de boletín de prensa y se enviaron dos mailings a la base de datos de periodistas de Capital. La meta de migrar este producto a la plataforma de inbound marketing se cumplió al 100%.
Proyecto 4 - Capitalízate: durante este periodo se construyó la propuesta de boletín de programación bajo el nombre de Capitalízate y se migraron las bases de datos a la plataforma de inbound marketing sin embargo no se alcanzó a hacer ningún envío por lo que el proyecto en este trimestre avanzó en un 40%.
T2: Proyecto 1 ABRIL:Se continuó en capacitaciones con Laura Beltrán, asesora de RD Station. • Se creó la landing page de capital el mes de abril, que pasó por varias revisiones del equipo, en donde se acordó sacarla al aire luego del lanzamiento oficial de Capital Social. • Se diseñó el primer correo "CAPITAL INFORMATIVO 1".
MAYO:El 2 de mayo se envió el primer correo nombrado "CAPITAL INFORMATIVO 1" a una base de datos de 1480. Se entregó efectivamente a 1443 contactos y fue abierto 672 veces. • El 5 de mayo se activó la landing page. • El 11 de mayo se solicitó un kit gráfico para la realización de las piezas que se utilizarían para Capital Social en RD STATION. • El segundo correo, nombrado "CAPITAL INFORMATIVO 2", se envió el 13 de mayo a una base de datos de 1447. Se entregó efectivamente a 1426 contactos y se abrió 642 veces. • Se realizó un Pop Up el cual se activó el 20 de mayo. ESTADO ACTUAL : OFF. • Del 01 de mayo al 30 se registró 341 visitas y  43 leads.
JUNIO. El tercer correo enviado, nombrado "CAPITAL INFORMATIVO 3", se envió el 1° de junio, a una base de datos de 1441 contactos. Se entregó efectivamente a 1428 contactos y se abrió 602 veces. • Se volvió a activar el pop up de salida el 16/06/2022. En total. obtuvo 23.860  visitantes y 10 leads ESTADO ACTUAL : DESACTIVADO.
• El 8 de junio se subió a la plataforma la base de datos de 300 contactos adicionales.  • El 11 de junio se realizó un flujo de automatización con el objetivo de hacer remarketing de los últimos tres correos a la última base de datos cargada a la plataforma de 300 contactos. • Del 01 de Junio al 30 se registró 276 visitas y  20 leads.
Proyecto 2 • Envío de 7 correos electrónicos, tres con la propuesta de contenido y programación del mes, dos para apoyar la actividad de participación de eurekrea comparte tu arte, uno como invitación al live del mes de abril (Sexualidad)  y otro como invitación al Live del mes de junio (Bullying) • Flujo de  piezas para invitación a la descarga de un capítulo exclusivo de Valentine, como regalo para los visitantes del espacio de eureka en la FilBo. El flujo estaba compuesto por: Pop up en página principal de eureka y anding con formulario para la visualización del capítulo. • Landing Page eurekreacomparte tu arte, para centralizar el contenido relacionado con la actividad de manera informativa. La landing tuvo 720 visitas  de abril a junio. • Landing page de recepción de dudas sobre sexualidadpara recibir respuesta durante el Live de abril.
Durante el segundo trimestre se registraron en total  67 leads nuevos y 901 visitas de la siguiente forma: Suscripción al boletín 46 visitantes, 19 leads. Landing Page eurekrea 720 visitantes, 0 leads (el objetivo no eran leads porque era una página informativa) Landing Page sexualidad 4 visitantes, 3 leads. Landing Page FilBo 131 visitantes, 48 leads. En línea con el cumplimiento de la meta anual planteada, que fue duplicar el número de leads orgánicos, es decir, obtener 64 nuevos lead trimestralmente, 514 al cierre de 2022, el proyecto eureka cumplió en un 100% el objetivo durante este periodo.
Proyecto 3 - Boletín de prensa: Para el segundo trimestre correspondiente a abril, mayo y junio de 2022 se enviaron en total seis boletines de prensa dirigido a los medios de comunicación, correspondientes a las hitos mensuales de Capital. Teniendo un cumplimiento del 100%. A partir del 24 de mayo se decidió continuar los envíos desde el mail personal del Jefe de Prensa de Capital debido a las bajas métricas arrojadas por la plataforma y al seguimiento realizado a cada medio, evidenciando que los periodistas no están abriendo mails de un destinatario genérico como es el correo de comunicaciones.  Por lo anterior solicitamos que este proyecto no se siga midiendo en la plataforma de inbound porque no nos favorece en nuestra meta anual de publicaciones. 
Proyecto 4 - Capitalízate: Este boletín quincenal que presenta la apuesta de Capital como Sistema de comunicación, inició su primer envío en abril de 2022 a las bases de datos externas e internas que Comunicaciones migró a la plataforma de inbound. De tal manera para este segundo trimestre comprendido entre abril, mayo y junio del presente año, el cumplimiento de la acción es del 100%.</t>
  </si>
  <si>
    <t xml:space="preserve">04 - Actualización del plan de acción de acuerdo con las observaciones remitidas por las áreas en la ventana de ajustes habilitada en la última semana de septiembre. Los cambios realizados son los siguientes: Indicador 1.3.4 - Ajustes relacionados a la denominación del proceso en la descripción del indicador y las actividades de gestión (columnas L y X), así como en la denominación del cargo (columna AB). Indicador 4.4.1 - Se ajusta la redacción en la información de las actividades de gestión (columna X). Indicador 4.8.2 - Se ajusta el contenido de la Descripción de la meta (columna S), teniendo en cuenta que los resultados alcanzados a lo largo del año han sido superiores respecto a la proyección realizada al inicio de la vigencia. Indicadores 5.5.19 y 5.5.22 - Se ajusta la información de la columna observaciones (Z). Indicador 5.5.21 - Se ajusta la redacción sobre el denominador del indicador (columna N). Indicadores 5.6.24 y 5.6.25 - Se ajusta la redacción en la información de las actividades de gestión (columna X), así como en la denominación del cargo (columna AB). Indicador 5.5.27 - Se ajusta la fórmula para la medición de los resultados del inicados (Columnas M y N), así como los rangos de tolerancia (Columnas T, U y V). Indicador 2.9.1 - Se elimina la medición del indicador en el plan de acción institucional por solicitud del área de comunicaciónes, teniendo en cuenta que este ítem era parte de un ejercicio previo que se tenía con la Secretaría pero que ya no está vigente. </t>
  </si>
  <si>
    <r>
      <t xml:space="preserve">La estrategia estará dividida en tres componentes, a continuación se describen las actividades definidas para cada uno de ellos:
</t>
    </r>
    <r>
      <rPr>
        <b/>
        <sz val="10"/>
        <color theme="1"/>
        <rFont val="Arial"/>
        <family val="2"/>
      </rPr>
      <t>Para el componente de Mejoramiento de los productos y servicios misionales:</t>
    </r>
    <r>
      <rPr>
        <sz val="10"/>
        <color theme="1"/>
        <rFont val="Arial"/>
        <family val="2"/>
      </rPr>
      <t xml:space="preserve">
1.  Organizar los procesos del área y del equipo </t>
    </r>
    <r>
      <rPr>
        <b/>
        <sz val="10"/>
        <color theme="1"/>
        <rFont val="Arial"/>
        <family val="2"/>
      </rPr>
      <t xml:space="preserve">
</t>
    </r>
    <r>
      <rPr>
        <sz val="10"/>
        <color theme="1"/>
        <rFont val="Arial"/>
        <family val="2"/>
      </rPr>
      <t xml:space="preserve">
</t>
    </r>
    <r>
      <rPr>
        <b/>
        <sz val="10"/>
        <color theme="1"/>
        <rFont val="Arial"/>
        <family val="2"/>
      </rPr>
      <t>Para el componente "Desarrollo de un modelo de negocio llamado "CAPITAL SOCIAL"</t>
    </r>
    <r>
      <rPr>
        <sz val="10"/>
        <color theme="1"/>
        <rFont val="Arial"/>
        <family val="2"/>
      </rPr>
      <t xml:space="preserve">
1. Estructuración del modelo de negocio.
2. Comercializadores.
3. Campaña de posicionamiento.
4. Inbound marketing.
5. Producción de comerciales CaSo.
6. Seguimiento de pauta CaSo.
7. Evaluación, divulgación del modelo y planeación 2023.
</t>
    </r>
    <r>
      <rPr>
        <b/>
        <sz val="10"/>
        <color theme="1"/>
        <rFont val="Arial"/>
        <family val="2"/>
      </rPr>
      <t>Para el componente "Estrategia de relaciones públicas con Directivas de entidades públicas"</t>
    </r>
    <r>
      <rPr>
        <sz val="10"/>
        <color theme="1"/>
        <rFont val="Arial"/>
        <family val="2"/>
      </rPr>
      <t xml:space="preserve">
1. Acercamiento a las entidades (Transmilenio, ERU, Movilidad, Metro, Desarrollo Económico e Integración social)
2. Activación de transmisiones y estrategias de promoción
3. Balance de la estrategia y planeación para 2023.</t>
    </r>
  </si>
  <si>
    <t>Medir la participación de la programación infantil y adolescente en la pantalla principal de Capital, en cumplimiento del objeto del proceso de Diseño y ejecución de la estrategía de circulación de contenidos y el desarrollo de las actividades descritas en el procedimiento "MDCC-PD-002 GESTIÓN DE PROGRAMACIÓN PARA EL SERVICIO DE TELEVISIÓN", en cuanto se refiere a la programación mensual.</t>
  </si>
  <si>
    <t>1. Cumplimiento del objeto del proceso de Diseño y ejecución de la estrategía de circulación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t>
  </si>
  <si>
    <t>Este indicador se determina con los Ingresos percibidos, producto de las Ventas gestionadas por el área de proyectos estratégicos.</t>
  </si>
  <si>
    <t>Total servicios facturados al cierre del trimestre acumulado * 100</t>
  </si>
  <si>
    <t xml:space="preserve">La Subdirección Financiera programo en promedio una pieza comunicativa mensual donde se informa temas de interés a todo el personal vinculado a la Entidad. </t>
  </si>
  <si>
    <t>1. Ingresar y mantener actualizada la información relativa a los procesos disciplinarios.
2. Hacer seguimiento a la información reportada en el sistema distrital de información disciplinaria frente a los expedientes disciplinarios.
3. Revisar y actualizar los procedimientos internos asociados con los procesos disciplinarios.</t>
  </si>
  <si>
    <t>1. Convocar a los supervisores y apoyos a la supervisión a las capacitaciones en asuntos relacionados con la política de prevención de daño antijurídico.</t>
  </si>
  <si>
    <t>Número de solicitudes respondidas durante el periodo</t>
  </si>
  <si>
    <t>Número de solicitudes recibidas durante el periodo</t>
  </si>
  <si>
    <t xml:space="preserve"> &lt;70%</t>
  </si>
  <si>
    <t>Entre el 70% - 79%</t>
  </si>
  <si>
    <t>Entre el 80% - 99%</t>
  </si>
  <si>
    <t>4 - (10 de octubre)</t>
  </si>
  <si>
    <t>T1: Los resultados analizados corresponden con el seguimiento mensual del Plan de Fortalecimiento Institucional - PFI, concertado con las áreas, para la implementación de las dimensiones y políticas del MIPG. Al cierre del primer trimestre se cuenta con un nivel de ejecución del 20.43% superior a lo programado para el mismo trimestre (19.28%). Esto gracias a que se avanzó en actividades que para la fecha no se tenían programadas: en acciones de servicio al ciudadano (5.7 - capacitaciones en enfoque diferencial), sistemas (acción 5.11 - datos abiertos) y de Talento Humano (acción 8.4 - Diseño del plan de capacitaciones). Se observa un comportamiento normal y conforme con lo programado para el indicador, por lo cual no se hace observaciones adicionales.
T2: Los resultados analizados corresponden con el seguimiento mensual del Plan de Fortalecimiento Institucional - PFI, concertado con las áreas, para la implementación de las dimensiones y políticas del MIPG. Al cierre del segundo trimestre se cuenta con un nivel de ejecución del 47.07%, el cual no presenta una diferencia importante frente a lo programado para el mismo trimestre (51.10%). El leve rezago que se observa se debe a acciones que han tenido una implementación ligeramente ralentizada durante el segundo trimestre del año (Talento Humano (3.1, 3.3 y 3.4), Planeación (5.3 y 7.1), Servicio al ciudadano (5.8, 5.9) y Control Interno (9.5)). Pese a ello, los niveles de cumplimiento alcanzados con corte a junio de 2022 no comprometen la efectiva ejecución de las acciones programadas, por lo que no se realizan observaciones adicionales.</t>
  </si>
  <si>
    <t>T1: Para el primer trimestre del año se cumplió el el 100% de los compromisos asociadso con la presentación de informes de gestión en el marco de la segunda línea de defensa liderada por Planeación. Para el periodo de seguimientos a los proyectos de inversión a través de las diferentes plataformas disponibles (SEGPLAN y SPI), así mismo, se dio continuidad al seguimiento y presentación de informes de la ejecución de recursos suministrado por el FUTIC, se realizaron los seguimientos a la implemenetación de las diferentes políticas públocas así como al plan de acción institucional y se actualizaron de forma integral del Plan Anticorrupción y de Atención al Ciudadano, así como la revisión y actualización de los riesgos de corrupción de los procesos, adicionalmente se presentaron los diferentes balances de gestión del cierre de la vigencia 2021 a las entidades respectivas.
T2: Frente al segundo trimestre del año se alcanzó el cumplimiento al 100% de los compromisos relacionados con la segunda línea de defensa liderada desde planeación, los reportes presentados corresponden con el seguimiento a los proyectos de inversión a través de las diferentes plataformas definidas pata ral fin (SEGPLAN y SPI), el seguimiento a la ejecución de recursos suministrados por FUTIC, el reporte de avance a los compromisos adquiridos en materia de  políticas públicas así como el reporte de seguimiento a la ejecución presupuestal presentado a la personaería de forma mensual.</t>
  </si>
  <si>
    <t>T3 y T4: Se eliminó la medición del indicador por solicitud del área.</t>
  </si>
  <si>
    <t>T1: Para el primer trimestre 2022 se logró cumplir el indicador "gestión presupuestal para llamados públicos", en lo referente a la primera etapa denominada "diseñado" la cual hace referencia a la incorporación del presupuesto establecido en el Plan Anual de Adquisiciones aprobado para la Dirección Operativa en la vigencia. 
Numerador: Presupuesto asignado a llamados públicos $4.522.000.000 según Plan Anual de Adquisiciones
Denominador $15.280.132.250 presupuesto dirección operativa para la realizacion de producciones en la vigencia 2022
A lo largo del trimestre estos valores sufrieron ajustes asociados a recortes sin que esto afectará la meta establecida, asi mismo los equipos de producción han iniciado la elaboración documentos técnicos y precontractuales para los llamados públicos conforme los cronogramadas de trabajo definidos para la vigencia. De acuerdo con lo anterior se concluye que a la fecha se cuenta con un cumplimiento del indicador del 29,5 %, estando esto dentro del rango de meta establecido para este indicador.
T2: Para el segundo trimestre 2022 se logró cumplir el indicador "gestión presupuestal para llamados públicos", en lo referente a la primera etapa denominada "diseñado" la cual hace referencia a la incorporación del presupuesto establecido en el Plan Anual de Adquisiciones aprobado para la Dirección Operativa en la vigencia.
Numerador: Presupuesto asignado a llamados públicos $4,132,000,000 según Plan Anual de Adquisiciones
Denominador $11´738. 998. 505 presupuesto dirección operativa para la realizacion de producciones en la vigencia 2022
A lo largo del trimestre el valor correspondiente al numerador y al denominador han tenido modificaciones sin que esto afectará la meta establecida, asi mismo los equipos de producción han gestionado la contratación para los llamados públicos conforme los cronograma de trabajo definidos para la vigencia. De acuerdo con lo anterior se concluye que a la fecha se cuenta con un cumplimiento del indicador del 35,20 %, estando esto dentro del rango de meta establecido para este indicador.</t>
  </si>
  <si>
    <t>S1: El reporte se efetua exclusivamente sobre las acciones formuladas en el mapa de riesgos por procesos. Se solicita al area de planeacion mesa de trabajo para el ajuste del denominador toda vez que la politica de administración de riesgos no contempla acciones susceptibles del mismo seguimiento del mapá de riesgos. De esta manera el indicador se ajustaria a la realidad de lo que se quiere medir.</t>
  </si>
  <si>
    <t>Eliminado</t>
  </si>
  <si>
    <t>Sin reporte</t>
  </si>
  <si>
    <t>Valor en pesos de las ventas proyectadas de Capital para la vigencia (BTL, ATL, Digital, pauta canal, transmisiones, proyecto audiovisual y recaudo pauta digital)</t>
  </si>
  <si>
    <t>$13.300.000.000)</t>
  </si>
  <si>
    <r>
      <t xml:space="preserve">Este indicador se plantea con base en el cumplimiento de la meta de ventas establecida por Capital, para la vigencia 2022, a partir de un análisis histórico del comportamiento de las ventas, entre 2020 y 2021.
Este análisis también arroja que las ventas tienen un mejor comportamiento durante el segundo semestre que en el primer semestre de cada vigencia.
El valor reportado corresponderá a la gestión de contratos (suscritos) con los clientes durante la vigencia 2022, en el numerador se ingresará el valor de los contratos suscritos en el periodo de reporte sumado al valor reportado en los cuatrimestres anteriores (esto aplica para el 2do y 3er cuatrimestre) 
</t>
    </r>
    <r>
      <rPr>
        <b/>
        <sz val="10"/>
        <rFont val="Arial"/>
        <family val="2"/>
      </rPr>
      <t>Nota 1</t>
    </r>
    <r>
      <rPr>
        <sz val="10"/>
        <rFont val="Arial"/>
        <family val="2"/>
      </rPr>
      <t xml:space="preserve">: este resultado incluye el valor recaudado por pauta digital.
</t>
    </r>
    <r>
      <rPr>
        <b/>
        <sz val="10"/>
        <rFont val="Arial"/>
        <family val="2"/>
      </rPr>
      <t>Nota 2</t>
    </r>
    <r>
      <rPr>
        <sz val="10"/>
        <rFont val="Arial"/>
        <family val="2"/>
      </rPr>
      <t xml:space="preserve">: el valor de la meta anual y los rangos de tolerancia establecidos en la columna T, U, V y W de este archivo, corresponden a la meta anual y no a las esperadas para cada cuatrimestre ya que al ser un indicador creciente el resultado irá aumentando hasta alcanzar el 100%.
</t>
    </r>
    <r>
      <rPr>
        <b/>
        <sz val="10"/>
        <rFont val="Arial"/>
        <family val="2"/>
      </rPr>
      <t>Nota 3:</t>
    </r>
    <r>
      <rPr>
        <sz val="10"/>
        <rFont val="Arial"/>
        <family val="2"/>
      </rPr>
      <t xml:space="preserve"> Los valores que se registrarán incluyen IVA, para efectos de validación de datos respecto al control de los contratos suscritos con los clientes.</t>
    </r>
  </si>
  <si>
    <t>40% -89,9%</t>
  </si>
  <si>
    <t>90 -100%</t>
  </si>
  <si>
    <t xml:space="preserve">T3: Durante julio, agosto y septiembre hubo un total de visitantes de 718816 de los cuales se convirtieron 3670 en leads, esto implica una tasa de conversión del 0.5106%. Lo cual indica un crecimiento en la taza de conversión, casi el 60% de los visitantes de este trimestre, se transformaron en Leads. Esto gracias a los esfuerzos para implementar la estrategia INBOUND.
T4: Durante octubre, noviembre y diciembre hubo un total de visitantes de 596.014 de los cuales se convirtieron 96 en leads, esto implica una tasa de conversión del 0.0161%. Durante este trimestre tuvimos un decrecimiento de la tasa de conversión consecuente a cambios en los planteamientos de la estrategia INBOUND y a los periodos en que la plataforma RD station estubo bloqueada durentre el semestre por temas administrativos relacionados a la contratación de la misma.	</t>
  </si>
  <si>
    <t>T3: Proyecto 1: Se continuó en capacitaciones con Laura Beltrán, asesora de RD Station. Se diseño la información para el envío del Informativo No. 4. El cuarto correo enviado, nombrado "CAPITAL INFORMATIVO 4", se envió el 24 de agosto a una base de datos de 1078 contactos. Se entregó efectivamente a 1073 contactos y se abrió 762 veces.
Proyecto 2: • Envío de 12 correos electrónicos. Programación Julio Eureka, Nueva BD producciones Eureka, Eureka BD Ventanas al mundo, Eureka1, Eureka 2, Eureka videos poderosos, programación agosto, Invitación live cumpleEureka, Postal Eureka, Postal Eureka 2, Programación Septiembre, Invitación live Septiembre.
Proyecto 3 - Boletín de prensa: A partir del 24 de mayo se decidió continuar los envíos desde el mail personal del Jefe de Prensa de Capital debido a las bajas métricas arrojadas por la plataforma y al seguimiento realizado a cada medio, evidenciando que los periodistas no están abriendo mails de un destinatario genérico como es el correo de comunicaciones.  Por lo anterior solicitamos que este proyecto no se siga midiendo en la plataforma de inbound porque no nos favorece en nuestra meta anual de publicaciones. 
Proyecto 4 - Capitalízate: Este boletín quincenal que presenta la apuesta de Capital como Sistema de comunicación, inició su primer envío en abril de 2022 a las bases de datos externas e internas que Comunicaciones migró a la plataforma de inbound. De tal manera para este tercer trimestre comprendido entre julio, agosto y septiembre del presente año, el cumplimiento de la acción es del 100%. 
T4: Proyecto 1 - Durante este trimestre: Se realizaron los procesos de empalme, recontrucción y analisis de la estrategia de inbound. Se realizaron 10 reuniones estrategicas con los diferentes equipos para determinar necesidades y avances de cada una en relacion a inbound marketing. Se realizaron 2 reuniones con el equipo de RD station y se asistió a 2 capacitaciones respecto a la administración y manejo de la herramienta.  Se dio seguimiento al proceso de renovación y contratación de la herramineta RD station.
Proyecto 2 - Desde eureka se programaron las siguientes actividades: Octubre Mail 1: Programación octubre Mail 2: Refuerzo a llamado de participación 'Yo te adopto' Mail 3: Invitación Live 8 ingresos a la BD a través de formulario. Noviembre Mail 1: programación Mail 2: Refuerzo para la serie de estreno El Mundial y yo 3 ingresos a BD a través del formulario Diciembre Debido a las restricciones de uso de la platafomra RD station, se acudió a la herramienta de mailchimp para hacer envío de las postales de fin de año divididas en 3 mail
Postal 1: Aliados y colegios Postal 2: equipo Postal 3 familias
Proyecto 3 - Proyecto finalizado en el tercer semestre.										
Proyecto 4 - Proyecto finalizado en el tercer semestre.</t>
  </si>
  <si>
    <t>T3: El tercer trimestre del año se llevó a cabo la elaboración de la lección aprendida relacionada con la integración del chat institucional con las redes sociales de la entidad, con el apoyo y acompañamiento de la auxiliar del área de atención al ciudadano. También se avanzó en la documentación de la lección aprendida identificada para los temas de participación ciudadana en los cuales el canal a venido avanzando durante las últimas vigencias. Esta lección aprendida incorpora los avances realizados en materia de documentación, formalización e implementación de procesos de participación ciudadana al interior de la entidad desde perspectivas administrativas y misionales.
T4: Durante el cuarto trimestre del año se logró la meta propuesta en la documentación de lecciones aprendidas relacionadas con diferentes asuntos de la gestión institucional; incluso, se superó para el cierre de la vigencia la consolidación y publicación en la intranet con lecciones aprendidas adicionales, que documentan logros y avances importantes en las actividades realizadas por las diferentes áreas. Estas son: 
Lecciones aprendidas - Integración chat institucional y redes sociales (Facebook e Instagram).
Lecciones aprendidas - Participación Ciudadana.
Lecciones aprendidas - ERP en la gestión de los temas de planeación.
Lecciones aprendidas - ERP en la gestión cero papel.
Lecciones aprendidas - Boletin Ejecucion recursos FUTIC.
Esta información se encuentra disponible, para consulta general al interior de la entidad, en la intranet institucional, en la ruta: Inicio &gt; MIPG &gt; 6. Gestión del conocimiento y la innovación &gt; Lecciones aprendidas &gt; 2022</t>
  </si>
  <si>
    <t>T3: Los resultados acumulados del seguimiento al Plan de Fortalecimiento Institucional - PFI de la vigencia a 30 de septiembre indican un avance acumulado del 78.06%, respecto al 81.07% programado; para el período de análisis, el avance de ejecución es del 13.79% sobre el 11.27% planeado para el mes. Se observa una ejecución de acciones superiores a lo programado en el mes, como consecuencia de actividades que se adelantaron en sus rezagos (3.5 - Talento Humano), así como otras sobre las que se avanzaron gestiones que estaban programadas para meses posteriores (3.4 - Talento humano, 5.11 - Sistemas). En contraste, se observaron rezagos menores de cumplimiento acumulado en las siguientes acciones: Talento humano (3.1 y 3.3), Planeación (4.2, 5.3 y 7.1), Servicio al ciudadano (5.6, 5.8 y 5.9) y Gestión Documental (7.3), los cuales son mínimos y las acciones aún cuentan con plazo de cumplimiento programado. Se evidencia adicionalmente que la relación de cumplimiento mensual supera el rango del 90%, lo que indica que el PFI se ha venido gestionando adecuadamente sin diferir ampliamente de lo programado por las diferentes áreas, por lo que no se ve comprometida su efectiva ejecución y cumplimiento esperado para lo restante de la vigencia.
T4: Los resultados indican para la fecha un cumplimiento total del 98.93%; para el período de análisis, el avance de ejecución es del 5.93% sobre el 5.04% planeado para el mes. 
En términos generales, se observa un nivel sobresaliente en el cumplimiento de las 44 acciones contempladas en el Plan de Fortalecimiento Institucional de la vigencia 2022, para el cual, el compromiso y participación de las áreas en el logro de las actividades planeadas resultó un factor fundamental, superando desde el mes anterior la meta de cumplimiento propuesta (90%). Se espera con estos resultados apalancar el crecimiento del Índice de Desarrollo Institucional en su próxima medición. En complemento, se identificaron acciones que no lograron el cierre al 100%, pero que presentan rezagos mínimos que no afectaron la meta propuesta y que se completarán satisfactoriamente durante 2023. Estas acciones son:
5.1 (95%) y 5.3 (80%) - Caracterizaciones de los procesos, donde se identificaron procesos pendientes para finalizar con éxito esta actividad. 
5.6 (90%) - Estrategia para fortalecer los sistemas de medición de satisfacción de los ciudadanos y su seguimiento, teniendo en cuenta que la finalización de dicha actividad y la implementación de las mejoras depende de otras áreas.
7.1 (90%) - Normograma, donde se identificaron procesos pendientes para finalizar con éxito esta actividad.
7.4 (90%) - Fases del SGDEA - Sistema de Gestión de Documentos Electrónicos de Archivo. Rezago del 10% de acuerdo con lo reportado en el transcurso de la vigencia.
7.5 (95%) - Sistema Integrado de Conservación - SIC. Rezago del 5% de acuerdo con lo reportado en el transcurso de la vigencia.</t>
  </si>
  <si>
    <t xml:space="preserve">T3: En lo corrido del tercer trimestre del año se dio continuidad a los diferentes reportes de información bajo la responsabilidad de la segunda línea de defensa a cargo de planeación, esto permitió el cumplimiento del 100% de los compromisos asignados, es importante aclarar que en el tercer trimestre del año es el periodo con mayor número de reportes de información entre los que se destacan el reporte a proyectos de inversión en el aplicativos SEGPLAN, la actualización al Plan Anticorrupción y de Atención al Ciudadano, la actualización de los riesgos de gestión y corrupción y el seguimiento a los compromisos presupuestales en la ejecución de recursos FUTIC entre otros, esto permite mantener el flujo de información institucional al día y cumplir con los diferentes compromisos como Empresa Industrial y Comercial del Estado. 
T4: Para el cuarto trimestre del año se cumplió con lo establecido en el cronograma de informes de segunda línea de defensa a cargo de planeación donde se llevó a cabo el reporte de información relacionado con la ejecución de los proyectos de inversión (SEGPLAN y SPI), también se reportaron los avances en la ejecución de los recursos suministrados por FUTIC, así como lo frente al relacionamiento de los grupos de valor de la entidad haciendo énfasis en grupos poblacionales priorizados, monitoreo de riesgos y reporte a entes de control personería. </t>
  </si>
  <si>
    <t xml:space="preserve">T3: En el tercer trimestre se contrató lo correspondiente al segundo semestre de acuerdo con lo planeado por las diferentes áreas del Canal, dentro de esta contratación se inclkuyen algunas adjudicaciones a las licitaciones o convocatorias que estaban en trámite y adiciones a la empresa de servicios temporales. Lo anterior nos da un muy buen avance en la contratación que se tiene contemplada en el PAA para la presente vigencia, por otra parte, en este periodo se adelantó la elaboración del PAA para 2023 el cual fue enviado a Hacienda para su aprobación.
T4: En el último trimestre se contrató además de lo que quedaba pendiente del tercer trimestre, la adquisición de infraestructura técnica y tecnológica para el canal , y se contrató lo concerniente a la iluminacion navideña de Bogotá. Además de lo anterior se realizaron las contrataciones propias del último trimestre como adiciones a contratos de prestación de servicios, la adición de la empresa de servicios temporales entre otras. También se realizó la contratación para el convenio con la SCRD y CoCrea. </t>
  </si>
  <si>
    <t>T3: Se realizaron acciones de ‘free press’ para lograr la publicación de esta información en los diferentes medios de comunicación nacional, con 145 impactos positivos en medios de comunicación.  Adicionalmente, se inició con la actualización de las bases de datos de los periodistas distritales y nacionales que cubren información relacionada con televisión, cultura y entretenimiento, y que eventualmente podrían estar interesados en publicar notas relacionadas con Capital y eureka. 
T4: Se realizaron acciones de ‘free press’ para lograr la publicación de esta información en los diferentes medios de comunicación nacional, con 55 impactos positivos en medios de comunicación.  Se dejó de utilizar la plataforma de la SCRD para el rastreo de impactos, puesto que dejó de funcionar; así que nuestro ejercicio se hizo de forma manual.  Se mantuvo la actualización de las bases de datos.</t>
  </si>
  <si>
    <t>T3: Durante el tercer trimestre del año se cumplió con el 96.55% de las solicitudes de las áreas de Capital para efectos de comunicaciones internas, las cuales se compartieron de la siguiente manera: 15 publicaciones en boletines internos, 21 publicaciones en comunicados internos, 33 publicaciones en mailing, 9 publicaciones en el grupo de WhatsApp 'Capital Comunica' y 9 publicaciones respondidas directamente al área solicitante. Las tres que no se responieron fue por demora en la entrega del material por parte del área y por solicitarlo sobre el tiempo.
T4: Durante el tercer trimestre del año se cumplió con el 90.91% de las solicitudes de las áreas de Capital para efectos de comunicaciones internas, las cuales se compartieron de la siguiente manera: 10 publicaciones en boletines internos, 10 publicaciones en comunicados internos, 12 publicaciones en mailing, 4 publicaciones en el grupo de WhatsApp 'Capital Comunica' y 8 publicaciones respondidas directamente al área solicitante. Las tres que no se responieron fue porque no había personal contratado y por solicitarlo sobre el tiempo.</t>
  </si>
  <si>
    <t>T3: Durante el segundo trimestre del año se cumplieron con todas las solicitudes de comunicaciones sobre cultura organizacional y sentido de pertenencia.  Las publicaciones se realizaron de la siguiente manera: 13 del área de Planeación con temas como el Plan Integrado de Gestión Ambiental - PIGA, 1 de Archivo con la jornada de Archivatón que se realizó en septiembre y 4 del área de Recursos Humanos, que dan cuenta de invitaciones relacionadas con salud mental y otras con el fortalecimiento de acciones para el uso de la intranet.
T4: Durante el cuarto trimestre del año se cumplieron con todas las solicitudes de comunicaciones sobre cultura organizacional y sentido de pertenencia.  Las solicitudes llegaron del área de Planeación, Control Interno, Gestión Documental, Recursos Humanos y Subdirecciín Administrativa.</t>
  </si>
  <si>
    <t>T3: En lo corrido del 3er trimestre de 2022 la estrategia de Capital Social ha tenido un avance del 68 % y se ha desarrollo sin anomalias, a continuación se describe el avance alcanzado por cada componente: Componente 1: Avance del 6 %, para un valor acumulado del 91,89 % en coherencia con el plan definido para el trimestre. Componente 2: Avance del 8 %, para un valor acumulado del 71,14 % en coherencia con el plan definido para el trimestre. Componente 3: Avance del 18 %, para un valor acumulado del 33,59 % en coherencia con el plan definido para el trimestre. Los resultados de esta medición serán acumulados a lo largo del año hasta alcanzar el 100 % total de cumplimiento para la vigencia. Por lo anterior se concluye se ha alcanzado la meta definida respecto a la estrategia.
T4: En lo corrido del 4to trimestre de 2022 la estrategia de Capital Social ha tenido un avance del 30,17 % para un acumulado total con corte a 31 de diciembre de 98 %, con lo que se alcanza un resultado "aceptable" por encontrarse en el rango de tolerancia de "70 % a 99,5%", a continuación se describe el avance alcanzado por cada componente: Componente 1: Avance del 6 %, para un valor acumulado del 98 % en coherencia con el plan definido para el trimestre. Componente 2: Avance del 21 %, para un valor acumulado del 98 % en coherencia con el plan definido para el trimestre. Componente 3: Avance del  64 %, para un valor acumulado del 97 % en coherencia con el plan definido para el trimestre. Los resultados de esta medición fueron acumulados a lo largo del año hasta alcanzar el 100 % al final de la vigencia. Por lo anterior se concluye se ha alcanzado la meta definida respecto a la estrategia planteada. Nota: El 2 % faltante obedece a factores externos que no eran controlables al 100% por parte del equipo de proyectos estratégicos, quedaremos atentos a las indicaciones de planeación respecto al diseño de un plan de mejoramiento si esta instancia asi lo considera necesario.</t>
  </si>
  <si>
    <t>T3: Para el tercer trimestre 2022 se logró cumplir el indicador "gestión presupuestal para llamados públicos", en lo referente a la primera etapa denominada "diseñado" la cual hace referencia a la incorporación del presupuesto establecido en el Plan Anual de Adquisiciones aprobado para la Dirección Operativa en la vigencia.
Numerador: Presupuesto asignado a llamados públicos. $4,122,441,211 según Plan Anual de Adquisiciones
Denominador: $11,402,247,546 presupuesto dirección operativa para la realizacion de producciones en la vigencia 2022
A lo largo del trimestre el valor correspondiente al numerador y al denominador han tenido modificaciones sin que esto afectará la meta establecida, asi mismo los equipos de producción han gestionado la contratación para los llamados públicos conforme los cronograma de trabajo definidos para la vigencia. De acuerdo con lo anterior se concluye que a la fecha se cuenta con un cumplimiento del indicador del 36,16 %, estando esto dentro del rango de meta establecido para este indicador.
T4: Para el cuatro trimestre 2022 se logró cumplir el indicador "gestión presupuestal para llamados públicos", en lo referente a la etapa denominada "compromiso" la cual hace referencia a "los contratos suscritos con el sector audiovisual local". Numerador: Presupuesto asignado a llamados públicos. $4´131.137.551 según Plan Anual de Adquisiciones. Denominador: $11´995.162.442 presupuesto dirección operativa para la realizacion de producciones en la vigencia 2022. A lo largo del trimestre el valor correspondiente al numerador y al denominador han tenido modificaciones sin que esto afectará la meta establecida, asi mismo los equipos de producción han gestionado la contratación para los llamados públicos conforme los cronograma de trabajo definidos para la vigencia. De acuerdo con lo anterior se concluye que a la fecha se cuenta con un cumplimiento del indicador del 34,44  %, estando esto dentro del rango de meta establecido para este indicador. Tambien es posible concluir que el indicador se ha cumplido a lo largo de la vigencia ya que de forma paulatina se abordaron las tres etapas establecidas tales como: "diseño" (asociado al diseño del PPA), "apropiación" (asociado a "publicación de condiciones de participación, llamados a cotizar o presentación de propuestas de acuerdo con el procedimiento que determine el manual de contratación de Capital para efectuar los llamados públicos") y "compromiso" de los recursos ("contratación de proyectos como consecuencia de llamados públicos que garanticen la meta de porcentaje presupuestal"). En general y de acuerdo al comportamiento reportado durante el año, se concluye que el indicador se ha cumplido de manera "satisfactoria" por cuanto el resultado alcanzado  a lo largo de toda la vigencia se encuentra entre el rango de tolerancia de "25 % a 35.9 %".Nota: Las fluctuaciones de los datos a lo largo de la vigencia han ocurrido debido a las condiciones normales de la contratación, comportamiento de la oferta y la demanda y las condiciones juridicas para la contratación, las cuales se ampliaron en cada uno de los trimestres reportados.</t>
  </si>
  <si>
    <t>T3: Los datos reportados hacen parte del informe entregado trimestralmente a la Comisión de Regulación de Comunicaciones (CRC). La información permite concluir que en el tercer trimestre de 2022 se realizó un aporte del 23 % de contenido infantil y adolescente respecto a la parrilla de programación del periodo, que se mide entre 6:00 a.m. y 12:00 p.m. Las cifras alcanzadas se encuentran dentro del rango clasificado como "satisfactorio". Se mantuvo la estrategia la franja de Eureka en Capital en cuanto a la intensidad horaria de los contenidos infantiles y juveniles teniendo en cuenta periodos vacacionales y estudiantiles principalmente en el mes de julio, agosto y septiembre mantienen la franja habitual.
T4: Los datos reportados hacen parte del informe entregado trimestralmente a la Comisión de Regulación de Comunicaciones (CRC). La información permite concluir que en el cuarto trimestre de 2022 se realizó un aporte del 26,67 % de contenido infantil y adolescente respecto a la parrilla de programación del periodo, que se mide entre 6:00 a.m. y 12:00 p.m. Las cifras alcanzadas se encuentran dentro del rango clasificado como "satisfactorio". Se mantuvo la estrategia la franja de Eureka en Capital en cuanto a la intensidad horaria de los contenidos infantiles y juveniles teniendo en cuenta periodos vacacionales principalmente en el mes de diciembre y parte de octubre, noviembre mantienen la franja habitual. Se concluye que los resultados planeados para la vigencia fueron alcanzados, dado que se cumplió con el rango porcentual definido en torno al aporte de los contenidos infantiles y adolescentes dentro de la parrilla de programación de la pantalla principal.</t>
  </si>
  <si>
    <t xml:space="preserve">T3: En el tercer trimestre de 2022 la Estrategia de cocreación de contenidos, que incluye la participación activa de la ciudadanía infantil en alguna o varias etapas definidas para su ejecución, tuvo avance en la etapa denominada "diseño y producción" las cuales hacen referencia a la estructuración de la propuesta técnica que podría tener el proyecto audiovisual de cocreación, y a la contratación de recursos para la ejecución del proyecto, alcanzando el siguiente resultado: 1. Mundo Eureka 25% de avance equivalente a las actividades relacionadas a continuación: 1. Se realizó la publicación del informe final de evaluación de propuestas. 2. Se realizó la convocatoria Pública CP-03-2022 a través de la resolución de adjudicación al proponente Unión Temporal Producciones Capital para ejecución de recursos de la administración delegada para preproducción y producción del proyecto Mundo Eureka. 3. Se realizó el envío de la solicitud a cotizar a 28 personas jurídicas para Administración delegada de postproducción para el proyecto Mundo Eureka. Se reciben 3 cotizaciones por parte de 2.35 Digital, Dieciséis 9 Films y Corporación Lumen 2000. 4. Se efectuó la verificación por parte del área técnica y se elige la oferta más favorable de la Corporación Lumen 2000 por el menor valor, su idoneidad verificada mediante las certificaciones. 5. Se elaboró estudio previo revisada por el área técnica y jurídica para contratación en octubre. 6. Revisión de la formulación creativa para dar inicio a las etapas de investigación y guiones, y formulación operativa revisando proyección de cronograma para el inicio de la ejecución del proyecto. 2. Microcontenidos 1er infancia 25 % de avance: Debido a la declaratoria desierta se elige realizar el proyecto Yo te adopto en coproducción internacional con el canal argentino PakaPaka el cual se encuentra en etapa precontractual. 3. Microcontenidos adolescentes 25 % de avance: Se elaboraron las propuestas creativas y operativas del proyecto “Proyecto SOY” o como llegue a denominarse. 4. Cuidado del planeta 25 % de avance: Se elaboró la propuesta creativa y operativa del proyecto “Agentes E.C.O”. o como llegue a denominarse. 5. Estereotipo de genero 25 % de avance: Se elaboró la propuesta creativa y operativa del Proyecto “#Reto48” o como llegue a denominarse. Así mismo se obtiene avance del proyecto Generación eureka 25 % de avance en la elaboración de la metodología y realización de talleres con generación eureka en las siguientes fechas: 1. Julio 8 y 30 2. Agosto 20 3. Septiembre 3, 10, 17 y 24 Con base en la información descrita se obtiene un resultado promedio del 25 % de avance de la estrategia de cocreación de contenidos infantiles para el periodo de medición en coherencia con la meta de 25 % establecida para el periodo de reporte. El resultado del trimestre corresponde a 100% permitiendo concluir que se ha alcanzado la meta propuesta. Nota: esta medición será  progresiva a lo largo del año hasta alcanzar el 100 % total acumulado de cumplimiento.
T4: En el cuarto trimestre de 2022 la Estrategia de cocreación de contenidos, que incluye la participación activa de la ciudadanía infantil en alguna o varias etapas definidas para su ejecución, se logró avanzar en la etapa denominada "finalización y revisión de etapas finales" las cuales hacen referencia a la estructuración final de la propuesta técnica y operativa, asi como los masteres finales de los capitulos que apliquen para los proyectos audiovisuales de cocreación 2022, según alcance y acuerdos contractuales, alcanzando el siguiente resultado: 1. Mundo Eureka 25% de avance equivalente a las actividades relacionadas a continuación: * Proyección y ajuste de la formulación creativa y de la formulación operativa del proyecto. * Másteres aprobados por Control de Calidad para la emisión de la serie. Nota: este proyecto se encuentra en etapa de finalización y revisión de entregables finales y de entrega de másteres para control de calidad los cuales se recibirán de manera paulatina de según condiciones contractuales. 2. Microcontenidos 1er infancia 25 % de avance: Debido a la declaratoria desierta se elige realizar el proyecto Yo te adopto en coproducción internacional con el canal argentino PakaPaka se firmó el contrato 343-2022 con Fosfenos para la producción por encargo de lo que le corresponde a Capital, a la fecha está en etapa de preproducción con la selección de historias para grabaciones y el guion del capítulo 1. * Contrato de producción por encargo con Fosfenos Media  para la preproducción, producción y postproducción del proyecto Yo te adopto en el marco de la coproducción entre CP S.E., CNTV y CAPITAL. * Formulación creativa y Formulación operativa 3. Microcontenidos adolescentes 25 % de avance: Se elaboraron las propuestas finales tanto creativas y operativas del proyecto “Proyecto SOY” y masteres. 4. Cuidado del planeta 25 % de avance: Se elaboraron las propuestas creativas y operativas finales del proyecto “Agentes E.C.O”. y masteres. 5. Estereotipo de genero 25 % de avance: Se elaboraron las propuestas finales creativa y operativa del Proyecto “#Reto48” y masteres. Así mismo se obtiene avance del proyecto Generación eureka 25 % de avance en la elaboración de la metodología y realización de talleres con generación eureka en las siguientes fechas: 1. Octubre 1, 8, 14, 2. Noviembre 5 y 26. Con base en la información descrita se obtiene un resultado promedio del 25 % de avance de la estrategia de cocreación de contenidos infantiles para el periodo de medición en coherencia con la meta de 25 % establecida para el periodo de reporte. El resultado del trimestre corresponde a 100% permitiendo concluir que se ha alcanzado la meta propuesta. Respecto a la medición y análisis de la información anual, es posible concluir que el indicador se cumplio en un 100 % del resultado estimado programado para 2022. En general y de acuerdo al comportamiento reportado durante el año, se oncluye que el indicador se ha cumplido de manera "satisfactoria" por cuanto el resultado alcanzado se encuentra entre el rango de tolerancia de "100 %". Nota: de acuerdo con lo establecido contractualmente, las etapas cubiertas para esta vigencia comprendieron la elaboración de las condiciones técnicas y precontractuales del proyecto, la contratación de recursos para la ejecución del proyecto y la la producción del proyecto. La circulación no esta en el alcance de la vigencia 2022 por cuanto esta se podrá realizar una vez se finalice el control de calidad de los contenidos producidos. </t>
  </si>
  <si>
    <t>T3: El tercer  trimestre se realizó el desarrollo del sitio web de Canal Capital para lo cual se han efectuado las siguientes actividades: 1. Ajustes de Drupal de acuerdo con las funcionalidades desarrolladas 2. Creación y maquetación de las siguientes secciones de contenido: *Sección Institucional. *Sección programas. *Desarrollo del Backend de la parrilla. *Desarrollo de versión AMP para despliegue artículos. *Se dio inicio al desarrollo de eureka. *Se dio inicio al desarrollo de Capital sonoro. 3. Se realizaron ajustes de acuerdo con los requerimientos para el desarrollo del frontend. 4. Desarrollo Opciones de accesibilidad. 5. Finalización de las nuevas plantillas de eureka, sonoro, Ahora y ajustes en el home. 6. Pruebas en la implementación y optimización de audiencias e inbound en el nuevo sitio.
7. Los avances en el front  El anterior resultado corresponde al 25 % de avance establecido para el periodo de medición el cual se cumplio al 100 %, esta medición será acumulada a lo largo del año hasta alcanzar el 100 % del cumplimiento. Por lo anterior se concluye se ha alcanzado la meta definida respecto al valor establecido para el trimestre.
T4: Se alcanzó el 100 % de la etapa de diseño y producción, se estima que en el primer cuatrimestre de 2023 será puesta en funcionamiento y disponible para la ciudadanía una vez re realicen los cierres de brecha, migración de información y ajustes requeridos para la puesta en producción. *  Videos Capacitación Carga de Contenido Página Nueva Capital: capacitación que realiza el equipo de desarrollo de la nueva página para los editores de Capital (tiene dos vídeos). * Guía para Editores_CMS Drupal 9: guía para que los editores encuentren la ruta para cargar el contenido en el nuevo CMS, este documento será empleado internamente por parte del equipo digital asignado, no podrá publicarse o socializarse de manera masiva para evitar o mitigar cualquier riesgo de seguridad de la información por cuanto la información alli descrita es sensible. * Resumen Capacitación CMS * Presentación_Fase Lanzamiento Página Capital. El anterior resultado corresponde al 25 % de avance establecido para el último trimestre de 2022 según lo planeado, esta medición acumulada corresponde al 100 % del cumplimiento, por lo cual se concluye se ha alcanzado la meta definida para la vigencia. En general y de acuerdo al comportamiento reportado durante el año, se concluye que el indicador se ha cumplido de manera "satisfactoria" por cuanto el resultado alcanzado se encuentra entre el rango de tolerancia de "100 %".</t>
  </si>
  <si>
    <t>T3: Durante el tercer trimestre se presentó indisponibilidad en la señal por fallas operativas en los días 12 de julio, se reporta la continuidad del servicio para el mes de julio del 99,97%; los días 29 y 12 de agosto se reporta indisponibilidad del servicio, y se reporta la continuidad del servicio para el mes de agosto del 99,97%; los días 02 y 06 de septiembre se reporta indisponibilidad del servicio, se reporta la continuidad del servicio para el mes de septiembre del 99,99%, el promedio para el tercer trimestre del indicador de la continuidad en la prestación del servicio es del 99,90%. Con base en la información se permite concluir que durante el tercer trimestre del año el indicador se ha cumplido conforme se ha establecido, que las fallas presentadas no afectaron el resultado total de la medición y que fueron implementadas las acciones correspondientes a la mitigación de las mismas de manera oportuna, por lo anterior y debido a los resultados obtenidos no se considera necesario generar un plan de mejoramiento o plan de acción asociado a las indisponibilidades detectadas.
T4: Durante el cuarto trimestre del año se presentó indisponibilidad en la señal por fallas operativas en el día 17 de octubre, en dos ocasiones, una a las 6:59 y la otra a las 7:13. Se reporta la continuidad del servicio para el mes de octubre del 99,97%; para los meses de noviembre y diciembre se reporta señal al aire del 100% en los dos meses. Con base en la información se permite concluir que durante el cuarto trimestre del año el indicador se ha cumplido conforme la meta establecida, que las fallas presentadas no afectaron el resultado total de la medición y que fueron implementadas las acciones correspondientes para la mitigación de las mismas de manera oportuna, por lo anterior y debido a los resultados obtenidos no se considera necesario generar un plan de mejoramiento o plan de acción asociado a las indisponibilidades detectadas. En general y de acuerdo al comportamiento reportado durante toda la vigencia se concluye que el indicador se ha cumplido de manera "satisfactoria" por cuanto el resultado alcanzado se encuentra entre el rango de tolerancia de "96 % - 100 %".</t>
  </si>
  <si>
    <t>T3: Durante los meses de julio, agosto y septiembre de 2022, se adelantaron las siguientes actividades: * Desarrollo, actualización, implementación y ajustes a los módulos para el ERP y ERPC de Canal Capital, especialmente los módulos de: (i) Financiera; (ii) Proveedores; (iii) Radicación; (iv) Control Interno y (v) Gestión Documental. * Se llevaron a cabo reuniones y capacitaciones con el equipo multidisciplinario ERP, esto con los equipos de: (i) Financiera; (ii) Radicación; (iii) Control Interno y (iv) Gestión Documental. * Se realizó de manera remota la instalación y configuración de la nueva firma digital de Certicámara, se realiza monitoreo sobre el módulo de alarmas, no se tienen  eventos sobre los APs. * Se adelanta el monitoreo sobre la configuración de log, el almacenamiento del firewall se encuentra en estado de operación normal, con espacio en uso de 7.33 GB (4.14%) y un espacio libre de 169.88 GB (95.86%) Adicionalmente, se realizó la  actualización del firmware equipo fortinet 401E, proveedor Dataservicios. * Se elaboró y publicÓ el AGRI-SI-MN-013 MANUAL DE USUARIO DEL MÓDULO PROVEEDORES.
T4: Durante los meses de octubre, noviembre y diciembre de 2022, se adelantaron las siguientes actividades: * Desarrollo, actualización, implementación y ajustes a los módulos para el ERP y ERPC de Canal Capital, especialmente los módulos de: financiera, radiación, gestión documental, proveedores, Bogotá te Escucha y soporte. * Se llevaron a cabo socializaciones, capacitaciones y charlas a los colaboradores de la entidad sobre el uso del ERP. * Se llevo a cabo la adecuación de puntos de datos y eléctricos en la sede de la 69. * Se realiza el monitoreo de usuarios y dispositivos conectados al servicio de internet de la entidad. * Se realizan actualizaciones de Windows server a los servidores tecnológicos de la entidad.</t>
  </si>
  <si>
    <t>T3: Para el periodo reportado (tercer trimestre de 2022), se adelantaron las actividades que a continuación se relacionan, en observancia de lo fijado en el Plan de Seguridad y Privacidad de la información 2022: * Implementación acciones preventivas en la plataforma tecnológica de la entidad sobre vulnerabilidades reportadas por la Alta Consejería Distrital de TIC-ACDTIC. * Se realizó charla de sensibilización sobre recomendaciones y tips de seguridad de la información dirigida hacia los usuarios finales de Canal Capital por parte de la ACDTIC. * Diseño del procedimiento de gestión de cambios de tecnologías de la información, con el fin de mitigar tiempos largos de indisponibilidad de servicios de TI. * Se gestionaron correos al proveedor de Xertica con solicitudes de bloqueo de buzones de correo electrónico externas, ya que son sospechosas para la información de la entidad.
T4: Para el periodo reportado (cuarto trimestre de 2022) se adelantaron las actividades que a continuación se relacionan, en observancia de lo fijado en el Plan de Seguridad y Privacidad de la información 2022: * Actualización del plan de seguridad y privacidad de la información, acorde a las actividades a ejecutar en la vigencia del 2023. * Actualización de la guía de borrado seguro de información, acorde a las buenas prácticas de administración de información. * Apoyo en el proceso de auditoría externa de seguridad de la información realizada por el proveedor Kreston. * Durante los días 8-11 de noviembre de 2022, se realizaron socializaciones y charlas sobre los servicios tecnológicos en el marco de la semana TIC.</t>
  </si>
  <si>
    <t>T3: Durante el tercer trimestre de la vigencia 2022, se llevaron a cabo las actividades que a continuación se enlistan para dar cumplimiento al Plan de tratamiento de riesgos de seguridad y privacidad de la información 2022: * Se realizó la actualización de los riesgos de corrupción - Proceso de gestión de recursos administrativos (Sistemas). * Inclusión de riesgos de seguridad digital en el formato de gestión de riesgos de seguridad digital, el cual se encuentra publicado en la carpeta de calidad del área. * Participación en la segunda mesa sectorial de Seguridad Digital - Sector Cultura, Recreación y Deporte, organizado por la La Alta Consejería Distrital de TIC - ACDTIC. * Se implementaron reglas y políticas en el sistema de seguridad perimetral: Firewall de la entidad, con el fin de mitigar riesgos de seguridad y privacidad de la información en los servicios tecnológicos.
T4: Durante los meses de octubre, noviembre y diciembre de 2022, se adelantaron las siguientes actividades: * Elaboración, aprobación y publicación de la matriz de riesgos de seguridad digital. * Actualización del plan de tratamiento de riesgos de seguridad y privacidad de la información, de conformidad con las actividades por ejecutar en la vigencia del 2023. * Se gestionaron correos con el proveedor de Xertica con solicitudes de bloqueo de buzones de correos electrónicos externos categorizados como SPAM, ya que eran sospechosas para los servicios de la entidad. * Se implementaron reglas y políticas en el sistema de seguridad perimetral: Firewall de la entidad, con el fin de mitigar riesgos de seguridad y privacidad de la información en los servicios tecnológicos.</t>
  </si>
  <si>
    <t>T3: Para el tercer trimestre del año se obtuvo un avance del 38% teniendo en cuenta tanto los compromisos adquiridos previamente, como aquellos que se incluyeron por ajustes necesarios al Plan de Acción PIGA. Así, este reporte también nos da un resultado consolidado de más del 80% de ejecución, lo cual representa un indicador positivo respecto a la planeación y ejecución del Plan. Sobre ello, es importante destacar a su vez que el programa de implementación de prácticas sostenibles presentó un sobrecumplimiento del 125% en una de sus actividades, por ende, esta particularidad se tendrá en cuenta en la formulación del Plan de Acción PIGA de la vigencia 2023 con el fin de evitar situaciones similares.
T4: En el cuarto trimestre del año 2022, se alcanzó un avance del 17% teniendo en cuenta las nuevas acciones incluidas como resultado de la modificación del Plan de Acción Institucional (PIGA), así como de algunos rezagos en el desarrollo de actividades previamente programadas, lo que nos arroja resultado general un cumplimiento del 103% del plan de acción PIGA. Esto permite como proceso de mejora continua, fortalecer la planeación de algunas actividades principalmente de la línea de Comunicaciones, con el fin de que no impacten el cumplimiento de las metas y se avance en el desarrollo de las actividades según la programación inicialmente establecida.</t>
  </si>
  <si>
    <t xml:space="preserve">T3: * Realización de mesas mutidisciplinares con el área de Sistemas para el desarrollo del módulo de Gestión Documental, por lo que actualmente este se encuentra en pruebas para su implementación. * Se gestionó, tramitó y se logró la aprobacion de las Tablas de Retención Documental (TRD) por parte de los líderes de áreas de la entidad, posteriormente se presentaron dichos documentos ante el Comité Institucional de Gestión y Desempeño en sesión del 13 de septiembre de 2022.
T4: * Se adelantó el proceso de aprobación de las Tablas de Retención Documental (TRD) por parte del Comité Institucional de Gestión y Desempeño (CIGD) en sesión del 14 de diciembre de 2022. *Se radicó oficio ante el Archivo de Bogotá para el procedimiento de convalidación de las Tablas de Retención Documental (TRD), esto el día 30 de diciembre de 2022. *Se realizaron  mesas de trabajo con el area de Sistemas con el fin de adelantar pruebas para el modulo de Gestión Documental en el ERP de la entidad. * Se adelantaron avances para las transferencias secundarias, de modo que se recibió asistencia tecnica por parte del Archivo de Bogotá donde se evidenció la necesidad de hacer una revisión de la totalidad de los expedientes que se encuentran en la bodega del custodio documental de la entidad: Alpopular S.A. </t>
  </si>
  <si>
    <t>T3: * Acción No. 2 - Durante el tercer trimestre de 2022 se realizó la adecuación de cambio del sistema hidríco de la sede de la Calle 69, se gestionó la adecuación de puestos de trabajo y el mantenimiento correctivo a la fachada de la sede; incluyendo labores de impermeabilización del muro, estucado y pintura. *Acción No. 3 - Durante los meses de julio, agosto y septiembre se realizon mantenimientos preventivos en ambas sedes de la entidad (Calle 26 y Calle 69) Entre los más destacados se encuentran: (i) cambio de bordes en las escaleras de espiral de la sede de la calle 69; (ii) múltiples modificaciones a los sistemas de iluminación de ambas sedes; (iii), entre otros mantenimientos que se encuentran dirigidos a que la entidad funcione de manera adecuada desde el punto de vista de su infraestructura.
T4: * Acción No. 2: Durante el cuatro trimestre de 2022 en cuanto a mantenimientos correctivos, se adelantó lo siguiente: (i) Se dio continuidad con la intervención de la fachada del inmueble propiedad de Canal Capital (sede Quinta Camacho), el cual, contó con impermeablización, resane y pintura general de la misma; (ii) por otro lado, se realizó un mantenimiento correctivo en la sede Calle 26, que consistió en realizar el cambio de un registro de media pulgada que se encontraba averiado y generaba daños en el cuatro piso del edificio por el constante goteo y se adelantó (iii) lavado y desinstalación del vinilo adhesivo de la puerta trasera de las unidades móviles de la entidad. En cuanto a las adecuaciones realizadas, se indica que realizó intervención del aire acondicionado de la sede Calle 69 en el marco de la cual se hizo la instalación de un techo para proteger el equipo del clima y de las palomas que se encuentran en el inmueble. *Acción No. 3: Durante los meses de octubre, noviembre y diciembre de 2022, se realizaron multiples mantenimientos preventivos en ambas sedes de la entidad, entre los más destacados se encuentran: (i) Arreglo de baldosas por humedad en la poceta de la Sede Calle 26; (ii) Reinstalación de sanitarios en la Sede Calle 26; (iii), Brigadas de aseo exhaustivas en ambas sedes de Canal Capital, encaminadas a proteger y preservar las instalaciones.</t>
  </si>
  <si>
    <t>T3: Durante el tercer trimestre de 2022 se adelantaron cinco (5) tomas físicas de inventarios, una correspondiente al inventario a cargo del nuevo Coordinador del Área Técnica y las restantes fueron llevadas a cabo en los cuatro (4) cerros donde se encuentran ubicados equipos de Canal Capital, esto dando cumplimiento al cronograma de la gran Toma Física de Inventarios de la vigencia 2022.
T4: Durante el cuatro trimestre de 2022 se adelantó la Toma Física de Inventarios de manera integra, realizando una revisión de 72 ubicaciones de la entidad, tal como se evidencia el informe final de la misma.</t>
  </si>
  <si>
    <t>T3: Dentro del PIC para el periodo objeto de reporte, se encontraban contempladas catorce (14) capacitaciones de las cuales se desarrollaron catorce (14). Además, se realizaron veintidós (22) capacitaciones no programadas las cuales no estaban incluidas en el PIC; situación que nos arroja un total de treinta y seis (36) capacitaciones dictadas en el tercer trimestre de 2022. No obstante lo anterior, para efectos del presente repore, únicamente se consignan las catorce (14) contempladas en el PIC, siete (7) por contrato y siete (7) internas.
T4: Para el periodo objeto de reporte, dentro del PIC se encontraban contempladas ventiséis (26) capacitaciones, las cuales se desarrollaron en su totalidad. Además, se adelantaron once (11) capacitaciones no programadas que no estaban incluidas en el PIC, lo que nos arroja un total de treinta y siete (37) capacitaciones dictadas en el cuarto trimestre de 2022. No obstante lo anterior, para efectos del presente reporte, únicamente se consignan las ventiséis (26) contempladas en el PIC: (i) diez (10) por contrato y (ii) dieciséis (16) internas. Adicionalmente, durante la vigencia evaluada se realizó un (1) Diplomado en Gestión Documental, para el equipo de Canal Capital.</t>
  </si>
  <si>
    <t>T3: Para el tercer trimestre de 2022, se evidenció una mayor participación en las capacitaciones adelantadas en la entidad, ya que se alcanzó una asistencia y participación del 53,74% de colaboradores para dichas sesiones. Sumado a ello, con la profesional en psicología se llevaron a cabo talleres de; trabajo en equipo, solución de conflictos, valores institucionales, riesgo psicosocial y sentido de pertenencia por la entidad. Por su parte, en relación al software de nómina, se identificaron las características de contratación para ello y actualmente nos encontramos en proceso de cotización con empresas que dispongan de una herramienta que cuente con las características que requiere Capital para la gestión de su nómina. Sobre ello se destaca que se han validado varias ofertas; sin embargo se ha continuado con las negociaciones a raíz de algunos asuntos de presupuesto que deben ser tenidos en cuenta para ello. 
T4: Para el cuarto trimestre de 2022, se evidenció mayor participación en las capacitaciones adelantadas en la entidad; dado que se alcanzó una asistencia y participación del 69,8% de colaboradores para dichas sesiones, destacando que la meta planteada era del 60, lo cual arroja un sobrecumplimiento de esta acción. Adicionalmente, con la profesional en psicología se dio continuidad a los talleres de: trabajo en equipo, solución de conflictos, valores institucionales, riesgo psicosocial y sentido de pertenencia por la entidad. También, se participó junto con el Servicio Civil en la medición de clima laboral, para así identificar fortalezas y oportunidades de mejora por implementar en posibles acciones futuras. En concordancia con la actualización del normograma institucional, la legislación vigente y las herramientas de reportes de información diseñadas por el DASCD (SST en línea) y la ARL Seguros Bolívar (guardián) se viene realizando retención documental de acuerdo a los lineamientos definidos en la Resolución 0312 de 2019. Adicionalmente, se identificaron los documentos del Sistema de Gestión de Seguridad y Salud en el Trabajo que requieren actualización de acuerdo con los resultados de los procesos de auditoria interna realizados por la entidad. Por su parte, en relación al software de nómina, se identificaron las características de contratación para ello, Para este punto, en Canal Capital se adelantó la contratación de un nuevo software, de acuerdo a las necesidades específicas de la entidad, para lo cual se adjuntan las evidencias solicitadas en la página de SECOP II, mediante el siguiente enlace: https://community.secop.gov.co/Public/Tendering/OpportunityDetail/Index?noticeUID=CO1.NTC.3672145&amp;isFromPublicArea=True&amp;isModal=False.</t>
  </si>
  <si>
    <t>T3: Para el tercer trimestre de 2022, se tenian programadas diecisiete (17) actividades, de las cuales se realizaron un total de veintitrés (23). Dichas actividades se encontraban distribuidas de la siguiente manera: (i) diecisiete (17) contempladas en el cronograma del Plan de Bienestar e Incentivos - PIC y (ii) seis (6) adicionales como valor agregado.
T4: Para el cuarto trimestre de 2022, se tenian programadas dieciocho (18) actividades, de las cuales se realizaron un total de veintiséis (26). Dichas actividades se encontraban distribuidas de la siguiente manera: (i) dieciocho (18) contempladas en el cronograma del Plan de Bienestar e Incentivos - PIC y (ii) ocho (8) adicionales como valor agregado.</t>
  </si>
  <si>
    <t>T3: Se llevaron a cabo las actividades de inversión definidas en el Plan de Trabajo diseñado con la ARL: (i) Asesoría COVID y EPP; (ii) Jornadas mensuales de pausas activas; (iii) Capacitación en prevención y manejo de emergencias; (iv) seguridad vial y (v) ejecución del programa de riesgo psicosocial. En el marco del Plan de Trabajo del Sistema de Gestión de la Seguridad y Salud en el Trabajo (SGSST) para la vigencia 2022, se conformó el COPAST para los años 2022-2024 mediante la Resolución No. 137 de 2022 y se adelantaron las reuniones programadas para el  el Comité de Convivencia Laboral y el Comité paritario de Seguridad en el Trabajo.
T4: Se llevaron a cabo las actividades de inversión definidas en el Plan de Trabajo diseñado con la ARL: (i) Asesoría COVID y EPP; (ii) Jornadas mensuales de pausas activas; (iii) Capacitación en prevención y manejo de emergencias; (iv) riesgo eléctrico y (v) ejecución del programa de riesgo psicosocial. En el marco del Plan de Trabajo del Sistema de Gestión de la Seguridad y Salud en el Trabajo (SGSST) para la vigencia 2022, se realizaron los exámenes médicos ocupacionales periódicos  y se adelantaron las reuniones programadas para el  el Comité de Convivencia Laboral y el Comité Paritario de Seguridad y Salud en el Trabajo.</t>
  </si>
  <si>
    <t>T3: Implementación de actividades con el objeto de incentivar el conocimiento del Código de Integridad de Canal Capital, de las cuales se destaca lo siguiente: (i) Se realizó un autodiagnostico de conflictos de interés para identificar algunas acciones por ejecutar para reducir el riesgo de que se materialice un escenario o caso de conflictos de interés; (ii) participación en cinco (5) capacitaciones, las primeras cuatro (4) fueron dictadas en el mes de julio por parte de la Veeduría Distrital en el marco de la semana de la Transparencia y otra capacitación en el mes de agosto relacionada con Rendición de cuentas; (iii) divulgación de los valores de la entidad en los canales de comunicación interna como: Boletines internos, comunicado actividades de bienestar y capacitación. Adicional a lo anterior, se adelantó una acción para que los directivos participen de la divulgación del codigo de integridad solicitando una cita a cada uno de ellos para que describieran la manera en que aplican un valor institucional junto con su foto. Dicha información ya se encuentra recopilada y esta se envió al equipo de Comunicaciones de la entidad para la creación de las piezas graficas pendientes por ser divulgadas.
T4: Implementación de actividades con el objeto de incentivar el conocimiento del Código de Integridad de Canal Capital, de las cuales se destaca lo siguiente: (i) Se realizó una actividad donde participaron los directivos de la entidad en la divulgación de los valores del Código de integridad, la estrategia consiste en la creación de piezas graficas donde por cada valor el directivo cita una frase de como lo aplica en sus actividades laborales; (ii) participación en seis (6) capacitaciones, las primeras cinco (5) fueron dictadas en los meses de noviembre y diciembre por parte de las entidades Secretaría Distrital, Función Pública con respecto a transparencia, inclusión y lucha contra la corrupción  y otra capacitación interna por parte de los nuevos gestores de integridad de la entidad, llamada cultura de la integridad donde nos dan a conocer el manual y al mismo tiempo sus funciones como gestores; (iii) divulgación de los valores de la entidad en los canales de comunicación interna como: Boletines internos, comunicado actividades de bienestar y capacitación.</t>
  </si>
  <si>
    <t>T3: Respecto a las socializaciones necesarias para la divulgación del contenido del Plan de Austeridad, durante el tercer trimestre de 2022, se llevaron a cabo dos (2) socializaciones a través de Boletines Internos de la entidad, dirigidos a todos los colaboradores de la misma. Sumado a ello, el treinta (30) de septiembre se realizó solicitud al área de Comunicaciones para gestionar una tercera socialización. Frente a la realización de informes sobre el Plan de Austeridad, en relación a lo dictado en el artículo 30 del Decreto Distrital 492 de 2019, en el mes de julio de 2022 se remitió la comunicación correspondiente a la Secretaría de Cultura, Recreación y Deporte en donde se consignó la información relacionada con el informe semestral del Plan de Austeridad de Canal Capital, teniendo como base el requerimiento de información por parte de dicha  Secretaría que data del siete (7) de julio del año en curso.
T4: Respecto a las socializaciones necesarias para la divulgación del contenido del Plan de Austeridad, durante el cuarto trimestre de 2022, se llevaron a cabo cuatro (4) socializaciones a través de Boletines Internos de la entidad, dirigidos a todos los colaboradores de la misma. Frente a la realización de informes sobre el Plan de Austeridad, en relación a lo dictado en el artículo 30 del Decreto Distrital 492 de 2019, en el mes de julio de 2022 se remitió la comunicación correspondiente a la Secretaría de Cultura, previendose lo mismo para el mes de enero de 2023 en relación al segundo semestre de 2022. Adicionalmente, en el mes de octubre de 2022, mediante Memorando 1024 dirigido a la Oficina de Control Interno, se remitió la información correspondiente al seguimiento del Plan de Austeridad durante el tercer trimestre de la vigencia 2022, aunado a la realización de una Mesa de Trabajo en el mes de diciembre para socializar y precisar los resultados arrojados a  partir del seguimiento de octubre de 2022.</t>
  </si>
  <si>
    <t>T3: Se efectuaron capacitaciones del nuevo manual de supervision del canal en los días 13 y 21 de julio de 2022, respectivamente, se deja como evidencia las invitaciones a las sesiones de capacitación e igualmente, grabación de fecha del 13 de julio de 2022.
T4: Durante el último trimestre de 2022 no se adelantó capacitación alguna. Las últimas capacitaciones sobre temas relacionados con las actividades de supervisión de los contratos, se efectuaron los días 13 y 21 de septiembre de 2022, cuando se adelantó por parte de la Secretaría General, dos sesiones sobre los estudios previos y los nuevos formatos en que se deben elaborar tales documentos previo a que se efectue cualquier proceso de contratación; sin embargo, en el tercer trimestre de 2022 se cumplieron con el 100% de las actividades propuestas. .</t>
  </si>
  <si>
    <t xml:space="preserve">T3: 1 y 2. En relación a las solicitudes realizadas a Yuly Tatiana Palacios Vargas del Grupo Sistema de Información Disciplinario de la Dirección Distrital de Asuntos Disciplinarios - DDAD, se avanzó en la etapa inicial del cargue de los procesos disciplinarios adelantados actualmente en la entidad en el Sistema de Información Disciplinaria - SID y se ha venido realizando el seguimiento correspondiente a cada uno de ellos en un enlace Drive dispuesto para ello; Sin embargo la actualización de los mismos, no se ha podido llevar a cabo en su totalidad en razón a inconvenientes generados con la herramienta y con los permisos otorgados a cada uno de los perfiles asignados a los usuarios solicitados, por lo que se elevó solicitud nuevamente a Yuly Palacios para que nos diera un espacio y pudieramos abordar los obstáculos mencionados. 3. Con ocasión de la entrada en vigencia de la Ley 1952 de 2019, modificada por la Ley 2094 de 2021, se llevó a cabo reunión el 22 de septiembre en la que se dispuso que con ocasión del documento de cargas laborales actualizado y las modificaciones al manual específico de funciones y competencias laborales, se debería incluir al procedimiento disciplinario, el procedimiento verbal y la división de roles, por lo que se programó una nueva reunión para el 30 de septiembre para ir avanzando en lo mencionado anteriormente.
T4: 1. Se avanzó en la etapa del cargue de los procesos disciplinarios adelantados actualmente en la entidad en el Sistema de Información Disciplinaria - SID, de tal manera que para este informe todos los procesos disciplinarios que se tienen en curso y archivados ya se encuentranb reportados en el sistema. Así mismo, tambien se ha realizado el seguimiento correspondiente a cada uno de ellos en un enlace Drive dispuesto para ello. 2. Se realizó la actualización del procedimiento y la caracterización del proceso de gestión jurídica y contractual, incluyendo el proceso disciplinario, con el fin de adjuntarlo a la solicitud presentada ante el Departamento Administrativo del Servicio Distrital; sin embargo, no ha sido aprobado en su versión final hasta tanto se creen los cargos requeridos para dar cumplimiento a lo establecido en la Ley 1952 de 2019, modificada por la Ley 2094 de 2021 referente a la división de roles. La solicitud de concepto técnico favorable para la creación de estos cargos tambien está en trámite ante el Departamento Administrativo del Servicio Distrital, actualmente la entidad se encuentra en trámite de las observaciones remitidas. </t>
  </si>
  <si>
    <t xml:space="preserve">T3: Se elevó solicitud a la Secretaría Jurídica Distrital para que que se programara una capacitación en relacionado con la Política de Prevención del Daño Antijurídico para los colaboradores del Canal, y en tal sentido se llevó a cabo una capacitación el 29 de juio de 2022, respecto de la socialización de la Directiva 025 de 2018, en la que se informó la importancia de la formulación y adopción de la Política de Prevención del Daño Antijurídico por parte de los Comités de Conciliación de organismos y entidades distritales. Adicional a ello, se llevó a cabo una nueva capacitación en materia de contrato realidad, la cual se desarrolló el 8 de agosto de 2022.
T4:Se tenía previsto realizar para este trimestre las 2 capacitaciones faltantes, pero no fue posible su programación dentro del mismo. En ese orden de ideas, se pretende solicitar apoyo de la Secretaría Jurídica Distrital a efectos de coordinar con ella la planeación y ejecución de las capacitaciones previstas , y más aun teniendo en cuenta las nuevas directrices impartidas en materia de celebración de contratos de prestación de servicios, de cara a identificar riesgos y prevenirlos en marco de un daño antijurídico. </t>
  </si>
  <si>
    <t>T3: Se creó el formato para asignación de turnos que permita a su vez medir el tiempo de atención a la ciudadanía en el canal presencial el cual fue socializado a través de meet con la auxiliar de recepción y correspondencia. Se creó la encuesta  para identificar mejoras en los canales de atención virtual y telefónico la cual fue difundida a través de redes sociales y correo electrónico durante mes y medio para poder realizar el análisis pertinente.
T4: Se implementó el formato control tiempo de atención en el canal presencial, el cual fue socializado con la funcionaria de recepción. Este se puede encontrar en el enlace: https://docs.google.com/spreadsheets/d/1D12RUxX39FOeF9CQ4VV0WA3OZjBnwooY/edit?usp=sharing&amp;ouid=110494843013416532841&amp;rtpof=true&amp;sd=true
Se realizó el análisis de la encuesta para identificar mejoras en los canales de atención virtual y telefónico le cual fue remitido desde Secretaría General a las áreas competentes para la implementación de las mejoras.</t>
  </si>
  <si>
    <t>T3: Para el trimestre se recibieron 116 peticiones de las cuales se respondieron durante el periodo 120 peticiones, esto teniendo en cuenta que las peticiones cerradas durante el periodo incluyen algunas peticiones registradas en el trimestre anterior. https://www.canalcapital.gov.co/content/informe-pqrs
T4: Para el trimestre se recibieron 78 peticiones de las cuales se respondieron durante el periodo 74 peticiones, esto teniendo en cuenta que las peticiones cerradas durante el periodo incluyen algunas peticiones registradas en el trimestre anterior. 
https://www.canalcapital.gov.co/content/informe-pqrs</t>
  </si>
  <si>
    <t xml:space="preserve">T3: Los resultados obtenidos se dan teniendo presente las actividades cumplidas con corte al reporte del este indicador. Se avisa que la actividad sobre jornadas de autocontrol se habia contemplado su realizacion posterior a la reunion o actividades de reinduccion que estaban programadas desde talento humano. Esto con el fin de reforzar la informacion que se iba a presentar en la reinduccion. Finalmente se decidio no adelantar la jornada de reinduccion por lo que la actividades propias de las jornadas de autocontrol se adelantaran en el ultimo trimestre de la vigencia. El resultado obtenido para el trimestre de reporte se mantiene en el rango de muy satisfactorio.
T4: El resultado obedece a la ejecución de las actividades programadas y pendientes para el ultimo trimestre de la vigencia 2022. Se logro el cumplimiento dela meta señalada en la hoja de vida del indicador. </t>
  </si>
  <si>
    <t>T3: El resultado obtenido es gracias a la gestion realizada en el reporte por las areas correspondientes. Reportaron avances en relación con las activiades propuestas, los cuales fueron evidenciagos con los soportes necesarios reportados por cada una de las dependencias. 
T4: Producto del tercer seguimiento al PAAC se observaron avances en la ejecución de las actividades formuladas aun cuando según la fecha de terminacion programadas quedaron seis acciones incumplidas de las siguientes areas: gestion documental, sistemas y talento humano.</t>
  </si>
  <si>
    <t xml:space="preserve">T3: No aplica reporte, teniendo en cuenta lo requerido por el área respecto al seguimiento semestral de la acción
T4: El reporte se efectua exclusivamente sobre las acciones formuladas en el mapa de riesgos por procesos. Se solicita al area de planeacion mesa de trabajo para el ajuste del denominador toda vez que la politica de administración de riesgos no contempla acciones susceptibles del mismo seguimiento del mapá de riesgos. Para la vigencia 2023 se ajustará la formulacion del indicador para que se de cuenta del avance en el cumplimiento de la poltica de administracion del riesgo. Los resultados obtenidos se da en razon a que el último seguimiento se realizó posterior a la actualizacion de las fechas programadas en el mapa de riesgos y en las actividades de control. El resultado final de la vigencia quedo por encima de la meta establecida y el rango muy satisfactorio. </t>
  </si>
  <si>
    <t xml:space="preserve">T3: Durante el tercer trimestre no se realizaron ajustes al Plan anual de auditoria. 
T4: Durante el tercer trimestre no se realizaron ajustes al Plan anual de auditoria. </t>
  </si>
  <si>
    <t xml:space="preserve">S2: Resultado de las evaluaciones remitidas por parte de los procesos de gestión jurídica (2), Planeación y Gestión Técnica, objeto de evaluación durante el segundo semestre de la vigencia se mantiene el indicador en el rango de tolerancia "Muy satisfactorio"; lo anterior, como producto de las mesas de trabajo y socialización de avances en el tiempo de auditoría. Lo anterior, será socializado en el primer CICCI de la vigencia 2023. </t>
  </si>
  <si>
    <t>T3: El indicador se encuentra en estado de alerta presentando un grado de cumplimiento del 59,66%, teniendo en cuenta que a dicho corte los gastos adquiridos por los compromisos financiados con recursos propios son superiores a los ingresos de recursos propios. Se espera para finalizar la vigencia la suscripción de contratos y convenios y el incremento de los recaudos que permitan mejorar el flujo de efectivo y equilibrar los gatos frente a los ingresos.
T4: Al cierre de la vigencia 2022 el indicador quedo en estado de alerta, dado que presentó un porcentaje de cumplimiento del 89,77% por lo que se indica que los compromisos adquiridos a 31 de diciembre de 2022 superaron el recaudo con corte a la misma fecha.  la diferencia entre los compromisos y los recaudos asciende a la suma de $1172568248; es de aclarar que los giros de dichos compromisos están respaldados con las suscripciones de convenios y saldos que están pendientes de recaudo.</t>
  </si>
  <si>
    <t xml:space="preserve">T3: Durante el tercer trimestre se evidenció que el promedio de pagos inferior a 5 días corresponde al 88,83% dado que se da prioridad a los contratistas persona naturales generando un inicador favorable dentro del ciclo de pagos de la Subdirección Financiera. Sin embargo, los pagos efecutados a Proveedores se realizan dentro de los tiempos pactados. 
T4: Durante el último trimestre de la vigencia 2022, se evidneció que los pago dentro de los 5 días después de su radicación en la Subdirección Financiera, supera el 80% generando un indicador favorable dentro del ciclo de pagos. No obstante, al revisar el comportamiento de este indicador durante la vigencia se puede reflejar qie todos los meses superaron el 80% con exepción del mes de enero, generando un promedio anual de 86.19% siendo este un indicador satisfactorio. </t>
  </si>
  <si>
    <t>T3: Para el tercer trimestre de 2022, encontramos como ingreso más representativo dos aportes de capital realizados por la Secretaria de Hacienda por valor de $7,000 millones de pesos, lo que hizo contar con un flujo de caja adecuado para sufragar los gastos permanentes que se mantuvieron en un promedio de $ 3,190 millones mensuales. Manteniendo así  una disponibilidad de recursos de $6,500  millones de pesos.
T4: Para el cuarto trimestre de 2022, se generó el ingreso total de la adición por valor de $5,000 millones por parte de la Secretaria de Hacienda, junto al ingreso del saldo de aporte ordinario por valor de $2,329 millones. Razón por lo cual el ingreso en este periódo es mayor. Ahora con lo que tiene que ver con los desembolsos o giros su mayor parte se dió en el mes de diciembre con un promedio de $ 3,397 millones de pesos. Lo anterior la disponibilidad en caja fue de $8,029 millones de pesos.</t>
  </si>
  <si>
    <t>T3: A 30 de septiembre de 2022 se obtubo una gestion de cobro 88.91% del total de servicios facturados por venta de servicios al cierre del trimestre y realizando la compraración con el total del recaudo de dichos servicios facturados en el tercer trimestre de 2022 (cabe indicar que este recaudo es bruto, es decir se incluyen los descuentos que realizaron los clientes). Quedó un saldo cartera por recolectar (este monto solo hace alusion al trimestre) de $194.100.865 Cabe resaltar que el 94.43% de los recursos pendientes por recaudo corresponden a facturas emitidas en el mes de septiembre de 2022.
T4: A 31 de diciembre de 2022 se obtubo una gestion de cobro 59.21% del total de servicios facturados por venta de servicios al cierre del cuarto trimestre y realizando la compraración con el total del recaudo de dichos servicios facturados en el cuarto trimestre de 2022 (cabe indicar que este recaudo es bruto, es decir se incluyen los descuentos que realizaron los clientes). Quedó un saldo cartera por recolectar (este monto solo hace alusion al trimestre) de $3.511 millones, cabe resaltar que este trimestre no se cumplio con la meta de recaudo por varias razones 1. Varias facturas se elaboraron despues del 23 de diciembre fecha en la cual la Secretaria de Hacienda hizo cierre de giros de la vigencia y por tanto las facturas quedaron en cuentas por pagar. 2. Al firmarse el contrato 974 de 2022 en octubre algunas de las  alcaldias locales  no alcanzaron a programar el PAC para el pago en diciembre por tanto se emitio la factura pero quedo pendiente el pago.</t>
  </si>
  <si>
    <t>T3: En el tercer trimestre la Subdirección Financiera emitio tres comunicados Internos: El 29 de julio por el área de Tesorería informando la forma agil de realizar los pagos a traves del PSE. El día 26 y el día 29 de agosto por el área de contabilidad emitio dos comunicados informando la actualización de los procedimientos y formatos.
T4: En el último trimestre se generaron tres piezas comunicativas así: El día 22 de septiembre se publicó Pieza comunicativa del área de presupuesto sobre Solicitud de Disponibilidad Presupuestal. El día 20 de octubre el área de presupuesto del cronograma presupuestal. 
El 27 de diciembre se publicó pieza comunicativa del área de Tesoreía sobre los horarios bancarios en temporada de fin de año. Para el cierre del año 2022 se dio cumplimiento a las 11 piezas comunicativas propuestas.</t>
  </si>
  <si>
    <t>T3: A la fecha se han atendido los compromisos con grupos étnicos, etarios y sectores sociales a partir de la participación en los espacios convocados, el acompañamiento a las becas que se gestionan en articulación con Secretaría de Cultura Recreación y Deporte, la Beca para la comunicación comunitaria de los grupos étnicos que se encuentra en periodo de ejecución hasta el 21 de noviembre y la Beca para la comunicación comunitaria 2022 que ya finalizó y cuyos productos se revisarán para determinar si cumplen con las condiciones para circular en las plataformas de Capital. Se ha cumplido con los reportes que dan cuenta de las acciones tendientes a las Políticas públicas, según la información consignada y discriminada en la Matriz de reporte de políticas públicas de la Dirección Operativa de Capital. Se ha propiciado la participación de la ciudadanía en los diferentes formatos y plataformas de Capital, principalmente a través del Canal Eureka que se enfoca en sectores etarios de infancia y juventud con enfoque diferencial y de género y Mesa Capital con programas como "La Pata que le falta a la mesa", sumado a la articulación constante con grupos étnicos. Así mismo, Digital ha avanzado de manera importante en producción de contenido que responde a la diversidad de las poblaciones y sus dinámicas de vida, con notas y visibilización de sus voces y procesos. Es importante avanzar en el fortalecimiento de medios comunitarios lideradxs por la ciudadanía más allá de las posibilidades que ofrecen las becas. Se realizarán encuentros con los grupos étnicos, etarios y los sectores sociales para revisar las acciones afirmativas concertadas y su adecuada implementación por parte de Capital. Se está consolidando un Plan de Acción interno para la implementación de los enfoques diferencial y de género en la dinámicas internas del Sistema de Comunicación Pública.
T4: Durante el cuatro trimestre de 2022 se llevó a cabo la participación de Capital en los diferentes espacios distritales de revisión y cierre de acciones correspondientes a la vigencia con las diferentes comunidades étnicas presentes en al ciudad. Así pues, la entidad dio a conocer a las comunidades los avances, retos y expectativas frente al cumplimiento de las acciones concertadas bajo el artículo 66 del Plan Distrital de Desarrollo. Asimismo, se tomaron en cuentas las percepciones de las comunidades cara a la consecución de objetivos para 2023, último año de implementación de las acciones afirmativas. A nivel poblacional, se realizaron los reportes correspondientes solicitados por las diferentes entidades rectoras de política, en aquellas donde Capital cuenta con participación y compromisos directos. Estos son: PP de Mujer y Equidad de Género, PP de atención a personas que ejercen actividades sexuales pagadas, PP LGBTI, PP de Juventud y PP de Deportes, Recreación, Actividad Física y Escenarios (DRAFE). Con lo anterior el Canal dio por culminada su participación en estos temas durante 2022 y estableció metas preliminares para el cumplimiento de compromisos en 2023.</t>
  </si>
  <si>
    <t>Tabla - Análisis de desempeño por Objetivo Estratégico</t>
  </si>
  <si>
    <t>Tabla - Análisis de desempeño por liderazgo estratégico</t>
  </si>
  <si>
    <t>Tabla - Análisis de desempeño por Estrategias</t>
  </si>
  <si>
    <t>Tabla - Análisis de desempeño por Proceso</t>
  </si>
  <si>
    <t>Proceso</t>
  </si>
  <si>
    <t>Gestión de negocios y proyectos estratégicos.</t>
  </si>
  <si>
    <t>Planeación estratégica.</t>
  </si>
  <si>
    <t>Gestión de las comunicaciones.</t>
  </si>
  <si>
    <t>Producción de Contenidos.</t>
  </si>
  <si>
    <t>Diseño y ejecución de la estrategia de circulación de contenidos.</t>
  </si>
  <si>
    <t>Gestión técnica de la realización y circulación de contenidos.</t>
  </si>
  <si>
    <t>Gestión digital para la creación, circulación y optimización de contenidos.</t>
  </si>
  <si>
    <t>Gestión del talento humano.</t>
  </si>
  <si>
    <t>Gestión de recursos administrativos.</t>
  </si>
  <si>
    <t>Gestión financiera y facturación.</t>
  </si>
  <si>
    <t>Gestión jurídica, contractual y control disciplinario.</t>
  </si>
  <si>
    <t>Servicio al ciudadano.</t>
  </si>
  <si>
    <t>Control, seguimiento y evaluación.</t>
  </si>
  <si>
    <t>Proceso relacionado</t>
  </si>
  <si>
    <t>MATRIZ DE SEGUIMIENTO AL PLAN DE ACCIÓN INSTITUCIONAL
CAPITAL - SISTEMA DE COMUNICACIÓN PÚBLICA
Corte: 31 de diciembre de 2022
Fecha de informe: 31 de enero de 2023</t>
  </si>
  <si>
    <t xml:space="preserve">C2: El resultado del segundo cuatrimestre obedece a las siguientes situaciones por área: - Comunicaciones falta de reporte para el periodo de seguimiento y avisan de falta de personal para el cumplimiento de las acciones; - Financiera reporta en la medida que van adelantando las acciones formuladas dejando en blanco aquellas donde no hay avance; - Gestion documental no reporta cumplimiento de acciones prorrogadas donde se han adelantado mesas de trabajo y ajustes a las acciones formuladas. - Control Interno en razon a un cambio en la metodologia de revision de los documentos para que sea vistos en clave del mapa de aseguramiento institucional. Se fortalecera la estrategia para el reporte del plan de mejoramiento por procesos, socializando dos veces por medio de comunicaciones internas las herramientas dispuestas para el uso de las areas y se dará continuidad a las mesas de trabajo para analizar los retrazos en el cumplimiento de las acciones. 
C3: De conformidad con el seguimiento adelantado al Plan de Mejoramiento por procesos con corte a 31 de diciembre de 2022, se evidencia una mejora frente al resultado del periodo anterior al pasar de un rango de tolerancia de "Alerta" a "Aceptable" sin embargo se hace necesario continuar con las mesas de trabajo e incluir acciones adicionales de comunicación que le permitan a las áreas del Canal gestionar de manera adecuada las acciones propuestas. Este resultado obedece principalmente a las debilidades de los reportes las áreas que más presentan rezago en el cumplimiento son Gestión Documental, Subdirección financiera y Subdirección administrativa. Con el fin de avanzar en el reporte se fortalecerá la estrategia para el reporte del plan de mejoramiento por procesos y se remitirán dos recordatorios a los diferentes responsables para asegurar un reporte más oportuno. </t>
  </si>
  <si>
    <t>Semestre 1</t>
  </si>
  <si>
    <t>Semestre 2</t>
  </si>
  <si>
    <t>C1: Este indicador de medición cuatrimestral ha tenido un desempeño satisfactorio y ha excedido la proyección propuesta para el 1er cuatrimestre de 2022 como se describe a continuación:Numerador: Valor en pesos de la venta cuatrimestral (BTL, ATL, Digital, pauta canal, transmisiones, proyecto audiovisual y recaudo pauta digital)ya que el valor en pesos de la venta semestral (BTL, ATL, Digital, pauta canal, transmisiones, proyecto audiovisual y recaudo pauta digital). AnálisisEn el periodo comprendido entre enero y abril de 2022 se ha tenido un avance en las ventas a través de suscripción de contratos, adiciones contractuales, ofertas comerciales (comunicación pública, ATL, BTL, producción audiovisual, transmisiones audiovisuales, estrategias 360o) y recaudos de pauta digital en plataformas y redes sociales de Capital. por contratos suscritos. Denominador: Valor en pesos de las ventas cuatrimestral proyectadas de Capital (BTL, ATL, Digital, pauta canal, transmisiones, proyecto audiovisual y recaudo pauta digital). Descripción de la información: Para el cálculo del denominador se tuvo en cuenta la Meta anual de ventas de $ 13´300.000.000 para Capital en 2022 valor aprobado en el plan de acción 2022. Análisis del resultado: Como resultado de la relación matemática se determina que el indicador para el cuatrimestre tuvo un avance del 12 %. Los resultados de esta medición serán acumulados a lo largo del año hasta alcanzar el 100 % total de cumplimiento para la vigencia. Por lo anterior se concluye se ha logrado avanzar de manera creciente en el logro del objetivo propuesto.</t>
  </si>
  <si>
    <t>C2: Este indicador de medición cuatrimestral ha tenido un desempeño "satisfactorio" a continuación la descripción de los datos suministrados: Numerador: Valor en pesos de la venta cuatrimestral (BTL, ATL, Digital, pauta canal, transmisiones, proyecto audiovisual y recaudo pauta digital)ya que el valor en pesos de la venta semestral (BTL, ATL, Digital, pauta canal, transmisiones, proyecto audiovisual y recaudo pauta digital) Descripción de la informació: En el periodo comprendido entre mayo y agosto de 2022 se ha tenido un avance en las ventas a través de suscripción de contratos, adiciones contractuales, ofertas comerciales (comunicación pública, ATL, BTL, producción audiovisual, transmisiones audiovisuales, estrategias 360o) y recaudos de pauta digital en plataformas y redes sociales de Capital por contratos suscritos. El valor alcanzado por ventas para el cuatrimestre fue de $ 2.507.038.825 y un acumulado en ventas de $ 4.058.226.182. Denominador: Valor en pesos de las ventas cuatrimestral proyectadas de Capital (BTL, ATL, Digital, pauta canal, transmisiones, proyecto audiovisual y recaudo pauta digital). Descripción de la información: Para el cálculo del denominador se tuvo en cuenta la Meta anual de ventas de $ 13´300.000.000 para Capital en 2022, valor aprobado en el plan de acción de la vigencia, se estima será necesario realizar una nueva proyección de este valor, ya sea en porcentaje o en valor total, debido a la buena dinámica de las ventas tenidas en los meses de septiembre y octubre, este valor se analizará y ajustará conforme se analice la información con la gerencia.Análisis del resultado: Como resultado de la relación matemática se determinó que el indicador para el segundo cuatrimestre alcanzó un resultado del 31.24 %. Con base en este resultado se realizará la revisión y tendencia de ventas para el 3er cuatrimestre y en caso encontrar la misma dinámica del indicador se procederá a reestructurar la meta o el porcentaje del denominador según se considere pertinente. Los resultados de esta medición serán acumulados a lo largo del año hasta alcanzar el 100 % total de cumplimiento para la vigencia. Por lo anterior se concluye se ha logrado avanzar de manera creciente en el logro del objetivo propuesto.
C3: Este indicador de medición cuatrimestral ha tenido un desempeño "satisfactorio" a continuación la descripción de los datos suministrados: Numerador: Valor en pesos de la venta cuatrimestral (BTL, ATL, Digital, pauta canal, transmisiones, proyecto audiovisual y recaudo pauta digital)ya que el valor en pesos de la venta semestral (BTL, ATL, Digital, pauta canal, transmisiones, proyecto audiovisual y recaudo pauta digital) Descripción de la información: En el periodo comprendido entre septiembre y diciembre de 2022 se ha tenido un avance en las ventas a través de suscripción de contratos, adiciones contractuales, ofertas comerciales (comunicación pública, ATL, BTL, producción audiovisual, transmisiones audiovisuales, estrategias 360o) y recaudos de pauta digital en plataformas y redes sociales de Capital por contratos suscritos. El valor alcanzado por ventas para el cuatrimestre fue de $ 9.306.684.715 y un acumulado en ventas de $ 13.336.944.903. Denominador: Valor en pesos de las ventas cuatrimestral proyectadas de Capital (BTL, ATL, Digital, pauta canal, transmisiones, proyecto audiovisual y recaudo pauta digital). Descripción de la información: Para el cálculo del denominador se tuvo en cuenta la Meta anual de ventas de $ 13´300.000.000 para Capital en 2022. Análisis del resultado: Como resultado de la relación matemática se determinó que el indicador para el tercer cuatrimestre alcanzó un resultado del 100 %, la tendencia a lo largo del año fue de aumento de las ventas respecto a la meta inicial planteada para 2022, razón por la cual fue necesario ajustar los valores parciales y totales en cada trimestre, dichos cambios fueron realizados con la orientación del equipo de planeación. Este resultado obedece a la excelente gestión del equipo del proceso de gestión de negocios y proyectos estratégicos y a los planes de trabajo internos desarrollados por los lideres del mismo tanto  para la consecusión de clientes como el seguimiento detallado de cada venta. Por lo anterior se concluye se ha logrado avanzar de manera creciente en el logro del objetivo propuesto.</t>
  </si>
  <si>
    <t>T3: Canal Capital presentó un déficit preliminar por valor de $2.291 millones de pesos al cierre del mes de septiembre, sustentado principalmente en el incremento en los costos y gastos de administración y operación.  De acuerdo con los indicadores financieros Canal Capital cuenta con un buen flujo de caja para atender las obligaciones del corto plazo.
T4: Para el cierre preliminar del periodo de diciembre de 2022 se presentó un excedente preliminar de $3.765 millones de pesos m/cte. Al corte preliminar del mes de diciembre de 2022 Canal Capital tiene un déficit acumulado de $44.936 millones, que equivale al 73% de los aportes sociales del Canal, por lo cual se sugiere especial atención dado que el déficit acumulado ha ido disminuyendo de manera considerable el patrimonio neto. De acuerdo con los indicadores financieros se observa que Canal Capital cuenta con un buen flujo de caja para atender las obligaciones del corto plazo. Se recomienda estudiar estrategias que favorezcan la generación u obtención de ingresos, así como racionalizar los costos y gastos con el fin de poder seguir produciendo utilidades al final de las vigencias fiscales. Nota: Las cifras correspondientes a diciembre se encuentran en revisión por parte de la revisoría fiscal, para el cierre de la vigencia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</si>
</sst>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quot;$&quot;* #,##0.00_-;\-&quot;$&quot;* #,##0.00_-;_-&quot;$&quot;* &quot;-&quot;??_-;_-@_-"/>
    <numFmt numFmtId="165" formatCode="0.0%"/>
    <numFmt numFmtId="166" formatCode="d/m/yyyy"/>
    <numFmt numFmtId="167" formatCode="0.0000%"/>
    <numFmt numFmtId="168" formatCode="0.000%"/>
  </numFmts>
  <fonts count="58" x14ac:knownFonts="1">
    <font>
      <sz val="11"/>
      <color theme="1"/>
      <name val="Calibri"/>
      <family val="2"/>
      <scheme val="minor"/>
    </font>
    <font>
      <sz val="10"/>
      <color theme="1"/>
      <name val="Arial"/>
      <family val="2"/>
    </font>
    <font>
      <b/>
      <sz val="10"/>
      <color theme="1"/>
      <name val="Arial"/>
      <family val="2"/>
    </font>
    <font>
      <sz val="8"/>
      <name val="Calibri"/>
      <family val="2"/>
      <scheme val="minor"/>
    </font>
    <font>
      <b/>
      <sz val="12"/>
      <color theme="1"/>
      <name val="Arial"/>
      <family val="2"/>
    </font>
    <font>
      <sz val="10"/>
      <color theme="0"/>
      <name val="Arial"/>
      <family val="2"/>
    </font>
    <font>
      <b/>
      <sz val="9"/>
      <color theme="1"/>
      <name val="Arial"/>
      <family val="2"/>
    </font>
    <font>
      <sz val="9"/>
      <color theme="1"/>
      <name val="Arial"/>
      <family val="2"/>
    </font>
    <font>
      <sz val="11"/>
      <color theme="1"/>
      <name val="Calibri"/>
      <family val="2"/>
      <scheme val="minor"/>
    </font>
    <font>
      <sz val="10"/>
      <name val="Arial"/>
      <family val="2"/>
    </font>
    <font>
      <i/>
      <sz val="10"/>
      <color theme="1"/>
      <name val="Arial"/>
      <family val="2"/>
    </font>
    <font>
      <b/>
      <sz val="11"/>
      <color theme="1"/>
      <name val="Calibri"/>
      <family val="2"/>
      <scheme val="minor"/>
    </font>
    <font>
      <u/>
      <sz val="11"/>
      <color theme="10"/>
      <name val="Calibri"/>
      <family val="2"/>
      <scheme val="minor"/>
    </font>
    <font>
      <sz val="11"/>
      <color theme="1"/>
      <name val="Calibri"/>
    </font>
    <font>
      <sz val="12"/>
      <color theme="1"/>
      <name val="Arial"/>
      <family val="2"/>
    </font>
    <font>
      <b/>
      <i/>
      <sz val="11"/>
      <color theme="1"/>
      <name val="Arial"/>
      <family val="2"/>
    </font>
    <font>
      <sz val="11"/>
      <name val="Calibri"/>
      <family val="2"/>
    </font>
    <font>
      <sz val="11"/>
      <color theme="1"/>
      <name val="Arial"/>
      <family val="2"/>
    </font>
    <font>
      <b/>
      <sz val="11"/>
      <color theme="1"/>
      <name val="Arial"/>
      <family val="2"/>
    </font>
    <font>
      <sz val="11"/>
      <color rgb="FFA5A5A5"/>
      <name val="Arial"/>
      <family val="2"/>
    </font>
    <font>
      <b/>
      <u/>
      <sz val="11"/>
      <color rgb="FFA5A5A5"/>
      <name val="Arial"/>
      <family val="2"/>
    </font>
    <font>
      <b/>
      <u/>
      <sz val="11"/>
      <color theme="1"/>
      <name val="Arial"/>
      <family val="2"/>
    </font>
    <font>
      <i/>
      <sz val="11"/>
      <color theme="1"/>
      <name val="Arial"/>
      <family val="2"/>
    </font>
    <font>
      <b/>
      <i/>
      <sz val="11"/>
      <color rgb="FFA5A5A5"/>
      <name val="Arial"/>
      <family val="2"/>
    </font>
    <font>
      <b/>
      <u/>
      <sz val="12"/>
      <color theme="1"/>
      <name val="Arial"/>
      <family val="2"/>
    </font>
    <font>
      <sz val="10"/>
      <color rgb="FF000000"/>
      <name val="Arial"/>
      <family val="2"/>
    </font>
    <font>
      <sz val="11"/>
      <color theme="1"/>
      <name val="Calibri"/>
      <family val="2"/>
    </font>
    <font>
      <b/>
      <i/>
      <sz val="12"/>
      <color theme="1"/>
      <name val="Arial"/>
      <family val="2"/>
    </font>
    <font>
      <sz val="12"/>
      <color rgb="FFA5A5A5"/>
      <name val="Arial"/>
      <family val="2"/>
    </font>
    <font>
      <b/>
      <u/>
      <sz val="12"/>
      <color rgb="FFA5A5A5"/>
      <name val="Arial"/>
      <family val="2"/>
    </font>
    <font>
      <sz val="12"/>
      <name val="Arial"/>
      <family val="2"/>
    </font>
    <font>
      <b/>
      <sz val="12"/>
      <name val="Arial"/>
      <family val="2"/>
    </font>
    <font>
      <b/>
      <i/>
      <sz val="11"/>
      <name val="Arial"/>
      <family val="2"/>
    </font>
    <font>
      <sz val="11"/>
      <name val="Arial"/>
      <family val="2"/>
    </font>
    <font>
      <b/>
      <sz val="11"/>
      <name val="Arial"/>
      <family val="2"/>
    </font>
    <font>
      <sz val="11"/>
      <color theme="0" tint="-0.34998626667073579"/>
      <name val="Arial"/>
      <family val="2"/>
    </font>
    <font>
      <b/>
      <u/>
      <sz val="11"/>
      <color theme="0" tint="-0.34998626667073579"/>
      <name val="Arial"/>
      <family val="2"/>
    </font>
    <font>
      <b/>
      <u/>
      <sz val="11"/>
      <name val="Arial"/>
      <family val="2"/>
    </font>
    <font>
      <i/>
      <sz val="11"/>
      <name val="Arial"/>
      <family val="2"/>
    </font>
    <font>
      <b/>
      <i/>
      <sz val="11"/>
      <color theme="0" tint="-0.34998626667073579"/>
      <name val="Arial"/>
      <family val="2"/>
    </font>
    <font>
      <b/>
      <u/>
      <sz val="12"/>
      <name val="Arial"/>
      <family val="2"/>
    </font>
    <font>
      <b/>
      <sz val="10"/>
      <color indexed="9"/>
      <name val="Arial"/>
      <family val="2"/>
    </font>
    <font>
      <b/>
      <sz val="10"/>
      <name val="Arial"/>
      <family val="2"/>
    </font>
    <font>
      <b/>
      <sz val="9"/>
      <color indexed="81"/>
      <name val="MingLiU_HKSCS"/>
      <family val="1"/>
    </font>
    <font>
      <b/>
      <sz val="9"/>
      <color indexed="81"/>
      <name val="Tahoma"/>
      <family val="2"/>
    </font>
    <font>
      <sz val="9"/>
      <color indexed="81"/>
      <name val="Tahoma"/>
      <family val="2"/>
    </font>
    <font>
      <b/>
      <i/>
      <sz val="10"/>
      <name val="Arial"/>
      <family val="2"/>
    </font>
    <font>
      <i/>
      <sz val="10"/>
      <name val="Arial"/>
      <family val="2"/>
    </font>
    <font>
      <b/>
      <u/>
      <sz val="10"/>
      <name val="Arial"/>
      <family val="2"/>
    </font>
    <font>
      <sz val="10"/>
      <color theme="0" tint="-0.499984740745262"/>
      <name val="Arial"/>
      <family val="2"/>
    </font>
    <font>
      <b/>
      <sz val="8"/>
      <color theme="1"/>
      <name val="Arial"/>
      <family val="2"/>
    </font>
    <font>
      <sz val="8"/>
      <color theme="1"/>
      <name val="Arial"/>
      <family val="2"/>
    </font>
    <font>
      <sz val="10"/>
      <color rgb="FFFF0000"/>
      <name val="Arial"/>
      <family val="2"/>
    </font>
    <font>
      <b/>
      <sz val="11"/>
      <color theme="0"/>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sz val="10"/>
      <color rgb="FFFF0000"/>
      <name val="Arial"/>
      <family val="2"/>
    </font>
  </fonts>
  <fills count="23">
    <fill>
      <patternFill patternType="none"/>
    </fill>
    <fill>
      <patternFill patternType="gray125"/>
    </fill>
    <fill>
      <patternFill patternType="solid">
        <fgColor theme="5"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theme="0"/>
      </patternFill>
    </fill>
    <fill>
      <patternFill patternType="solid">
        <fgColor rgb="FFF4B083"/>
        <bgColor rgb="FFF4B083"/>
      </patternFill>
    </fill>
    <fill>
      <patternFill patternType="solid">
        <fgColor rgb="FFFFFFFF"/>
        <bgColor rgb="FFFFFFFF"/>
      </patternFill>
    </fill>
    <fill>
      <patternFill patternType="solid">
        <fgColor theme="0"/>
        <bgColor indexed="64"/>
      </patternFill>
    </fill>
    <fill>
      <patternFill patternType="solid">
        <fgColor theme="5"/>
        <bgColor indexed="64"/>
      </patternFill>
    </fill>
    <fill>
      <patternFill patternType="solid">
        <fgColor theme="5" tint="0.39997558519241921"/>
        <bgColor rgb="FF000000"/>
      </patternFill>
    </fill>
    <fill>
      <patternFill patternType="solid">
        <fgColor theme="5" tint="0.39997558519241921"/>
        <bgColor theme="5"/>
      </patternFill>
    </fill>
    <fill>
      <patternFill patternType="solid">
        <fgColor theme="5" tint="0.39997558519241921"/>
        <bgColor rgb="FF7F7F7F"/>
      </patternFill>
    </fill>
    <fill>
      <patternFill patternType="solid">
        <fgColor theme="5" tint="0.39997558519241921"/>
        <bgColor rgb="FF003366"/>
      </patternFill>
    </fill>
    <fill>
      <patternFill patternType="solid">
        <fgColor theme="0" tint="-0.49998474074526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0" tint="-0.249977111117893"/>
        <bgColor indexed="64"/>
      </patternFill>
    </fill>
    <fill>
      <patternFill patternType="solid">
        <fgColor theme="5" tint="0.59999389629810485"/>
        <bgColor indexed="64"/>
      </patternFill>
    </fill>
  </fills>
  <borders count="1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diagonalUp="1" diagonalDown="1">
      <left style="thin">
        <color indexed="64"/>
      </left>
      <right style="medium">
        <color indexed="64"/>
      </right>
      <top style="thin">
        <color indexed="64"/>
      </top>
      <bottom style="thin">
        <color indexed="64"/>
      </bottom>
      <diagonal style="thin">
        <color indexed="64"/>
      </diagonal>
    </border>
    <border>
      <left/>
      <right style="medium">
        <color indexed="64"/>
      </right>
      <top/>
      <bottom style="thin">
        <color indexed="64"/>
      </bottom>
      <diagonal/>
    </border>
  </borders>
  <cellStyleXfs count="11">
    <xf numFmtId="0" fontId="0" fillId="0" borderId="0"/>
    <xf numFmtId="41" fontId="8" fillId="0" borderId="0" applyFont="0" applyFill="0" applyBorder="0" applyAlignment="0" applyProtection="0"/>
    <xf numFmtId="9" fontId="8" fillId="0" borderId="0" applyFont="0" applyFill="0" applyBorder="0" applyAlignment="0" applyProtection="0"/>
    <xf numFmtId="0" fontId="8" fillId="0" borderId="0"/>
    <xf numFmtId="0" fontId="12" fillId="0" borderId="0" applyNumberFormat="0" applyFill="0" applyBorder="0" applyAlignment="0" applyProtection="0"/>
    <xf numFmtId="0" fontId="13" fillId="0" borderId="0"/>
    <xf numFmtId="0" fontId="25" fillId="0" borderId="0"/>
    <xf numFmtId="9" fontId="25" fillId="0" borderId="0" applyFont="0" applyFill="0" applyBorder="0" applyAlignment="0" applyProtection="0"/>
    <xf numFmtId="0" fontId="9" fillId="0" borderId="0"/>
    <xf numFmtId="9" fontId="9" fillId="0" borderId="0" applyFont="0" applyFill="0" applyBorder="0" applyAlignment="0" applyProtection="0"/>
    <xf numFmtId="164" fontId="8" fillId="0" borderId="0" applyFont="0" applyFill="0" applyBorder="0" applyAlignment="0" applyProtection="0"/>
  </cellStyleXfs>
  <cellXfs count="906">
    <xf numFmtId="0" fontId="0" fillId="0" borderId="0" xfId="0"/>
    <xf numFmtId="0" fontId="1" fillId="0" borderId="0" xfId="0" applyFont="1"/>
    <xf numFmtId="0" fontId="5" fillId="0" borderId="0" xfId="0" applyFont="1"/>
    <xf numFmtId="0" fontId="1" fillId="0" borderId="0" xfId="0" applyFont="1" applyAlignment="1">
      <alignment horizontal="center"/>
    </xf>
    <xf numFmtId="0" fontId="1" fillId="0" borderId="13" xfId="0" applyFont="1" applyBorder="1" applyAlignment="1">
      <alignment horizontal="center"/>
    </xf>
    <xf numFmtId="0" fontId="7" fillId="0" borderId="0" xfId="0" applyFont="1"/>
    <xf numFmtId="0" fontId="7" fillId="0" borderId="4" xfId="0" applyFont="1" applyBorder="1"/>
    <xf numFmtId="0" fontId="6" fillId="3" borderId="4" xfId="0" applyFont="1" applyFill="1" applyBorder="1" applyAlignment="1">
      <alignment horizontal="center" vertical="center"/>
    </xf>
    <xf numFmtId="0" fontId="6" fillId="0" borderId="4" xfId="0" applyFont="1" applyBorder="1"/>
    <xf numFmtId="0" fontId="1" fillId="0" borderId="5" xfId="0" applyFont="1" applyBorder="1" applyAlignment="1">
      <alignment horizontal="center" vertical="center" wrapText="1"/>
    </xf>
    <xf numFmtId="0" fontId="6" fillId="0" borderId="0" xfId="0" applyFont="1"/>
    <xf numFmtId="0" fontId="7" fillId="3" borderId="4" xfId="0" applyFont="1" applyFill="1" applyBorder="1"/>
    <xf numFmtId="9" fontId="1" fillId="0" borderId="4" xfId="0" applyNumberFormat="1" applyFont="1" applyBorder="1" applyAlignment="1">
      <alignment horizontal="center" vertical="center" wrapText="1"/>
    </xf>
    <xf numFmtId="10" fontId="1"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4" xfId="2" applyFont="1" applyFill="1" applyBorder="1" applyAlignment="1">
      <alignment horizontal="center" vertical="center" wrapText="1"/>
    </xf>
    <xf numFmtId="0" fontId="2" fillId="0" borderId="0" xfId="0" applyFont="1" applyAlignment="1">
      <alignment horizontal="center" vertical="center"/>
    </xf>
    <xf numFmtId="165" fontId="1" fillId="0" borderId="4" xfId="2"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4" xfId="1" applyNumberFormat="1" applyFont="1" applyFill="1" applyBorder="1" applyAlignment="1">
      <alignment horizontal="center" vertical="center" wrapText="1"/>
    </xf>
    <xf numFmtId="41" fontId="1" fillId="0" borderId="4" xfId="1"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11" fillId="0" borderId="0" xfId="0" applyFont="1"/>
    <xf numFmtId="0" fontId="12" fillId="0" borderId="0" xfId="4"/>
    <xf numFmtId="0" fontId="11" fillId="4" borderId="19" xfId="0" applyFont="1" applyFill="1" applyBorder="1" applyAlignment="1">
      <alignment horizontal="center" vertical="center"/>
    </xf>
    <xf numFmtId="0" fontId="11" fillId="4" borderId="21" xfId="0" applyFont="1" applyFill="1" applyBorder="1" applyAlignment="1">
      <alignment horizontal="center" vertical="center"/>
    </xf>
    <xf numFmtId="0" fontId="0" fillId="0" borderId="0" xfId="0" applyAlignment="1">
      <alignment horizontal="center" vertical="center"/>
    </xf>
    <xf numFmtId="0" fontId="0" fillId="0" borderId="14" xfId="0" applyBorder="1" applyAlignment="1">
      <alignment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0" xfId="0" applyAlignment="1">
      <alignment vertical="center"/>
    </xf>
    <xf numFmtId="0" fontId="0" fillId="0" borderId="4" xfId="0" applyBorder="1" applyAlignment="1">
      <alignment horizontal="center" vertical="center"/>
    </xf>
    <xf numFmtId="0" fontId="11" fillId="4" borderId="4" xfId="0" applyFont="1" applyFill="1" applyBorder="1" applyAlignment="1">
      <alignment vertical="center"/>
    </xf>
    <xf numFmtId="0" fontId="11" fillId="4" borderId="33" xfId="0" applyFont="1" applyFill="1" applyBorder="1" applyAlignment="1">
      <alignment wrapText="1"/>
    </xf>
    <xf numFmtId="0" fontId="0" fillId="0" borderId="33" xfId="0" applyBorder="1" applyAlignment="1">
      <alignment wrapText="1"/>
    </xf>
    <xf numFmtId="0" fontId="11" fillId="4" borderId="4" xfId="0" applyFont="1" applyFill="1" applyBorder="1"/>
    <xf numFmtId="0" fontId="0" fillId="0" borderId="33" xfId="0" applyBorder="1" applyAlignment="1">
      <alignmen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11" fillId="4" borderId="1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4" fillId="5" borderId="34" xfId="5" applyFont="1" applyFill="1" applyBorder="1" applyAlignment="1">
      <alignment horizontal="center" vertical="center"/>
    </xf>
    <xf numFmtId="0" fontId="4" fillId="5" borderId="34" xfId="5" applyFont="1" applyFill="1" applyBorder="1" applyAlignment="1">
      <alignment horizontal="center" vertical="center"/>
    </xf>
    <xf numFmtId="0" fontId="13" fillId="0" borderId="0" xfId="5"/>
    <xf numFmtId="0" fontId="17" fillId="5" borderId="0" xfId="5" applyFont="1" applyFill="1" applyAlignment="1">
      <alignment vertical="center"/>
    </xf>
    <xf numFmtId="0" fontId="18" fillId="5" borderId="0" xfId="5" applyFont="1" applyFill="1" applyAlignment="1">
      <alignment horizontal="right" vertical="center"/>
    </xf>
    <xf numFmtId="0" fontId="19" fillId="5" borderId="0" xfId="5" applyFont="1" applyFill="1" applyAlignment="1">
      <alignment horizontal="left" vertical="center" wrapText="1"/>
    </xf>
    <xf numFmtId="0" fontId="20" fillId="5" borderId="0" xfId="5" applyFont="1" applyFill="1" applyAlignment="1">
      <alignment horizontal="left" vertical="center" wrapText="1"/>
    </xf>
    <xf numFmtId="0" fontId="21" fillId="5" borderId="0" xfId="5" applyFont="1" applyFill="1" applyAlignment="1">
      <alignment horizontal="left" vertical="center"/>
    </xf>
    <xf numFmtId="0" fontId="17" fillId="5" borderId="0" xfId="5" applyFont="1" applyFill="1" applyAlignment="1">
      <alignment horizontal="right" vertical="center"/>
    </xf>
    <xf numFmtId="0" fontId="18" fillId="5" borderId="0" xfId="5" applyFont="1" applyFill="1" applyAlignment="1">
      <alignment horizontal="center" vertical="center"/>
    </xf>
    <xf numFmtId="0" fontId="23" fillId="5" borderId="0" xfId="5" applyFont="1" applyFill="1" applyAlignment="1">
      <alignment horizontal="left" vertical="center" wrapText="1"/>
    </xf>
    <xf numFmtId="0" fontId="21" fillId="5" borderId="0" xfId="5" applyFont="1" applyFill="1" applyAlignment="1">
      <alignment vertical="center" wrapText="1"/>
    </xf>
    <xf numFmtId="0" fontId="21" fillId="5" borderId="0" xfId="5" applyFont="1" applyFill="1" applyAlignment="1">
      <alignment vertical="center"/>
    </xf>
    <xf numFmtId="0" fontId="24" fillId="5" borderId="35" xfId="5" applyFont="1" applyFill="1" applyBorder="1" applyAlignment="1">
      <alignment vertical="center" wrapText="1"/>
    </xf>
    <xf numFmtId="0" fontId="24" fillId="5" borderId="35" xfId="5" applyFont="1" applyFill="1" applyBorder="1" applyAlignment="1">
      <alignment vertical="center"/>
    </xf>
    <xf numFmtId="0" fontId="2" fillId="6" borderId="48" xfId="5" applyFont="1" applyFill="1" applyBorder="1" applyAlignment="1">
      <alignment horizontal="center" vertical="center" wrapText="1"/>
    </xf>
    <xf numFmtId="0" fontId="2" fillId="6" borderId="49" xfId="5" applyFont="1" applyFill="1" applyBorder="1" applyAlignment="1">
      <alignment horizontal="center" vertical="center" wrapText="1"/>
    </xf>
    <xf numFmtId="10" fontId="2" fillId="6" borderId="51" xfId="5" applyNumberFormat="1" applyFont="1" applyFill="1" applyBorder="1" applyAlignment="1">
      <alignment horizontal="center" vertical="center" wrapText="1"/>
    </xf>
    <xf numFmtId="0" fontId="25" fillId="0" borderId="52" xfId="5" applyFont="1" applyBorder="1" applyAlignment="1">
      <alignment horizontal="center" vertical="center" wrapText="1"/>
    </xf>
    <xf numFmtId="0" fontId="25" fillId="0" borderId="53" xfId="5" applyFont="1" applyBorder="1" applyAlignment="1">
      <alignment horizontal="left" vertical="center" wrapText="1"/>
    </xf>
    <xf numFmtId="0" fontId="25" fillId="0" borderId="53" xfId="5" applyFont="1" applyBorder="1" applyAlignment="1">
      <alignment horizontal="center" vertical="center" wrapText="1"/>
    </xf>
    <xf numFmtId="9" fontId="25" fillId="0" borderId="54" xfId="5" applyNumberFormat="1" applyFont="1" applyBorder="1" applyAlignment="1">
      <alignment horizontal="center" vertical="center" wrapText="1"/>
    </xf>
    <xf numFmtId="166" fontId="25" fillId="0" borderId="55" xfId="5" applyNumberFormat="1" applyFont="1" applyBorder="1" applyAlignment="1">
      <alignment horizontal="center" vertical="center" wrapText="1"/>
    </xf>
    <xf numFmtId="166" fontId="25" fillId="0" borderId="56" xfId="5" applyNumberFormat="1" applyFont="1" applyBorder="1" applyAlignment="1">
      <alignment horizontal="center" vertical="center" wrapText="1"/>
    </xf>
    <xf numFmtId="9" fontId="1" fillId="0" borderId="57" xfId="5" applyNumberFormat="1" applyFont="1" applyBorder="1" applyAlignment="1">
      <alignment horizontal="center" vertical="center" wrapText="1"/>
    </xf>
    <xf numFmtId="0" fontId="25" fillId="0" borderId="58" xfId="5" applyFont="1" applyBorder="1" applyAlignment="1">
      <alignment horizontal="left" vertical="center" wrapText="1"/>
    </xf>
    <xf numFmtId="0" fontId="25" fillId="0" borderId="45" xfId="5" applyFont="1" applyBorder="1" applyAlignment="1">
      <alignment horizontal="center" vertical="center" wrapText="1"/>
    </xf>
    <xf numFmtId="0" fontId="25" fillId="0" borderId="59" xfId="5" applyFont="1" applyBorder="1" applyAlignment="1">
      <alignment horizontal="left" vertical="center" wrapText="1"/>
    </xf>
    <xf numFmtId="0" fontId="25" fillId="0" borderId="59" xfId="5" applyFont="1" applyBorder="1" applyAlignment="1">
      <alignment horizontal="center" vertical="center" wrapText="1"/>
    </xf>
    <xf numFmtId="9" fontId="25" fillId="0" borderId="60" xfId="5" applyNumberFormat="1" applyFont="1" applyBorder="1" applyAlignment="1">
      <alignment horizontal="center" vertical="center" wrapText="1"/>
    </xf>
    <xf numFmtId="166" fontId="25" fillId="0" borderId="48" xfId="5" applyNumberFormat="1" applyFont="1" applyBorder="1" applyAlignment="1">
      <alignment horizontal="center" vertical="center" wrapText="1"/>
    </xf>
    <xf numFmtId="166" fontId="25" fillId="0" borderId="49" xfId="5" applyNumberFormat="1" applyFont="1" applyBorder="1" applyAlignment="1">
      <alignment horizontal="center" vertical="center" wrapText="1"/>
    </xf>
    <xf numFmtId="9" fontId="1" fillId="0" borderId="61" xfId="5" applyNumberFormat="1" applyFont="1" applyBorder="1" applyAlignment="1">
      <alignment horizontal="center" vertical="center" wrapText="1"/>
    </xf>
    <xf numFmtId="0" fontId="25" fillId="5" borderId="0" xfId="5" applyFont="1" applyFill="1" applyAlignment="1">
      <alignment horizontal="center" vertical="center" wrapText="1"/>
    </xf>
    <xf numFmtId="166" fontId="25" fillId="5" borderId="0" xfId="5" applyNumberFormat="1" applyFont="1" applyFill="1" applyAlignment="1">
      <alignment horizontal="center" vertical="center" wrapText="1"/>
    </xf>
    <xf numFmtId="0" fontId="25" fillId="5" borderId="55" xfId="5" applyFont="1" applyFill="1" applyBorder="1" applyAlignment="1">
      <alignment horizontal="center" vertical="center" wrapText="1"/>
    </xf>
    <xf numFmtId="166" fontId="25" fillId="5" borderId="56" xfId="5" applyNumberFormat="1" applyFont="1" applyFill="1" applyBorder="1" applyAlignment="1">
      <alignment horizontal="center" vertical="center" wrapText="1"/>
    </xf>
    <xf numFmtId="0" fontId="25" fillId="5" borderId="54" xfId="5" applyFont="1" applyFill="1" applyBorder="1" applyAlignment="1">
      <alignment horizontal="left" vertical="center" wrapText="1"/>
    </xf>
    <xf numFmtId="0" fontId="25" fillId="5" borderId="64" xfId="5" applyFont="1" applyFill="1" applyBorder="1" applyAlignment="1">
      <alignment horizontal="left" vertical="center" wrapText="1"/>
    </xf>
    <xf numFmtId="0" fontId="25" fillId="5" borderId="56" xfId="5" applyFont="1" applyFill="1" applyBorder="1" applyAlignment="1">
      <alignment horizontal="center" vertical="center" wrapText="1"/>
    </xf>
    <xf numFmtId="0" fontId="25" fillId="5" borderId="48" xfId="5" applyFont="1" applyFill="1" applyBorder="1" applyAlignment="1">
      <alignment horizontal="center" vertical="center" wrapText="1"/>
    </xf>
    <xf numFmtId="0" fontId="25" fillId="5" borderId="60" xfId="5" applyFont="1" applyFill="1" applyBorder="1" applyAlignment="1">
      <alignment horizontal="left" vertical="center" wrapText="1"/>
    </xf>
    <xf numFmtId="0" fontId="25" fillId="5" borderId="65" xfId="5" applyFont="1" applyFill="1" applyBorder="1" applyAlignment="1">
      <alignment horizontal="left" vertical="center" wrapText="1"/>
    </xf>
    <xf numFmtId="0" fontId="25" fillId="5" borderId="49" xfId="5" applyFont="1" applyFill="1" applyBorder="1" applyAlignment="1">
      <alignment horizontal="center" vertical="center" wrapText="1"/>
    </xf>
    <xf numFmtId="0" fontId="25" fillId="5" borderId="0" xfId="5" applyFont="1" applyFill="1" applyAlignment="1">
      <alignment horizontal="left" vertical="center" wrapText="1"/>
    </xf>
    <xf numFmtId="0" fontId="14" fillId="5" borderId="0" xfId="5" applyFont="1" applyFill="1" applyAlignment="1">
      <alignment horizontal="center" vertical="center"/>
    </xf>
    <xf numFmtId="0" fontId="22" fillId="5" borderId="0" xfId="5" applyFont="1" applyFill="1" applyAlignment="1">
      <alignment horizontal="left" vertical="center" wrapText="1"/>
    </xf>
    <xf numFmtId="0" fontId="14" fillId="5" borderId="35" xfId="5" applyFont="1" applyFill="1" applyBorder="1" applyAlignment="1">
      <alignment horizontal="center" vertical="center"/>
    </xf>
    <xf numFmtId="0" fontId="2" fillId="6" borderId="45" xfId="5" applyFont="1" applyFill="1" applyBorder="1" applyAlignment="1">
      <alignment horizontal="center" vertical="center" wrapText="1"/>
    </xf>
    <xf numFmtId="0" fontId="2" fillId="6" borderId="66" xfId="5" applyFont="1" applyFill="1" applyBorder="1" applyAlignment="1">
      <alignment horizontal="center" vertical="center" wrapText="1"/>
    </xf>
    <xf numFmtId="0" fontId="2" fillId="6" borderId="67" xfId="5" applyFont="1" applyFill="1" applyBorder="1" applyAlignment="1">
      <alignment vertical="center" wrapText="1"/>
    </xf>
    <xf numFmtId="0" fontId="25" fillId="0" borderId="58" xfId="5" applyFont="1" applyBorder="1" applyAlignment="1">
      <alignment horizontal="center" vertical="center" wrapText="1"/>
    </xf>
    <xf numFmtId="9" fontId="25" fillId="0" borderId="68" xfId="5" applyNumberFormat="1" applyFont="1" applyBorder="1" applyAlignment="1">
      <alignment horizontal="center" vertical="center" wrapText="1"/>
    </xf>
    <xf numFmtId="166" fontId="25" fillId="0" borderId="52" xfId="5" applyNumberFormat="1" applyFont="1" applyBorder="1" applyAlignment="1">
      <alignment horizontal="center" vertical="center" wrapText="1"/>
    </xf>
    <xf numFmtId="166" fontId="25" fillId="0" borderId="69" xfId="5" applyNumberFormat="1" applyFont="1" applyBorder="1" applyAlignment="1">
      <alignment horizontal="center" vertical="center" wrapText="1"/>
    </xf>
    <xf numFmtId="9" fontId="1" fillId="0" borderId="70" xfId="5" applyNumberFormat="1" applyFont="1" applyBorder="1" applyAlignment="1">
      <alignment horizontal="center" vertical="center" wrapText="1"/>
    </xf>
    <xf numFmtId="0" fontId="25" fillId="0" borderId="55" xfId="5" applyFont="1" applyBorder="1" applyAlignment="1">
      <alignment horizontal="center" vertical="center" wrapText="1"/>
    </xf>
    <xf numFmtId="9" fontId="1" fillId="0" borderId="71" xfId="5" applyNumberFormat="1" applyFont="1" applyBorder="1" applyAlignment="1">
      <alignment horizontal="center" vertical="center" wrapText="1"/>
    </xf>
    <xf numFmtId="9" fontId="1" fillId="0" borderId="72" xfId="5" applyNumberFormat="1" applyFont="1" applyBorder="1" applyAlignment="1">
      <alignment horizontal="center" vertical="center" wrapText="1"/>
    </xf>
    <xf numFmtId="0" fontId="1" fillId="5" borderId="0" xfId="5" applyFont="1" applyFill="1" applyAlignment="1">
      <alignment horizontal="left" vertical="center" wrapText="1"/>
    </xf>
    <xf numFmtId="0" fontId="2" fillId="6" borderId="51" xfId="5" applyFont="1" applyFill="1" applyBorder="1" applyAlignment="1">
      <alignment horizontal="center" vertical="center" wrapText="1"/>
    </xf>
    <xf numFmtId="0" fontId="1" fillId="0" borderId="0" xfId="5" applyFont="1" applyAlignment="1">
      <alignment horizontal="center" vertical="center" wrapText="1"/>
    </xf>
    <xf numFmtId="9" fontId="1" fillId="0" borderId="50" xfId="5" applyNumberFormat="1" applyFont="1" applyBorder="1" applyAlignment="1">
      <alignment horizontal="center" vertical="center" wrapText="1"/>
    </xf>
    <xf numFmtId="0" fontId="14" fillId="0" borderId="0" xfId="5" applyFont="1" applyAlignment="1">
      <alignment horizontal="center" vertical="center"/>
    </xf>
    <xf numFmtId="0" fontId="14" fillId="0" borderId="0" xfId="5" applyFont="1" applyAlignment="1">
      <alignment vertical="center"/>
    </xf>
    <xf numFmtId="0" fontId="14" fillId="0" borderId="0" xfId="5" applyFont="1" applyAlignment="1">
      <alignment vertical="center" wrapText="1"/>
    </xf>
    <xf numFmtId="0" fontId="14" fillId="7" borderId="0" xfId="5" applyFont="1" applyFill="1" applyAlignment="1">
      <alignment vertical="center"/>
    </xf>
    <xf numFmtId="0" fontId="14" fillId="7" borderId="34" xfId="5" applyFont="1" applyFill="1" applyBorder="1" applyAlignment="1">
      <alignment horizontal="center" vertical="center"/>
    </xf>
    <xf numFmtId="0" fontId="4" fillId="7" borderId="34" xfId="5" applyFont="1" applyFill="1" applyBorder="1" applyAlignment="1">
      <alignment horizontal="center" vertical="center"/>
    </xf>
    <xf numFmtId="0" fontId="14" fillId="7" borderId="34" xfId="5" applyFont="1" applyFill="1" applyBorder="1" applyAlignment="1">
      <alignment horizontal="left" vertical="center" wrapText="1"/>
    </xf>
    <xf numFmtId="0" fontId="25" fillId="0" borderId="0" xfId="5" applyFont="1"/>
    <xf numFmtId="0" fontId="14" fillId="7" borderId="0" xfId="5" applyFont="1" applyFill="1" applyAlignment="1">
      <alignment horizontal="center" vertical="center"/>
    </xf>
    <xf numFmtId="0" fontId="4" fillId="7" borderId="0" xfId="5" applyFont="1" applyFill="1" applyAlignment="1">
      <alignment horizontal="right" vertical="center"/>
    </xf>
    <xf numFmtId="0" fontId="28" fillId="7" borderId="0" xfId="5" applyFont="1" applyFill="1" applyAlignment="1">
      <alignment horizontal="left" vertical="center" wrapText="1"/>
    </xf>
    <xf numFmtId="0" fontId="29" fillId="7" borderId="0" xfId="5" applyFont="1" applyFill="1" applyAlignment="1">
      <alignment horizontal="left" vertical="center" wrapText="1"/>
    </xf>
    <xf numFmtId="0" fontId="24" fillId="7" borderId="0" xfId="5" applyFont="1" applyFill="1" applyAlignment="1">
      <alignment horizontal="left" vertical="center"/>
    </xf>
    <xf numFmtId="0" fontId="14" fillId="7" borderId="0" xfId="5" applyFont="1" applyFill="1" applyAlignment="1">
      <alignment horizontal="left" vertical="center" wrapText="1"/>
    </xf>
    <xf numFmtId="0" fontId="18" fillId="7" borderId="0" xfId="5" applyFont="1" applyFill="1" applyAlignment="1">
      <alignment horizontal="right" vertical="center"/>
    </xf>
    <xf numFmtId="0" fontId="17" fillId="7" borderId="0" xfId="5" applyFont="1" applyFill="1" applyAlignment="1">
      <alignment horizontal="right" vertical="center"/>
    </xf>
    <xf numFmtId="0" fontId="18" fillId="7" borderId="0" xfId="5" applyFont="1" applyFill="1" applyAlignment="1">
      <alignment horizontal="center" vertical="center"/>
    </xf>
    <xf numFmtId="0" fontId="17" fillId="7" borderId="0" xfId="5" applyFont="1" applyFill="1" applyAlignment="1">
      <alignment vertical="center"/>
    </xf>
    <xf numFmtId="0" fontId="23" fillId="7" borderId="0" xfId="5" applyFont="1" applyFill="1" applyAlignment="1">
      <alignment horizontal="left" vertical="center" wrapText="1"/>
    </xf>
    <xf numFmtId="0" fontId="17" fillId="7" borderId="0" xfId="5" applyFont="1" applyFill="1" applyAlignment="1">
      <alignment horizontal="left" vertical="center" wrapText="1"/>
    </xf>
    <xf numFmtId="0" fontId="22" fillId="7" borderId="0" xfId="5" applyFont="1" applyFill="1" applyAlignment="1">
      <alignment horizontal="left" vertical="center" wrapText="1"/>
    </xf>
    <xf numFmtId="0" fontId="21" fillId="7" borderId="0" xfId="5" applyFont="1" applyFill="1" applyAlignment="1">
      <alignment vertical="center" wrapText="1"/>
    </xf>
    <xf numFmtId="0" fontId="21" fillId="7" borderId="0" xfId="5" applyFont="1" applyFill="1" applyAlignment="1">
      <alignment vertical="center"/>
    </xf>
    <xf numFmtId="0" fontId="24" fillId="7" borderId="0" xfId="5" applyFont="1" applyFill="1" applyAlignment="1">
      <alignment vertical="center" wrapText="1"/>
    </xf>
    <xf numFmtId="0" fontId="24" fillId="7" borderId="0" xfId="5" applyFont="1" applyFill="1" applyAlignment="1">
      <alignment vertical="center"/>
    </xf>
    <xf numFmtId="0" fontId="1" fillId="7" borderId="0" xfId="5" applyFont="1" applyFill="1" applyAlignment="1">
      <alignment vertical="center"/>
    </xf>
    <xf numFmtId="0" fontId="1" fillId="0" borderId="0" xfId="5" applyFont="1" applyAlignment="1">
      <alignment vertical="center"/>
    </xf>
    <xf numFmtId="0" fontId="1" fillId="0" borderId="52" xfId="5" applyFont="1" applyBorder="1" applyAlignment="1">
      <alignment horizontal="center" vertical="center" wrapText="1"/>
    </xf>
    <xf numFmtId="0" fontId="25" fillId="5" borderId="58" xfId="5" applyFont="1" applyFill="1" applyBorder="1" applyAlignment="1">
      <alignment horizontal="center" vertical="center" wrapText="1"/>
    </xf>
    <xf numFmtId="0" fontId="1" fillId="5" borderId="58" xfId="5" applyFont="1" applyFill="1" applyBorder="1" applyAlignment="1">
      <alignment horizontal="center" vertical="center" wrapText="1"/>
    </xf>
    <xf numFmtId="9" fontId="1" fillId="5" borderId="58" xfId="5" applyNumberFormat="1" applyFont="1" applyFill="1" applyBorder="1" applyAlignment="1">
      <alignment horizontal="center" vertical="center" wrapText="1"/>
    </xf>
    <xf numFmtId="166" fontId="1" fillId="5" borderId="53" xfId="5" applyNumberFormat="1" applyFont="1" applyFill="1" applyBorder="1" applyAlignment="1">
      <alignment horizontal="center" vertical="center" wrapText="1"/>
    </xf>
    <xf numFmtId="0" fontId="1" fillId="5" borderId="69" xfId="5" applyFont="1" applyFill="1" applyBorder="1" applyAlignment="1">
      <alignment horizontal="center" vertical="center" wrapText="1"/>
    </xf>
    <xf numFmtId="0" fontId="1" fillId="0" borderId="55" xfId="5" applyFont="1" applyBorder="1" applyAlignment="1">
      <alignment horizontal="center" vertical="center" wrapText="1"/>
    </xf>
    <xf numFmtId="0" fontId="25" fillId="5" borderId="53" xfId="5" applyFont="1" applyFill="1" applyBorder="1" applyAlignment="1">
      <alignment horizontal="center" vertical="center" wrapText="1"/>
    </xf>
    <xf numFmtId="0" fontId="1" fillId="5" borderId="53" xfId="5" applyFont="1" applyFill="1" applyBorder="1" applyAlignment="1">
      <alignment horizontal="center" vertical="center" wrapText="1"/>
    </xf>
    <xf numFmtId="9" fontId="1" fillId="5" borderId="53" xfId="5" applyNumberFormat="1" applyFont="1" applyFill="1" applyBorder="1" applyAlignment="1">
      <alignment horizontal="center" vertical="center" wrapText="1"/>
    </xf>
    <xf numFmtId="0" fontId="1" fillId="5" borderId="56" xfId="5" applyFont="1" applyFill="1" applyBorder="1" applyAlignment="1">
      <alignment horizontal="center" vertical="center" wrapText="1"/>
    </xf>
    <xf numFmtId="0" fontId="1" fillId="0" borderId="48" xfId="5" applyFont="1" applyBorder="1" applyAlignment="1">
      <alignment horizontal="center" vertical="center" wrapText="1"/>
    </xf>
    <xf numFmtId="0" fontId="1" fillId="0" borderId="59" xfId="5" applyFont="1" applyBorder="1" applyAlignment="1">
      <alignment horizontal="left" vertical="center" wrapText="1"/>
    </xf>
    <xf numFmtId="0" fontId="1" fillId="0" borderId="59" xfId="5" applyFont="1" applyBorder="1" applyAlignment="1">
      <alignment horizontal="center" vertical="center" wrapText="1"/>
    </xf>
    <xf numFmtId="166" fontId="1" fillId="0" borderId="59" xfId="5" applyNumberFormat="1" applyFont="1" applyBorder="1" applyAlignment="1">
      <alignment horizontal="center" vertical="center" wrapText="1"/>
    </xf>
    <xf numFmtId="0" fontId="1" fillId="0" borderId="49" xfId="5" applyFont="1" applyBorder="1" applyAlignment="1">
      <alignment horizontal="left" vertical="center" wrapText="1"/>
    </xf>
    <xf numFmtId="0" fontId="14" fillId="0" borderId="0" xfId="5" applyFont="1" applyAlignment="1">
      <alignment horizontal="left" vertical="center" wrapText="1"/>
    </xf>
    <xf numFmtId="0" fontId="30" fillId="8" borderId="0" xfId="6" applyFont="1" applyFill="1" applyAlignment="1">
      <alignment vertical="center"/>
    </xf>
    <xf numFmtId="0" fontId="30" fillId="8" borderId="77" xfId="6" applyFont="1" applyFill="1" applyBorder="1" applyAlignment="1">
      <alignment horizontal="center" vertical="center"/>
    </xf>
    <xf numFmtId="0" fontId="31" fillId="8" borderId="77" xfId="6" applyFont="1" applyFill="1" applyBorder="1" applyAlignment="1">
      <alignment horizontal="center" vertical="center"/>
    </xf>
    <xf numFmtId="0" fontId="30" fillId="8" borderId="77" xfId="6" applyFont="1" applyFill="1" applyBorder="1" applyAlignment="1">
      <alignment horizontal="left" vertical="center" wrapText="1"/>
    </xf>
    <xf numFmtId="0" fontId="30" fillId="0" borderId="0" xfId="6" applyFont="1" applyAlignment="1">
      <alignment vertical="center"/>
    </xf>
    <xf numFmtId="0" fontId="30" fillId="8" borderId="0" xfId="6" applyFont="1" applyFill="1" applyAlignment="1">
      <alignment horizontal="center" vertical="center"/>
    </xf>
    <xf numFmtId="0" fontId="33" fillId="8" borderId="0" xfId="6" applyFont="1" applyFill="1" applyAlignment="1">
      <alignment vertical="center"/>
    </xf>
    <xf numFmtId="0" fontId="34" fillId="8" borderId="0" xfId="6" applyFont="1" applyFill="1" applyAlignment="1">
      <alignment horizontal="right" vertical="center" indent="2"/>
    </xf>
    <xf numFmtId="0" fontId="35" fillId="8" borderId="0" xfId="6" applyFont="1" applyFill="1" applyAlignment="1">
      <alignment horizontal="left" vertical="center" wrapText="1"/>
    </xf>
    <xf numFmtId="0" fontId="36" fillId="8" borderId="0" xfId="6" applyFont="1" applyFill="1" applyAlignment="1">
      <alignment horizontal="left" vertical="center" wrapText="1"/>
    </xf>
    <xf numFmtId="0" fontId="37" fillId="8" borderId="0" xfId="6" applyFont="1" applyFill="1" applyAlignment="1">
      <alignment horizontal="left" vertical="center"/>
    </xf>
    <xf numFmtId="0" fontId="33" fillId="8" borderId="0" xfId="6" applyFont="1" applyFill="1" applyAlignment="1">
      <alignment horizontal="left" vertical="center" wrapText="1"/>
    </xf>
    <xf numFmtId="0" fontId="34" fillId="8" borderId="0" xfId="6" applyFont="1" applyFill="1" applyAlignment="1">
      <alignment horizontal="right" vertical="center"/>
    </xf>
    <xf numFmtId="0" fontId="33" fillId="8" borderId="0" xfId="6" applyFont="1" applyFill="1" applyAlignment="1">
      <alignment horizontal="right" vertical="center"/>
    </xf>
    <xf numFmtId="0" fontId="34" fillId="8" borderId="0" xfId="6" applyFont="1" applyFill="1" applyAlignment="1">
      <alignment horizontal="center" vertical="center"/>
    </xf>
    <xf numFmtId="0" fontId="39" fillId="8" borderId="0" xfId="6" applyFont="1" applyFill="1" applyAlignment="1">
      <alignment horizontal="left" vertical="center" wrapText="1"/>
    </xf>
    <xf numFmtId="0" fontId="38" fillId="8" borderId="0" xfId="6" applyFont="1" applyFill="1" applyAlignment="1">
      <alignment horizontal="left" vertical="center" wrapText="1"/>
    </xf>
    <xf numFmtId="0" fontId="37" fillId="8" borderId="0" xfId="6" applyFont="1" applyFill="1" applyAlignment="1">
      <alignment vertical="center" wrapText="1"/>
    </xf>
    <xf numFmtId="0" fontId="37" fillId="8" borderId="0" xfId="6" applyFont="1" applyFill="1" applyAlignment="1">
      <alignment vertical="center"/>
    </xf>
    <xf numFmtId="0" fontId="40" fillId="8" borderId="0" xfId="6" applyFont="1" applyFill="1" applyAlignment="1">
      <alignment vertical="center" wrapText="1"/>
    </xf>
    <xf numFmtId="0" fontId="40" fillId="8" borderId="0" xfId="6" applyFont="1" applyFill="1" applyAlignment="1">
      <alignment vertical="center"/>
    </xf>
    <xf numFmtId="0" fontId="30" fillId="8" borderId="0" xfId="6" applyFont="1" applyFill="1" applyAlignment="1">
      <alignment horizontal="left" vertical="center" wrapText="1"/>
    </xf>
    <xf numFmtId="0" fontId="25" fillId="8" borderId="0" xfId="6" applyFill="1" applyAlignment="1">
      <alignment vertical="center"/>
    </xf>
    <xf numFmtId="0" fontId="25" fillId="0" borderId="0" xfId="6" applyAlignment="1">
      <alignment vertical="center"/>
    </xf>
    <xf numFmtId="0" fontId="25" fillId="0" borderId="14" xfId="6" applyBorder="1" applyAlignment="1">
      <alignment horizontal="center" vertical="center" wrapText="1"/>
    </xf>
    <xf numFmtId="0" fontId="25" fillId="0" borderId="5" xfId="6" applyBorder="1" applyAlignment="1">
      <alignment horizontal="center" vertical="center" wrapText="1"/>
    </xf>
    <xf numFmtId="9" fontId="25" fillId="0" borderId="5" xfId="6" applyNumberFormat="1" applyBorder="1" applyAlignment="1">
      <alignment horizontal="center" vertical="center" wrapText="1"/>
    </xf>
    <xf numFmtId="14" fontId="25" fillId="0" borderId="5" xfId="6" applyNumberFormat="1" applyBorder="1" applyAlignment="1">
      <alignment horizontal="center" vertical="center" wrapText="1"/>
    </xf>
    <xf numFmtId="0" fontId="25" fillId="0" borderId="11" xfId="6" applyBorder="1" applyAlignment="1">
      <alignment horizontal="center" vertical="center" wrapText="1"/>
    </xf>
    <xf numFmtId="0" fontId="25" fillId="0" borderId="6" xfId="6" applyBorder="1" applyAlignment="1">
      <alignment horizontal="center" vertical="center" wrapText="1"/>
    </xf>
    <xf numFmtId="0" fontId="25" fillId="0" borderId="4" xfId="6" applyBorder="1" applyAlignment="1" applyProtection="1">
      <alignment horizontal="center" vertical="center" wrapText="1"/>
      <protection locked="0"/>
    </xf>
    <xf numFmtId="0" fontId="25" fillId="0" borderId="4" xfId="6" applyBorder="1" applyAlignment="1">
      <alignment horizontal="center" vertical="center" wrapText="1"/>
    </xf>
    <xf numFmtId="9" fontId="25" fillId="0" borderId="4" xfId="6" applyNumberFormat="1" applyBorder="1" applyAlignment="1">
      <alignment horizontal="center" vertical="center" wrapText="1"/>
    </xf>
    <xf numFmtId="0" fontId="25" fillId="0" borderId="7" xfId="6" applyBorder="1" applyAlignment="1">
      <alignment horizontal="center" vertical="center" wrapText="1"/>
    </xf>
    <xf numFmtId="0" fontId="25" fillId="0" borderId="9" xfId="6" applyBorder="1" applyAlignment="1">
      <alignment horizontal="center" vertical="center" wrapText="1"/>
    </xf>
    <xf numFmtId="0" fontId="25" fillId="0" borderId="8" xfId="6" applyBorder="1" applyAlignment="1" applyProtection="1">
      <alignment horizontal="left" vertical="center" wrapText="1"/>
      <protection locked="0"/>
    </xf>
    <xf numFmtId="0" fontId="25" fillId="0" borderId="8" xfId="6" applyBorder="1" applyAlignment="1">
      <alignment horizontal="left" vertical="center" wrapText="1"/>
    </xf>
    <xf numFmtId="0" fontId="25" fillId="0" borderId="8" xfId="6" applyBorder="1" applyAlignment="1">
      <alignment horizontal="center" vertical="center" wrapText="1"/>
    </xf>
    <xf numFmtId="14" fontId="25" fillId="0" borderId="8" xfId="6" applyNumberFormat="1" applyBorder="1" applyAlignment="1">
      <alignment horizontal="center" vertical="center" wrapText="1"/>
    </xf>
    <xf numFmtId="9" fontId="25" fillId="0" borderId="8" xfId="6" applyNumberFormat="1" applyBorder="1" applyAlignment="1">
      <alignment horizontal="center" vertical="center" wrapText="1"/>
    </xf>
    <xf numFmtId="0" fontId="25" fillId="0" borderId="10" xfId="6" applyBorder="1" applyAlignment="1">
      <alignment horizontal="left" vertical="center" wrapText="1"/>
    </xf>
    <xf numFmtId="0" fontId="25" fillId="8" borderId="0" xfId="6" applyFill="1" applyAlignment="1">
      <alignment horizontal="center" vertical="center" wrapText="1"/>
    </xf>
    <xf numFmtId="0" fontId="25" fillId="8" borderId="0" xfId="6" applyFill="1" applyAlignment="1" applyProtection="1">
      <alignment horizontal="left" vertical="center" wrapText="1"/>
      <protection locked="0"/>
    </xf>
    <xf numFmtId="14" fontId="25" fillId="8" borderId="0" xfId="6" applyNumberFormat="1" applyFill="1" applyAlignment="1">
      <alignment horizontal="center" vertical="center" wrapText="1"/>
    </xf>
    <xf numFmtId="0" fontId="25" fillId="8" borderId="0" xfId="6" applyFill="1" applyAlignment="1">
      <alignment horizontal="left" vertical="center" wrapText="1"/>
    </xf>
    <xf numFmtId="0" fontId="42" fillId="8" borderId="0" xfId="6" applyFont="1" applyFill="1" applyAlignment="1">
      <alignment vertical="center" wrapText="1"/>
    </xf>
    <xf numFmtId="0" fontId="42" fillId="0" borderId="0" xfId="6" applyFont="1" applyAlignment="1">
      <alignment vertical="center" wrapText="1"/>
    </xf>
    <xf numFmtId="0" fontId="25" fillId="0" borderId="0" xfId="6" applyAlignment="1" applyProtection="1">
      <alignment horizontal="left" vertical="center" wrapText="1"/>
      <protection locked="0"/>
    </xf>
    <xf numFmtId="0" fontId="25" fillId="0" borderId="0" xfId="6" applyAlignment="1" applyProtection="1">
      <alignment horizontal="center" vertical="center" wrapText="1"/>
      <protection locked="0"/>
    </xf>
    <xf numFmtId="0" fontId="25" fillId="0" borderId="0" xfId="6" applyAlignment="1">
      <alignment horizontal="center" vertical="center" wrapText="1"/>
    </xf>
    <xf numFmtId="0" fontId="30" fillId="0" borderId="0" xfId="6" applyFont="1" applyAlignment="1">
      <alignment horizontal="left" vertical="center" wrapText="1"/>
    </xf>
    <xf numFmtId="0" fontId="30" fillId="0" borderId="0" xfId="6" applyFont="1" applyAlignment="1">
      <alignment horizontal="center" vertical="center"/>
    </xf>
    <xf numFmtId="0" fontId="30" fillId="0" borderId="0" xfId="6" applyFont="1" applyAlignment="1">
      <alignment vertical="center" wrapText="1"/>
    </xf>
    <xf numFmtId="0" fontId="25" fillId="0" borderId="5" xfId="6" applyBorder="1" applyAlignment="1">
      <alignment horizontal="left" vertical="center" wrapText="1"/>
    </xf>
    <xf numFmtId="0" fontId="25" fillId="0" borderId="11" xfId="6" applyBorder="1" applyAlignment="1">
      <alignment horizontal="left" vertical="center" wrapText="1"/>
    </xf>
    <xf numFmtId="0" fontId="25" fillId="0" borderId="4" xfId="6" applyBorder="1" applyAlignment="1" applyProtection="1">
      <alignment horizontal="left" vertical="center" wrapText="1"/>
      <protection locked="0"/>
    </xf>
    <xf numFmtId="0" fontId="25" fillId="0" borderId="4" xfId="6" applyBorder="1" applyAlignment="1">
      <alignment horizontal="left" vertical="center" wrapText="1"/>
    </xf>
    <xf numFmtId="0" fontId="25" fillId="0" borderId="7" xfId="6" applyBorder="1" applyAlignment="1">
      <alignment horizontal="left" vertical="center" wrapText="1"/>
    </xf>
    <xf numFmtId="0" fontId="30" fillId="7" borderId="0" xfId="6" applyFont="1" applyFill="1" applyAlignment="1">
      <alignment vertical="center"/>
    </xf>
    <xf numFmtId="0" fontId="30" fillId="7" borderId="34" xfId="6" applyFont="1" applyFill="1" applyBorder="1" applyAlignment="1">
      <alignment horizontal="center" vertical="center"/>
    </xf>
    <xf numFmtId="0" fontId="31" fillId="7" borderId="34" xfId="6" applyFont="1" applyFill="1" applyBorder="1" applyAlignment="1">
      <alignment horizontal="center" vertical="center"/>
    </xf>
    <xf numFmtId="0" fontId="30" fillId="7" borderId="34" xfId="6" applyFont="1" applyFill="1" applyBorder="1" applyAlignment="1">
      <alignment horizontal="left" vertical="center" wrapText="1"/>
    </xf>
    <xf numFmtId="0" fontId="25" fillId="0" borderId="0" xfId="6"/>
    <xf numFmtId="0" fontId="30" fillId="7" borderId="0" xfId="6" applyFont="1" applyFill="1" applyAlignment="1">
      <alignment horizontal="center" vertical="center"/>
    </xf>
    <xf numFmtId="0" fontId="33" fillId="7" borderId="0" xfId="6" applyFont="1" applyFill="1" applyAlignment="1">
      <alignment vertical="center"/>
    </xf>
    <xf numFmtId="0" fontId="34" fillId="7" borderId="0" xfId="6" applyFont="1" applyFill="1" applyAlignment="1">
      <alignment horizontal="right" vertical="center"/>
    </xf>
    <xf numFmtId="0" fontId="19" fillId="7" borderId="0" xfId="6" applyFont="1" applyFill="1" applyAlignment="1">
      <alignment horizontal="left" vertical="center" wrapText="1"/>
    </xf>
    <xf numFmtId="0" fontId="20" fillId="7" borderId="0" xfId="6" applyFont="1" applyFill="1" applyAlignment="1">
      <alignment horizontal="left" vertical="center" wrapText="1"/>
    </xf>
    <xf numFmtId="0" fontId="37" fillId="7" borderId="0" xfId="6" applyFont="1" applyFill="1" applyAlignment="1">
      <alignment horizontal="left" vertical="center"/>
    </xf>
    <xf numFmtId="0" fontId="33" fillId="7" borderId="0" xfId="6" applyFont="1" applyFill="1" applyAlignment="1">
      <alignment horizontal="left" vertical="center" wrapText="1"/>
    </xf>
    <xf numFmtId="0" fontId="33" fillId="7" borderId="0" xfId="6" applyFont="1" applyFill="1" applyAlignment="1">
      <alignment horizontal="right" vertical="center"/>
    </xf>
    <xf numFmtId="0" fontId="34" fillId="7" borderId="0" xfId="6" applyFont="1" applyFill="1" applyAlignment="1">
      <alignment horizontal="center" vertical="center"/>
    </xf>
    <xf numFmtId="0" fontId="23" fillId="7" borderId="0" xfId="6" applyFont="1" applyFill="1" applyAlignment="1">
      <alignment horizontal="left" vertical="center" wrapText="1"/>
    </xf>
    <xf numFmtId="0" fontId="38" fillId="7" borderId="0" xfId="6" applyFont="1" applyFill="1" applyAlignment="1">
      <alignment horizontal="left" vertical="center" wrapText="1"/>
    </xf>
    <xf numFmtId="0" fontId="37" fillId="7" borderId="0" xfId="6" applyFont="1" applyFill="1" applyAlignment="1">
      <alignment vertical="center" wrapText="1"/>
    </xf>
    <xf numFmtId="0" fontId="37" fillId="7" borderId="0" xfId="6" applyFont="1" applyFill="1" applyAlignment="1">
      <alignment vertical="center"/>
    </xf>
    <xf numFmtId="0" fontId="40" fillId="7" borderId="0" xfId="6" applyFont="1" applyFill="1" applyAlignment="1">
      <alignment vertical="center" wrapText="1"/>
    </xf>
    <xf numFmtId="0" fontId="40" fillId="7" borderId="0" xfId="6" applyFont="1" applyFill="1" applyAlignment="1">
      <alignment vertical="center"/>
    </xf>
    <xf numFmtId="0" fontId="30" fillId="7" borderId="0" xfId="6" applyFont="1" applyFill="1" applyAlignment="1">
      <alignment horizontal="left" vertical="center" wrapText="1"/>
    </xf>
    <xf numFmtId="0" fontId="9" fillId="7" borderId="0" xfId="6" applyFont="1" applyFill="1" applyAlignment="1">
      <alignment vertical="center"/>
    </xf>
    <xf numFmtId="0" fontId="9" fillId="0" borderId="14" xfId="6" applyFont="1" applyBorder="1" applyAlignment="1">
      <alignment horizontal="center" vertical="center" wrapText="1"/>
    </xf>
    <xf numFmtId="0" fontId="9" fillId="0" borderId="5" xfId="6" applyFont="1" applyBorder="1" applyAlignment="1">
      <alignment horizontal="center" vertical="center" wrapText="1"/>
    </xf>
    <xf numFmtId="9" fontId="9" fillId="0" borderId="5" xfId="6" applyNumberFormat="1" applyFont="1" applyBorder="1" applyAlignment="1">
      <alignment horizontal="center" vertical="center" wrapText="1"/>
    </xf>
    <xf numFmtId="14" fontId="9" fillId="0" borderId="5" xfId="6" applyNumberFormat="1" applyFont="1" applyBorder="1" applyAlignment="1">
      <alignment horizontal="center" vertical="center" wrapText="1"/>
    </xf>
    <xf numFmtId="0" fontId="9" fillId="0" borderId="11" xfId="6" applyFont="1" applyBorder="1" applyAlignment="1">
      <alignment horizontal="center" vertical="center" wrapText="1"/>
    </xf>
    <xf numFmtId="0" fontId="9" fillId="0" borderId="6" xfId="6" applyFont="1" applyBorder="1" applyAlignment="1">
      <alignment horizontal="center" vertical="center" wrapText="1"/>
    </xf>
    <xf numFmtId="0" fontId="9" fillId="0" borderId="4" xfId="6" applyFont="1" applyBorder="1" applyAlignment="1">
      <alignment horizontal="center" vertical="center" wrapText="1"/>
    </xf>
    <xf numFmtId="9" fontId="9" fillId="0" borderId="4" xfId="6" applyNumberFormat="1" applyFont="1" applyBorder="1" applyAlignment="1">
      <alignment horizontal="center" vertical="center" wrapText="1"/>
    </xf>
    <xf numFmtId="0" fontId="9" fillId="0" borderId="7" xfId="6" applyFont="1" applyBorder="1" applyAlignment="1">
      <alignment horizontal="center" vertical="center" wrapText="1"/>
    </xf>
    <xf numFmtId="0" fontId="9" fillId="0" borderId="9" xfId="6" applyFont="1" applyBorder="1" applyAlignment="1">
      <alignment horizontal="center" vertical="center" wrapText="1"/>
    </xf>
    <xf numFmtId="0" fontId="9" fillId="0" borderId="8" xfId="6" applyFont="1" applyBorder="1" applyAlignment="1">
      <alignment horizontal="center" vertical="center" wrapText="1"/>
    </xf>
    <xf numFmtId="14" fontId="9" fillId="0" borderId="8" xfId="6" applyNumberFormat="1" applyFont="1" applyBorder="1" applyAlignment="1">
      <alignment horizontal="center" vertical="center" wrapText="1"/>
    </xf>
    <xf numFmtId="0" fontId="9" fillId="0" borderId="10" xfId="6" applyFont="1" applyBorder="1" applyAlignment="1">
      <alignment horizontal="left" vertical="center" wrapText="1"/>
    </xf>
    <xf numFmtId="0" fontId="9" fillId="7" borderId="0" xfId="6" applyFont="1" applyFill="1" applyAlignment="1">
      <alignment horizontal="center" vertical="center" wrapText="1"/>
    </xf>
    <xf numFmtId="0" fontId="9" fillId="7" borderId="0" xfId="6" applyFont="1" applyFill="1" applyAlignment="1">
      <alignment horizontal="left" vertical="center" wrapText="1"/>
    </xf>
    <xf numFmtId="14" fontId="9" fillId="7" borderId="0" xfId="6" applyNumberFormat="1" applyFont="1" applyFill="1" applyAlignment="1">
      <alignment horizontal="center" vertical="center" wrapText="1"/>
    </xf>
    <xf numFmtId="0" fontId="42" fillId="7" borderId="0" xfId="6" applyFont="1" applyFill="1" applyAlignment="1">
      <alignment vertical="center" wrapText="1"/>
    </xf>
    <xf numFmtId="0" fontId="9" fillId="0" borderId="0" xfId="6" applyFont="1" applyAlignment="1">
      <alignment horizontal="left" vertical="center" wrapText="1"/>
    </xf>
    <xf numFmtId="0" fontId="9" fillId="0" borderId="0" xfId="6" applyFont="1" applyAlignment="1">
      <alignment horizontal="center" vertical="center" wrapText="1"/>
    </xf>
    <xf numFmtId="0" fontId="9" fillId="0" borderId="0" xfId="6" applyFont="1" applyAlignment="1">
      <alignment vertical="center"/>
    </xf>
    <xf numFmtId="0" fontId="1" fillId="0" borderId="4" xfId="0" applyFont="1" applyBorder="1" applyAlignment="1">
      <alignment horizontal="center" vertical="center" wrapText="1"/>
    </xf>
    <xf numFmtId="0" fontId="42" fillId="10" borderId="39" xfId="5" applyFont="1" applyFill="1" applyBorder="1" applyAlignment="1">
      <alignment horizontal="center" vertical="center" wrapText="1"/>
    </xf>
    <xf numFmtId="0" fontId="42" fillId="10" borderId="63" xfId="5" applyFont="1" applyFill="1" applyBorder="1" applyAlignment="1">
      <alignment horizontal="center" vertical="center" wrapText="1"/>
    </xf>
    <xf numFmtId="0" fontId="4" fillId="5" borderId="0" xfId="5" applyFont="1" applyFill="1" applyAlignment="1">
      <alignment horizontal="center" vertical="center"/>
    </xf>
    <xf numFmtId="0" fontId="25" fillId="5" borderId="89" xfId="5" applyFont="1" applyFill="1" applyBorder="1" applyAlignment="1">
      <alignment horizontal="center" vertical="center" wrapText="1"/>
    </xf>
    <xf numFmtId="166" fontId="25" fillId="5" borderId="90" xfId="5" applyNumberFormat="1" applyFont="1" applyFill="1" applyBorder="1" applyAlignment="1">
      <alignment horizontal="center" vertical="center" wrapText="1"/>
    </xf>
    <xf numFmtId="0" fontId="25" fillId="5" borderId="90" xfId="5" applyFont="1" applyFill="1" applyBorder="1" applyAlignment="1">
      <alignment horizontal="center" vertical="center" wrapText="1"/>
    </xf>
    <xf numFmtId="0" fontId="25" fillId="5" borderId="91" xfId="5" applyFont="1" applyFill="1" applyBorder="1" applyAlignment="1">
      <alignment horizontal="center" vertical="center" wrapText="1"/>
    </xf>
    <xf numFmtId="0" fontId="25" fillId="5" borderId="94" xfId="5" applyFont="1" applyFill="1" applyBorder="1" applyAlignment="1">
      <alignment horizontal="center" vertical="center" wrapText="1"/>
    </xf>
    <xf numFmtId="0" fontId="42" fillId="10" borderId="87" xfId="5" applyFont="1" applyFill="1" applyBorder="1" applyAlignment="1">
      <alignment horizontal="center" vertical="center" wrapText="1"/>
    </xf>
    <xf numFmtId="0" fontId="42" fillId="10" borderId="88" xfId="5" applyFont="1" applyFill="1" applyBorder="1" applyAlignment="1">
      <alignment horizontal="center" vertical="center" wrapText="1"/>
    </xf>
    <xf numFmtId="0" fontId="42" fillId="11" borderId="53" xfId="5" applyFont="1" applyFill="1" applyBorder="1" applyAlignment="1">
      <alignment vertical="center" wrapText="1"/>
    </xf>
    <xf numFmtId="0" fontId="42" fillId="11" borderId="59" xfId="5" applyFont="1" applyFill="1" applyBorder="1" applyAlignment="1">
      <alignment horizontal="center" vertical="center" wrapText="1"/>
    </xf>
    <xf numFmtId="10" fontId="42" fillId="12" borderId="59" xfId="5" applyNumberFormat="1" applyFont="1" applyFill="1" applyBorder="1" applyAlignment="1">
      <alignment horizontal="center" vertical="center" wrapText="1"/>
    </xf>
    <xf numFmtId="0" fontId="42" fillId="2" borderId="4" xfId="6" applyFont="1" applyFill="1" applyBorder="1" applyAlignment="1">
      <alignment vertical="center" wrapText="1"/>
    </xf>
    <xf numFmtId="0" fontId="42" fillId="2" borderId="8" xfId="6" applyFont="1" applyFill="1" applyBorder="1" applyAlignment="1">
      <alignment horizontal="center" vertical="center" wrapText="1"/>
    </xf>
    <xf numFmtId="10" fontId="42" fillId="2" borderId="8" xfId="7" applyNumberFormat="1" applyFont="1" applyFill="1" applyBorder="1" applyAlignment="1" applyProtection="1">
      <alignment horizontal="center" vertical="center" wrapText="1"/>
    </xf>
    <xf numFmtId="0" fontId="42" fillId="2" borderId="4" xfId="6" applyFont="1" applyFill="1" applyBorder="1" applyAlignment="1">
      <alignment horizontal="center" vertical="center" wrapText="1"/>
    </xf>
    <xf numFmtId="0" fontId="25" fillId="0" borderId="16" xfId="6" applyBorder="1" applyAlignment="1">
      <alignment horizontal="center" vertical="center" wrapText="1"/>
    </xf>
    <xf numFmtId="0" fontId="25" fillId="0" borderId="17" xfId="6" applyBorder="1" applyAlignment="1">
      <alignment horizontal="left" vertical="center" wrapText="1"/>
    </xf>
    <xf numFmtId="0" fontId="25" fillId="0" borderId="17" xfId="6" applyBorder="1" applyAlignment="1">
      <alignment horizontal="center" vertical="center" wrapText="1"/>
    </xf>
    <xf numFmtId="9" fontId="25" fillId="0" borderId="17" xfId="6" applyNumberFormat="1" applyBorder="1" applyAlignment="1">
      <alignment horizontal="center" vertical="center" wrapText="1"/>
    </xf>
    <xf numFmtId="14" fontId="25" fillId="0" borderId="17" xfId="6" applyNumberFormat="1" applyBorder="1" applyAlignment="1">
      <alignment horizontal="center" vertical="center" wrapText="1"/>
    </xf>
    <xf numFmtId="0" fontId="25" fillId="0" borderId="18" xfId="6" applyBorder="1" applyAlignment="1">
      <alignment horizontal="left" vertical="center" wrapText="1"/>
    </xf>
    <xf numFmtId="14" fontId="25" fillId="0" borderId="27" xfId="6" applyNumberFormat="1" applyBorder="1" applyAlignment="1">
      <alignment horizontal="center" vertical="center" wrapText="1"/>
    </xf>
    <xf numFmtId="0" fontId="42" fillId="13" borderId="4" xfId="6" applyFont="1" applyFill="1" applyBorder="1" applyAlignment="1">
      <alignment horizontal="center" vertical="center" wrapText="1"/>
    </xf>
    <xf numFmtId="0" fontId="42" fillId="13" borderId="8" xfId="6" applyFont="1" applyFill="1" applyBorder="1" applyAlignment="1">
      <alignment horizontal="center" vertical="center" wrapText="1"/>
    </xf>
    <xf numFmtId="10" fontId="42" fillId="13" borderId="8" xfId="6" applyNumberFormat="1" applyFont="1" applyFill="1" applyBorder="1" applyAlignment="1">
      <alignment horizontal="center" vertical="center" wrapText="1"/>
    </xf>
    <xf numFmtId="0" fontId="9" fillId="8" borderId="0" xfId="6" applyFont="1" applyFill="1" applyAlignment="1">
      <alignment vertical="center"/>
    </xf>
    <xf numFmtId="0" fontId="9" fillId="8" borderId="0" xfId="6" applyFont="1" applyFill="1" applyAlignment="1">
      <alignment horizontal="left" vertical="center"/>
    </xf>
    <xf numFmtId="0" fontId="42" fillId="8" borderId="0" xfId="6" applyFont="1" applyFill="1" applyAlignment="1">
      <alignment horizontal="center" vertical="center"/>
    </xf>
    <xf numFmtId="0" fontId="9" fillId="8" borderId="103" xfId="8" applyFill="1" applyBorder="1" applyAlignment="1">
      <alignment horizontal="center" vertical="center"/>
    </xf>
    <xf numFmtId="0" fontId="9" fillId="8" borderId="0" xfId="8" applyFill="1" applyAlignment="1">
      <alignment horizontal="left" vertical="center"/>
    </xf>
    <xf numFmtId="0" fontId="48" fillId="8" borderId="0" xfId="8" applyFont="1" applyFill="1" applyAlignment="1">
      <alignment horizontal="left" vertical="center" wrapText="1"/>
    </xf>
    <xf numFmtId="0" fontId="48" fillId="8" borderId="0" xfId="8" applyFont="1" applyFill="1" applyAlignment="1">
      <alignment horizontal="center" vertical="center" wrapText="1"/>
    </xf>
    <xf numFmtId="0" fontId="9" fillId="8" borderId="0" xfId="8" applyFill="1" applyAlignment="1">
      <alignment horizontal="center" vertical="center"/>
    </xf>
    <xf numFmtId="0" fontId="42" fillId="8" borderId="0" xfId="8" applyFont="1" applyFill="1" applyAlignment="1">
      <alignment vertical="center" wrapText="1"/>
    </xf>
    <xf numFmtId="0" fontId="42" fillId="8" borderId="0" xfId="8" applyFont="1" applyFill="1" applyAlignment="1">
      <alignment horizontal="left" vertical="center" wrapText="1"/>
    </xf>
    <xf numFmtId="0" fontId="9" fillId="8" borderId="0" xfId="8" applyFill="1" applyAlignment="1">
      <alignment horizontal="left" vertical="center" wrapText="1"/>
    </xf>
    <xf numFmtId="0" fontId="9" fillId="8" borderId="0" xfId="8" applyFill="1" applyAlignment="1">
      <alignment horizontal="center" vertical="center" wrapText="1"/>
    </xf>
    <xf numFmtId="0" fontId="9" fillId="8" borderId="0" xfId="8" applyFill="1" applyAlignment="1" applyProtection="1">
      <alignment horizontal="left" vertical="center" wrapText="1"/>
      <protection locked="0"/>
    </xf>
    <xf numFmtId="0" fontId="9" fillId="8" borderId="0" xfId="8" applyFill="1" applyAlignment="1" applyProtection="1">
      <alignment horizontal="center" vertical="center" wrapText="1"/>
      <protection locked="0"/>
    </xf>
    <xf numFmtId="0" fontId="9" fillId="0" borderId="0" xfId="8" applyAlignment="1">
      <alignment horizontal="center" vertical="center" wrapText="1"/>
    </xf>
    <xf numFmtId="0" fontId="9" fillId="0" borderId="0" xfId="8" applyAlignment="1">
      <alignment horizontal="center" vertical="center"/>
    </xf>
    <xf numFmtId="0" fontId="9" fillId="0" borderId="0" xfId="8" applyAlignment="1">
      <alignment horizontal="left" vertical="center"/>
    </xf>
    <xf numFmtId="0" fontId="9" fillId="0" borderId="0" xfId="8" applyAlignment="1">
      <alignment horizontal="left" vertical="center" wrapText="1"/>
    </xf>
    <xf numFmtId="0" fontId="9" fillId="0" borderId="0" xfId="8" applyAlignment="1">
      <alignment vertical="center"/>
    </xf>
    <xf numFmtId="0" fontId="2" fillId="0" borderId="16" xfId="0" applyFont="1" applyBorder="1" applyAlignment="1">
      <alignment vertical="center"/>
    </xf>
    <xf numFmtId="0" fontId="2" fillId="0" borderId="9" xfId="0" applyFont="1" applyBorder="1" applyAlignment="1">
      <alignment vertical="center"/>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10"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0" fontId="1" fillId="0" borderId="58" xfId="0" applyFont="1" applyBorder="1" applyAlignment="1">
      <alignment horizontal="left" vertical="center" wrapText="1"/>
    </xf>
    <xf numFmtId="0" fontId="1" fillId="5" borderId="53" xfId="0" applyFont="1" applyFill="1" applyBorder="1" applyAlignment="1">
      <alignment horizontal="center" vertical="center" wrapText="1"/>
    </xf>
    <xf numFmtId="9" fontId="1" fillId="5" borderId="53" xfId="0" applyNumberFormat="1" applyFont="1" applyFill="1" applyBorder="1" applyAlignment="1">
      <alignment horizontal="center" vertical="center" wrapText="1"/>
    </xf>
    <xf numFmtId="0" fontId="47" fillId="8" borderId="0" xfId="6" applyFont="1" applyFill="1" applyAlignment="1">
      <alignment horizontal="left" vertical="center" wrapText="1"/>
    </xf>
    <xf numFmtId="0" fontId="41" fillId="9" borderId="23" xfId="6" applyFont="1" applyFill="1" applyBorder="1" applyAlignment="1">
      <alignment horizontal="center" vertical="center" wrapText="1"/>
    </xf>
    <xf numFmtId="0" fontId="41" fillId="9" borderId="26" xfId="6" applyFont="1" applyFill="1" applyBorder="1" applyAlignment="1">
      <alignment horizontal="center" vertical="center" wrapText="1"/>
    </xf>
    <xf numFmtId="0" fontId="41" fillId="9" borderId="28" xfId="6" applyFont="1" applyFill="1" applyBorder="1" applyAlignment="1">
      <alignment horizontal="center" vertical="center" wrapText="1"/>
    </xf>
    <xf numFmtId="10" fontId="41" fillId="14" borderId="106" xfId="6" applyNumberFormat="1" applyFont="1" applyFill="1" applyBorder="1" applyAlignment="1">
      <alignment horizontal="center" vertical="center" wrapText="1"/>
    </xf>
    <xf numFmtId="0" fontId="9" fillId="0" borderId="16" xfId="8" applyBorder="1" applyAlignment="1">
      <alignment horizontal="center" vertical="center" wrapText="1"/>
    </xf>
    <xf numFmtId="0" fontId="42" fillId="0" borderId="17" xfId="8" applyFont="1" applyBorder="1" applyAlignment="1">
      <alignment horizontal="left" vertical="center" wrapText="1"/>
    </xf>
    <xf numFmtId="0" fontId="42" fillId="0" borderId="17" xfId="8" applyFont="1" applyBorder="1" applyAlignment="1" applyProtection="1">
      <alignment horizontal="center" vertical="center" wrapText="1"/>
      <protection locked="0"/>
    </xf>
    <xf numFmtId="9" fontId="2" fillId="0" borderId="18" xfId="9" applyFont="1" applyFill="1" applyBorder="1" applyAlignment="1" applyProtection="1">
      <alignment horizontal="center" vertical="center" wrapText="1"/>
    </xf>
    <xf numFmtId="14" fontId="2" fillId="0" borderId="16" xfId="9" applyNumberFormat="1" applyFont="1" applyFill="1" applyBorder="1" applyAlignment="1" applyProtection="1">
      <alignment horizontal="center" vertical="center" wrapText="1"/>
    </xf>
    <xf numFmtId="14" fontId="2" fillId="0" borderId="18" xfId="9" applyNumberFormat="1" applyFont="1" applyFill="1" applyBorder="1" applyAlignment="1" applyProtection="1">
      <alignment horizontal="center" vertical="center" wrapText="1"/>
    </xf>
    <xf numFmtId="0" fontId="42" fillId="0" borderId="6" xfId="8" applyFont="1" applyBorder="1" applyAlignment="1">
      <alignment horizontal="center" vertical="center" wrapText="1"/>
    </xf>
    <xf numFmtId="0" fontId="42" fillId="0" borderId="4" xfId="8" applyFont="1" applyBorder="1" applyAlignment="1">
      <alignment horizontal="left" vertical="center" wrapText="1"/>
    </xf>
    <xf numFmtId="0" fontId="42" fillId="0" borderId="4" xfId="8" applyFont="1" applyBorder="1" applyAlignment="1" applyProtection="1">
      <alignment horizontal="center" vertical="center" wrapText="1"/>
      <protection locked="0"/>
    </xf>
    <xf numFmtId="9" fontId="2" fillId="0" borderId="7" xfId="9" applyFont="1" applyFill="1" applyBorder="1" applyAlignment="1" applyProtection="1">
      <alignment horizontal="center" vertical="center" wrapText="1"/>
    </xf>
    <xf numFmtId="14" fontId="42" fillId="0" borderId="6" xfId="9" applyNumberFormat="1" applyFont="1" applyFill="1" applyBorder="1" applyAlignment="1" applyProtection="1">
      <alignment horizontal="center" vertical="center" wrapText="1"/>
    </xf>
    <xf numFmtId="14" fontId="42" fillId="0" borderId="7" xfId="9" applyNumberFormat="1" applyFont="1" applyFill="1" applyBorder="1" applyAlignment="1" applyProtection="1">
      <alignment horizontal="center" vertical="center" wrapText="1"/>
    </xf>
    <xf numFmtId="0" fontId="42" fillId="15" borderId="6" xfId="8" applyFont="1" applyFill="1" applyBorder="1" applyAlignment="1">
      <alignment horizontal="center" vertical="center" wrapText="1"/>
    </xf>
    <xf numFmtId="0" fontId="42" fillId="15" borderId="4" xfId="8" applyFont="1" applyFill="1" applyBorder="1" applyAlignment="1" applyProtection="1">
      <alignment horizontal="left" vertical="center" wrapText="1"/>
      <protection locked="0"/>
    </xf>
    <xf numFmtId="0" fontId="42" fillId="15" borderId="4" xfId="8" applyFont="1" applyFill="1" applyBorder="1" applyAlignment="1" applyProtection="1">
      <alignment horizontal="center" vertical="center" wrapText="1"/>
      <protection locked="0"/>
    </xf>
    <xf numFmtId="9" fontId="2" fillId="15" borderId="7" xfId="9" applyFont="1" applyFill="1" applyBorder="1" applyAlignment="1" applyProtection="1">
      <alignment horizontal="center" vertical="center" wrapText="1"/>
    </xf>
    <xf numFmtId="14" fontId="42" fillId="15" borderId="6" xfId="9" applyNumberFormat="1" applyFont="1" applyFill="1" applyBorder="1" applyAlignment="1" applyProtection="1">
      <alignment horizontal="center" vertical="center" wrapText="1"/>
    </xf>
    <xf numFmtId="14" fontId="42" fillId="15" borderId="7" xfId="9" applyNumberFormat="1" applyFont="1" applyFill="1" applyBorder="1" applyAlignment="1" applyProtection="1">
      <alignment horizontal="center" vertical="center" wrapText="1"/>
    </xf>
    <xf numFmtId="0" fontId="49" fillId="0" borderId="6" xfId="8" applyFont="1" applyBorder="1" applyAlignment="1">
      <alignment horizontal="center" vertical="center" wrapText="1"/>
    </xf>
    <xf numFmtId="0" fontId="49" fillId="0" borderId="4" xfId="8" applyFont="1" applyBorder="1" applyAlignment="1">
      <alignment horizontal="left" vertical="center" wrapText="1"/>
    </xf>
    <xf numFmtId="0" fontId="1" fillId="0" borderId="4" xfId="8" applyFont="1" applyBorder="1" applyAlignment="1">
      <alignment horizontal="left" vertical="center" wrapText="1"/>
    </xf>
    <xf numFmtId="0" fontId="49" fillId="0" borderId="4" xfId="8" applyFont="1" applyBorder="1" applyAlignment="1" applyProtection="1">
      <alignment horizontal="left" vertical="center" wrapText="1"/>
      <protection locked="0"/>
    </xf>
    <xf numFmtId="9" fontId="49" fillId="0" borderId="4" xfId="8" applyNumberFormat="1" applyFont="1" applyBorder="1" applyAlignment="1" applyProtection="1">
      <alignment horizontal="center" vertical="center" wrapText="1"/>
      <protection locked="0"/>
    </xf>
    <xf numFmtId="9" fontId="49" fillId="0" borderId="7" xfId="9" applyFont="1" applyFill="1" applyBorder="1" applyAlignment="1" applyProtection="1">
      <alignment horizontal="center" vertical="center" wrapText="1"/>
    </xf>
    <xf numFmtId="14" fontId="49" fillId="0" borderId="6" xfId="9" applyNumberFormat="1" applyFont="1" applyFill="1" applyBorder="1" applyAlignment="1" applyProtection="1">
      <alignment horizontal="center" vertical="center" wrapText="1"/>
    </xf>
    <xf numFmtId="14" fontId="49" fillId="0" borderId="7" xfId="9" applyNumberFormat="1" applyFont="1" applyFill="1" applyBorder="1" applyAlignment="1" applyProtection="1">
      <alignment horizontal="center" vertical="center" wrapText="1"/>
    </xf>
    <xf numFmtId="0" fontId="49" fillId="0" borderId="4" xfId="8" applyFont="1" applyBorder="1" applyAlignment="1" applyProtection="1">
      <alignment horizontal="center" vertical="center" wrapText="1"/>
      <protection locked="0"/>
    </xf>
    <xf numFmtId="0" fontId="1" fillId="0" borderId="4" xfId="0" applyFont="1" applyBorder="1" applyAlignment="1">
      <alignment vertical="center" wrapText="1"/>
    </xf>
    <xf numFmtId="0" fontId="42" fillId="0" borderId="0" xfId="8" applyFont="1" applyAlignment="1">
      <alignment vertical="center"/>
    </xf>
    <xf numFmtId="2" fontId="49" fillId="0" borderId="6" xfId="8" applyNumberFormat="1" applyFont="1" applyBorder="1" applyAlignment="1">
      <alignment horizontal="center" vertical="center" wrapText="1"/>
    </xf>
    <xf numFmtId="0" fontId="49" fillId="0" borderId="4" xfId="8" applyFont="1" applyBorder="1" applyAlignment="1" applyProtection="1">
      <alignment horizontal="center" vertical="top" wrapText="1"/>
      <protection locked="0"/>
    </xf>
    <xf numFmtId="9" fontId="42" fillId="15" borderId="7" xfId="9" applyFont="1" applyFill="1" applyBorder="1" applyAlignment="1" applyProtection="1">
      <alignment horizontal="center" vertical="center" wrapText="1"/>
    </xf>
    <xf numFmtId="0" fontId="49" fillId="8" borderId="4" xfId="8" applyFont="1" applyFill="1" applyBorder="1" applyAlignment="1">
      <alignment horizontal="left" vertical="center" wrapText="1"/>
    </xf>
    <xf numFmtId="0" fontId="9" fillId="0" borderId="4" xfId="8" applyBorder="1" applyAlignment="1">
      <alignment horizontal="left" vertical="center" wrapText="1"/>
    </xf>
    <xf numFmtId="0" fontId="49" fillId="8" borderId="4" xfId="8" applyFont="1" applyFill="1" applyBorder="1" applyAlignment="1" applyProtection="1">
      <alignment horizontal="left" vertical="center" wrapText="1"/>
      <protection locked="0"/>
    </xf>
    <xf numFmtId="0" fontId="49" fillId="8" borderId="4" xfId="8" applyFont="1" applyFill="1" applyBorder="1" applyAlignment="1" applyProtection="1">
      <alignment horizontal="center" vertical="center" wrapText="1"/>
      <protection locked="0"/>
    </xf>
    <xf numFmtId="9" fontId="49" fillId="8" borderId="7" xfId="9" applyFont="1" applyFill="1" applyBorder="1" applyAlignment="1" applyProtection="1">
      <alignment horizontal="center" vertical="center" wrapText="1"/>
    </xf>
    <xf numFmtId="0" fontId="49" fillId="0" borderId="9" xfId="8" applyFont="1" applyBorder="1" applyAlignment="1">
      <alignment horizontal="center" vertical="center" wrapText="1"/>
    </xf>
    <xf numFmtId="0" fontId="49" fillId="0" borderId="8" xfId="8" applyFont="1" applyBorder="1" applyAlignment="1">
      <alignment horizontal="left" vertical="center" wrapText="1"/>
    </xf>
    <xf numFmtId="0" fontId="1" fillId="0" borderId="8" xfId="0" applyFont="1" applyBorder="1" applyAlignment="1">
      <alignment vertical="center" wrapText="1"/>
    </xf>
    <xf numFmtId="0" fontId="49" fillId="0" borderId="8" xfId="8" applyFont="1" applyBorder="1" applyAlignment="1" applyProtection="1">
      <alignment horizontal="left" vertical="center" wrapText="1"/>
      <protection locked="0"/>
    </xf>
    <xf numFmtId="0" fontId="49" fillId="0" borderId="8" xfId="8" applyFont="1" applyBorder="1" applyAlignment="1" applyProtection="1">
      <alignment horizontal="center" vertical="center" wrapText="1"/>
      <protection locked="0"/>
    </xf>
    <xf numFmtId="9" fontId="49" fillId="0" borderId="10" xfId="9" applyFont="1" applyFill="1" applyBorder="1" applyAlignment="1" applyProtection="1">
      <alignment horizontal="center" vertical="center" wrapText="1"/>
    </xf>
    <xf numFmtId="14" fontId="49" fillId="0" borderId="9" xfId="9" applyNumberFormat="1" applyFont="1" applyFill="1" applyBorder="1" applyAlignment="1" applyProtection="1">
      <alignment horizontal="center" vertical="center" wrapText="1"/>
    </xf>
    <xf numFmtId="14" fontId="49" fillId="0" borderId="10" xfId="9" applyNumberFormat="1" applyFont="1" applyFill="1" applyBorder="1" applyAlignment="1" applyProtection="1">
      <alignment horizontal="center" vertical="center" wrapText="1"/>
    </xf>
    <xf numFmtId="0" fontId="42" fillId="0" borderId="0" xfId="8" applyFont="1" applyAlignment="1">
      <alignment vertical="center" wrapText="1"/>
    </xf>
    <xf numFmtId="0" fontId="42" fillId="0" borderId="0" xfId="8" applyFont="1" applyAlignment="1">
      <alignment horizontal="left" vertical="center" wrapText="1"/>
    </xf>
    <xf numFmtId="10" fontId="2" fillId="0" borderId="23" xfId="2" applyNumberFormat="1" applyFont="1" applyFill="1" applyBorder="1" applyAlignment="1" applyProtection="1">
      <alignment horizontal="center" vertical="center" wrapText="1"/>
    </xf>
    <xf numFmtId="10" fontId="42" fillId="0" borderId="24" xfId="2" applyNumberFormat="1" applyFont="1" applyFill="1" applyBorder="1" applyAlignment="1" applyProtection="1">
      <alignment horizontal="center" vertical="center" wrapText="1"/>
    </xf>
    <xf numFmtId="10" fontId="42" fillId="15" borderId="24" xfId="2" applyNumberFormat="1" applyFont="1" applyFill="1" applyBorder="1" applyAlignment="1" applyProtection="1">
      <alignment horizontal="center" vertical="center" wrapText="1"/>
    </xf>
    <xf numFmtId="10" fontId="49" fillId="0" borderId="24" xfId="2" applyNumberFormat="1" applyFont="1" applyFill="1" applyBorder="1" applyAlignment="1" applyProtection="1">
      <alignment horizontal="center" vertical="center" wrapText="1"/>
    </xf>
    <xf numFmtId="10" fontId="49" fillId="0" borderId="25" xfId="2" applyNumberFormat="1" applyFont="1" applyFill="1" applyBorder="1" applyAlignment="1" applyProtection="1">
      <alignment horizontal="center" vertical="center" wrapText="1"/>
    </xf>
    <xf numFmtId="0" fontId="1"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4" xfId="0" applyFont="1" applyBorder="1" applyAlignment="1">
      <alignment horizontal="left" vertical="center" wrapText="1"/>
    </xf>
    <xf numFmtId="0" fontId="1" fillId="0" borderId="6" xfId="3" applyFont="1" applyBorder="1" applyAlignment="1">
      <alignment horizontal="left" vertical="center" wrapText="1"/>
    </xf>
    <xf numFmtId="0" fontId="1" fillId="0" borderId="4" xfId="3" applyFont="1" applyBorder="1" applyAlignment="1">
      <alignment horizontal="left" vertical="center" wrapText="1"/>
    </xf>
    <xf numFmtId="0" fontId="9" fillId="8" borderId="4" xfId="0" applyFont="1" applyFill="1" applyBorder="1" applyAlignment="1">
      <alignment horizontal="left" vertical="center" wrapText="1"/>
    </xf>
    <xf numFmtId="0" fontId="1" fillId="0" borderId="0" xfId="0" applyFont="1" applyAlignment="1">
      <alignment vertical="center"/>
    </xf>
    <xf numFmtId="0" fontId="2" fillId="16" borderId="19" xfId="0" applyFont="1" applyFill="1" applyBorder="1" applyAlignment="1">
      <alignment horizontal="center" vertical="center"/>
    </xf>
    <xf numFmtId="0" fontId="1" fillId="0" borderId="21" xfId="0" applyFont="1" applyBorder="1" applyAlignment="1">
      <alignment horizontal="center" vertical="center"/>
    </xf>
    <xf numFmtId="0" fontId="2" fillId="16" borderId="19"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110"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0" xfId="0" applyFont="1" applyAlignment="1">
      <alignment vertical="center"/>
    </xf>
    <xf numFmtId="0" fontId="2" fillId="2" borderId="14" xfId="0" applyFont="1" applyFill="1" applyBorder="1" applyAlignment="1">
      <alignment horizontal="center" vertical="center" textRotation="90"/>
    </xf>
    <xf numFmtId="0" fontId="50" fillId="0" borderId="11" xfId="0" applyFont="1" applyBorder="1" applyAlignment="1">
      <alignment vertical="center" wrapText="1"/>
    </xf>
    <xf numFmtId="10" fontId="51" fillId="0" borderId="12" xfId="2" applyNumberFormat="1" applyFont="1" applyBorder="1" applyAlignment="1">
      <alignment horizontal="center" vertical="center" wrapText="1"/>
    </xf>
    <xf numFmtId="10" fontId="51" fillId="0" borderId="5" xfId="2" applyNumberFormat="1" applyFont="1" applyBorder="1" applyAlignment="1">
      <alignment horizontal="center" vertical="center" wrapText="1"/>
    </xf>
    <xf numFmtId="10" fontId="51" fillId="0" borderId="5" xfId="2" applyNumberFormat="1" applyFont="1" applyBorder="1" applyAlignment="1">
      <alignment horizontal="center" vertical="center"/>
    </xf>
    <xf numFmtId="10" fontId="51" fillId="0" borderId="5" xfId="2" applyNumberFormat="1" applyFont="1" applyFill="1" applyBorder="1" applyAlignment="1">
      <alignment horizontal="center" vertical="center"/>
    </xf>
    <xf numFmtId="10" fontId="51" fillId="0" borderId="11" xfId="2" applyNumberFormat="1" applyFont="1" applyBorder="1" applyAlignment="1">
      <alignment horizontal="center" vertical="center"/>
    </xf>
    <xf numFmtId="0" fontId="2" fillId="2" borderId="81" xfId="0" applyFont="1" applyFill="1" applyBorder="1" applyAlignment="1">
      <alignment horizontal="center" vertical="center" textRotation="90"/>
    </xf>
    <xf numFmtId="0" fontId="50" fillId="0" borderId="83" xfId="0" applyFont="1" applyBorder="1" applyAlignment="1">
      <alignment vertical="center" wrapText="1"/>
    </xf>
    <xf numFmtId="10" fontId="51" fillId="0" borderId="109" xfId="2" applyNumberFormat="1" applyFont="1" applyBorder="1" applyAlignment="1">
      <alignment horizontal="center" vertical="center" wrapText="1"/>
    </xf>
    <xf numFmtId="10" fontId="51" fillId="0" borderId="82" xfId="2" applyNumberFormat="1" applyFont="1" applyBorder="1" applyAlignment="1">
      <alignment horizontal="center" vertical="center" wrapText="1"/>
    </xf>
    <xf numFmtId="10" fontId="51" fillId="0" borderId="82" xfId="2" applyNumberFormat="1" applyFont="1" applyBorder="1" applyAlignment="1">
      <alignment horizontal="center" vertical="center"/>
    </xf>
    <xf numFmtId="10" fontId="51" fillId="0" borderId="82" xfId="2" applyNumberFormat="1" applyFont="1" applyFill="1" applyBorder="1" applyAlignment="1">
      <alignment horizontal="center" vertical="center"/>
    </xf>
    <xf numFmtId="10" fontId="51" fillId="0" borderId="83" xfId="2" applyNumberFormat="1" applyFont="1" applyBorder="1" applyAlignment="1">
      <alignment horizontal="center" vertical="center"/>
    </xf>
    <xf numFmtId="10" fontId="51" fillId="0" borderId="19" xfId="2" applyNumberFormat="1" applyFont="1" applyBorder="1" applyAlignment="1">
      <alignment horizontal="center" vertical="center" wrapText="1"/>
    </xf>
    <xf numFmtId="10" fontId="51" fillId="0" borderId="110" xfId="2" applyNumberFormat="1" applyFont="1" applyBorder="1" applyAlignment="1">
      <alignment horizontal="center" vertical="center" wrapText="1"/>
    </xf>
    <xf numFmtId="10" fontId="51" fillId="0" borderId="3" xfId="2" applyNumberFormat="1" applyFont="1" applyBorder="1" applyAlignment="1">
      <alignment horizontal="center" vertical="center" wrapText="1"/>
    </xf>
    <xf numFmtId="0" fontId="51" fillId="0" borderId="0" xfId="0" applyFont="1"/>
    <xf numFmtId="0" fontId="52" fillId="0" borderId="0" xfId="0" applyFont="1" applyAlignment="1">
      <alignment horizontal="center" vertical="center"/>
    </xf>
    <xf numFmtId="0" fontId="1" fillId="0" borderId="115"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07" xfId="0" applyFont="1" applyBorder="1" applyAlignment="1">
      <alignment horizontal="center" vertical="center" wrapText="1"/>
    </xf>
    <xf numFmtId="0" fontId="50" fillId="0" borderId="0" xfId="0" applyFont="1" applyAlignment="1">
      <alignment horizontal="left" vertical="center" wrapText="1"/>
    </xf>
    <xf numFmtId="0" fontId="2" fillId="0" borderId="1"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10" fontId="11" fillId="20" borderId="4" xfId="2" applyNumberFormat="1" applyFont="1" applyFill="1" applyBorder="1" applyAlignment="1">
      <alignment horizontal="center" vertical="center"/>
    </xf>
    <xf numFmtId="0" fontId="11" fillId="0" borderId="4" xfId="0" applyFont="1" applyBorder="1" applyAlignment="1">
      <alignment horizontal="center" vertical="center"/>
    </xf>
    <xf numFmtId="0" fontId="11" fillId="0" borderId="4" xfId="0" applyFont="1" applyBorder="1" applyAlignment="1">
      <alignment horizontal="center"/>
    </xf>
    <xf numFmtId="0" fontId="2" fillId="17" borderId="4" xfId="0" applyFont="1" applyFill="1" applyBorder="1" applyAlignment="1">
      <alignment horizontal="center" vertical="center" wrapText="1"/>
    </xf>
    <xf numFmtId="9" fontId="0" fillId="0" borderId="4" xfId="2" applyFont="1" applyBorder="1" applyAlignment="1">
      <alignment horizontal="center" vertical="center"/>
    </xf>
    <xf numFmtId="0" fontId="2" fillId="20" borderId="33" xfId="0" applyFont="1" applyFill="1" applyBorder="1" applyAlignment="1">
      <alignment horizontal="center" vertical="center"/>
    </xf>
    <xf numFmtId="10" fontId="8" fillId="0" borderId="4" xfId="2" applyNumberFormat="1" applyFont="1" applyBorder="1" applyAlignment="1">
      <alignment horizontal="center" vertical="center"/>
    </xf>
    <xf numFmtId="0" fontId="2" fillId="18" borderId="4" xfId="0" applyFont="1" applyFill="1" applyBorder="1" applyAlignment="1">
      <alignment horizontal="center" vertical="center"/>
    </xf>
    <xf numFmtId="0" fontId="2" fillId="19" borderId="33" xfId="0" applyFont="1" applyFill="1" applyBorder="1" applyAlignment="1">
      <alignment horizontal="center" vertical="center"/>
    </xf>
    <xf numFmtId="0" fontId="2" fillId="19" borderId="4" xfId="0" applyFont="1" applyFill="1" applyBorder="1" applyAlignment="1">
      <alignment horizontal="center" vertical="center"/>
    </xf>
    <xf numFmtId="0" fontId="2" fillId="18" borderId="33" xfId="0" applyFont="1" applyFill="1" applyBorder="1" applyAlignment="1">
      <alignment horizontal="center" vertical="center"/>
    </xf>
    <xf numFmtId="0" fontId="2" fillId="20" borderId="4" xfId="0" applyFont="1" applyFill="1" applyBorder="1" applyAlignment="1">
      <alignment horizontal="center" vertical="center"/>
    </xf>
    <xf numFmtId="0" fontId="2" fillId="17" borderId="33" xfId="0" applyFont="1" applyFill="1" applyBorder="1" applyAlignment="1">
      <alignment horizontal="center" vertical="center" wrapText="1"/>
    </xf>
    <xf numFmtId="9" fontId="11" fillId="0" borderId="4" xfId="2" applyFont="1" applyBorder="1" applyAlignment="1">
      <alignment horizontal="center" vertical="center"/>
    </xf>
    <xf numFmtId="0" fontId="11" fillId="0" borderId="0" xfId="0" applyFont="1" applyAlignment="1">
      <alignment horizontal="center"/>
    </xf>
    <xf numFmtId="0" fontId="11" fillId="0" borderId="0" xfId="0" applyFont="1" applyAlignment="1">
      <alignment horizontal="center" vertical="center"/>
    </xf>
    <xf numFmtId="9" fontId="11" fillId="0" borderId="0" xfId="2" applyFont="1" applyAlignment="1">
      <alignment horizontal="center" vertical="center"/>
    </xf>
    <xf numFmtId="0" fontId="53" fillId="0" borderId="0" xfId="0" applyFont="1" applyAlignment="1">
      <alignment horizontal="center" vertical="center"/>
    </xf>
    <xf numFmtId="10" fontId="11" fillId="0" borderId="0" xfId="0" applyNumberFormat="1" applyFont="1" applyAlignment="1">
      <alignment horizontal="center" vertical="center"/>
    </xf>
    <xf numFmtId="10" fontId="54" fillId="0" borderId="0" xfId="0" applyNumberFormat="1" applyFont="1" applyAlignment="1">
      <alignment horizontal="center" vertical="center"/>
    </xf>
    <xf numFmtId="0" fontId="1" fillId="0" borderId="78" xfId="0" applyFont="1" applyBorder="1" applyAlignment="1">
      <alignment vertical="center" wrapText="1"/>
    </xf>
    <xf numFmtId="0" fontId="1" fillId="0" borderId="111" xfId="0" applyFont="1" applyBorder="1" applyAlignment="1">
      <alignment vertical="center" wrapText="1"/>
    </xf>
    <xf numFmtId="0" fontId="2" fillId="0" borderId="114" xfId="0" applyFont="1" applyBorder="1" applyAlignment="1">
      <alignment vertical="center" wrapText="1"/>
    </xf>
    <xf numFmtId="0" fontId="2" fillId="19" borderId="17" xfId="0" applyFont="1" applyFill="1" applyBorder="1" applyAlignment="1">
      <alignment horizontal="center" vertical="center"/>
    </xf>
    <xf numFmtId="0" fontId="2" fillId="18" borderId="17" xfId="0" applyFont="1" applyFill="1" applyBorder="1" applyAlignment="1">
      <alignment horizontal="center" vertical="center"/>
    </xf>
    <xf numFmtId="0" fontId="2" fillId="17" borderId="17" xfId="0" applyFont="1" applyFill="1" applyBorder="1" applyAlignment="1">
      <alignment horizontal="center" vertical="center"/>
    </xf>
    <xf numFmtId="0" fontId="2" fillId="21" borderId="18" xfId="0" applyFont="1" applyFill="1" applyBorder="1" applyAlignment="1">
      <alignment horizontal="center" vertical="center"/>
    </xf>
    <xf numFmtId="0" fontId="2" fillId="21" borderId="4" xfId="0" applyFont="1" applyFill="1" applyBorder="1" applyAlignment="1">
      <alignment horizontal="center" vertical="center" wrapText="1"/>
    </xf>
    <xf numFmtId="0" fontId="2" fillId="19" borderId="20" xfId="0" applyFont="1" applyFill="1" applyBorder="1" applyAlignment="1">
      <alignment horizontal="center" vertical="center"/>
    </xf>
    <xf numFmtId="0" fontId="2" fillId="18" borderId="20" xfId="0" applyFont="1" applyFill="1" applyBorder="1" applyAlignment="1">
      <alignment horizontal="center" vertical="center"/>
    </xf>
    <xf numFmtId="0" fontId="2" fillId="17" borderId="20" xfId="0" applyFont="1" applyFill="1" applyBorder="1" applyAlignment="1">
      <alignment horizontal="center" vertical="center"/>
    </xf>
    <xf numFmtId="0" fontId="1" fillId="0" borderId="114" xfId="0" applyFont="1" applyBorder="1" applyAlignment="1">
      <alignment vertical="center" wrapText="1"/>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2" fillId="20" borderId="16" xfId="0" applyFont="1" applyFill="1" applyBorder="1" applyAlignment="1">
      <alignment horizontal="center" vertical="center" wrapText="1"/>
    </xf>
    <xf numFmtId="0" fontId="55" fillId="0" borderId="0" xfId="0" applyFont="1" applyAlignment="1">
      <alignment horizontal="center" vertical="center"/>
    </xf>
    <xf numFmtId="9" fontId="55" fillId="0" borderId="0" xfId="2" applyFont="1" applyBorder="1" applyAlignment="1">
      <alignment horizontal="center" vertical="center"/>
    </xf>
    <xf numFmtId="0" fontId="2" fillId="20" borderId="4" xfId="0" applyFont="1" applyFill="1" applyBorder="1" applyAlignment="1">
      <alignment horizontal="center" vertical="center" wrapText="1"/>
    </xf>
    <xf numFmtId="10" fontId="0" fillId="20" borderId="7" xfId="2" applyNumberFormat="1" applyFont="1" applyFill="1" applyBorder="1" applyAlignment="1">
      <alignment horizontal="center" vertical="center"/>
    </xf>
    <xf numFmtId="10" fontId="0" fillId="19" borderId="10" xfId="2" applyNumberFormat="1" applyFont="1" applyFill="1" applyBorder="1" applyAlignment="1">
      <alignment horizontal="center" vertical="center"/>
    </xf>
    <xf numFmtId="10" fontId="0" fillId="20" borderId="11" xfId="2" applyNumberFormat="1" applyFont="1" applyFill="1" applyBorder="1" applyAlignment="1">
      <alignment horizontal="center" vertical="center"/>
    </xf>
    <xf numFmtId="0" fontId="2" fillId="21" borderId="20" xfId="0" applyFont="1" applyFill="1" applyBorder="1" applyAlignment="1">
      <alignment horizontal="center" vertical="center"/>
    </xf>
    <xf numFmtId="0" fontId="11" fillId="0" borderId="20" xfId="0" applyFont="1" applyBorder="1" applyAlignment="1">
      <alignment horizontal="center" vertical="center"/>
    </xf>
    <xf numFmtId="0" fontId="56" fillId="0" borderId="20" xfId="0" applyFont="1" applyBorder="1" applyAlignment="1">
      <alignment horizontal="center" vertical="center"/>
    </xf>
    <xf numFmtId="0" fontId="56" fillId="0" borderId="21" xfId="0" applyFont="1" applyBorder="1" applyAlignment="1">
      <alignment horizontal="center" vertical="center"/>
    </xf>
    <xf numFmtId="0" fontId="2" fillId="20" borderId="5" xfId="0" applyFont="1" applyFill="1" applyBorder="1" applyAlignment="1">
      <alignment horizontal="center" vertical="center" wrapText="1"/>
    </xf>
    <xf numFmtId="0" fontId="2" fillId="20" borderId="110"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2" fillId="19" borderId="8" xfId="0" applyFont="1" applyFill="1" applyBorder="1" applyAlignment="1">
      <alignment horizontal="center" vertical="center"/>
    </xf>
    <xf numFmtId="10" fontId="0" fillId="18" borderId="7" xfId="2" applyNumberFormat="1" applyFont="1" applyFill="1" applyBorder="1" applyAlignment="1">
      <alignment horizontal="center" vertical="center"/>
    </xf>
    <xf numFmtId="0" fontId="1" fillId="0" borderId="22" xfId="0" applyFont="1" applyBorder="1" applyAlignment="1">
      <alignment horizontal="center" vertical="center"/>
    </xf>
    <xf numFmtId="0" fontId="11" fillId="0" borderId="6" xfId="0" applyFont="1" applyBorder="1" applyAlignment="1">
      <alignment vertical="center"/>
    </xf>
    <xf numFmtId="0" fontId="1" fillId="0" borderId="7" xfId="0" applyFont="1" applyBorder="1" applyAlignment="1">
      <alignment vertical="center" wrapText="1"/>
    </xf>
    <xf numFmtId="0" fontId="11" fillId="0" borderId="9" xfId="0" applyFont="1" applyBorder="1" applyAlignment="1">
      <alignment vertical="center"/>
    </xf>
    <xf numFmtId="0" fontId="1" fillId="0" borderId="10" xfId="0" applyFont="1" applyBorder="1" applyAlignment="1">
      <alignment vertical="center" wrapText="1"/>
    </xf>
    <xf numFmtId="0" fontId="11" fillId="0" borderId="14" xfId="0" applyFont="1" applyBorder="1" applyAlignment="1">
      <alignment vertical="center"/>
    </xf>
    <xf numFmtId="0" fontId="1" fillId="0" borderId="11" xfId="0" applyFont="1" applyBorder="1" applyAlignment="1">
      <alignment vertical="center" wrapText="1"/>
    </xf>
    <xf numFmtId="0" fontId="2" fillId="19"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0" borderId="16" xfId="0" applyBorder="1" applyAlignment="1">
      <alignment horizontal="center" vertical="center"/>
    </xf>
    <xf numFmtId="0" fontId="2" fillId="20" borderId="17" xfId="0" applyFont="1" applyFill="1" applyBorder="1" applyAlignment="1">
      <alignment horizontal="center" vertical="center" wrapText="1"/>
    </xf>
    <xf numFmtId="10" fontId="0" fillId="20" borderId="18" xfId="2" applyNumberFormat="1" applyFont="1" applyFill="1" applyBorder="1" applyAlignment="1">
      <alignment horizontal="center" vertical="center"/>
    </xf>
    <xf numFmtId="0" fontId="0" fillId="0" borderId="26" xfId="0" applyBorder="1" applyAlignment="1">
      <alignment horizontal="center" vertical="center"/>
    </xf>
    <xf numFmtId="0" fontId="2" fillId="20" borderId="27" xfId="0" applyFont="1" applyFill="1" applyBorder="1" applyAlignment="1">
      <alignment horizontal="center" vertical="center" wrapText="1"/>
    </xf>
    <xf numFmtId="10" fontId="0" fillId="20" borderId="28" xfId="2" applyNumberFormat="1" applyFont="1" applyFill="1" applyBorder="1" applyAlignment="1">
      <alignment horizontal="center" vertical="center"/>
    </xf>
    <xf numFmtId="10" fontId="0" fillId="3" borderId="11" xfId="2" applyNumberFormat="1" applyFont="1" applyFill="1" applyBorder="1" applyAlignment="1">
      <alignment horizontal="center" vertical="center"/>
    </xf>
    <xf numFmtId="10" fontId="53" fillId="0" borderId="0" xfId="0" applyNumberFormat="1" applyFont="1" applyAlignment="1">
      <alignment horizontal="center" vertical="center"/>
    </xf>
    <xf numFmtId="9" fontId="54" fillId="0" borderId="0" xfId="0" applyNumberFormat="1" applyFont="1" applyAlignment="1">
      <alignment horizontal="center" vertical="center"/>
    </xf>
    <xf numFmtId="0" fontId="2" fillId="19" borderId="101" xfId="0" applyFont="1" applyFill="1" applyBorder="1" applyAlignment="1">
      <alignment horizontal="center" vertical="center"/>
    </xf>
    <xf numFmtId="0" fontId="2" fillId="18" borderId="101" xfId="0" applyFont="1" applyFill="1" applyBorder="1" applyAlignment="1">
      <alignment horizontal="center" vertical="center"/>
    </xf>
    <xf numFmtId="0" fontId="2" fillId="17" borderId="101" xfId="0" applyFont="1" applyFill="1" applyBorder="1" applyAlignment="1">
      <alignment horizontal="center" vertical="center"/>
    </xf>
    <xf numFmtId="10" fontId="1" fillId="0" borderId="4" xfId="2" applyNumberFormat="1" applyFont="1" applyFill="1" applyBorder="1" applyAlignment="1">
      <alignment horizontal="center" vertical="center" wrapText="1"/>
    </xf>
    <xf numFmtId="164" fontId="1" fillId="0" borderId="4" xfId="10" applyFont="1" applyFill="1" applyBorder="1" applyAlignment="1">
      <alignment horizontal="center" textRotation="90" wrapText="1"/>
    </xf>
    <xf numFmtId="0" fontId="11" fillId="22" borderId="14" xfId="0" applyFont="1" applyFill="1" applyBorder="1" applyAlignment="1">
      <alignment vertical="center"/>
    </xf>
    <xf numFmtId="0" fontId="11" fillId="22" borderId="6" xfId="0" applyFont="1" applyFill="1" applyBorder="1" applyAlignment="1">
      <alignment vertical="center"/>
    </xf>
    <xf numFmtId="0" fontId="11" fillId="22" borderId="9" xfId="0" applyFont="1" applyFill="1" applyBorder="1" applyAlignment="1">
      <alignment vertical="center"/>
    </xf>
    <xf numFmtId="10" fontId="11" fillId="0" borderId="4" xfId="0" applyNumberFormat="1" applyFont="1" applyBorder="1" applyAlignment="1">
      <alignment horizontal="center" vertical="center"/>
    </xf>
    <xf numFmtId="14" fontId="1" fillId="0" borderId="0" xfId="0" applyNumberFormat="1" applyFont="1" applyAlignment="1">
      <alignment horizontal="left" vertical="center"/>
    </xf>
    <xf numFmtId="14" fontId="1" fillId="0" borderId="0" xfId="0" applyNumberFormat="1" applyFont="1" applyAlignment="1">
      <alignment horizontal="left"/>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2" fillId="0" borderId="6" xfId="0" applyFont="1" applyBorder="1" applyAlignment="1">
      <alignment vertical="center"/>
    </xf>
    <xf numFmtId="0" fontId="2" fillId="20" borderId="100" xfId="0" applyFont="1" applyFill="1" applyBorder="1" applyAlignment="1">
      <alignment horizontal="center" vertical="center" wrapText="1"/>
    </xf>
    <xf numFmtId="0" fontId="2" fillId="21" borderId="102" xfId="0" applyFont="1" applyFill="1" applyBorder="1" applyAlignment="1">
      <alignment horizontal="center" vertical="center" wrapText="1"/>
    </xf>
    <xf numFmtId="0" fontId="1" fillId="22" borderId="115" xfId="0" applyFont="1" applyFill="1" applyBorder="1" applyAlignment="1">
      <alignment vertical="center" wrapText="1"/>
    </xf>
    <xf numFmtId="0" fontId="1" fillId="22" borderId="33" xfId="0" applyFont="1" applyFill="1" applyBorder="1" applyAlignment="1">
      <alignment vertical="center" wrapText="1"/>
    </xf>
    <xf numFmtId="0" fontId="1" fillId="22" borderId="107" xfId="0" applyFont="1" applyFill="1" applyBorder="1" applyAlignment="1">
      <alignment vertical="center" wrapText="1"/>
    </xf>
    <xf numFmtId="9" fontId="1" fillId="0" borderId="4" xfId="2" applyFont="1" applyBorder="1" applyAlignment="1">
      <alignment horizontal="center" vertical="center" wrapText="1"/>
    </xf>
    <xf numFmtId="0" fontId="57" fillId="0" borderId="0" xfId="0" applyFont="1" applyAlignment="1">
      <alignment horizontal="center" vertical="center"/>
    </xf>
    <xf numFmtId="10" fontId="2" fillId="20" borderId="7" xfId="2" applyNumberFormat="1" applyFont="1" applyFill="1" applyBorder="1" applyAlignment="1">
      <alignment horizontal="center" vertical="center" wrapText="1"/>
    </xf>
    <xf numFmtId="0" fontId="2" fillId="21" borderId="29" xfId="0" applyFont="1" applyFill="1" applyBorder="1" applyAlignment="1">
      <alignment horizontal="center" vertical="center" wrapText="1"/>
    </xf>
    <xf numFmtId="0" fontId="1" fillId="0" borderId="104" xfId="0" applyFont="1" applyBorder="1" applyAlignment="1">
      <alignment horizontal="center" vertical="center"/>
    </xf>
    <xf numFmtId="0" fontId="1" fillId="0" borderId="33" xfId="0" applyFont="1" applyBorder="1" applyAlignment="1">
      <alignment horizontal="center" vertical="center"/>
    </xf>
    <xf numFmtId="0" fontId="1" fillId="0" borderId="107" xfId="0" applyFont="1" applyBorder="1" applyAlignment="1">
      <alignment horizontal="center" vertical="center"/>
    </xf>
    <xf numFmtId="10" fontId="2" fillId="19" borderId="7" xfId="2" applyNumberFormat="1" applyFont="1" applyFill="1" applyBorder="1" applyAlignment="1">
      <alignment horizontal="center" vertical="center" wrapText="1"/>
    </xf>
    <xf numFmtId="0" fontId="56" fillId="0" borderId="110" xfId="0" applyFont="1" applyBorder="1" applyAlignment="1">
      <alignment horizontal="center" vertical="center"/>
    </xf>
    <xf numFmtId="0" fontId="11" fillId="0" borderId="121"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22" xfId="0" applyBorder="1" applyAlignment="1">
      <alignment horizontal="center" vertical="center"/>
    </xf>
    <xf numFmtId="0" fontId="2" fillId="20" borderId="6" xfId="0" applyFont="1" applyFill="1" applyBorder="1" applyAlignment="1">
      <alignment horizontal="center" vertical="center" wrapText="1"/>
    </xf>
    <xf numFmtId="0" fontId="2" fillId="20" borderId="9" xfId="0" applyFont="1" applyFill="1" applyBorder="1" applyAlignment="1">
      <alignment horizontal="center" vertical="center" wrapText="1"/>
    </xf>
    <xf numFmtId="10" fontId="2" fillId="20" borderId="18" xfId="2" applyNumberFormat="1" applyFont="1" applyFill="1" applyBorder="1" applyAlignment="1">
      <alignment horizontal="center" vertical="center"/>
    </xf>
    <xf numFmtId="10" fontId="2" fillId="20" borderId="18" xfId="2" applyNumberFormat="1" applyFont="1" applyFill="1" applyBorder="1" applyAlignment="1">
      <alignment horizontal="center" vertical="center" wrapText="1"/>
    </xf>
    <xf numFmtId="0" fontId="2" fillId="19" borderId="6" xfId="0" applyFont="1" applyFill="1" applyBorder="1" applyAlignment="1">
      <alignment horizontal="center" vertical="center" wrapText="1"/>
    </xf>
    <xf numFmtId="10" fontId="2" fillId="20" borderId="10" xfId="2" applyNumberFormat="1" applyFont="1" applyFill="1" applyBorder="1" applyAlignment="1">
      <alignment horizontal="center" vertical="center" wrapText="1"/>
    </xf>
    <xf numFmtId="0" fontId="9" fillId="0" borderId="58" xfId="0" applyFont="1" applyBorder="1" applyAlignment="1">
      <alignment horizontal="left" vertical="center" wrapText="1"/>
    </xf>
    <xf numFmtId="2" fontId="1" fillId="0" borderId="4" xfId="2" applyNumberFormat="1" applyFont="1" applyFill="1" applyBorder="1" applyAlignment="1">
      <alignment horizontal="center" vertical="center" wrapText="1"/>
    </xf>
    <xf numFmtId="10" fontId="2" fillId="20" borderId="7" xfId="2" applyNumberFormat="1" applyFont="1" applyFill="1" applyBorder="1" applyAlignment="1">
      <alignment horizontal="center" vertical="center"/>
    </xf>
    <xf numFmtId="10" fontId="2" fillId="20" borderId="10" xfId="2" applyNumberFormat="1" applyFont="1" applyFill="1" applyBorder="1" applyAlignment="1">
      <alignment horizontal="center" vertical="center"/>
    </xf>
    <xf numFmtId="10" fontId="2" fillId="19" borderId="18" xfId="2" applyNumberFormat="1" applyFont="1" applyFill="1" applyBorder="1" applyAlignment="1">
      <alignment horizontal="center" vertical="center" wrapText="1"/>
    </xf>
    <xf numFmtId="0" fontId="2" fillId="21" borderId="80" xfId="0" applyFont="1" applyFill="1" applyBorder="1" applyAlignment="1">
      <alignment horizontal="center" vertical="center" wrapText="1"/>
    </xf>
    <xf numFmtId="0" fontId="1" fillId="0" borderId="113" xfId="0" applyFont="1" applyBorder="1" applyAlignment="1">
      <alignment horizontal="center" vertical="center"/>
    </xf>
    <xf numFmtId="0" fontId="2" fillId="17" borderId="18" xfId="0" applyFont="1" applyFill="1" applyBorder="1" applyAlignment="1">
      <alignment horizontal="center" vertical="center"/>
    </xf>
    <xf numFmtId="0" fontId="11" fillId="0" borderId="17" xfId="0" applyFont="1" applyBorder="1" applyAlignment="1">
      <alignment horizontal="center" vertical="center"/>
    </xf>
    <xf numFmtId="0" fontId="11" fillId="0" borderId="17" xfId="0" applyFont="1" applyBorder="1" applyAlignment="1">
      <alignment horizontal="center"/>
    </xf>
    <xf numFmtId="0" fontId="11" fillId="0" borderId="18" xfId="0" applyFont="1" applyBorder="1" applyAlignment="1">
      <alignment horizontal="center" vertical="center"/>
    </xf>
    <xf numFmtId="0" fontId="0" fillId="0" borderId="7" xfId="0" applyBorder="1" applyAlignment="1">
      <alignment horizontal="center" vertical="center"/>
    </xf>
    <xf numFmtId="0" fontId="11" fillId="0" borderId="8" xfId="0" applyFont="1" applyBorder="1" applyAlignment="1">
      <alignment horizontal="center" vertical="center"/>
    </xf>
    <xf numFmtId="10" fontId="8" fillId="0" borderId="8" xfId="2" applyNumberFormat="1" applyFont="1" applyBorder="1" applyAlignment="1">
      <alignment horizontal="center" vertical="center"/>
    </xf>
    <xf numFmtId="0" fontId="0" fillId="0" borderId="10" xfId="0" applyBorder="1" applyAlignment="1">
      <alignment horizontal="center" vertical="center"/>
    </xf>
    <xf numFmtId="0" fontId="1" fillId="0" borderId="79" xfId="0" applyFont="1" applyBorder="1" applyAlignment="1">
      <alignment horizontal="center" vertical="center"/>
    </xf>
    <xf numFmtId="0" fontId="1" fillId="0" borderId="117" xfId="0" applyFont="1" applyBorder="1" applyAlignment="1">
      <alignment horizontal="center" vertical="center"/>
    </xf>
    <xf numFmtId="0" fontId="1" fillId="0" borderId="124" xfId="0" applyFont="1" applyBorder="1" applyAlignment="1">
      <alignment horizontal="center" vertical="center"/>
    </xf>
    <xf numFmtId="0" fontId="11" fillId="0" borderId="27" xfId="0" applyFont="1" applyBorder="1" applyAlignment="1">
      <alignment horizontal="center" vertical="center"/>
    </xf>
    <xf numFmtId="10" fontId="8" fillId="0" borderId="27" xfId="2"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 fillId="0" borderId="15" xfId="0" applyFont="1" applyBorder="1" applyAlignment="1">
      <alignment horizontal="left" vertical="center" wrapText="1"/>
    </xf>
    <xf numFmtId="0" fontId="1" fillId="0" borderId="7" xfId="0" applyFont="1" applyBorder="1" applyAlignment="1">
      <alignment horizontal="left" vertical="center" wrapText="1"/>
    </xf>
    <xf numFmtId="0" fontId="1" fillId="0" borderId="22"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1" fillId="0" borderId="4"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horizontal="center"/>
    </xf>
    <xf numFmtId="0" fontId="1" fillId="0" borderId="13" xfId="0" applyFont="1" applyBorder="1" applyAlignment="1">
      <alignment horizontal="center"/>
    </xf>
    <xf numFmtId="0" fontId="2" fillId="2" borderId="1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0" borderId="4" xfId="0" applyFont="1" applyBorder="1" applyAlignment="1">
      <alignment horizontal="left"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 fillId="0" borderId="15" xfId="0" applyFont="1" applyBorder="1" applyAlignment="1">
      <alignment horizontal="left" vertical="center" wrapText="1"/>
    </xf>
    <xf numFmtId="0" fontId="1" fillId="0" borderId="7" xfId="0" applyFont="1" applyBorder="1" applyAlignment="1">
      <alignment horizontal="left" vertical="center" wrapText="1"/>
    </xf>
    <xf numFmtId="0" fontId="1" fillId="0" borderId="22"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2" borderId="100" xfId="0" applyFont="1" applyFill="1" applyBorder="1" applyAlignment="1">
      <alignment horizontal="left" vertical="center" wrapText="1"/>
    </xf>
    <xf numFmtId="0" fontId="2" fillId="2" borderId="101" xfId="0" applyFont="1" applyFill="1" applyBorder="1" applyAlignment="1">
      <alignment horizontal="left" vertical="center" wrapText="1"/>
    </xf>
    <xf numFmtId="0" fontId="2" fillId="2" borderId="102" xfId="0"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18"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2" fillId="2" borderId="104" xfId="0" applyFont="1" applyFill="1" applyBorder="1" applyAlignment="1">
      <alignment horizontal="center" vertical="center" wrapText="1"/>
    </xf>
    <xf numFmtId="0" fontId="2" fillId="2" borderId="107" xfId="0" applyFont="1" applyFill="1" applyBorder="1" applyAlignment="1">
      <alignment horizontal="center" vertical="center" wrapText="1"/>
    </xf>
    <xf numFmtId="0" fontId="2" fillId="2" borderId="95" xfId="0" applyFont="1" applyFill="1" applyBorder="1" applyAlignment="1">
      <alignment horizontal="center" vertical="center" wrapText="1"/>
    </xf>
    <xf numFmtId="0" fontId="2" fillId="2" borderId="96" xfId="0" applyFont="1" applyFill="1" applyBorder="1" applyAlignment="1">
      <alignment horizontal="center" vertical="center" wrapText="1"/>
    </xf>
    <xf numFmtId="0" fontId="2" fillId="2" borderId="97" xfId="0" applyFont="1" applyFill="1" applyBorder="1" applyAlignment="1">
      <alignment horizontal="center" vertical="center" wrapText="1"/>
    </xf>
    <xf numFmtId="0" fontId="2" fillId="2" borderId="99" xfId="0" applyFont="1" applyFill="1" applyBorder="1" applyAlignment="1">
      <alignment horizontal="center" vertical="center" wrapText="1"/>
    </xf>
    <xf numFmtId="10" fontId="1" fillId="0" borderId="4" xfId="2" applyNumberFormat="1" applyFont="1" applyFill="1" applyBorder="1" applyAlignment="1">
      <alignment horizontal="center" vertical="center" wrapText="1"/>
    </xf>
    <xf numFmtId="0" fontId="2" fillId="2" borderId="108" xfId="0" applyFont="1" applyFill="1" applyBorder="1" applyAlignment="1">
      <alignment horizontal="center" vertical="center" wrapText="1"/>
    </xf>
    <xf numFmtId="168" fontId="1" fillId="0" borderId="4" xfId="2" applyNumberFormat="1" applyFont="1" applyFill="1" applyBorder="1" applyAlignment="1">
      <alignment horizontal="center" vertical="center" wrapText="1"/>
    </xf>
    <xf numFmtId="10" fontId="1" fillId="0" borderId="120" xfId="2" applyNumberFormat="1" applyFont="1" applyFill="1" applyBorder="1" applyAlignment="1">
      <alignment horizontal="center" vertical="center" wrapText="1"/>
    </xf>
    <xf numFmtId="0" fontId="1" fillId="0" borderId="16" xfId="0" applyFont="1" applyBorder="1" applyAlignment="1">
      <alignment horizontal="center"/>
    </xf>
    <xf numFmtId="0" fontId="1" fillId="0" borderId="17" xfId="0" applyFont="1" applyBorder="1" applyAlignment="1">
      <alignment horizontal="center"/>
    </xf>
    <xf numFmtId="0" fontId="1" fillId="0" borderId="6" xfId="0" applyFont="1" applyBorder="1" applyAlignment="1">
      <alignment horizontal="center"/>
    </xf>
    <xf numFmtId="0" fontId="1" fillId="0" borderId="4"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7" xfId="0" applyFont="1" applyBorder="1" applyAlignment="1">
      <alignment horizontal="left" vertical="center"/>
    </xf>
    <xf numFmtId="0" fontId="1" fillId="0" borderId="18" xfId="0" applyFont="1" applyBorder="1" applyAlignment="1">
      <alignment horizontal="center"/>
    </xf>
    <xf numFmtId="0" fontId="1" fillId="0" borderId="7" xfId="0" applyFont="1" applyBorder="1" applyAlignment="1">
      <alignment horizontal="center"/>
    </xf>
    <xf numFmtId="0" fontId="1" fillId="0" borderId="10" xfId="0" applyFont="1" applyBorder="1" applyAlignment="1">
      <alignment horizont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16" borderId="19" xfId="0" applyFont="1" applyFill="1" applyBorder="1" applyAlignment="1">
      <alignment horizontal="center" vertical="center"/>
    </xf>
    <xf numFmtId="0" fontId="2" fillId="16" borderId="20" xfId="0" applyFont="1" applyFill="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2" fillId="16" borderId="19" xfId="0" applyFont="1" applyFill="1" applyBorder="1" applyAlignment="1">
      <alignment horizontal="center" vertical="center" wrapText="1"/>
    </xf>
    <xf numFmtId="0" fontId="2" fillId="16" borderId="20" xfId="0" applyFont="1" applyFill="1" applyBorder="1" applyAlignment="1">
      <alignment horizontal="center" vertical="center" wrapText="1"/>
    </xf>
    <xf numFmtId="0" fontId="2" fillId="16" borderId="21"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08" xfId="0" applyFont="1" applyBorder="1" applyAlignment="1">
      <alignment horizontal="left"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 fillId="0" borderId="110"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2" fillId="16" borderId="1" xfId="0" applyFont="1" applyFill="1" applyBorder="1" applyAlignment="1">
      <alignment horizontal="center" vertical="center" wrapText="1"/>
    </xf>
    <xf numFmtId="0" fontId="2" fillId="16" borderId="2"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1" fillId="0" borderId="82" xfId="0" applyFont="1" applyBorder="1" applyAlignment="1">
      <alignment horizontal="left" vertical="center" wrapText="1"/>
    </xf>
    <xf numFmtId="0" fontId="1" fillId="0" borderId="83" xfId="0" applyFont="1" applyBorder="1" applyAlignment="1">
      <alignment horizontal="left" vertical="center" wrapText="1"/>
    </xf>
    <xf numFmtId="0" fontId="1" fillId="0" borderId="33" xfId="0" applyFont="1" applyBorder="1" applyAlignment="1">
      <alignment horizontal="left" vertical="center" wrapText="1"/>
    </xf>
    <xf numFmtId="10" fontId="1" fillId="0" borderId="104" xfId="2" applyNumberFormat="1" applyFont="1" applyBorder="1" applyAlignment="1">
      <alignment horizontal="center" vertical="center" wrapText="1"/>
    </xf>
    <xf numFmtId="10" fontId="1" fillId="0" borderId="80" xfId="2" applyNumberFormat="1" applyFont="1" applyBorder="1" applyAlignment="1">
      <alignment horizontal="center" vertical="center" wrapText="1"/>
    </xf>
    <xf numFmtId="0" fontId="2" fillId="17" borderId="78" xfId="0" applyFont="1" applyFill="1" applyBorder="1" applyAlignment="1">
      <alignment horizontal="center" vertical="center" wrapText="1"/>
    </xf>
    <xf numFmtId="0" fontId="2" fillId="17" borderId="108" xfId="0" applyFont="1" applyFill="1" applyBorder="1" applyAlignment="1">
      <alignment horizontal="center" vertical="center" wrapText="1"/>
    </xf>
    <xf numFmtId="0" fontId="2" fillId="18" borderId="111" xfId="0" applyFont="1" applyFill="1" applyBorder="1" applyAlignment="1">
      <alignment horizontal="center" vertical="center" wrapText="1"/>
    </xf>
    <xf numFmtId="0" fontId="2" fillId="18" borderId="1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4" xfId="0" applyFont="1" applyBorder="1" applyAlignment="1">
      <alignment horizontal="left" vertical="center"/>
    </xf>
    <xf numFmtId="0" fontId="1" fillId="0" borderId="7" xfId="0" applyFont="1" applyBorder="1" applyAlignment="1">
      <alignment horizontal="left" vertical="center"/>
    </xf>
    <xf numFmtId="0" fontId="1" fillId="0" borderId="15" xfId="0" applyFont="1" applyBorder="1" applyAlignment="1">
      <alignment vertical="center" wrapText="1"/>
    </xf>
    <xf numFmtId="0" fontId="1" fillId="0" borderId="4" xfId="0" applyFont="1" applyBorder="1" applyAlignment="1">
      <alignment vertical="center" wrapText="1"/>
    </xf>
    <xf numFmtId="0" fontId="1" fillId="0" borderId="33" xfId="0" applyFont="1" applyBorder="1" applyAlignment="1">
      <alignment vertical="center" wrapText="1"/>
    </xf>
    <xf numFmtId="0" fontId="1" fillId="0" borderId="22" xfId="0" applyFont="1" applyBorder="1" applyAlignment="1">
      <alignment vertical="center" wrapText="1"/>
    </xf>
    <xf numFmtId="0" fontId="1" fillId="0" borderId="8" xfId="0" applyFont="1" applyBorder="1" applyAlignment="1">
      <alignment vertical="center" wrapText="1"/>
    </xf>
    <xf numFmtId="0" fontId="1" fillId="0" borderId="107" xfId="0" applyFont="1" applyBorder="1" applyAlignment="1">
      <alignment vertical="center" wrapText="1"/>
    </xf>
    <xf numFmtId="0" fontId="2" fillId="2" borderId="103" xfId="0" applyFont="1" applyFill="1" applyBorder="1" applyAlignment="1">
      <alignment horizontal="center" vertical="center" wrapText="1"/>
    </xf>
    <xf numFmtId="0" fontId="2" fillId="2" borderId="13" xfId="0" applyFont="1" applyFill="1" applyBorder="1" applyAlignment="1">
      <alignment horizontal="center" vertical="center" wrapText="1"/>
    </xf>
    <xf numFmtId="10" fontId="1" fillId="0" borderId="33" xfId="2" applyNumberFormat="1" applyFont="1" applyBorder="1" applyAlignment="1">
      <alignment horizontal="center" vertical="center" wrapText="1"/>
    </xf>
    <xf numFmtId="10" fontId="1" fillId="0" borderId="112" xfId="2" applyNumberFormat="1" applyFont="1" applyBorder="1" applyAlignment="1">
      <alignment horizontal="center" vertical="center" wrapText="1"/>
    </xf>
    <xf numFmtId="10" fontId="1" fillId="0" borderId="107" xfId="2" applyNumberFormat="1" applyFont="1" applyBorder="1" applyAlignment="1">
      <alignment horizontal="center" vertical="center" wrapText="1"/>
    </xf>
    <xf numFmtId="10" fontId="1" fillId="0" borderId="113" xfId="2" applyNumberFormat="1" applyFont="1" applyBorder="1" applyAlignment="1">
      <alignment horizontal="center" vertical="center" wrapText="1"/>
    </xf>
    <xf numFmtId="0" fontId="2" fillId="19" borderId="111" xfId="0" applyFont="1" applyFill="1" applyBorder="1" applyAlignment="1">
      <alignment horizontal="center" vertical="center" wrapText="1"/>
    </xf>
    <xf numFmtId="0" fontId="2" fillId="19" borderId="15" xfId="0" applyFont="1" applyFill="1" applyBorder="1" applyAlignment="1">
      <alignment horizontal="center" vertical="center" wrapText="1"/>
    </xf>
    <xf numFmtId="0" fontId="2" fillId="20" borderId="114" xfId="0" applyFont="1" applyFill="1" applyBorder="1" applyAlignment="1">
      <alignment horizontal="center" vertical="center" wrapText="1"/>
    </xf>
    <xf numFmtId="0" fontId="2" fillId="20" borderId="22" xfId="0" applyFont="1" applyFill="1" applyBorder="1" applyAlignment="1">
      <alignment horizontal="center" vertical="center" wrapText="1"/>
    </xf>
    <xf numFmtId="0" fontId="41" fillId="9" borderId="17" xfId="8" applyFont="1" applyFill="1" applyBorder="1" applyAlignment="1">
      <alignment horizontal="center" vertical="center" wrapText="1"/>
    </xf>
    <xf numFmtId="0" fontId="41" fillId="9" borderId="82" xfId="8" applyFont="1" applyFill="1" applyBorder="1" applyAlignment="1">
      <alignment horizontal="center" vertical="center" wrapText="1"/>
    </xf>
    <xf numFmtId="0" fontId="41" fillId="9" borderId="95" xfId="8" applyFont="1" applyFill="1" applyBorder="1" applyAlignment="1">
      <alignment horizontal="center" vertical="center" wrapText="1"/>
    </xf>
    <xf numFmtId="0" fontId="41" fillId="9" borderId="77" xfId="8" applyFont="1" applyFill="1" applyBorder="1" applyAlignment="1">
      <alignment horizontal="center" vertical="center" wrapText="1"/>
    </xf>
    <xf numFmtId="0" fontId="41" fillId="9" borderId="96" xfId="8" applyFont="1" applyFill="1" applyBorder="1" applyAlignment="1">
      <alignment horizontal="center" vertical="center" wrapText="1"/>
    </xf>
    <xf numFmtId="0" fontId="41" fillId="9" borderId="97" xfId="8" applyFont="1" applyFill="1" applyBorder="1" applyAlignment="1">
      <alignment horizontal="center" vertical="center" wrapText="1"/>
    </xf>
    <xf numFmtId="0" fontId="41" fillId="9" borderId="98" xfId="8" applyFont="1" applyFill="1" applyBorder="1" applyAlignment="1">
      <alignment horizontal="center" vertical="center" wrapText="1"/>
    </xf>
    <xf numFmtId="0" fontId="41" fillId="9" borderId="99" xfId="8" applyFont="1" applyFill="1" applyBorder="1" applyAlignment="1">
      <alignment horizontal="center" vertical="center" wrapText="1"/>
    </xf>
    <xf numFmtId="0" fontId="42" fillId="8" borderId="100" xfId="6" applyFont="1" applyFill="1" applyBorder="1" applyAlignment="1">
      <alignment horizontal="right" vertical="center"/>
    </xf>
    <xf numFmtId="0" fontId="42" fillId="8" borderId="30" xfId="6" applyFont="1" applyFill="1" applyBorder="1" applyAlignment="1">
      <alignment horizontal="right" vertical="center"/>
    </xf>
    <xf numFmtId="0" fontId="42" fillId="8" borderId="101" xfId="6" applyFont="1" applyFill="1" applyBorder="1" applyAlignment="1">
      <alignment horizontal="right" vertical="center"/>
    </xf>
    <xf numFmtId="0" fontId="47" fillId="8" borderId="101" xfId="6" applyFont="1" applyFill="1" applyBorder="1" applyAlignment="1">
      <alignment horizontal="left" vertical="center" wrapText="1"/>
    </xf>
    <xf numFmtId="0" fontId="42" fillId="8" borderId="16" xfId="6" applyFont="1" applyFill="1" applyBorder="1" applyAlignment="1">
      <alignment horizontal="right" vertical="center"/>
    </xf>
    <xf numFmtId="0" fontId="42" fillId="8" borderId="17" xfId="6" applyFont="1" applyFill="1" applyBorder="1" applyAlignment="1">
      <alignment horizontal="right" vertical="center"/>
    </xf>
    <xf numFmtId="0" fontId="42" fillId="8" borderId="9" xfId="6" applyFont="1" applyFill="1" applyBorder="1" applyAlignment="1">
      <alignment horizontal="right" vertical="center"/>
    </xf>
    <xf numFmtId="0" fontId="42" fillId="8" borderId="8" xfId="6" applyFont="1" applyFill="1" applyBorder="1" applyAlignment="1">
      <alignment horizontal="right" vertical="center"/>
    </xf>
    <xf numFmtId="0" fontId="42" fillId="15" borderId="4" xfId="8" applyFont="1" applyFill="1" applyBorder="1" applyAlignment="1">
      <alignment horizontal="left" vertical="center" wrapText="1"/>
    </xf>
    <xf numFmtId="0" fontId="46" fillId="8" borderId="95" xfId="6" applyFont="1" applyFill="1" applyBorder="1" applyAlignment="1">
      <alignment horizontal="center" vertical="center" wrapText="1"/>
    </xf>
    <xf numFmtId="0" fontId="46" fillId="8" borderId="77" xfId="6" applyFont="1" applyFill="1" applyBorder="1" applyAlignment="1">
      <alignment horizontal="center" vertical="center" wrapText="1"/>
    </xf>
    <xf numFmtId="0" fontId="46" fillId="8" borderId="96" xfId="6" applyFont="1" applyFill="1" applyBorder="1" applyAlignment="1">
      <alignment horizontal="center" vertical="center" wrapText="1"/>
    </xf>
    <xf numFmtId="0" fontId="46" fillId="8" borderId="97" xfId="6" applyFont="1" applyFill="1" applyBorder="1" applyAlignment="1">
      <alignment horizontal="center" vertical="center" wrapText="1"/>
    </xf>
    <xf numFmtId="0" fontId="46" fillId="8" borderId="98" xfId="6" applyFont="1" applyFill="1" applyBorder="1" applyAlignment="1">
      <alignment horizontal="center" vertical="center" wrapText="1"/>
    </xf>
    <xf numFmtId="0" fontId="46" fillId="8" borderId="99" xfId="6" applyFont="1" applyFill="1" applyBorder="1" applyAlignment="1">
      <alignment horizontal="center" vertical="center" wrapText="1"/>
    </xf>
    <xf numFmtId="14" fontId="47" fillId="0" borderId="17" xfId="6" applyNumberFormat="1" applyFont="1" applyBorder="1" applyAlignment="1">
      <alignment horizontal="left" vertical="center" wrapText="1"/>
    </xf>
    <xf numFmtId="14" fontId="47" fillId="0" borderId="18" xfId="6" applyNumberFormat="1" applyFont="1" applyBorder="1" applyAlignment="1">
      <alignment horizontal="left" vertical="center" wrapText="1"/>
    </xf>
    <xf numFmtId="14" fontId="47" fillId="0" borderId="8" xfId="6" applyNumberFormat="1" applyFont="1" applyBorder="1" applyAlignment="1">
      <alignment horizontal="left" vertical="center" wrapText="1"/>
    </xf>
    <xf numFmtId="14" fontId="47" fillId="0" borderId="10" xfId="6" applyNumberFormat="1" applyFont="1" applyBorder="1" applyAlignment="1">
      <alignment horizontal="left" vertical="center" wrapText="1"/>
    </xf>
    <xf numFmtId="0" fontId="41" fillId="9" borderId="104" xfId="8" applyFont="1" applyFill="1" applyBorder="1" applyAlignment="1">
      <alignment horizontal="center" vertical="center" wrapText="1"/>
    </xf>
    <xf numFmtId="0" fontId="41" fillId="9" borderId="105" xfId="8" applyFont="1" applyFill="1" applyBorder="1" applyAlignment="1">
      <alignment horizontal="center" vertical="center" wrapText="1"/>
    </xf>
    <xf numFmtId="0" fontId="41" fillId="9" borderId="16" xfId="6" applyFont="1" applyFill="1" applyBorder="1" applyAlignment="1">
      <alignment horizontal="center" vertical="center" wrapText="1"/>
    </xf>
    <xf numFmtId="0" fontId="41" fillId="9" borderId="18" xfId="6" applyFont="1" applyFill="1" applyBorder="1" applyAlignment="1">
      <alignment horizontal="center" vertical="center" wrapText="1"/>
    </xf>
    <xf numFmtId="0" fontId="41" fillId="9" borderId="16" xfId="8" applyFont="1" applyFill="1" applyBorder="1" applyAlignment="1">
      <alignment horizontal="center" vertical="center" wrapText="1"/>
    </xf>
    <xf numFmtId="0" fontId="41" fillId="9" borderId="81" xfId="8" applyFont="1" applyFill="1" applyBorder="1" applyAlignment="1">
      <alignment horizontal="center" vertical="center" wrapText="1"/>
    </xf>
    <xf numFmtId="0" fontId="42" fillId="10" borderId="41" xfId="5" applyFont="1" applyFill="1" applyBorder="1" applyAlignment="1">
      <alignment horizontal="center" vertical="center" wrapText="1"/>
    </xf>
    <xf numFmtId="0" fontId="16" fillId="2" borderId="62" xfId="5" applyFont="1" applyFill="1" applyBorder="1"/>
    <xf numFmtId="0" fontId="25" fillId="5" borderId="54" xfId="5" applyFont="1" applyFill="1" applyBorder="1" applyAlignment="1">
      <alignment horizontal="center" vertical="center" wrapText="1"/>
    </xf>
    <xf numFmtId="0" fontId="16" fillId="0" borderId="64" xfId="5" applyFont="1" applyBorder="1"/>
    <xf numFmtId="0" fontId="2" fillId="6" borderId="42" xfId="5" applyFont="1" applyFill="1" applyBorder="1" applyAlignment="1">
      <alignment horizontal="center" vertical="center" wrapText="1"/>
    </xf>
    <xf numFmtId="0" fontId="16" fillId="0" borderId="43" xfId="5" applyFont="1" applyBorder="1"/>
    <xf numFmtId="0" fontId="2" fillId="6" borderId="44" xfId="5" applyFont="1" applyFill="1" applyBorder="1" applyAlignment="1">
      <alignment horizontal="center" vertical="center" wrapText="1"/>
    </xf>
    <xf numFmtId="0" fontId="16" fillId="0" borderId="50" xfId="5" applyFont="1" applyBorder="1"/>
    <xf numFmtId="0" fontId="2" fillId="6" borderId="36" xfId="5" applyFont="1" applyFill="1" applyBorder="1" applyAlignment="1">
      <alignment horizontal="center" vertical="center" wrapText="1"/>
    </xf>
    <xf numFmtId="0" fontId="16" fillId="0" borderId="37" xfId="5" applyFont="1" applyBorder="1"/>
    <xf numFmtId="0" fontId="16" fillId="0" borderId="38" xfId="5" applyFont="1" applyBorder="1"/>
    <xf numFmtId="0" fontId="1" fillId="5" borderId="34" xfId="5" applyFont="1" applyFill="1" applyBorder="1" applyAlignment="1">
      <alignment horizontal="left" vertical="center" wrapText="1"/>
    </xf>
    <xf numFmtId="0" fontId="16" fillId="0" borderId="34" xfId="5" applyFont="1" applyBorder="1"/>
    <xf numFmtId="0" fontId="42" fillId="10" borderId="36" xfId="5" applyFont="1" applyFill="1" applyBorder="1" applyAlignment="1">
      <alignment horizontal="center" vertical="center" wrapText="1"/>
    </xf>
    <xf numFmtId="0" fontId="16" fillId="2" borderId="37" xfId="5" applyFont="1" applyFill="1" applyBorder="1"/>
    <xf numFmtId="0" fontId="16" fillId="2" borderId="38" xfId="5" applyFont="1" applyFill="1" applyBorder="1"/>
    <xf numFmtId="0" fontId="2" fillId="6" borderId="39" xfId="5" applyFont="1" applyFill="1" applyBorder="1" applyAlignment="1">
      <alignment horizontal="center" vertical="center" wrapText="1"/>
    </xf>
    <xf numFmtId="0" fontId="16" fillId="0" borderId="45" xfId="5" applyFont="1" applyBorder="1"/>
    <xf numFmtId="0" fontId="2" fillId="6" borderId="40" xfId="5" applyFont="1" applyFill="1" applyBorder="1" applyAlignment="1">
      <alignment horizontal="center" vertical="center" wrapText="1"/>
    </xf>
    <xf numFmtId="0" fontId="16" fillId="0" borderId="46" xfId="5" applyFont="1" applyBorder="1"/>
    <xf numFmtId="0" fontId="2" fillId="6" borderId="41" xfId="5" applyFont="1" applyFill="1" applyBorder="1" applyAlignment="1">
      <alignment horizontal="center" vertical="center" wrapText="1"/>
    </xf>
    <xf numFmtId="0" fontId="16" fillId="0" borderId="47" xfId="5" applyFont="1" applyBorder="1"/>
    <xf numFmtId="0" fontId="15" fillId="5" borderId="0" xfId="5" applyFont="1" applyFill="1" applyAlignment="1">
      <alignment horizontal="center" vertical="center" wrapText="1"/>
    </xf>
    <xf numFmtId="0" fontId="16" fillId="0" borderId="0" xfId="5" applyFont="1"/>
    <xf numFmtId="0" fontId="22" fillId="5" borderId="0" xfId="5" applyFont="1" applyFill="1" applyAlignment="1">
      <alignment horizontal="left" vertical="center" wrapText="1"/>
    </xf>
    <xf numFmtId="166" fontId="22" fillId="5" borderId="0" xfId="5" applyNumberFormat="1" applyFont="1" applyFill="1" applyAlignment="1">
      <alignment horizontal="left" vertical="center" wrapText="1"/>
    </xf>
    <xf numFmtId="0" fontId="25" fillId="5" borderId="54" xfId="5" applyFont="1" applyFill="1" applyBorder="1" applyAlignment="1">
      <alignment horizontal="left" vertical="center" wrapText="1"/>
    </xf>
    <xf numFmtId="0" fontId="25" fillId="5" borderId="92" xfId="5" applyFont="1" applyFill="1" applyBorder="1" applyAlignment="1">
      <alignment horizontal="left" vertical="center" wrapText="1"/>
    </xf>
    <xf numFmtId="0" fontId="16" fillId="0" borderId="93" xfId="5" applyFont="1" applyBorder="1"/>
    <xf numFmtId="0" fontId="42" fillId="10" borderId="84" xfId="5" applyFont="1" applyFill="1" applyBorder="1" applyAlignment="1">
      <alignment horizontal="center" vertical="center" wrapText="1"/>
    </xf>
    <xf numFmtId="0" fontId="16" fillId="2" borderId="85" xfId="5" applyFont="1" applyFill="1" applyBorder="1"/>
    <xf numFmtId="0" fontId="16" fillId="2" borderId="86" xfId="5" applyFont="1" applyFill="1" applyBorder="1"/>
    <xf numFmtId="0" fontId="25" fillId="5" borderId="60" xfId="5" applyFont="1" applyFill="1" applyBorder="1" applyAlignment="1">
      <alignment horizontal="left" vertical="center" wrapText="1"/>
    </xf>
    <xf numFmtId="0" fontId="16" fillId="0" borderId="65" xfId="5" applyFont="1" applyBorder="1"/>
    <xf numFmtId="0" fontId="27" fillId="7" borderId="0" xfId="5" applyFont="1" applyFill="1" applyAlignment="1">
      <alignment horizontal="center" vertical="center" wrapText="1"/>
    </xf>
    <xf numFmtId="0" fontId="22" fillId="7" borderId="0" xfId="5" applyFont="1" applyFill="1" applyAlignment="1">
      <alignment horizontal="left" vertical="center" wrapText="1"/>
    </xf>
    <xf numFmtId="166" fontId="22" fillId="7" borderId="0" xfId="5" applyNumberFormat="1" applyFont="1" applyFill="1" applyAlignment="1">
      <alignment horizontal="left" vertical="center" wrapText="1"/>
    </xf>
    <xf numFmtId="0" fontId="42" fillId="11" borderId="42" xfId="5" applyFont="1" applyFill="1" applyBorder="1" applyAlignment="1">
      <alignment horizontal="center" vertical="center" wrapText="1"/>
    </xf>
    <xf numFmtId="0" fontId="16" fillId="2" borderId="73" xfId="5" applyFont="1" applyFill="1" applyBorder="1"/>
    <xf numFmtId="0" fontId="16" fillId="2" borderId="43" xfId="5" applyFont="1" applyFill="1" applyBorder="1"/>
    <xf numFmtId="0" fontId="42" fillId="11" borderId="74" xfId="5" applyFont="1" applyFill="1" applyBorder="1" applyAlignment="1">
      <alignment horizontal="center" vertical="center" wrapText="1"/>
    </xf>
    <xf numFmtId="0" fontId="16" fillId="2" borderId="45" xfId="5" applyFont="1" applyFill="1" applyBorder="1"/>
    <xf numFmtId="0" fontId="42" fillId="11" borderId="75" xfId="5" applyFont="1" applyFill="1" applyBorder="1" applyAlignment="1">
      <alignment horizontal="center" vertical="center" wrapText="1"/>
    </xf>
    <xf numFmtId="0" fontId="16" fillId="2" borderId="46" xfId="5" applyFont="1" applyFill="1" applyBorder="1"/>
    <xf numFmtId="0" fontId="42" fillId="11" borderId="54" xfId="5" applyFont="1" applyFill="1" applyBorder="1" applyAlignment="1">
      <alignment horizontal="center" vertical="center" wrapText="1"/>
    </xf>
    <xf numFmtId="0" fontId="16" fillId="2" borderId="64" xfId="5" applyFont="1" applyFill="1" applyBorder="1"/>
    <xf numFmtId="0" fontId="42" fillId="11" borderId="76" xfId="5" applyFont="1" applyFill="1" applyBorder="1" applyAlignment="1">
      <alignment horizontal="center" vertical="center" wrapText="1"/>
    </xf>
    <xf numFmtId="0" fontId="16" fillId="2" borderId="66" xfId="5" applyFont="1" applyFill="1" applyBorder="1"/>
    <xf numFmtId="0" fontId="1" fillId="5" borderId="0" xfId="5" applyFont="1" applyFill="1" applyAlignment="1">
      <alignment horizontal="left" vertical="center" wrapText="1"/>
    </xf>
    <xf numFmtId="0" fontId="32" fillId="8" borderId="0" xfId="6" applyFont="1" applyFill="1" applyAlignment="1">
      <alignment horizontal="center" vertical="center" wrapText="1"/>
    </xf>
    <xf numFmtId="0" fontId="38" fillId="8" borderId="0" xfId="6" applyFont="1" applyFill="1" applyAlignment="1">
      <alignment horizontal="left" vertical="center" wrapText="1"/>
    </xf>
    <xf numFmtId="14" fontId="38" fillId="8" borderId="0" xfId="6" applyNumberFormat="1" applyFont="1" applyFill="1" applyAlignment="1">
      <alignment horizontal="left" vertical="center" wrapText="1"/>
    </xf>
    <xf numFmtId="0" fontId="42" fillId="2" borderId="78" xfId="6" applyFont="1" applyFill="1" applyBorder="1" applyAlignment="1">
      <alignment horizontal="center" vertical="center" wrapText="1"/>
    </xf>
    <xf numFmtId="0" fontId="42" fillId="2" borderId="79" xfId="6" applyFont="1" applyFill="1" applyBorder="1" applyAlignment="1">
      <alignment horizontal="center" vertical="center" wrapText="1"/>
    </xf>
    <xf numFmtId="0" fontId="42" fillId="2" borderId="80" xfId="6" applyFont="1" applyFill="1" applyBorder="1" applyAlignment="1">
      <alignment horizontal="center" vertical="center" wrapText="1"/>
    </xf>
    <xf numFmtId="0" fontId="42" fillId="2" borderId="6" xfId="6" applyFont="1" applyFill="1" applyBorder="1" applyAlignment="1">
      <alignment horizontal="center" vertical="center" wrapText="1"/>
    </xf>
    <xf numFmtId="0" fontId="42" fillId="2" borderId="9" xfId="6" applyFont="1" applyFill="1" applyBorder="1" applyAlignment="1">
      <alignment horizontal="center" vertical="center" wrapText="1"/>
    </xf>
    <xf numFmtId="0" fontId="42" fillId="2" borderId="4" xfId="6" applyFont="1" applyFill="1" applyBorder="1" applyAlignment="1">
      <alignment horizontal="center" vertical="center" wrapText="1"/>
    </xf>
    <xf numFmtId="0" fontId="42" fillId="2" borderId="8" xfId="6" applyFont="1" applyFill="1" applyBorder="1" applyAlignment="1">
      <alignment horizontal="center" vertical="center" wrapText="1"/>
    </xf>
    <xf numFmtId="0" fontId="42" fillId="2" borderId="7" xfId="6" applyFont="1" applyFill="1" applyBorder="1" applyAlignment="1">
      <alignment horizontal="center" vertical="center" wrapText="1"/>
    </xf>
    <xf numFmtId="0" fontId="42" fillId="2" borderId="10" xfId="6" applyFont="1" applyFill="1" applyBorder="1" applyAlignment="1">
      <alignment horizontal="center" vertical="center" wrapText="1"/>
    </xf>
    <xf numFmtId="0" fontId="9" fillId="8" borderId="0" xfId="6" applyFont="1" applyFill="1" applyAlignment="1">
      <alignment horizontal="left" vertical="center" wrapText="1"/>
    </xf>
    <xf numFmtId="0" fontId="42" fillId="2" borderId="81" xfId="6" applyFont="1" applyFill="1" applyBorder="1" applyAlignment="1">
      <alignment horizontal="center" vertical="center" wrapText="1"/>
    </xf>
    <xf numFmtId="0" fontId="42" fillId="2" borderId="26" xfId="6" applyFont="1" applyFill="1" applyBorder="1" applyAlignment="1">
      <alignment horizontal="center" vertical="center" wrapText="1"/>
    </xf>
    <xf numFmtId="0" fontId="42" fillId="2" borderId="82" xfId="6" applyFont="1" applyFill="1" applyBorder="1" applyAlignment="1">
      <alignment horizontal="center" vertical="center" wrapText="1"/>
    </xf>
    <xf numFmtId="0" fontId="42" fillId="2" borderId="27" xfId="6" applyFont="1" applyFill="1" applyBorder="1" applyAlignment="1">
      <alignment horizontal="center" vertical="center" wrapText="1"/>
    </xf>
    <xf numFmtId="0" fontId="42" fillId="2" borderId="33" xfId="6" applyFont="1" applyFill="1" applyBorder="1" applyAlignment="1">
      <alignment horizontal="center" vertical="center" wrapText="1"/>
    </xf>
    <xf numFmtId="0" fontId="42" fillId="2" borderId="15" xfId="6" applyFont="1" applyFill="1" applyBorder="1" applyAlignment="1">
      <alignment horizontal="center" vertical="center" wrapText="1"/>
    </xf>
    <xf numFmtId="0" fontId="42" fillId="2" borderId="83" xfId="6" applyFont="1" applyFill="1" applyBorder="1" applyAlignment="1">
      <alignment horizontal="center" vertical="center" wrapText="1"/>
    </xf>
    <xf numFmtId="0" fontId="42" fillId="2" borderId="28" xfId="6" applyFont="1" applyFill="1" applyBorder="1" applyAlignment="1">
      <alignment horizontal="center" vertical="center" wrapText="1"/>
    </xf>
    <xf numFmtId="0" fontId="42" fillId="2" borderId="16" xfId="6" applyFont="1" applyFill="1" applyBorder="1" applyAlignment="1">
      <alignment horizontal="center" vertical="center" wrapText="1"/>
    </xf>
    <xf numFmtId="0" fontId="42" fillId="2" borderId="17" xfId="6" applyFont="1" applyFill="1" applyBorder="1" applyAlignment="1">
      <alignment horizontal="center" vertical="center" wrapText="1"/>
    </xf>
    <xf numFmtId="0" fontId="42" fillId="2" borderId="18" xfId="6" applyFont="1" applyFill="1" applyBorder="1" applyAlignment="1">
      <alignment horizontal="center" vertical="center" wrapText="1"/>
    </xf>
    <xf numFmtId="0" fontId="32" fillId="7" borderId="0" xfId="6" applyFont="1" applyFill="1" applyAlignment="1">
      <alignment horizontal="center" vertical="center" wrapText="1"/>
    </xf>
    <xf numFmtId="0" fontId="38" fillId="7" borderId="0" xfId="6" applyFont="1" applyFill="1" applyAlignment="1">
      <alignment horizontal="left" vertical="center" wrapText="1"/>
    </xf>
    <xf numFmtId="0" fontId="42" fillId="13" borderId="78" xfId="6" applyFont="1" applyFill="1" applyBorder="1" applyAlignment="1">
      <alignment horizontal="center" vertical="center" wrapText="1"/>
    </xf>
    <xf numFmtId="0" fontId="42" fillId="13" borderId="79" xfId="6" applyFont="1" applyFill="1" applyBorder="1" applyAlignment="1">
      <alignment horizontal="center" vertical="center" wrapText="1"/>
    </xf>
    <xf numFmtId="0" fontId="42" fillId="13" borderId="80" xfId="6" applyFont="1" applyFill="1" applyBorder="1" applyAlignment="1">
      <alignment horizontal="center" vertical="center" wrapText="1"/>
    </xf>
    <xf numFmtId="0" fontId="42" fillId="13" borderId="81" xfId="6" applyFont="1" applyFill="1" applyBorder="1" applyAlignment="1">
      <alignment horizontal="center" vertical="center" wrapText="1"/>
    </xf>
    <xf numFmtId="0" fontId="42" fillId="13" borderId="26" xfId="6" applyFont="1" applyFill="1" applyBorder="1" applyAlignment="1">
      <alignment horizontal="center" vertical="center" wrapText="1"/>
    </xf>
    <xf numFmtId="0" fontId="42" fillId="13" borderId="82" xfId="6" applyFont="1" applyFill="1" applyBorder="1" applyAlignment="1">
      <alignment horizontal="center" vertical="center" wrapText="1"/>
    </xf>
    <xf numFmtId="0" fontId="42" fillId="13" borderId="27" xfId="6" applyFont="1" applyFill="1" applyBorder="1" applyAlignment="1">
      <alignment horizontal="center" vertical="center" wrapText="1"/>
    </xf>
    <xf numFmtId="0" fontId="42" fillId="13" borderId="33" xfId="6" applyFont="1" applyFill="1" applyBorder="1" applyAlignment="1">
      <alignment horizontal="center" vertical="center" wrapText="1"/>
    </xf>
    <xf numFmtId="0" fontId="42" fillId="13" borderId="15" xfId="6" applyFont="1" applyFill="1" applyBorder="1" applyAlignment="1">
      <alignment horizontal="center" vertical="center" wrapText="1"/>
    </xf>
    <xf numFmtId="0" fontId="42" fillId="13" borderId="83" xfId="6" applyFont="1" applyFill="1" applyBorder="1" applyAlignment="1">
      <alignment horizontal="center" vertical="center" wrapText="1"/>
    </xf>
    <xf numFmtId="0" fontId="42" fillId="13" borderId="28" xfId="6" applyFont="1" applyFill="1" applyBorder="1" applyAlignment="1">
      <alignment horizontal="center" vertical="center" wrapText="1"/>
    </xf>
    <xf numFmtId="0" fontId="9" fillId="8" borderId="77" xfId="6" applyFont="1" applyFill="1" applyBorder="1" applyAlignment="1">
      <alignment horizontal="left" vertical="center" wrapText="1"/>
    </xf>
    <xf numFmtId="0" fontId="0" fillId="0" borderId="4" xfId="0" applyBorder="1" applyAlignment="1">
      <alignment horizontal="center"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1" fillId="22" borderId="6" xfId="0" applyFont="1" applyFill="1" applyBorder="1" applyAlignment="1">
      <alignment horizontal="left" vertical="center" wrapText="1"/>
    </xf>
    <xf numFmtId="0" fontId="1" fillId="22" borderId="33" xfId="0" applyFont="1" applyFill="1" applyBorder="1" applyAlignment="1">
      <alignment horizontal="left" vertical="center" wrapText="1"/>
    </xf>
    <xf numFmtId="0" fontId="1" fillId="22" borderId="9" xfId="0" applyFont="1" applyFill="1" applyBorder="1" applyAlignment="1">
      <alignment horizontal="left" vertical="center" wrapText="1"/>
    </xf>
    <xf numFmtId="0" fontId="1" fillId="22" borderId="107" xfId="0" applyFont="1" applyFill="1" applyBorder="1" applyAlignment="1">
      <alignment horizontal="left" vertical="center" wrapText="1"/>
    </xf>
    <xf numFmtId="0" fontId="1" fillId="22" borderId="14" xfId="0" applyFont="1" applyFill="1" applyBorder="1" applyAlignment="1">
      <alignment horizontal="left" vertical="center" wrapText="1"/>
    </xf>
    <xf numFmtId="0" fontId="1" fillId="22" borderId="115" xfId="0" applyFont="1" applyFill="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 fillId="22" borderId="19" xfId="0" applyFont="1" applyFill="1" applyBorder="1" applyAlignment="1">
      <alignment horizontal="center" vertical="center"/>
    </xf>
    <xf numFmtId="0" fontId="2" fillId="22" borderId="21" xfId="0" applyFont="1" applyFill="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1" fillId="0" borderId="112" xfId="0" applyFont="1" applyBorder="1" applyAlignment="1">
      <alignment horizontal="center" vertical="center"/>
    </xf>
    <xf numFmtId="0" fontId="1" fillId="22" borderId="118" xfId="0" applyFont="1" applyFill="1" applyBorder="1" applyAlignment="1">
      <alignment vertical="center" wrapText="1"/>
    </xf>
    <xf numFmtId="0" fontId="1" fillId="22" borderId="123" xfId="0" applyFont="1" applyFill="1" applyBorder="1" applyAlignment="1">
      <alignment vertical="center" wrapText="1"/>
    </xf>
    <xf numFmtId="0" fontId="1" fillId="22" borderId="118" xfId="0" applyFont="1" applyFill="1" applyBorder="1" applyAlignment="1">
      <alignment horizontal="left" vertical="center" wrapText="1"/>
    </xf>
    <xf numFmtId="0" fontId="1" fillId="22" borderId="123" xfId="0" applyFont="1" applyFill="1" applyBorder="1" applyAlignment="1">
      <alignment horizontal="left" vertical="center" wrapText="1"/>
    </xf>
    <xf numFmtId="0" fontId="2" fillId="22" borderId="100" xfId="0" applyFont="1" applyFill="1" applyBorder="1" applyAlignment="1">
      <alignment horizontal="center" vertical="center"/>
    </xf>
    <xf numFmtId="0" fontId="2" fillId="22" borderId="29" xfId="0" applyFont="1" applyFill="1" applyBorder="1" applyAlignment="1">
      <alignment horizontal="center" vertical="center"/>
    </xf>
    <xf numFmtId="0" fontId="2" fillId="22" borderId="95" xfId="0" applyFont="1" applyFill="1" applyBorder="1" applyAlignment="1">
      <alignment vertical="center" wrapText="1"/>
    </xf>
    <xf numFmtId="0" fontId="1" fillId="22" borderId="77" xfId="0" applyFont="1" applyFill="1" applyBorder="1" applyAlignment="1">
      <alignment vertical="center" wrapText="1"/>
    </xf>
    <xf numFmtId="0" fontId="2" fillId="22" borderId="119" xfId="0" applyFont="1" applyFill="1" applyBorder="1" applyAlignment="1">
      <alignment vertical="center" wrapText="1"/>
    </xf>
    <xf numFmtId="0" fontId="0" fillId="22" borderId="116" xfId="0" applyFill="1" applyBorder="1" applyAlignment="1">
      <alignment vertical="center" wrapText="1"/>
    </xf>
    <xf numFmtId="0" fontId="1" fillId="22" borderId="116" xfId="0" applyFont="1" applyFill="1" applyBorder="1" applyAlignment="1">
      <alignment vertical="center" wrapText="1"/>
    </xf>
    <xf numFmtId="0" fontId="2" fillId="22" borderId="114" xfId="0" applyFont="1" applyFill="1" applyBorder="1" applyAlignment="1">
      <alignment vertical="center" wrapText="1"/>
    </xf>
    <xf numFmtId="0" fontId="2" fillId="22" borderId="124" xfId="0" applyFont="1" applyFill="1" applyBorder="1" applyAlignment="1">
      <alignment vertical="center" wrapText="1"/>
    </xf>
    <xf numFmtId="10" fontId="11" fillId="20" borderId="16" xfId="2" applyNumberFormat="1" applyFont="1" applyFill="1" applyBorder="1" applyAlignment="1">
      <alignment horizontal="center" vertical="center"/>
    </xf>
    <xf numFmtId="10" fontId="11" fillId="20" borderId="17" xfId="2" applyNumberFormat="1" applyFont="1" applyFill="1" applyBorder="1" applyAlignment="1">
      <alignment horizontal="center" vertical="center"/>
    </xf>
    <xf numFmtId="0" fontId="2" fillId="20" borderId="6" xfId="0" applyFont="1" applyFill="1" applyBorder="1" applyAlignment="1">
      <alignment horizontal="center" vertical="center"/>
    </xf>
    <xf numFmtId="0" fontId="2" fillId="20" borderId="4" xfId="0" applyFont="1" applyFill="1" applyBorder="1" applyAlignment="1">
      <alignment horizontal="center" vertical="center"/>
    </xf>
    <xf numFmtId="0" fontId="2" fillId="19" borderId="6" xfId="0" applyFont="1" applyFill="1" applyBorder="1" applyAlignment="1">
      <alignment horizontal="center" vertical="center"/>
    </xf>
    <xf numFmtId="0" fontId="2" fillId="19" borderId="4" xfId="0" applyFont="1" applyFill="1" applyBorder="1" applyAlignment="1">
      <alignment horizontal="center" vertical="center"/>
    </xf>
    <xf numFmtId="0" fontId="2" fillId="18" borderId="6" xfId="0" applyFont="1" applyFill="1" applyBorder="1" applyAlignment="1">
      <alignment horizontal="center" vertical="center"/>
    </xf>
    <xf numFmtId="0" fontId="2" fillId="18" borderId="4" xfId="0" applyFont="1" applyFill="1" applyBorder="1" applyAlignment="1">
      <alignment horizontal="center" vertical="center"/>
    </xf>
    <xf numFmtId="0" fontId="2" fillId="17" borderId="9" xfId="0" applyFont="1" applyFill="1" applyBorder="1" applyAlignment="1">
      <alignment horizontal="center" vertical="center" wrapText="1"/>
    </xf>
    <xf numFmtId="0" fontId="2" fillId="17" borderId="8" xfId="0" applyFont="1" applyFill="1" applyBorder="1" applyAlignment="1">
      <alignment horizontal="center" vertical="center" wrapText="1"/>
    </xf>
    <xf numFmtId="0" fontId="2" fillId="21" borderId="26" xfId="0" applyFont="1" applyFill="1" applyBorder="1" applyAlignment="1">
      <alignment horizontal="center" vertical="center" wrapText="1"/>
    </xf>
    <xf numFmtId="0" fontId="2" fillId="21" borderId="27" xfId="0" applyFont="1" applyFill="1" applyBorder="1" applyAlignment="1">
      <alignment horizontal="center" vertical="center" wrapText="1"/>
    </xf>
    <xf numFmtId="0" fontId="11" fillId="0" borderId="0" xfId="0" applyFont="1" applyAlignment="1">
      <alignment horizontal="center"/>
    </xf>
    <xf numFmtId="0" fontId="11" fillId="0" borderId="4"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wrapText="1"/>
    </xf>
    <xf numFmtId="0" fontId="51" fillId="0" borderId="0" xfId="0" applyFont="1" applyBorder="1" applyAlignment="1">
      <alignment horizontal="left" vertical="center" wrapText="1"/>
    </xf>
    <xf numFmtId="0" fontId="2" fillId="0" borderId="112" xfId="0" applyFont="1" applyBorder="1" applyAlignment="1">
      <alignment horizontal="center" vertical="center" wrapText="1"/>
    </xf>
    <xf numFmtId="0" fontId="2" fillId="0" borderId="125"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9" xfId="0" applyFont="1" applyBorder="1" applyAlignment="1">
      <alignment horizontal="left" vertical="center" wrapText="1"/>
    </xf>
    <xf numFmtId="9" fontId="1" fillId="0" borderId="8" xfId="0" applyNumberFormat="1" applyFont="1" applyBorder="1" applyAlignment="1">
      <alignment horizontal="center" vertical="center" wrapText="1"/>
    </xf>
    <xf numFmtId="0" fontId="1" fillId="0" borderId="8" xfId="1" applyNumberFormat="1" applyFont="1" applyFill="1" applyBorder="1" applyAlignment="1">
      <alignment horizontal="center" vertical="center" wrapText="1"/>
    </xf>
    <xf numFmtId="41" fontId="1" fillId="0" borderId="8" xfId="1" applyFont="1" applyFill="1" applyBorder="1" applyAlignment="1">
      <alignment horizontal="center" vertical="center" wrapText="1"/>
    </xf>
    <xf numFmtId="2" fontId="1" fillId="0" borderId="124" xfId="2" applyNumberFormat="1" applyFont="1" applyFill="1" applyBorder="1" applyAlignment="1">
      <alignment horizontal="center" vertical="center" wrapText="1"/>
    </xf>
    <xf numFmtId="2" fontId="1" fillId="0" borderId="8" xfId="2" applyNumberFormat="1" applyFont="1" applyFill="1" applyBorder="1" applyAlignment="1">
      <alignment horizontal="center" vertical="center" wrapText="1"/>
    </xf>
    <xf numFmtId="0" fontId="1" fillId="0" borderId="0" xfId="0" applyFont="1" applyBorder="1"/>
    <xf numFmtId="0" fontId="1" fillId="0" borderId="0" xfId="0" applyFont="1" applyBorder="1" applyAlignment="1"/>
    <xf numFmtId="0" fontId="1" fillId="0" borderId="0" xfId="0" applyFont="1" applyBorder="1" applyAlignment="1">
      <alignment horizontal="center"/>
    </xf>
    <xf numFmtId="0" fontId="2" fillId="2" borderId="22" xfId="0" applyFont="1" applyFill="1" applyBorder="1" applyAlignment="1">
      <alignment horizontal="center" vertical="center" wrapText="1"/>
    </xf>
    <xf numFmtId="168" fontId="1" fillId="0" borderId="6" xfId="2" applyNumberFormat="1" applyFont="1" applyFill="1" applyBorder="1" applyAlignment="1">
      <alignment horizontal="center" vertical="center" wrapText="1"/>
    </xf>
    <xf numFmtId="168" fontId="1" fillId="0" borderId="7" xfId="2" applyNumberFormat="1" applyFont="1" applyFill="1" applyBorder="1" applyAlignment="1">
      <alignment horizontal="center" vertical="center" wrapText="1"/>
    </xf>
    <xf numFmtId="10" fontId="1" fillId="0" borderId="6" xfId="2" applyNumberFormat="1" applyFont="1" applyFill="1" applyBorder="1" applyAlignment="1">
      <alignment horizontal="center" vertical="center" wrapText="1"/>
    </xf>
    <xf numFmtId="10" fontId="1" fillId="0" borderId="7" xfId="2" applyNumberFormat="1" applyFont="1" applyFill="1" applyBorder="1" applyAlignment="1">
      <alignment horizontal="center" vertical="center" wrapText="1"/>
    </xf>
    <xf numFmtId="10" fontId="1" fillId="0" borderId="6" xfId="2" applyNumberFormat="1" applyFont="1" applyFill="1" applyBorder="1" applyAlignment="1">
      <alignment horizontal="center" vertical="center" wrapText="1"/>
    </xf>
    <xf numFmtId="10" fontId="1" fillId="0" borderId="7" xfId="2" applyNumberFormat="1" applyFont="1" applyFill="1" applyBorder="1" applyAlignment="1">
      <alignment horizontal="center" vertical="center" wrapText="1"/>
    </xf>
    <xf numFmtId="10" fontId="1" fillId="0" borderId="126" xfId="2" applyNumberFormat="1" applyFont="1" applyFill="1" applyBorder="1" applyAlignment="1">
      <alignment horizontal="center" vertical="center" wrapText="1"/>
    </xf>
    <xf numFmtId="2" fontId="1" fillId="0" borderId="6" xfId="2" applyNumberFormat="1" applyFont="1" applyFill="1" applyBorder="1" applyAlignment="1">
      <alignment horizontal="center" vertical="center" wrapText="1"/>
    </xf>
    <xf numFmtId="2" fontId="1" fillId="0" borderId="7" xfId="2" applyNumberFormat="1" applyFont="1" applyFill="1" applyBorder="1" applyAlignment="1">
      <alignment horizontal="center" vertical="center" wrapText="1"/>
    </xf>
    <xf numFmtId="164" fontId="1" fillId="0" borderId="6" xfId="10" applyFont="1" applyFill="1" applyBorder="1" applyAlignment="1">
      <alignment horizontal="center" vertical="center" textRotation="90" wrapText="1"/>
    </xf>
    <xf numFmtId="164" fontId="1" fillId="0" borderId="7" xfId="10" applyFont="1" applyFill="1" applyBorder="1" applyAlignment="1">
      <alignment horizontal="center" textRotation="90" wrapText="1"/>
    </xf>
    <xf numFmtId="2" fontId="1" fillId="0" borderId="114" xfId="2" applyNumberFormat="1" applyFont="1" applyFill="1" applyBorder="1" applyAlignment="1">
      <alignment horizontal="center" vertical="center" wrapText="1"/>
    </xf>
    <xf numFmtId="2" fontId="1" fillId="0" borderId="10" xfId="2" applyNumberFormat="1" applyFont="1" applyFill="1" applyBorder="1" applyAlignment="1">
      <alignment horizontal="center" vertical="center" wrapText="1"/>
    </xf>
    <xf numFmtId="10" fontId="1" fillId="0" borderId="14" xfId="2" applyNumberFormat="1" applyFont="1" applyFill="1" applyBorder="1" applyAlignment="1">
      <alignment horizontal="center" vertical="center" wrapText="1"/>
    </xf>
    <xf numFmtId="10" fontId="1" fillId="0" borderId="5" xfId="2" applyNumberFormat="1" applyFont="1" applyFill="1" applyBorder="1" applyAlignment="1">
      <alignment horizontal="center" vertical="center" wrapText="1"/>
    </xf>
    <xf numFmtId="10" fontId="1" fillId="0" borderId="11" xfId="2" applyNumberFormat="1" applyFont="1" applyFill="1" applyBorder="1" applyAlignment="1">
      <alignment horizontal="center" vertical="center" wrapText="1"/>
    </xf>
    <xf numFmtId="0" fontId="2" fillId="0" borderId="127" xfId="0" applyFont="1" applyBorder="1" applyAlignment="1">
      <alignment horizontal="center" vertical="center" wrapText="1"/>
    </xf>
  </cellXfs>
  <cellStyles count="11">
    <cellStyle name="Hipervínculo" xfId="4" builtinId="8"/>
    <cellStyle name="Millares [0]" xfId="1" builtinId="6"/>
    <cellStyle name="Moneda" xfId="10" builtinId="4"/>
    <cellStyle name="Normal" xfId="0" builtinId="0"/>
    <cellStyle name="Normal 2" xfId="3" xr:uid="{1D1FF82A-107D-4F43-987A-033ABE5CA100}"/>
    <cellStyle name="Normal 2 4" xfId="8" xr:uid="{326CBF9E-303D-4BDC-B05B-3D4DA5601630}"/>
    <cellStyle name="Normal 3" xfId="5" xr:uid="{4D99EAC9-481B-4518-A632-716C74E89004}"/>
    <cellStyle name="Normal 6" xfId="6" xr:uid="{3E21EA97-5DAA-47FF-BC8C-1A7D45EEB8ED}"/>
    <cellStyle name="Porcentaje" xfId="2" builtinId="5"/>
    <cellStyle name="Porcentaje 2" xfId="9" xr:uid="{A3E704BD-83D2-4063-B33A-35AEBF72DC4F}"/>
    <cellStyle name="Porcentaje 5" xfId="7" xr:uid="{6AC8A315-4B13-4519-889D-2D6B5FC341E4}"/>
  </cellStyles>
  <dxfs count="15">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dir="13500000">
                <a:prstClr val="black">
                  <a:alpha val="50000"/>
                </a:prstClr>
              </a:innerShdw>
            </a:effectLst>
          </c:spPr>
          <c:dPt>
            <c:idx val="0"/>
            <c:bubble3D val="0"/>
            <c:spPr>
              <a:solidFill>
                <a:srgbClr val="00B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1-0DB6-4E90-9582-3F00914BC553}"/>
              </c:ext>
            </c:extLst>
          </c:dPt>
          <c:dPt>
            <c:idx val="1"/>
            <c:bubble3D val="0"/>
            <c:spPr>
              <a:solidFill>
                <a:srgbClr val="92D05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3-0DB6-4E90-9582-3F00914BC553}"/>
              </c:ext>
            </c:extLst>
          </c:dPt>
          <c:dPt>
            <c:idx val="2"/>
            <c:bubble3D val="0"/>
            <c:spPr>
              <a:solidFill>
                <a:srgbClr val="FFFF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5-0DB6-4E90-9582-3F00914BC553}"/>
              </c:ext>
            </c:extLst>
          </c:dPt>
          <c:dPt>
            <c:idx val="3"/>
            <c:bubble3D val="0"/>
            <c:spPr>
              <a:solidFill>
                <a:srgbClr val="FF0000"/>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7-0DB6-4E90-9582-3F00914BC553}"/>
              </c:ext>
            </c:extLst>
          </c:dPt>
          <c:dPt>
            <c:idx val="4"/>
            <c:bubble3D val="0"/>
            <c:spPr>
              <a:solidFill>
                <a:schemeClr val="bg1">
                  <a:lumMod val="75000"/>
                </a:schemeClr>
              </a:solidFill>
              <a:ln>
                <a:noFill/>
              </a:ln>
              <a:effectLst>
                <a:innerShdw blurRad="63500" dist="50800" dir="13500000">
                  <a:prstClr val="black">
                    <a:alpha val="50000"/>
                  </a:prstClr>
                </a:innerShdw>
              </a:effectLst>
            </c:spPr>
            <c:extLst>
              <c:ext xmlns:c16="http://schemas.microsoft.com/office/drawing/2014/chart" uri="{C3380CC4-5D6E-409C-BE32-E72D297353CC}">
                <c16:uniqueId val="{0000000A-0DB6-4E90-9582-3F00914BC553}"/>
              </c:ext>
            </c:extLst>
          </c:dPt>
          <c:dLbls>
            <c:dLbl>
              <c:idx val="0"/>
              <c:layout>
                <c:manualLayout>
                  <c:x val="-4.6648193014334656E-2"/>
                  <c:y val="6.0182955071792499E-2"/>
                </c:manualLayout>
              </c:layout>
              <c:tx>
                <c:rich>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r>
                      <a:rPr lang="en-US" sz="1000">
                        <a:solidFill>
                          <a:sysClr val="windowText" lastClr="000000"/>
                        </a:solidFill>
                      </a:rPr>
                      <a:t>67.39%</a:t>
                    </a:r>
                  </a:p>
                </c:rich>
              </c:tx>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0318836122047244"/>
                      <c:h val="8.1680083182602559E-2"/>
                    </c:manualLayout>
                  </c15:layout>
                  <c15:showDataLabelsRange val="0"/>
                </c:ext>
                <c:ext xmlns:c16="http://schemas.microsoft.com/office/drawing/2014/chart" uri="{C3380CC4-5D6E-409C-BE32-E72D297353CC}">
                  <c16:uniqueId val="{00000001-0DB6-4E90-9582-3F00914BC553}"/>
                </c:ext>
              </c:extLst>
            </c:dLbl>
            <c:dLbl>
              <c:idx val="1"/>
              <c:layout>
                <c:manualLayout>
                  <c:x val="-2.3134403006375096E-2"/>
                  <c:y val="-5.5506209314393883E-3"/>
                </c:manualLayout>
              </c:layout>
              <c:tx>
                <c:rich>
                  <a:bodyPr/>
                  <a:lstStyle/>
                  <a:p>
                    <a:r>
                      <a:rPr lang="en-US"/>
                      <a:t>10.42%</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0DB6-4E90-9582-3F00914BC553}"/>
                </c:ext>
              </c:extLst>
            </c:dLbl>
            <c:dLbl>
              <c:idx val="2"/>
              <c:layout>
                <c:manualLayout>
                  <c:x val="-3.6612558045628921E-2"/>
                  <c:y val="-1.205136122690546E-2"/>
                </c:manualLayout>
              </c:layout>
              <c:tx>
                <c:rich>
                  <a:bodyPr/>
                  <a:lstStyle/>
                  <a:p>
                    <a:r>
                      <a:rPr lang="en-US"/>
                      <a:t>2.17%</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0DB6-4E90-9582-3F00914BC553}"/>
                </c:ext>
              </c:extLst>
            </c:dLbl>
            <c:dLbl>
              <c:idx val="3"/>
              <c:layout>
                <c:manualLayout>
                  <c:x val="-2.1740763173834065E-2"/>
                  <c:y val="-2.2445319335083116E-2"/>
                </c:manualLayout>
              </c:layout>
              <c:tx>
                <c:rich>
                  <a:bodyPr/>
                  <a:lstStyle/>
                  <a:p>
                    <a:r>
                      <a:rPr lang="en-US"/>
                      <a:t>4.35%</a:t>
                    </a:r>
                  </a:p>
                </c:rich>
              </c:tx>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0DB6-4E90-9582-3F00914BC553}"/>
                </c:ext>
              </c:extLst>
            </c:dLbl>
            <c:dLbl>
              <c:idx val="4"/>
              <c:layout>
                <c:manualLayout>
                  <c:x val="2.8205128205128206E-2"/>
                  <c:y val="-1.9607843137254933E-2"/>
                </c:manualLayout>
              </c:layout>
              <c:tx>
                <c:rich>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r>
                      <a:rPr lang="en-US" sz="1000"/>
                      <a:t>15.22%</a:t>
                    </a:r>
                  </a:p>
                </c:rich>
              </c:tx>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manualLayout>
                      <c:w val="0.1011025641025641"/>
                      <c:h val="5.6225618856466472E-2"/>
                    </c:manualLayout>
                  </c15:layout>
                  <c15:showDataLabelsRange val="0"/>
                </c:ext>
                <c:ext xmlns:c16="http://schemas.microsoft.com/office/drawing/2014/chart" uri="{C3380CC4-5D6E-409C-BE32-E72D297353CC}">
                  <c16:uniqueId val="{0000000A-0DB6-4E90-9582-3F00914BC553}"/>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Resultados!$C$11:$C$15</c:f>
              <c:strCache>
                <c:ptCount val="5"/>
                <c:pt idx="0">
                  <c:v>Muy satisfactorio</c:v>
                </c:pt>
                <c:pt idx="1">
                  <c:v>Satisfactorio</c:v>
                </c:pt>
                <c:pt idx="2">
                  <c:v>Aceptable</c:v>
                </c:pt>
                <c:pt idx="3">
                  <c:v>Alerta</c:v>
                </c:pt>
                <c:pt idx="4">
                  <c:v>Sin iniciar</c:v>
                </c:pt>
              </c:strCache>
            </c:strRef>
          </c:cat>
          <c:val>
            <c:numRef>
              <c:f>Resultados!$D$11:$D$15</c:f>
              <c:numCache>
                <c:formatCode>General</c:formatCode>
                <c:ptCount val="5"/>
                <c:pt idx="0">
                  <c:v>33</c:v>
                </c:pt>
                <c:pt idx="1">
                  <c:v>5</c:v>
                </c:pt>
                <c:pt idx="2">
                  <c:v>1</c:v>
                </c:pt>
                <c:pt idx="3">
                  <c:v>2</c:v>
                </c:pt>
                <c:pt idx="4">
                  <c:v>7</c:v>
                </c:pt>
              </c:numCache>
            </c:numRef>
          </c:val>
          <c:extLst>
            <c:ext xmlns:c16="http://schemas.microsoft.com/office/drawing/2014/chart" uri="{C3380CC4-5D6E-409C-BE32-E72D297353CC}">
              <c16:uniqueId val="{00000008-0DB6-4E90-9582-3F00914BC553}"/>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1A9-4A65-BCBB-22D8BB37E085}"/>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61A9-4A65-BCBB-22D8BB37E085}"/>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61A9-4A65-BCBB-22D8BB37E085}"/>
              </c:ext>
            </c:extLst>
          </c:dPt>
          <c:dPt>
            <c:idx val="3"/>
            <c:bubble3D val="0"/>
            <c:spPr>
              <a:solidFill>
                <a:srgbClr val="00B050"/>
              </a:solidFill>
              <a:ln w="19050">
                <a:solidFill>
                  <a:schemeClr val="lt1"/>
                </a:solidFill>
              </a:ln>
              <a:effectLst/>
            </c:spPr>
            <c:extLst>
              <c:ext xmlns:c16="http://schemas.microsoft.com/office/drawing/2014/chart" uri="{C3380CC4-5D6E-409C-BE32-E72D297353CC}">
                <c16:uniqueId val="{00000007-61A9-4A65-BCBB-22D8BB37E085}"/>
              </c:ext>
            </c:extLst>
          </c:dPt>
          <c:dPt>
            <c:idx val="4"/>
            <c:bubble3D val="0"/>
            <c:spPr>
              <a:noFill/>
              <a:ln w="19050">
                <a:solidFill>
                  <a:schemeClr val="lt1"/>
                </a:solidFill>
              </a:ln>
              <a:effectLst/>
            </c:spPr>
            <c:extLst>
              <c:ext xmlns:c16="http://schemas.microsoft.com/office/drawing/2014/chart" uri="{C3380CC4-5D6E-409C-BE32-E72D297353CC}">
                <c16:uniqueId val="{00000009-61A9-4A65-BCBB-22D8BB37E085}"/>
              </c:ext>
            </c:extLst>
          </c:dPt>
          <c:val>
            <c:numRef>
              <c:f>Resultados!$K$10:$K$14</c:f>
              <c:numCache>
                <c:formatCode>0%</c:formatCode>
                <c:ptCount val="5"/>
                <c:pt idx="0">
                  <c:v>0.3</c:v>
                </c:pt>
                <c:pt idx="1">
                  <c:v>0.3</c:v>
                </c:pt>
                <c:pt idx="2">
                  <c:v>0.3</c:v>
                </c:pt>
                <c:pt idx="3">
                  <c:v>0.1</c:v>
                </c:pt>
                <c:pt idx="4">
                  <c:v>0.99999999999999989</c:v>
                </c:pt>
              </c:numCache>
            </c:numRef>
          </c:val>
          <c:extLst>
            <c:ext xmlns:c16="http://schemas.microsoft.com/office/drawing/2014/chart" uri="{C3380CC4-5D6E-409C-BE32-E72D297353CC}">
              <c16:uniqueId val="{0000000A-61A9-4A65-BCBB-22D8BB37E085}"/>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C-61A9-4A65-BCBB-22D8BB37E085}"/>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E-61A9-4A65-BCBB-22D8BB37E085}"/>
              </c:ext>
            </c:extLst>
          </c:dPt>
          <c:dPt>
            <c:idx val="2"/>
            <c:bubble3D val="0"/>
            <c:spPr>
              <a:noFill/>
              <a:ln w="19050">
                <a:solidFill>
                  <a:schemeClr val="lt1"/>
                </a:solidFill>
              </a:ln>
              <a:effectLst/>
            </c:spPr>
            <c:extLst>
              <c:ext xmlns:c16="http://schemas.microsoft.com/office/drawing/2014/chart" uri="{C3380CC4-5D6E-409C-BE32-E72D297353CC}">
                <c16:uniqueId val="{00000010-61A9-4A65-BCBB-22D8BB37E08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1-8663-4ACE-BCD3-71751262E94D}"/>
              </c:ext>
            </c:extLst>
          </c:dPt>
          <c:val>
            <c:numRef>
              <c:f>Resultados!$K$17:$K$20</c:f>
              <c:numCache>
                <c:formatCode>0%</c:formatCode>
                <c:ptCount val="4"/>
                <c:pt idx="0" formatCode="0.00%">
                  <c:v>0.77645833333333336</c:v>
                </c:pt>
                <c:pt idx="1">
                  <c:v>0.02</c:v>
                </c:pt>
                <c:pt idx="2" formatCode="0.00%">
                  <c:v>1.2035416666666663</c:v>
                </c:pt>
              </c:numCache>
            </c:numRef>
          </c:val>
          <c:extLst>
            <c:ext xmlns:c16="http://schemas.microsoft.com/office/drawing/2014/chart" uri="{C3380CC4-5D6E-409C-BE32-E72D297353CC}">
              <c16:uniqueId val="{00000011-61A9-4A65-BCBB-22D8BB37E085}"/>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effectLst>
              <a:innerShdw blurRad="63500" dist="50800" dir="18900000">
                <a:prstClr val="black">
                  <a:alpha val="50000"/>
                </a:prstClr>
              </a:innerShdw>
            </a:effectLst>
          </c:spPr>
          <c:dPt>
            <c:idx val="0"/>
            <c:bubble3D val="0"/>
            <c:spPr>
              <a:solidFill>
                <a:srgbClr val="00B05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1-85A8-4B13-B14E-9F0F0A504B6C}"/>
              </c:ext>
            </c:extLst>
          </c:dPt>
          <c:dPt>
            <c:idx val="1"/>
            <c:bubble3D val="0"/>
            <c:spPr>
              <a:solidFill>
                <a:srgbClr val="92D05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3-85A8-4B13-B14E-9F0F0A504B6C}"/>
              </c:ext>
            </c:extLst>
          </c:dPt>
          <c:dPt>
            <c:idx val="2"/>
            <c:bubble3D val="0"/>
            <c:spPr>
              <a:solidFill>
                <a:srgbClr val="FFFF0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5-85A8-4B13-B14E-9F0F0A504B6C}"/>
              </c:ext>
            </c:extLst>
          </c:dPt>
          <c:dPt>
            <c:idx val="3"/>
            <c:bubble3D val="0"/>
            <c:spPr>
              <a:solidFill>
                <a:srgbClr val="FF0000"/>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7-85A8-4B13-B14E-9F0F0A504B6C}"/>
              </c:ext>
            </c:extLst>
          </c:dPt>
          <c:dLbls>
            <c:delete val="1"/>
          </c:dLbls>
          <c:cat>
            <c:strRef>
              <c:f>'Gráficos y Tablas'!$B$17:$B$21</c:f>
              <c:strCache>
                <c:ptCount val="4"/>
                <c:pt idx="0">
                  <c:v>Muy satisfactorio (Superior a 90%)</c:v>
                </c:pt>
                <c:pt idx="1">
                  <c:v>Satisfactorio (entre 60% y 90%)</c:v>
                </c:pt>
                <c:pt idx="2">
                  <c:v>Aceptable (entre 30% y 60%)</c:v>
                </c:pt>
                <c:pt idx="3">
                  <c:v>Alerta (Inferior al 30%)</c:v>
                </c:pt>
              </c:strCache>
            </c:strRef>
          </c:cat>
          <c:val>
            <c:numRef>
              <c:f>'Gráficos y Tablas'!$D$17:$D$21</c:f>
              <c:numCache>
                <c:formatCode>General</c:formatCode>
                <c:ptCount val="4"/>
                <c:pt idx="0">
                  <c:v>38</c:v>
                </c:pt>
                <c:pt idx="1">
                  <c:v>5</c:v>
                </c:pt>
                <c:pt idx="2">
                  <c:v>2</c:v>
                </c:pt>
                <c:pt idx="3">
                  <c:v>2</c:v>
                </c:pt>
              </c:numCache>
            </c:numRef>
          </c:val>
          <c:extLst>
            <c:ext xmlns:c16="http://schemas.microsoft.com/office/drawing/2014/chart" uri="{C3380CC4-5D6E-409C-BE32-E72D297353CC}">
              <c16:uniqueId val="{0000000A-85A8-4B13-B14E-9F0F0A504B6C}"/>
            </c:ext>
          </c:extLst>
        </c:ser>
        <c:dLbls>
          <c:showLegendKey val="0"/>
          <c:showVal val="0"/>
          <c:showCatName val="0"/>
          <c:showSerName val="0"/>
          <c:showPercent val="1"/>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dk1">
          <a:lumMod val="25000"/>
          <a:lumOff val="75000"/>
        </a:schemeClr>
      </a:solidFill>
      <a:round/>
    </a:ln>
    <a:effectLst>
      <a:innerShdw blurRad="114300">
        <a:prstClr val="black"/>
      </a:innerShdw>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CCDC-40A5-B56D-F629A9AACFA8}"/>
              </c:ext>
            </c:extLst>
          </c:dPt>
          <c:dPt>
            <c:idx val="1"/>
            <c:bubble3D val="0"/>
            <c:spPr>
              <a:solidFill>
                <a:srgbClr val="FFFF00"/>
              </a:solidFill>
              <a:ln w="19050">
                <a:solidFill>
                  <a:schemeClr val="lt1"/>
                </a:solidFill>
              </a:ln>
              <a:effectLst/>
            </c:spPr>
            <c:extLst>
              <c:ext xmlns:c16="http://schemas.microsoft.com/office/drawing/2014/chart" uri="{C3380CC4-5D6E-409C-BE32-E72D297353CC}">
                <c16:uniqueId val="{00000003-CCDC-40A5-B56D-F629A9AACFA8}"/>
              </c:ext>
            </c:extLst>
          </c:dPt>
          <c:dPt>
            <c:idx val="2"/>
            <c:bubble3D val="0"/>
            <c:spPr>
              <a:solidFill>
                <a:srgbClr val="92D050"/>
              </a:solidFill>
              <a:ln w="19050">
                <a:solidFill>
                  <a:schemeClr val="lt1"/>
                </a:solidFill>
              </a:ln>
              <a:effectLst/>
            </c:spPr>
            <c:extLst>
              <c:ext xmlns:c16="http://schemas.microsoft.com/office/drawing/2014/chart" uri="{C3380CC4-5D6E-409C-BE32-E72D297353CC}">
                <c16:uniqueId val="{00000005-CCDC-40A5-B56D-F629A9AACFA8}"/>
              </c:ext>
            </c:extLst>
          </c:dPt>
          <c:dPt>
            <c:idx val="3"/>
            <c:bubble3D val="0"/>
            <c:spPr>
              <a:solidFill>
                <a:srgbClr val="00B050"/>
              </a:solidFill>
              <a:ln w="19050">
                <a:solidFill>
                  <a:schemeClr val="lt1"/>
                </a:solidFill>
              </a:ln>
              <a:effectLst/>
            </c:spPr>
            <c:extLst>
              <c:ext xmlns:c16="http://schemas.microsoft.com/office/drawing/2014/chart" uri="{C3380CC4-5D6E-409C-BE32-E72D297353CC}">
                <c16:uniqueId val="{00000007-CCDC-40A5-B56D-F629A9AACFA8}"/>
              </c:ext>
            </c:extLst>
          </c:dPt>
          <c:dPt>
            <c:idx val="4"/>
            <c:bubble3D val="0"/>
            <c:spPr>
              <a:noFill/>
              <a:ln w="19050">
                <a:solidFill>
                  <a:schemeClr val="lt1"/>
                </a:solidFill>
              </a:ln>
              <a:effectLst/>
            </c:spPr>
            <c:extLst>
              <c:ext xmlns:c16="http://schemas.microsoft.com/office/drawing/2014/chart" uri="{C3380CC4-5D6E-409C-BE32-E72D297353CC}">
                <c16:uniqueId val="{00000009-CCDC-40A5-B56D-F629A9AACFA8}"/>
              </c:ext>
            </c:extLst>
          </c:dPt>
          <c:val>
            <c:numRef>
              <c:f>'Gráficos y Tablas'!$K$16:$K$20</c:f>
              <c:numCache>
                <c:formatCode>0%</c:formatCode>
                <c:ptCount val="5"/>
                <c:pt idx="0">
                  <c:v>0.3</c:v>
                </c:pt>
                <c:pt idx="1">
                  <c:v>0.3</c:v>
                </c:pt>
                <c:pt idx="2">
                  <c:v>0.3</c:v>
                </c:pt>
                <c:pt idx="3">
                  <c:v>0.1</c:v>
                </c:pt>
                <c:pt idx="4">
                  <c:v>0.99999999999999989</c:v>
                </c:pt>
              </c:numCache>
            </c:numRef>
          </c:val>
          <c:extLst>
            <c:ext xmlns:c16="http://schemas.microsoft.com/office/drawing/2014/chart" uri="{C3380CC4-5D6E-409C-BE32-E72D297353CC}">
              <c16:uniqueId val="{0000000A-CCDC-40A5-B56D-F629A9AACFA8}"/>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dPt>
            <c:idx val="0"/>
            <c:bubble3D val="0"/>
            <c:spPr>
              <a:noFill/>
              <a:ln w="19050">
                <a:solidFill>
                  <a:schemeClr val="lt1"/>
                </a:solidFill>
              </a:ln>
              <a:effectLst/>
            </c:spPr>
            <c:extLst>
              <c:ext xmlns:c16="http://schemas.microsoft.com/office/drawing/2014/chart" uri="{C3380CC4-5D6E-409C-BE32-E72D297353CC}">
                <c16:uniqueId val="{0000000C-CCDC-40A5-B56D-F629A9AACFA8}"/>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0E-CCDC-40A5-B56D-F629A9AACFA8}"/>
              </c:ext>
            </c:extLst>
          </c:dPt>
          <c:dPt>
            <c:idx val="2"/>
            <c:bubble3D val="0"/>
            <c:spPr>
              <a:noFill/>
              <a:ln w="19050">
                <a:solidFill>
                  <a:schemeClr val="lt1"/>
                </a:solidFill>
              </a:ln>
              <a:effectLst/>
            </c:spPr>
            <c:extLst>
              <c:ext xmlns:c16="http://schemas.microsoft.com/office/drawing/2014/chart" uri="{C3380CC4-5D6E-409C-BE32-E72D297353CC}">
                <c16:uniqueId val="{00000010-CCDC-40A5-B56D-F629A9AACF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CCDC-40A5-B56D-F629A9AACFA8}"/>
              </c:ext>
            </c:extLst>
          </c:dPt>
          <c:val>
            <c:numRef>
              <c:f>'Gráficos y Tablas'!$K$23:$K$26</c:f>
              <c:numCache>
                <c:formatCode>0%</c:formatCode>
                <c:ptCount val="4"/>
                <c:pt idx="0" formatCode="0.00%">
                  <c:v>0.91021276595744682</c:v>
                </c:pt>
                <c:pt idx="1">
                  <c:v>0.02</c:v>
                </c:pt>
                <c:pt idx="2" formatCode="0.00%">
                  <c:v>1.0697872340425529</c:v>
                </c:pt>
              </c:numCache>
            </c:numRef>
          </c:val>
          <c:extLst>
            <c:ext xmlns:c16="http://schemas.microsoft.com/office/drawing/2014/chart" uri="{C3380CC4-5D6E-409C-BE32-E72D297353CC}">
              <c16:uniqueId val="{00000013-CCDC-40A5-B56D-F629A9AACFA8}"/>
            </c:ext>
          </c:extLst>
        </c:ser>
        <c:dLbls>
          <c:showLegendKey val="0"/>
          <c:showVal val="0"/>
          <c:showCatName val="0"/>
          <c:showSerName val="0"/>
          <c:showPercent val="0"/>
          <c:showBubbleSize val="0"/>
          <c:showLeaderLines val="1"/>
        </c:dLbls>
        <c:firstSliceAng val="27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27</xdr:col>
      <xdr:colOff>296333</xdr:colOff>
      <xdr:row>0</xdr:row>
      <xdr:rowOff>10583</xdr:rowOff>
    </xdr:from>
    <xdr:to>
      <xdr:col>27</xdr:col>
      <xdr:colOff>987954</xdr:colOff>
      <xdr:row>0</xdr:row>
      <xdr:rowOff>677333</xdr:rowOff>
    </xdr:to>
    <xdr:pic>
      <xdr:nvPicPr>
        <xdr:cNvPr id="3" name="3 Imagen" descr="C:\Users\john.garcia\Desktop\2020-01-08.png">
          <a:extLst>
            <a:ext uri="{FF2B5EF4-FFF2-40B4-BE49-F238E27FC236}">
              <a16:creationId xmlns:a16="http://schemas.microsoft.com/office/drawing/2014/main" id="{CB266DB7-B33F-443B-A3C7-2B4632CCB0E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76916" y="10583"/>
          <a:ext cx="691621" cy="666750"/>
        </a:xfrm>
        <a:prstGeom prst="rect">
          <a:avLst/>
        </a:prstGeom>
        <a:noFill/>
        <a:ln>
          <a:noFill/>
        </a:ln>
      </xdr:spPr>
    </xdr:pic>
    <xdr:clientData/>
  </xdr:twoCellAnchor>
  <xdr:twoCellAnchor editAs="oneCell">
    <xdr:from>
      <xdr:col>0</xdr:col>
      <xdr:colOff>381001</xdr:colOff>
      <xdr:row>0</xdr:row>
      <xdr:rowOff>74084</xdr:rowOff>
    </xdr:from>
    <xdr:to>
      <xdr:col>0</xdr:col>
      <xdr:colOff>1344085</xdr:colOff>
      <xdr:row>0</xdr:row>
      <xdr:rowOff>679203</xdr:rowOff>
    </xdr:to>
    <xdr:pic>
      <xdr:nvPicPr>
        <xdr:cNvPr id="4" name="5 Imagen" descr="C:\Users\john.garcia\Desktop\LOGO CAPITAL LETRA NEGRA.png">
          <a:extLst>
            <a:ext uri="{FF2B5EF4-FFF2-40B4-BE49-F238E27FC236}">
              <a16:creationId xmlns:a16="http://schemas.microsoft.com/office/drawing/2014/main" id="{F8D8EBEE-D545-4E90-AC17-C8C39AC3866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1" y="74084"/>
          <a:ext cx="963084" cy="60511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2BE8FB44-47EA-45A2-8A45-2B3448E746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238125"/>
          <a:ext cx="0" cy="933450"/>
        </a:xfrm>
        <a:prstGeom prst="rect">
          <a:avLst/>
        </a:prstGeom>
        <a:noFill/>
        <a:ln>
          <a:noFill/>
        </a:ln>
      </xdr:spPr>
    </xdr:pic>
    <xdr:clientData/>
  </xdr:twoCellAnchor>
  <xdr:oneCellAnchor>
    <xdr:from>
      <xdr:col>1</xdr:col>
      <xdr:colOff>171450</xdr:colOff>
      <xdr:row>0</xdr:row>
      <xdr:rowOff>133350</xdr:rowOff>
    </xdr:from>
    <xdr:ext cx="1123950" cy="752475"/>
    <xdr:pic>
      <xdr:nvPicPr>
        <xdr:cNvPr id="3" name="image1.png" descr="C:\Users\john.garcia\Desktop\LOGO CAPITAL LETRA NEGRA.png">
          <a:extLst>
            <a:ext uri="{FF2B5EF4-FFF2-40B4-BE49-F238E27FC236}">
              <a16:creationId xmlns:a16="http://schemas.microsoft.com/office/drawing/2014/main" id="{FA3C7917-2AD8-4DAD-A8CE-123DB3F0D309}"/>
            </a:ext>
          </a:extLst>
        </xdr:cNvPr>
        <xdr:cNvPicPr preferRelativeResize="0"/>
      </xdr:nvPicPr>
      <xdr:blipFill>
        <a:blip xmlns:r="http://schemas.openxmlformats.org/officeDocument/2006/relationships" r:embed="rId1" cstate="print"/>
        <a:stretch>
          <a:fillRect/>
        </a:stretch>
      </xdr:blipFill>
      <xdr:spPr>
        <a:xfrm>
          <a:off x="352425" y="133350"/>
          <a:ext cx="1123950" cy="75247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5A118593-E041-46B7-8BD0-18F0471E49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933450"/>
        </a:xfrm>
        <a:prstGeom prst="rect">
          <a:avLst/>
        </a:prstGeom>
        <a:noFill/>
        <a:ln>
          <a:noFill/>
        </a:ln>
      </xdr:spPr>
    </xdr:pic>
    <xdr:clientData/>
  </xdr:twoCellAnchor>
  <xdr:oneCellAnchor>
    <xdr:from>
      <xdr:col>1</xdr:col>
      <xdr:colOff>190500</xdr:colOff>
      <xdr:row>0</xdr:row>
      <xdr:rowOff>171450</xdr:rowOff>
    </xdr:from>
    <xdr:ext cx="1123950" cy="752475"/>
    <xdr:pic>
      <xdr:nvPicPr>
        <xdr:cNvPr id="3" name="image1.png" descr="C:\Users\john.garcia\Desktop\LOGO CAPITAL LETRA NEGRA.png">
          <a:extLst>
            <a:ext uri="{FF2B5EF4-FFF2-40B4-BE49-F238E27FC236}">
              <a16:creationId xmlns:a16="http://schemas.microsoft.com/office/drawing/2014/main" id="{E45CFC3C-904C-48E8-B45E-900C8EAD4D79}"/>
            </a:ext>
          </a:extLst>
        </xdr:cNvPr>
        <xdr:cNvPicPr preferRelativeResize="0"/>
      </xdr:nvPicPr>
      <xdr:blipFill>
        <a:blip xmlns:r="http://schemas.openxmlformats.org/officeDocument/2006/relationships" r:embed="rId1" cstate="print"/>
        <a:stretch>
          <a:fillRect/>
        </a:stretch>
      </xdr:blipFill>
      <xdr:spPr>
        <a:xfrm>
          <a:off x="352425" y="171450"/>
          <a:ext cx="1123950" cy="75247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5</xdr:row>
      <xdr:rowOff>0</xdr:rowOff>
    </xdr:to>
    <xdr:pic>
      <xdr:nvPicPr>
        <xdr:cNvPr id="2" name="5 Imagen" descr="C:\Users\john.garcia\Desktop\LOGO CAPITAL LETRA NEGRA.png">
          <a:extLst>
            <a:ext uri="{FF2B5EF4-FFF2-40B4-BE49-F238E27FC236}">
              <a16:creationId xmlns:a16="http://schemas.microsoft.com/office/drawing/2014/main" id="{D97497FB-A2BA-452E-A8F4-6A46C0A1E1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38125"/>
          <a:ext cx="0" cy="752475"/>
        </a:xfrm>
        <a:prstGeom prst="rect">
          <a:avLst/>
        </a:prstGeom>
        <a:noFill/>
        <a:ln>
          <a:noFill/>
        </a:ln>
      </xdr:spPr>
    </xdr:pic>
    <xdr:clientData/>
  </xdr:twoCellAnchor>
  <xdr:twoCellAnchor editAs="oneCell">
    <xdr:from>
      <xdr:col>1</xdr:col>
      <xdr:colOff>9525</xdr:colOff>
      <xdr:row>0</xdr:row>
      <xdr:rowOff>76200</xdr:rowOff>
    </xdr:from>
    <xdr:to>
      <xdr:col>2</xdr:col>
      <xdr:colOff>914400</xdr:colOff>
      <xdr:row>3</xdr:row>
      <xdr:rowOff>173831</xdr:rowOff>
    </xdr:to>
    <xdr:pic>
      <xdr:nvPicPr>
        <xdr:cNvPr id="3" name="5 Imagen" descr="C:\Users\john.garcia\Desktop\LOGO CAPITAL LETRA NEGRA.png">
          <a:extLst>
            <a:ext uri="{FF2B5EF4-FFF2-40B4-BE49-F238E27FC236}">
              <a16:creationId xmlns:a16="http://schemas.microsoft.com/office/drawing/2014/main" id="{744099BF-2B61-41D1-B97B-0A0E210BA98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76200"/>
          <a:ext cx="1200150" cy="812006"/>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114300</xdr:colOff>
      <xdr:row>0</xdr:row>
      <xdr:rowOff>76201</xdr:rowOff>
    </xdr:from>
    <xdr:to>
      <xdr:col>14</xdr:col>
      <xdr:colOff>742950</xdr:colOff>
      <xdr:row>7</xdr:row>
      <xdr:rowOff>371476</xdr:rowOff>
    </xdr:to>
    <xdr:graphicFrame macro="">
      <xdr:nvGraphicFramePr>
        <xdr:cNvPr id="2" name="Gráfico 1">
          <a:extLst>
            <a:ext uri="{FF2B5EF4-FFF2-40B4-BE49-F238E27FC236}">
              <a16:creationId xmlns:a16="http://schemas.microsoft.com/office/drawing/2014/main" id="{210AC217-D92E-48F0-ADB4-5E572811D6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264579</xdr:colOff>
      <xdr:row>8</xdr:row>
      <xdr:rowOff>15874</xdr:rowOff>
    </xdr:from>
    <xdr:to>
      <xdr:col>16</xdr:col>
      <xdr:colOff>730246</xdr:colOff>
      <xdr:row>21</xdr:row>
      <xdr:rowOff>624417</xdr:rowOff>
    </xdr:to>
    <xdr:grpSp>
      <xdr:nvGrpSpPr>
        <xdr:cNvPr id="3" name="Grupo 2">
          <a:extLst>
            <a:ext uri="{FF2B5EF4-FFF2-40B4-BE49-F238E27FC236}">
              <a16:creationId xmlns:a16="http://schemas.microsoft.com/office/drawing/2014/main" id="{0CC6CA83-7184-4101-9ED0-D55A5C03B729}"/>
            </a:ext>
          </a:extLst>
        </xdr:cNvPr>
        <xdr:cNvGrpSpPr/>
      </xdr:nvGrpSpPr>
      <xdr:grpSpPr>
        <a:xfrm>
          <a:off x="10805579" y="4132791"/>
          <a:ext cx="3926417" cy="3243793"/>
          <a:chOff x="10334625" y="4100512"/>
          <a:chExt cx="3205796" cy="2743200"/>
        </a:xfrm>
      </xdr:grpSpPr>
      <xdr:grpSp>
        <xdr:nvGrpSpPr>
          <xdr:cNvPr id="4" name="Grupo 3">
            <a:extLst>
              <a:ext uri="{FF2B5EF4-FFF2-40B4-BE49-F238E27FC236}">
                <a16:creationId xmlns:a16="http://schemas.microsoft.com/office/drawing/2014/main" id="{C33ACA72-C70E-4FBE-BA2B-AA4932F2ABA4}"/>
              </a:ext>
            </a:extLst>
          </xdr:cNvPr>
          <xdr:cNvGrpSpPr/>
        </xdr:nvGrpSpPr>
        <xdr:grpSpPr>
          <a:xfrm>
            <a:off x="10334625" y="4100512"/>
            <a:ext cx="3152775" cy="2743200"/>
            <a:chOff x="10267950" y="4310062"/>
            <a:chExt cx="4572000" cy="2743200"/>
          </a:xfrm>
        </xdr:grpSpPr>
        <xdr:graphicFrame macro="">
          <xdr:nvGraphicFramePr>
            <xdr:cNvPr id="10" name="Gráfico 9">
              <a:extLst>
                <a:ext uri="{FF2B5EF4-FFF2-40B4-BE49-F238E27FC236}">
                  <a16:creationId xmlns:a16="http://schemas.microsoft.com/office/drawing/2014/main" id="{601EEBD6-858F-4FB1-9031-4D708B45C863}"/>
                </a:ext>
              </a:extLst>
            </xdr:cNvPr>
            <xdr:cNvGraphicFramePr/>
          </xdr:nvGraphicFramePr>
          <xdr:xfrm>
            <a:off x="10267950" y="43100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C$10">
          <xdr:nvSpPr>
            <xdr:cNvPr id="11" name="Rectángulo 10">
              <a:extLst>
                <a:ext uri="{FF2B5EF4-FFF2-40B4-BE49-F238E27FC236}">
                  <a16:creationId xmlns:a16="http://schemas.microsoft.com/office/drawing/2014/main" id="{2A37434C-BD14-4518-BF54-CE93675CB34A}"/>
                </a:ext>
              </a:extLst>
            </xdr:cNvPr>
            <xdr:cNvSpPr/>
          </xdr:nvSpPr>
          <xdr:spPr>
            <a:xfrm>
              <a:off x="12160288" y="5495925"/>
              <a:ext cx="1105015"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8AD572A0-15AB-445B-9F3A-5E3F1A5E7D89}" type="TxLink">
                <a:rPr lang="en-US" sz="1100" b="1" i="0" u="none" strike="noStrike">
                  <a:solidFill>
                    <a:srgbClr val="000000"/>
                  </a:solidFill>
                  <a:latin typeface="Calibri"/>
                  <a:cs typeface="Calibri"/>
                </a:rPr>
                <a:pPr algn="l"/>
                <a:t>78,65%</a:t>
              </a:fld>
              <a:endParaRPr lang="es-CO" sz="1000">
                <a:latin typeface="Arial" panose="020B0604020202020204" pitchFamily="34" charset="0"/>
                <a:cs typeface="Arial" panose="020B0604020202020204" pitchFamily="34" charset="0"/>
              </a:endParaRPr>
            </a:p>
          </xdr:txBody>
        </xdr:sp>
      </xdr:grpSp>
      <xdr:sp macro="" textlink="">
        <xdr:nvSpPr>
          <xdr:cNvPr id="5" name="CuadroTexto 4">
            <a:extLst>
              <a:ext uri="{FF2B5EF4-FFF2-40B4-BE49-F238E27FC236}">
                <a16:creationId xmlns:a16="http://schemas.microsoft.com/office/drawing/2014/main" id="{18C805BE-F469-45A0-A9F7-5B610A1A6B89}"/>
              </a:ext>
            </a:extLst>
          </xdr:cNvPr>
          <xdr:cNvSpPr txBox="1"/>
        </xdr:nvSpPr>
        <xdr:spPr>
          <a:xfrm>
            <a:off x="10370445" y="5296078"/>
            <a:ext cx="4095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0%</a:t>
            </a:r>
          </a:p>
        </xdr:txBody>
      </xdr:sp>
      <xdr:sp macro="" textlink="">
        <xdr:nvSpPr>
          <xdr:cNvPr id="6" name="CuadroTexto 5">
            <a:extLst>
              <a:ext uri="{FF2B5EF4-FFF2-40B4-BE49-F238E27FC236}">
                <a16:creationId xmlns:a16="http://schemas.microsoft.com/office/drawing/2014/main" id="{01D9EB8A-A3BF-494D-B45B-EABB58889601}"/>
              </a:ext>
            </a:extLst>
          </xdr:cNvPr>
          <xdr:cNvSpPr txBox="1"/>
        </xdr:nvSpPr>
        <xdr:spPr>
          <a:xfrm>
            <a:off x="10896601" y="4448175"/>
            <a:ext cx="4953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30%</a:t>
            </a:r>
          </a:p>
        </xdr:txBody>
      </xdr:sp>
      <xdr:sp macro="" textlink="">
        <xdr:nvSpPr>
          <xdr:cNvPr id="7" name="CuadroTexto 6">
            <a:extLst>
              <a:ext uri="{FF2B5EF4-FFF2-40B4-BE49-F238E27FC236}">
                <a16:creationId xmlns:a16="http://schemas.microsoft.com/office/drawing/2014/main" id="{3D5B9805-63E7-48E1-8FE9-839F3F9785E0}"/>
              </a:ext>
            </a:extLst>
          </xdr:cNvPr>
          <xdr:cNvSpPr txBox="1"/>
        </xdr:nvSpPr>
        <xdr:spPr>
          <a:xfrm>
            <a:off x="12068175" y="4314825"/>
            <a:ext cx="5143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60%</a:t>
            </a:r>
          </a:p>
        </xdr:txBody>
      </xdr:sp>
      <xdr:sp macro="" textlink="">
        <xdr:nvSpPr>
          <xdr:cNvPr id="8" name="CuadroTexto 7">
            <a:extLst>
              <a:ext uri="{FF2B5EF4-FFF2-40B4-BE49-F238E27FC236}">
                <a16:creationId xmlns:a16="http://schemas.microsoft.com/office/drawing/2014/main" id="{B52356A6-282C-4F58-9F94-389EC4AFF7CD}"/>
              </a:ext>
            </a:extLst>
          </xdr:cNvPr>
          <xdr:cNvSpPr txBox="1"/>
        </xdr:nvSpPr>
        <xdr:spPr>
          <a:xfrm>
            <a:off x="12848112" y="5048250"/>
            <a:ext cx="692304" cy="141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90%</a:t>
            </a:r>
          </a:p>
        </xdr:txBody>
      </xdr:sp>
      <xdr:sp macro="" textlink="">
        <xdr:nvSpPr>
          <xdr:cNvPr id="9" name="CuadroTexto 8">
            <a:extLst>
              <a:ext uri="{FF2B5EF4-FFF2-40B4-BE49-F238E27FC236}">
                <a16:creationId xmlns:a16="http://schemas.microsoft.com/office/drawing/2014/main" id="{C67F9227-365D-479A-A7E9-505FB81EC5AD}"/>
              </a:ext>
            </a:extLst>
          </xdr:cNvPr>
          <xdr:cNvSpPr txBox="1"/>
        </xdr:nvSpPr>
        <xdr:spPr>
          <a:xfrm>
            <a:off x="12918704" y="5324476"/>
            <a:ext cx="621717" cy="14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100%</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134469</xdr:colOff>
      <xdr:row>0</xdr:row>
      <xdr:rowOff>98612</xdr:rowOff>
    </xdr:from>
    <xdr:to>
      <xdr:col>16</xdr:col>
      <xdr:colOff>280146</xdr:colOff>
      <xdr:row>14</xdr:row>
      <xdr:rowOff>1681</xdr:rowOff>
    </xdr:to>
    <xdr:graphicFrame macro="">
      <xdr:nvGraphicFramePr>
        <xdr:cNvPr id="2" name="Gráfico 1">
          <a:extLst>
            <a:ext uri="{FF2B5EF4-FFF2-40B4-BE49-F238E27FC236}">
              <a16:creationId xmlns:a16="http://schemas.microsoft.com/office/drawing/2014/main" id="{60AD0DE5-D146-4E58-83FA-B1C7EF3EB6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264579</xdr:colOff>
      <xdr:row>14</xdr:row>
      <xdr:rowOff>15874</xdr:rowOff>
    </xdr:from>
    <xdr:to>
      <xdr:col>16</xdr:col>
      <xdr:colOff>730246</xdr:colOff>
      <xdr:row>27</xdr:row>
      <xdr:rowOff>624417</xdr:rowOff>
    </xdr:to>
    <xdr:grpSp>
      <xdr:nvGrpSpPr>
        <xdr:cNvPr id="3" name="Grupo 2">
          <a:extLst>
            <a:ext uri="{FF2B5EF4-FFF2-40B4-BE49-F238E27FC236}">
              <a16:creationId xmlns:a16="http://schemas.microsoft.com/office/drawing/2014/main" id="{9B72DBC3-555C-40F2-8B7A-4389B32E5CA3}"/>
            </a:ext>
          </a:extLst>
        </xdr:cNvPr>
        <xdr:cNvGrpSpPr/>
      </xdr:nvGrpSpPr>
      <xdr:grpSpPr>
        <a:xfrm>
          <a:off x="9935255" y="4374962"/>
          <a:ext cx="3928285" cy="3118661"/>
          <a:chOff x="10334625" y="4100512"/>
          <a:chExt cx="3205796" cy="2743200"/>
        </a:xfrm>
      </xdr:grpSpPr>
      <xdr:grpSp>
        <xdr:nvGrpSpPr>
          <xdr:cNvPr id="4" name="Grupo 3">
            <a:extLst>
              <a:ext uri="{FF2B5EF4-FFF2-40B4-BE49-F238E27FC236}">
                <a16:creationId xmlns:a16="http://schemas.microsoft.com/office/drawing/2014/main" id="{7104347F-CE05-4156-93DB-EB232467509E}"/>
              </a:ext>
            </a:extLst>
          </xdr:cNvPr>
          <xdr:cNvGrpSpPr/>
        </xdr:nvGrpSpPr>
        <xdr:grpSpPr>
          <a:xfrm>
            <a:off x="10334625" y="4100512"/>
            <a:ext cx="3152775" cy="2743200"/>
            <a:chOff x="10267950" y="4310062"/>
            <a:chExt cx="4572000" cy="2743200"/>
          </a:xfrm>
        </xdr:grpSpPr>
        <xdr:graphicFrame macro="">
          <xdr:nvGraphicFramePr>
            <xdr:cNvPr id="10" name="Gráfico 9">
              <a:extLst>
                <a:ext uri="{FF2B5EF4-FFF2-40B4-BE49-F238E27FC236}">
                  <a16:creationId xmlns:a16="http://schemas.microsoft.com/office/drawing/2014/main" id="{45169A68-7DD1-48E7-92E7-BB8BB927B820}"/>
                </a:ext>
              </a:extLst>
            </xdr:cNvPr>
            <xdr:cNvGraphicFramePr/>
          </xdr:nvGraphicFramePr>
          <xdr:xfrm>
            <a:off x="10267950" y="4310062"/>
            <a:ext cx="4572000" cy="2743200"/>
          </xdr:xfrm>
          <a:graphic>
            <a:graphicData uri="http://schemas.openxmlformats.org/drawingml/2006/chart">
              <c:chart xmlns:c="http://schemas.openxmlformats.org/drawingml/2006/chart" xmlns:r="http://schemas.openxmlformats.org/officeDocument/2006/relationships" r:id="rId2"/>
            </a:graphicData>
          </a:graphic>
        </xdr:graphicFrame>
        <xdr:sp macro="" textlink="$B$16">
          <xdr:nvSpPr>
            <xdr:cNvPr id="11" name="Rectángulo 10">
              <a:extLst>
                <a:ext uri="{FF2B5EF4-FFF2-40B4-BE49-F238E27FC236}">
                  <a16:creationId xmlns:a16="http://schemas.microsoft.com/office/drawing/2014/main" id="{520C6B96-9E59-4B19-A3F6-DD558F3F924F}"/>
                </a:ext>
              </a:extLst>
            </xdr:cNvPr>
            <xdr:cNvSpPr/>
          </xdr:nvSpPr>
          <xdr:spPr>
            <a:xfrm>
              <a:off x="12160288" y="5495925"/>
              <a:ext cx="1105015"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2BD5072-A89D-4B4D-ABE4-05842802A8C2}" type="TxLink">
                <a:rPr lang="en-US" sz="1100" b="1" i="0" u="none" strike="noStrike">
                  <a:solidFill>
                    <a:srgbClr val="000000"/>
                  </a:solidFill>
                  <a:latin typeface="Calibri"/>
                  <a:cs typeface="Calibri"/>
                </a:rPr>
                <a:pPr algn="l"/>
                <a:t>92,02%</a:t>
              </a:fld>
              <a:endParaRPr lang="es-CO" sz="1000">
                <a:latin typeface="Arial" panose="020B0604020202020204" pitchFamily="34" charset="0"/>
                <a:cs typeface="Arial" panose="020B0604020202020204" pitchFamily="34" charset="0"/>
              </a:endParaRPr>
            </a:p>
          </xdr:txBody>
        </xdr:sp>
      </xdr:grpSp>
      <xdr:sp macro="" textlink="">
        <xdr:nvSpPr>
          <xdr:cNvPr id="5" name="CuadroTexto 4">
            <a:extLst>
              <a:ext uri="{FF2B5EF4-FFF2-40B4-BE49-F238E27FC236}">
                <a16:creationId xmlns:a16="http://schemas.microsoft.com/office/drawing/2014/main" id="{52B93962-9B0F-44B6-9462-4883F771B2FE}"/>
              </a:ext>
            </a:extLst>
          </xdr:cNvPr>
          <xdr:cNvSpPr txBox="1"/>
        </xdr:nvSpPr>
        <xdr:spPr>
          <a:xfrm>
            <a:off x="10370445" y="5296078"/>
            <a:ext cx="40957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0%</a:t>
            </a:r>
          </a:p>
        </xdr:txBody>
      </xdr:sp>
      <xdr:sp macro="" textlink="">
        <xdr:nvSpPr>
          <xdr:cNvPr id="6" name="CuadroTexto 5">
            <a:extLst>
              <a:ext uri="{FF2B5EF4-FFF2-40B4-BE49-F238E27FC236}">
                <a16:creationId xmlns:a16="http://schemas.microsoft.com/office/drawing/2014/main" id="{DB5B6396-F8F8-4284-B9FA-FC632130E6E1}"/>
              </a:ext>
            </a:extLst>
          </xdr:cNvPr>
          <xdr:cNvSpPr txBox="1"/>
        </xdr:nvSpPr>
        <xdr:spPr>
          <a:xfrm>
            <a:off x="10896601" y="4448175"/>
            <a:ext cx="4953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30%</a:t>
            </a:r>
          </a:p>
        </xdr:txBody>
      </xdr:sp>
      <xdr:sp macro="" textlink="">
        <xdr:nvSpPr>
          <xdr:cNvPr id="7" name="CuadroTexto 6">
            <a:extLst>
              <a:ext uri="{FF2B5EF4-FFF2-40B4-BE49-F238E27FC236}">
                <a16:creationId xmlns:a16="http://schemas.microsoft.com/office/drawing/2014/main" id="{F59F42B8-F389-4A47-8610-13E118868EEC}"/>
              </a:ext>
            </a:extLst>
          </xdr:cNvPr>
          <xdr:cNvSpPr txBox="1"/>
        </xdr:nvSpPr>
        <xdr:spPr>
          <a:xfrm>
            <a:off x="12068175" y="4314825"/>
            <a:ext cx="5143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60%</a:t>
            </a:r>
          </a:p>
        </xdr:txBody>
      </xdr:sp>
      <xdr:sp macro="" textlink="">
        <xdr:nvSpPr>
          <xdr:cNvPr id="8" name="CuadroTexto 7">
            <a:extLst>
              <a:ext uri="{FF2B5EF4-FFF2-40B4-BE49-F238E27FC236}">
                <a16:creationId xmlns:a16="http://schemas.microsoft.com/office/drawing/2014/main" id="{1125C647-3353-4448-B958-90B3F31A74CD}"/>
              </a:ext>
            </a:extLst>
          </xdr:cNvPr>
          <xdr:cNvSpPr txBox="1"/>
        </xdr:nvSpPr>
        <xdr:spPr>
          <a:xfrm>
            <a:off x="12848112" y="5048250"/>
            <a:ext cx="692304" cy="141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90%</a:t>
            </a:r>
          </a:p>
        </xdr:txBody>
      </xdr:sp>
      <xdr:sp macro="" textlink="">
        <xdr:nvSpPr>
          <xdr:cNvPr id="9" name="CuadroTexto 8">
            <a:extLst>
              <a:ext uri="{FF2B5EF4-FFF2-40B4-BE49-F238E27FC236}">
                <a16:creationId xmlns:a16="http://schemas.microsoft.com/office/drawing/2014/main" id="{DDEFB5A5-D73D-4964-B359-D13EC566E2CC}"/>
              </a:ext>
            </a:extLst>
          </xdr:cNvPr>
          <xdr:cNvSpPr txBox="1"/>
        </xdr:nvSpPr>
        <xdr:spPr>
          <a:xfrm>
            <a:off x="12918704" y="5324476"/>
            <a:ext cx="621717" cy="14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900" b="1">
                <a:latin typeface="Arial" panose="020B0604020202020204" pitchFamily="34" charset="0"/>
                <a:cs typeface="Arial" panose="020B0604020202020204" pitchFamily="34" charset="0"/>
              </a:rPr>
              <a:t>100%</a:t>
            </a:r>
          </a:p>
        </xdr:txBody>
      </xdr:sp>
    </xdr:grpSp>
    <xdr:clientData/>
  </xdr:twoCellAnchor>
  <xdr:twoCellAnchor>
    <xdr:from>
      <xdr:col>13</xdr:col>
      <xdr:colOff>885265</xdr:colOff>
      <xdr:row>9</xdr:row>
      <xdr:rowOff>33617</xdr:rowOff>
    </xdr:from>
    <xdr:to>
      <xdr:col>14</xdr:col>
      <xdr:colOff>336176</xdr:colOff>
      <xdr:row>10</xdr:row>
      <xdr:rowOff>124686</xdr:rowOff>
    </xdr:to>
    <xdr:sp macro="" textlink="$E$17">
      <xdr:nvSpPr>
        <xdr:cNvPr id="12" name="Rectángulo 11">
          <a:extLst>
            <a:ext uri="{FF2B5EF4-FFF2-40B4-BE49-F238E27FC236}">
              <a16:creationId xmlns:a16="http://schemas.microsoft.com/office/drawing/2014/main" id="{26461192-96AD-4E58-9C04-D60666755E82}"/>
            </a:ext>
          </a:extLst>
        </xdr:cNvPr>
        <xdr:cNvSpPr/>
      </xdr:nvSpPr>
      <xdr:spPr>
        <a:xfrm>
          <a:off x="12214412" y="2487705"/>
          <a:ext cx="627529" cy="315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FB2A6FCC-79D7-4DA0-BE1D-4B74E589D7B2}" type="TxLink">
            <a:rPr lang="en-US" sz="1100" b="1" i="0" u="none" strike="noStrike">
              <a:solidFill>
                <a:srgbClr val="000000"/>
              </a:solidFill>
              <a:latin typeface="Calibri"/>
              <a:cs typeface="Calibri"/>
            </a:rPr>
            <a:pPr algn="ctr"/>
            <a:t>80,85%</a:t>
          </a:fld>
          <a:endParaRPr lang="es-CO" sz="1000" b="1">
            <a:latin typeface="Arial" panose="020B0604020202020204" pitchFamily="34" charset="0"/>
            <a:cs typeface="Arial" panose="020B0604020202020204" pitchFamily="34" charset="0"/>
          </a:endParaRPr>
        </a:p>
      </xdr:txBody>
    </xdr:sp>
    <xdr:clientData/>
  </xdr:twoCellAnchor>
  <xdr:twoCellAnchor>
    <xdr:from>
      <xdr:col>10</xdr:col>
      <xdr:colOff>85165</xdr:colOff>
      <xdr:row>4</xdr:row>
      <xdr:rowOff>96370</xdr:rowOff>
    </xdr:from>
    <xdr:to>
      <xdr:col>11</xdr:col>
      <xdr:colOff>17929</xdr:colOff>
      <xdr:row>4</xdr:row>
      <xdr:rowOff>411556</xdr:rowOff>
    </xdr:to>
    <xdr:sp macro="" textlink="$E$18">
      <xdr:nvSpPr>
        <xdr:cNvPr id="13" name="Rectángulo 12">
          <a:extLst>
            <a:ext uri="{FF2B5EF4-FFF2-40B4-BE49-F238E27FC236}">
              <a16:creationId xmlns:a16="http://schemas.microsoft.com/office/drawing/2014/main" id="{BE441CA3-EFDE-4B53-B451-AAC6EC699328}"/>
            </a:ext>
          </a:extLst>
        </xdr:cNvPr>
        <xdr:cNvSpPr/>
      </xdr:nvSpPr>
      <xdr:spPr>
        <a:xfrm>
          <a:off x="8668871" y="1093694"/>
          <a:ext cx="627529" cy="3151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78882B3B-5D4E-45E4-A25E-D67B812AE13A}" type="TxLink">
            <a:rPr lang="en-US" sz="1100" b="1" i="0" u="none" strike="noStrike">
              <a:solidFill>
                <a:srgbClr val="000000"/>
              </a:solidFill>
              <a:latin typeface="Calibri"/>
              <a:cs typeface="Calibri"/>
            </a:rPr>
            <a:pPr algn="ctr"/>
            <a:t>10,64%</a:t>
          </a:fld>
          <a:endParaRPr lang="es-CO" sz="1000" b="1">
            <a:latin typeface="Arial" panose="020B0604020202020204" pitchFamily="34" charset="0"/>
            <a:cs typeface="Arial" panose="020B0604020202020204" pitchFamily="34" charset="0"/>
          </a:endParaRPr>
        </a:p>
      </xdr:txBody>
    </xdr:sp>
    <xdr:clientData/>
  </xdr:twoCellAnchor>
  <xdr:twoCellAnchor>
    <xdr:from>
      <xdr:col>11</xdr:col>
      <xdr:colOff>80682</xdr:colOff>
      <xdr:row>2</xdr:row>
      <xdr:rowOff>170331</xdr:rowOff>
    </xdr:from>
    <xdr:to>
      <xdr:col>12</xdr:col>
      <xdr:colOff>316005</xdr:colOff>
      <xdr:row>3</xdr:row>
      <xdr:rowOff>48488</xdr:rowOff>
    </xdr:to>
    <xdr:sp macro="" textlink="$E$19">
      <xdr:nvSpPr>
        <xdr:cNvPr id="14" name="Rectángulo 13">
          <a:extLst>
            <a:ext uri="{FF2B5EF4-FFF2-40B4-BE49-F238E27FC236}">
              <a16:creationId xmlns:a16="http://schemas.microsoft.com/office/drawing/2014/main" id="{28862E91-AE0D-44C2-989A-F0522A87A326}"/>
            </a:ext>
          </a:extLst>
        </xdr:cNvPr>
        <xdr:cNvSpPr/>
      </xdr:nvSpPr>
      <xdr:spPr>
        <a:xfrm>
          <a:off x="9359153" y="506507"/>
          <a:ext cx="627528" cy="3151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DD41CC51-B95C-4CFD-A732-02A4F8ADEA8B}" type="TxLink">
            <a:rPr lang="en-US" sz="1100" b="1" i="0" u="none" strike="noStrike">
              <a:solidFill>
                <a:srgbClr val="000000"/>
              </a:solidFill>
              <a:latin typeface="Calibri"/>
              <a:cs typeface="Calibri"/>
            </a:rPr>
            <a:pPr algn="ctr"/>
            <a:t>4,26%</a:t>
          </a:fld>
          <a:endParaRPr lang="es-CO" sz="1000" b="1">
            <a:latin typeface="Arial" panose="020B0604020202020204" pitchFamily="34" charset="0"/>
            <a:cs typeface="Arial" panose="020B0604020202020204" pitchFamily="34" charset="0"/>
          </a:endParaRPr>
        </a:p>
      </xdr:txBody>
    </xdr:sp>
    <xdr:clientData/>
  </xdr:twoCellAnchor>
  <xdr:twoCellAnchor>
    <xdr:from>
      <xdr:col>12</xdr:col>
      <xdr:colOff>154642</xdr:colOff>
      <xdr:row>1</xdr:row>
      <xdr:rowOff>177051</xdr:rowOff>
    </xdr:from>
    <xdr:to>
      <xdr:col>13</xdr:col>
      <xdr:colOff>20171</xdr:colOff>
      <xdr:row>2</xdr:row>
      <xdr:rowOff>256916</xdr:rowOff>
    </xdr:to>
    <xdr:sp macro="" textlink="$E$20">
      <xdr:nvSpPr>
        <xdr:cNvPr id="15" name="Rectángulo 14">
          <a:extLst>
            <a:ext uri="{FF2B5EF4-FFF2-40B4-BE49-F238E27FC236}">
              <a16:creationId xmlns:a16="http://schemas.microsoft.com/office/drawing/2014/main" id="{B8CB5FE9-3D75-4A87-9CCC-C3D3F1879906}"/>
            </a:ext>
          </a:extLst>
        </xdr:cNvPr>
        <xdr:cNvSpPr/>
      </xdr:nvSpPr>
      <xdr:spPr>
        <a:xfrm>
          <a:off x="9825318" y="277904"/>
          <a:ext cx="627529" cy="315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0E568D96-5AE4-442E-B42B-170F9608D4AA}" type="TxLink">
            <a:rPr lang="en-US" sz="1100" b="1" i="0" u="none" strike="noStrike">
              <a:solidFill>
                <a:srgbClr val="000000"/>
              </a:solidFill>
              <a:latin typeface="Calibri"/>
              <a:cs typeface="Calibri"/>
            </a:rPr>
            <a:pPr algn="ctr"/>
            <a:t>4,26%</a:t>
          </a:fld>
          <a:endParaRPr lang="es-CO" sz="10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39</xdr:col>
      <xdr:colOff>324113</xdr:colOff>
      <xdr:row>0</xdr:row>
      <xdr:rowOff>104510</xdr:rowOff>
    </xdr:from>
    <xdr:to>
      <xdr:col>40</xdr:col>
      <xdr:colOff>444234</xdr:colOff>
      <xdr:row>0</xdr:row>
      <xdr:rowOff>771260</xdr:rowOff>
    </xdr:to>
    <xdr:pic>
      <xdr:nvPicPr>
        <xdr:cNvPr id="2" name="3 Imagen" descr="C:\Users\john.garcia\Desktop\2020-01-08.png">
          <a:extLst>
            <a:ext uri="{FF2B5EF4-FFF2-40B4-BE49-F238E27FC236}">
              <a16:creationId xmlns:a16="http://schemas.microsoft.com/office/drawing/2014/main" id="{4BDD8601-C4C8-4D70-BD43-A2D3771B388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695457" y="104510"/>
          <a:ext cx="691621" cy="666750"/>
        </a:xfrm>
        <a:prstGeom prst="rect">
          <a:avLst/>
        </a:prstGeom>
        <a:noFill/>
        <a:ln>
          <a:noFill/>
        </a:ln>
      </xdr:spPr>
    </xdr:pic>
    <xdr:clientData/>
  </xdr:twoCellAnchor>
  <xdr:twoCellAnchor editAs="oneCell">
    <xdr:from>
      <xdr:col>0</xdr:col>
      <xdr:colOff>546365</xdr:colOff>
      <xdr:row>0</xdr:row>
      <xdr:rowOff>160074</xdr:rowOff>
    </xdr:from>
    <xdr:to>
      <xdr:col>8</xdr:col>
      <xdr:colOff>972344</xdr:colOff>
      <xdr:row>0</xdr:row>
      <xdr:rowOff>765193</xdr:rowOff>
    </xdr:to>
    <xdr:pic>
      <xdr:nvPicPr>
        <xdr:cNvPr id="3" name="5 Imagen" descr="C:\Users\john.garcia\Desktop\LOGO CAPITAL LETRA NEGRA.png">
          <a:extLst>
            <a:ext uri="{FF2B5EF4-FFF2-40B4-BE49-F238E27FC236}">
              <a16:creationId xmlns:a16="http://schemas.microsoft.com/office/drawing/2014/main" id="{D73D0687-480F-4F71-9BB0-1032198F49F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365" y="160074"/>
          <a:ext cx="973667" cy="605119"/>
        </a:xfrm>
        <a:prstGeom prst="rect">
          <a:avLst/>
        </a:prstGeom>
        <a:noFill/>
        <a:ln>
          <a:noFill/>
        </a:ln>
      </xdr:spPr>
    </xdr:pic>
    <xdr:clientData/>
  </xdr:twoCellAnchor>
  <xdr:twoCellAnchor editAs="oneCell">
    <xdr:from>
      <xdr:col>41</xdr:col>
      <xdr:colOff>58208</xdr:colOff>
      <xdr:row>0</xdr:row>
      <xdr:rowOff>132291</xdr:rowOff>
    </xdr:from>
    <xdr:to>
      <xdr:col>41</xdr:col>
      <xdr:colOff>1029230</xdr:colOff>
      <xdr:row>0</xdr:row>
      <xdr:rowOff>737410</xdr:rowOff>
    </xdr:to>
    <xdr:pic>
      <xdr:nvPicPr>
        <xdr:cNvPr id="4" name="5 Imagen" descr="C:\Users\john.garcia\Desktop\LOGO CAPITAL LETRA NEGRA.png">
          <a:extLst>
            <a:ext uri="{FF2B5EF4-FFF2-40B4-BE49-F238E27FC236}">
              <a16:creationId xmlns:a16="http://schemas.microsoft.com/office/drawing/2014/main" id="{542A04B3-0C96-4A25-8D7B-C5BB0AEA3EC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72552" y="132291"/>
          <a:ext cx="971022" cy="605119"/>
        </a:xfrm>
        <a:prstGeom prst="rect">
          <a:avLst/>
        </a:prstGeom>
        <a:noFill/>
        <a:ln>
          <a:noFill/>
        </a:ln>
      </xdr:spPr>
    </xdr:pic>
    <xdr:clientData/>
  </xdr:twoCellAnchor>
  <xdr:twoCellAnchor editAs="oneCell">
    <xdr:from>
      <xdr:col>43</xdr:col>
      <xdr:colOff>93925</xdr:colOff>
      <xdr:row>0</xdr:row>
      <xdr:rowOff>104511</xdr:rowOff>
    </xdr:from>
    <xdr:to>
      <xdr:col>43</xdr:col>
      <xdr:colOff>785546</xdr:colOff>
      <xdr:row>0</xdr:row>
      <xdr:rowOff>771261</xdr:rowOff>
    </xdr:to>
    <xdr:pic>
      <xdr:nvPicPr>
        <xdr:cNvPr id="5" name="3 Imagen" descr="C:\Users\john.garcia\Desktop\2020-01-08.png">
          <a:extLst>
            <a:ext uri="{FF2B5EF4-FFF2-40B4-BE49-F238E27FC236}">
              <a16:creationId xmlns:a16="http://schemas.microsoft.com/office/drawing/2014/main" id="{4F348E2F-5085-4BA9-AD62-96CEA33BAD4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00854" y="104511"/>
          <a:ext cx="691621" cy="666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297656</xdr:colOff>
      <xdr:row>0</xdr:row>
      <xdr:rowOff>23812</xdr:rowOff>
    </xdr:from>
    <xdr:to>
      <xdr:col>1</xdr:col>
      <xdr:colOff>976312</xdr:colOff>
      <xdr:row>3</xdr:row>
      <xdr:rowOff>147992</xdr:rowOff>
    </xdr:to>
    <xdr:pic>
      <xdr:nvPicPr>
        <xdr:cNvPr id="2" name="6 Imagen" descr="C:\Users\john.garcia\Desktop\LOGO CAPITAL LETRA NEGRA.png">
          <a:extLst>
            <a:ext uri="{FF2B5EF4-FFF2-40B4-BE49-F238E27FC236}">
              <a16:creationId xmlns:a16="http://schemas.microsoft.com/office/drawing/2014/main" id="{EA5BFB9A-B25A-47E2-AC42-1D5B4528285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56" y="23812"/>
          <a:ext cx="1097756" cy="724255"/>
        </a:xfrm>
        <a:prstGeom prst="rect">
          <a:avLst/>
        </a:prstGeom>
        <a:noFill/>
        <a:ln>
          <a:noFill/>
        </a:ln>
      </xdr:spPr>
    </xdr:pic>
    <xdr:clientData/>
  </xdr:twoCellAnchor>
  <xdr:twoCellAnchor editAs="oneCell">
    <xdr:from>
      <xdr:col>12</xdr:col>
      <xdr:colOff>678657</xdr:colOff>
      <xdr:row>0</xdr:row>
      <xdr:rowOff>23813</xdr:rowOff>
    </xdr:from>
    <xdr:to>
      <xdr:col>13</xdr:col>
      <xdr:colOff>446630</xdr:colOff>
      <xdr:row>3</xdr:row>
      <xdr:rowOff>159473</xdr:rowOff>
    </xdr:to>
    <xdr:pic>
      <xdr:nvPicPr>
        <xdr:cNvPr id="3" name="7 Imagen" descr="C:\Users\john.garcia\Desktop\2020-01-08.png">
          <a:extLst>
            <a:ext uri="{FF2B5EF4-FFF2-40B4-BE49-F238E27FC236}">
              <a16:creationId xmlns:a16="http://schemas.microsoft.com/office/drawing/2014/main" id="{79718D71-4B1C-4F31-B6EE-3E7056D73B5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08782" y="23813"/>
          <a:ext cx="834773" cy="7357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71437</xdr:colOff>
      <xdr:row>0</xdr:row>
      <xdr:rowOff>47627</xdr:rowOff>
    </xdr:from>
    <xdr:to>
      <xdr:col>1</xdr:col>
      <xdr:colOff>952499</xdr:colOff>
      <xdr:row>1</xdr:row>
      <xdr:rowOff>392908</xdr:rowOff>
    </xdr:to>
    <xdr:pic>
      <xdr:nvPicPr>
        <xdr:cNvPr id="2" name="5 Imagen" descr="C:\Users\john.garcia\Desktop\LOGO CAPITAL LETRA NEGRA.png">
          <a:extLst>
            <a:ext uri="{FF2B5EF4-FFF2-40B4-BE49-F238E27FC236}">
              <a16:creationId xmlns:a16="http://schemas.microsoft.com/office/drawing/2014/main" id="{E60A7652-C318-4C73-83BF-BAE0256DF2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 y="47627"/>
          <a:ext cx="1347787" cy="812006"/>
        </a:xfrm>
        <a:prstGeom prst="rect">
          <a:avLst/>
        </a:prstGeom>
        <a:noFill/>
        <a:ln>
          <a:noFill/>
        </a:ln>
      </xdr:spPr>
    </xdr:pic>
    <xdr:clientData/>
  </xdr:twoCellAnchor>
  <xdr:twoCellAnchor editAs="oneCell">
    <xdr:from>
      <xdr:col>8</xdr:col>
      <xdr:colOff>71438</xdr:colOff>
      <xdr:row>0</xdr:row>
      <xdr:rowOff>84046</xdr:rowOff>
    </xdr:from>
    <xdr:to>
      <xdr:col>8</xdr:col>
      <xdr:colOff>952500</xdr:colOff>
      <xdr:row>1</xdr:row>
      <xdr:rowOff>345982</xdr:rowOff>
    </xdr:to>
    <xdr:pic>
      <xdr:nvPicPr>
        <xdr:cNvPr id="3" name="3 Imagen" descr="C:\Users\john.garcia\Desktop\2020-01-08.png">
          <a:extLst>
            <a:ext uri="{FF2B5EF4-FFF2-40B4-BE49-F238E27FC236}">
              <a16:creationId xmlns:a16="http://schemas.microsoft.com/office/drawing/2014/main" id="{03A538CA-8715-4F15-B45A-8EB189092EB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21909" y="84046"/>
          <a:ext cx="881062" cy="73258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219075</xdr:colOff>
      <xdr:row>0</xdr:row>
      <xdr:rowOff>66675</xdr:rowOff>
    </xdr:from>
    <xdr:ext cx="1123950" cy="762000"/>
    <xdr:pic>
      <xdr:nvPicPr>
        <xdr:cNvPr id="2" name="image1.png" descr="C:\Users\john.garcia\Desktop\LOGO CAPITAL LETRA NEGRA.png">
          <a:extLst>
            <a:ext uri="{FF2B5EF4-FFF2-40B4-BE49-F238E27FC236}">
              <a16:creationId xmlns:a16="http://schemas.microsoft.com/office/drawing/2014/main" id="{7D8D3EDD-8A00-4474-9E68-EADB7178DF9A}"/>
            </a:ext>
          </a:extLst>
        </xdr:cNvPr>
        <xdr:cNvPicPr preferRelativeResize="0"/>
      </xdr:nvPicPr>
      <xdr:blipFill>
        <a:blip xmlns:r="http://schemas.openxmlformats.org/officeDocument/2006/relationships" r:embed="rId1" cstate="print"/>
        <a:stretch>
          <a:fillRect/>
        </a:stretch>
      </xdr:blipFill>
      <xdr:spPr>
        <a:xfrm>
          <a:off x="219075" y="66675"/>
          <a:ext cx="1123950" cy="7620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104775</xdr:colOff>
      <xdr:row>1</xdr:row>
      <xdr:rowOff>9525</xdr:rowOff>
    </xdr:from>
    <xdr:ext cx="1295400" cy="838200"/>
    <xdr:pic>
      <xdr:nvPicPr>
        <xdr:cNvPr id="2" name="image1.png" descr="C:\Users\john.garcia\Desktop\LOGO CAPITAL LETRA NEGRA.png">
          <a:extLst>
            <a:ext uri="{FF2B5EF4-FFF2-40B4-BE49-F238E27FC236}">
              <a16:creationId xmlns:a16="http://schemas.microsoft.com/office/drawing/2014/main" id="{F05EE2D8-FBD8-43D9-B850-36322272CF40}"/>
            </a:ext>
          </a:extLst>
        </xdr:cNvPr>
        <xdr:cNvPicPr preferRelativeResize="0"/>
      </xdr:nvPicPr>
      <xdr:blipFill>
        <a:blip xmlns:r="http://schemas.openxmlformats.org/officeDocument/2006/relationships" r:embed="rId1" cstate="print"/>
        <a:stretch>
          <a:fillRect/>
        </a:stretch>
      </xdr:blipFill>
      <xdr:spPr>
        <a:xfrm>
          <a:off x="219075" y="200025"/>
          <a:ext cx="1295400" cy="8382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180975</xdr:colOff>
      <xdr:row>0</xdr:row>
      <xdr:rowOff>123826</xdr:rowOff>
    </xdr:from>
    <xdr:ext cx="1009650" cy="685800"/>
    <xdr:pic>
      <xdr:nvPicPr>
        <xdr:cNvPr id="2" name="image1.png" descr="C:\Users\john.garcia\Desktop\LOGO CAPITAL LETRA NEGRA.png">
          <a:extLst>
            <a:ext uri="{FF2B5EF4-FFF2-40B4-BE49-F238E27FC236}">
              <a16:creationId xmlns:a16="http://schemas.microsoft.com/office/drawing/2014/main" id="{0E5C1FCE-D097-4050-9665-79E6B24C722D}"/>
            </a:ext>
          </a:extLst>
        </xdr:cNvPr>
        <xdr:cNvPicPr preferRelativeResize="0"/>
      </xdr:nvPicPr>
      <xdr:blipFill>
        <a:blip xmlns:r="http://schemas.openxmlformats.org/officeDocument/2006/relationships" r:embed="rId1" cstate="print"/>
        <a:stretch>
          <a:fillRect/>
        </a:stretch>
      </xdr:blipFill>
      <xdr:spPr>
        <a:xfrm>
          <a:off x="495300" y="123826"/>
          <a:ext cx="1009650" cy="6858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1123950" cy="752475"/>
    <xdr:pic>
      <xdr:nvPicPr>
        <xdr:cNvPr id="2" name="image1.png" descr="C:\Users\john.garcia\Desktop\LOGO CAPITAL LETRA NEGRA.png">
          <a:extLst>
            <a:ext uri="{FF2B5EF4-FFF2-40B4-BE49-F238E27FC236}">
              <a16:creationId xmlns:a16="http://schemas.microsoft.com/office/drawing/2014/main" id="{B33EAF4B-C3A4-4E68-92A6-FB43AD00174C}"/>
            </a:ext>
          </a:extLst>
        </xdr:cNvPr>
        <xdr:cNvPicPr preferRelativeResize="0"/>
      </xdr:nvPicPr>
      <xdr:blipFill>
        <a:blip xmlns:r="http://schemas.openxmlformats.org/officeDocument/2006/relationships" r:embed="rId1" cstate="print"/>
        <a:stretch>
          <a:fillRect/>
        </a:stretch>
      </xdr:blipFill>
      <xdr:spPr>
        <a:xfrm>
          <a:off x="161925" y="238125"/>
          <a:ext cx="1123950" cy="75247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xdr:col>
      <xdr:colOff>45508</xdr:colOff>
      <xdr:row>0</xdr:row>
      <xdr:rowOff>121707</xdr:rowOff>
    </xdr:from>
    <xdr:to>
      <xdr:col>1</xdr:col>
      <xdr:colOff>45508</xdr:colOff>
      <xdr:row>4</xdr:row>
      <xdr:rowOff>83607</xdr:rowOff>
    </xdr:to>
    <xdr:pic>
      <xdr:nvPicPr>
        <xdr:cNvPr id="2" name="5 Imagen" descr="C:\Users\john.garcia\Desktop\LOGO CAPITAL LETRA NEGRA.png">
          <a:extLst>
            <a:ext uri="{FF2B5EF4-FFF2-40B4-BE49-F238E27FC236}">
              <a16:creationId xmlns:a16="http://schemas.microsoft.com/office/drawing/2014/main" id="{1A7B281B-B6A5-4146-89B2-C9ABBB6382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433" y="121707"/>
          <a:ext cx="0" cy="1047750"/>
        </a:xfrm>
        <a:prstGeom prst="rect">
          <a:avLst/>
        </a:prstGeom>
        <a:noFill/>
        <a:ln>
          <a:noFill/>
        </a:ln>
      </xdr:spPr>
    </xdr:pic>
    <xdr:clientData/>
  </xdr:twoCellAnchor>
  <xdr:oneCellAnchor>
    <xdr:from>
      <xdr:col>1</xdr:col>
      <xdr:colOff>209550</xdr:colOff>
      <xdr:row>0</xdr:row>
      <xdr:rowOff>104775</xdr:rowOff>
    </xdr:from>
    <xdr:ext cx="1123950" cy="752475"/>
    <xdr:pic>
      <xdr:nvPicPr>
        <xdr:cNvPr id="3" name="image1.png" descr="C:\Users\john.garcia\Desktop\LOGO CAPITAL LETRA NEGRA.png">
          <a:extLst>
            <a:ext uri="{FF2B5EF4-FFF2-40B4-BE49-F238E27FC236}">
              <a16:creationId xmlns:a16="http://schemas.microsoft.com/office/drawing/2014/main" id="{5F4D7012-D73C-44E6-B708-94DBD27ABFDA}"/>
            </a:ext>
          </a:extLst>
        </xdr:cNvPr>
        <xdr:cNvPicPr preferRelativeResize="0"/>
      </xdr:nvPicPr>
      <xdr:blipFill>
        <a:blip xmlns:r="http://schemas.openxmlformats.org/officeDocument/2006/relationships" r:embed="rId1" cstate="print"/>
        <a:stretch>
          <a:fillRect/>
        </a:stretch>
      </xdr:blipFill>
      <xdr:spPr>
        <a:xfrm>
          <a:off x="371475" y="104775"/>
          <a:ext cx="1123950" cy="7524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fga/Documents/John%20F/2021/Plan%20de%20acci&#243;n/2021-T4/Reporte%20de%20indicadores%20Capital%202021%20-%20Semestre%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fga/Documents/John%20F/2021/Plan%20de%20acci&#243;n/2021-T3/Reportes/1.%20PAI%202021%20V3%20-%20Planeaci&#243;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ofga/Documents/John%20F/2021/Plan%20de%20acci&#243;n/Plan%20de%20Acci&#243;n%20Institucional%202021%20-%20Versi&#243;n%204%20(07.12.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ulio/Desktop/Plan%20de%20Accio&#769;n%20Institucional%202021%20-%20Versio&#769;n%201%20(29.01.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1 - V4"/>
      <sheetName val="Matriz de seguimiento"/>
      <sheetName val="LISTAS"/>
      <sheetName val="HV"/>
      <sheetName val="Resultados"/>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s>
    <sheetDataSet>
      <sheetData sheetId="0">
        <row r="6">
          <cell r="AK6" t="str">
            <v>1 Eficacia: (cumplimiento de metas)</v>
          </cell>
        </row>
        <row r="7">
          <cell r="AK7" t="str">
            <v>2 Eficiencia: (uso de los recursos)</v>
          </cell>
        </row>
        <row r="8">
          <cell r="AK8" t="str">
            <v>3 Efectividad (impacto o beneficios generados)</v>
          </cell>
        </row>
      </sheetData>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1 - V3"/>
      <sheetName val="Matriz de seguimiento"/>
      <sheetName val="LISTAS"/>
      <sheetName val="5.1.1"/>
      <sheetName val="5.2.1"/>
      <sheetName val="5.2.2"/>
      <sheetName val="5.2.3"/>
      <sheetName val="2.1.1"/>
      <sheetName val="Resultados"/>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s>
    <sheetDataSet>
      <sheetData sheetId="0">
        <row r="6">
          <cell r="AK6" t="str">
            <v>1 Eficacia: (cumplimiento de metas)</v>
          </cell>
        </row>
        <row r="7">
          <cell r="AK7" t="str">
            <v>2 Eficiencia: (uso de los recursos)</v>
          </cell>
        </row>
        <row r="8">
          <cell r="AK8" t="str">
            <v>3 Efectividad (impacto o beneficios generados)</v>
          </cell>
        </row>
        <row r="61">
          <cell r="E61"/>
        </row>
        <row r="62">
          <cell r="E62"/>
        </row>
        <row r="63">
          <cell r="E63"/>
        </row>
        <row r="64">
          <cell r="E64"/>
        </row>
        <row r="65">
          <cell r="E65"/>
        </row>
        <row r="66">
          <cell r="E66"/>
        </row>
      </sheetData>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1 - V4"/>
      <sheetName val="Matriz de seguimiento"/>
      <sheetName val="LISTAS"/>
      <sheetName val="HV"/>
      <sheetName val="Resultados"/>
      <sheetName val="Recomendación"/>
      <sheetName val="AN-01 - Plan MIPG (PFI)"/>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 val="Matriz"/>
      <sheetName val="Plan estratégico 2021-2024"/>
    </sheetNames>
    <sheetDataSet>
      <sheetData sheetId="0"/>
      <sheetData sheetId="1"/>
      <sheetData sheetId="2">
        <row r="3">
          <cell r="B3" t="str">
            <v>Planeación</v>
          </cell>
        </row>
        <row r="4">
          <cell r="B4" t="str">
            <v>Comunicaciones</v>
          </cell>
        </row>
        <row r="5">
          <cell r="B5" t="str">
            <v>Contenidos_Ciudadanía</v>
          </cell>
        </row>
        <row r="6">
          <cell r="B6" t="str">
            <v>Proyectos_Estratégicos</v>
          </cell>
        </row>
        <row r="7">
          <cell r="B7" t="str">
            <v>Digital</v>
          </cell>
        </row>
        <row r="8">
          <cell r="B8" t="str">
            <v>Programación</v>
          </cell>
        </row>
        <row r="9">
          <cell r="B9" t="str">
            <v>Técnica</v>
          </cell>
        </row>
        <row r="10">
          <cell r="B10" t="str">
            <v>Talento_Humano</v>
          </cell>
        </row>
        <row r="11">
          <cell r="B11" t="str">
            <v>Gestión_Documental</v>
          </cell>
        </row>
        <row r="12">
          <cell r="B12" t="str">
            <v>Servicios_Administrativos</v>
          </cell>
        </row>
        <row r="13">
          <cell r="B13" t="str">
            <v>Sistemas</v>
          </cell>
        </row>
        <row r="14">
          <cell r="B14" t="str">
            <v>Gestión_Ambiental</v>
          </cell>
        </row>
        <row r="15">
          <cell r="B15" t="str">
            <v>Subdirección_Administrativa</v>
          </cell>
        </row>
        <row r="16">
          <cell r="B16" t="str">
            <v>Subdirección_Financiera</v>
          </cell>
        </row>
        <row r="17">
          <cell r="B17" t="str">
            <v>Secretaría_General</v>
          </cell>
        </row>
        <row r="18">
          <cell r="B18" t="str">
            <v>Servicio_Ciudadano</v>
          </cell>
        </row>
        <row r="19">
          <cell r="B19" t="str">
            <v>Control_Interno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I 2021 - V1"/>
      <sheetName val="AN-01 - Plan MIPG"/>
      <sheetName val="AN-02 - Plan de Capacitaciones"/>
      <sheetName val="AN-03 - Bienestar"/>
      <sheetName val="AN-04 - Plan SG-SST"/>
      <sheetName val="AN-05 - Plan Estratégico RR.HH"/>
      <sheetName val="AN-06 - PINAR"/>
      <sheetName val="AN-07-PETI"/>
      <sheetName val="AN-08-Plan SI"/>
      <sheetName val="AN-09-Plan Tratamiento RSI"/>
      <sheetName val="ODS"/>
      <sheetName val="PDD"/>
      <sheetName val="MIPG"/>
    </sheetNames>
    <sheetDataSet>
      <sheetData sheetId="0">
        <row r="6">
          <cell r="AF6" t="str">
            <v>1 Eficacia: (cumplimiento de metas)</v>
          </cell>
        </row>
        <row r="7">
          <cell r="AF7" t="str">
            <v>2 Eficiencia: (uso de los recursos)</v>
          </cell>
        </row>
        <row r="8">
          <cell r="AF8" t="str">
            <v>3 Efectividad (impacto o beneficios generados)</v>
          </cell>
        </row>
        <row r="60">
          <cell r="E60" t="str">
            <v>01 - Posicionar a Capital Sistema de Comunicación pública como motor de la innovación audiovisual, a partir de un modelo de operación basado en la pluralidad, el libre acceso a la información, la generación de conocimiento y la participación de los ciudadanos de la Bogotá región.</v>
          </cell>
        </row>
        <row r="61">
          <cell r="E61" t="str">
            <v>02 - Consolidar una oferta de contenidos informativos, educativos y culturales, que promuevan la participación y la inclusión de la ciudadanía.</v>
          </cell>
        </row>
        <row r="62">
          <cell r="E62" t="str">
            <v>03 - Generar un proceso de transformación digital con base en el desarrollo tecnológico y humano para la optimización de los procesos internos, la creación de nuevos modelos de negocio, el relacionamiento con los clientes y ciudadanos y la producción y distribución de contenidos.</v>
          </cell>
        </row>
        <row r="63">
          <cell r="E63" t="str">
            <v>04 - Consolidar a Capital como la empresa referente en el desarrollo de estrategias de comunicación pública de Bogotá región.</v>
          </cell>
        </row>
        <row r="64">
          <cell r="E64" t="str">
            <v>05 - Fortalecer la capacidad institucional de Capital para ser una empresa eficiente, sostenible y transparente.</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hyperlink" Target="https://www.fundacionseres.org/Repositorio%20Archivos/ODS,%20empresas%20y%20valor%20compartido.pdf" TargetMode="External"/><Relationship Id="rId1" Type="http://schemas.openxmlformats.org/officeDocument/2006/relationships/hyperlink" Target="https://www.un.org/sustainabledevelopment/es/objetivos-de-desarrollo-sostenible/"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gota.gov.co/sites/default/files/acuerdo-761-de-2020-pdd.pdf"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FC67-042D-49AE-A026-6F184EB2F603}">
  <dimension ref="A1:XFC68"/>
  <sheetViews>
    <sheetView showGridLines="0" zoomScale="80" zoomScaleNormal="80" workbookViewId="0">
      <pane ySplit="7" topLeftCell="A8" activePane="bottomLeft" state="frozen"/>
      <selection pane="bottomLeft" activeCell="A8" sqref="A8"/>
    </sheetView>
  </sheetViews>
  <sheetFormatPr baseColWidth="10" defaultColWidth="0" defaultRowHeight="12.75" zeroHeight="1" x14ac:dyDescent="0.2"/>
  <cols>
    <col min="1" max="3" width="26.42578125" style="1" customWidth="1"/>
    <col min="4" max="4" width="7.42578125" style="1" customWidth="1"/>
    <col min="5" max="6" width="25.5703125" style="1" customWidth="1"/>
    <col min="7" max="7" width="18.7109375" style="1" customWidth="1"/>
    <col min="8" max="8" width="23.7109375" style="1" customWidth="1"/>
    <col min="9" max="9" width="31.85546875" style="1" customWidth="1"/>
    <col min="10" max="10" width="24.42578125" style="1" customWidth="1"/>
    <col min="11" max="11" width="19.42578125" style="1" customWidth="1"/>
    <col min="12" max="12" width="58.85546875" style="1" customWidth="1"/>
    <col min="13" max="16" width="24.42578125" style="1" customWidth="1"/>
    <col min="17" max="17" width="20.140625" style="1" customWidth="1"/>
    <col min="18" max="18" width="13.7109375" style="1" customWidth="1"/>
    <col min="19" max="19" width="70.7109375" style="1" customWidth="1"/>
    <col min="20" max="23" width="20.42578125" style="1" customWidth="1"/>
    <col min="24" max="24" width="75.140625" style="1" customWidth="1"/>
    <col min="25" max="25" width="19" style="1" customWidth="1"/>
    <col min="26" max="26" width="68.28515625" style="1" customWidth="1"/>
    <col min="27" max="28" width="19.42578125" style="1" customWidth="1"/>
    <col min="29" max="29" width="3.7109375" style="1" customWidth="1"/>
    <col min="30" max="31" width="0" style="1" hidden="1"/>
    <col min="32" max="16383" width="11.42578125" style="1" hidden="1"/>
    <col min="16384" max="16384" width="2.7109375" style="1" hidden="1" customWidth="1"/>
  </cols>
  <sheetData>
    <row r="1" spans="1:30" ht="57.75" customHeight="1" thickBot="1" x14ac:dyDescent="0.25">
      <c r="A1" s="578" t="s">
        <v>532</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80"/>
    </row>
    <row r="2" spans="1:30" ht="6.75" customHeight="1" x14ac:dyDescent="0.2">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2"/>
    </row>
    <row r="3" spans="1:30" ht="30.75" customHeight="1" x14ac:dyDescent="0.2">
      <c r="A3" s="18" t="s">
        <v>32</v>
      </c>
      <c r="B3" s="572" t="s">
        <v>1138</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3"/>
    </row>
    <row r="4" spans="1:30" ht="18.75" customHeight="1" x14ac:dyDescent="0.2">
      <c r="A4" s="18" t="s">
        <v>33</v>
      </c>
      <c r="B4" s="510">
        <v>44844</v>
      </c>
      <c r="G4" s="511"/>
      <c r="H4" s="3"/>
      <c r="I4" s="3"/>
      <c r="J4" s="3"/>
      <c r="K4" s="3"/>
      <c r="L4" s="3"/>
      <c r="M4" s="3"/>
      <c r="N4" s="3"/>
      <c r="O4" s="3"/>
      <c r="P4" s="3"/>
      <c r="Q4" s="3"/>
      <c r="R4" s="3"/>
      <c r="S4" s="3"/>
      <c r="T4" s="3"/>
      <c r="U4" s="3"/>
      <c r="V4" s="3"/>
      <c r="W4" s="3"/>
      <c r="X4" s="3"/>
      <c r="Y4" s="3"/>
      <c r="Z4" s="3"/>
      <c r="AA4" s="3"/>
      <c r="AB4" s="4"/>
    </row>
    <row r="5" spans="1:30" ht="6.75" customHeight="1" thickBot="1" x14ac:dyDescent="0.25">
      <c r="A5" s="3"/>
      <c r="B5" s="3"/>
      <c r="C5" s="3"/>
      <c r="D5" s="3"/>
      <c r="E5" s="3"/>
      <c r="F5" s="3"/>
      <c r="G5" s="3"/>
      <c r="H5" s="3"/>
      <c r="I5" s="3"/>
      <c r="J5" s="3"/>
      <c r="K5" s="3"/>
      <c r="L5" s="3"/>
      <c r="M5" s="3"/>
      <c r="N5" s="3"/>
      <c r="O5" s="3"/>
      <c r="P5" s="3"/>
      <c r="Q5" s="3"/>
      <c r="R5" s="3"/>
      <c r="S5" s="3"/>
      <c r="T5" s="3"/>
      <c r="U5" s="3"/>
      <c r="V5" s="3"/>
      <c r="W5" s="3"/>
      <c r="X5" s="3"/>
      <c r="Y5" s="3"/>
      <c r="Z5" s="3"/>
      <c r="AA5" s="3"/>
      <c r="AB5" s="4"/>
    </row>
    <row r="6" spans="1:30" ht="15" customHeight="1" x14ac:dyDescent="0.2">
      <c r="A6" s="583" t="s">
        <v>14</v>
      </c>
      <c r="B6" s="585" t="s">
        <v>15</v>
      </c>
      <c r="C6" s="585" t="s">
        <v>16</v>
      </c>
      <c r="D6" s="592" t="s">
        <v>1</v>
      </c>
      <c r="E6" s="593"/>
      <c r="F6" s="585" t="s">
        <v>774</v>
      </c>
      <c r="G6" s="585" t="s">
        <v>43</v>
      </c>
      <c r="H6" s="585" t="s">
        <v>2</v>
      </c>
      <c r="I6" s="585" t="s">
        <v>20</v>
      </c>
      <c r="J6" s="585" t="s">
        <v>19</v>
      </c>
      <c r="K6" s="585" t="s">
        <v>21</v>
      </c>
      <c r="L6" s="587" t="s">
        <v>3</v>
      </c>
      <c r="M6" s="585" t="s">
        <v>4</v>
      </c>
      <c r="N6" s="585"/>
      <c r="O6" s="587" t="s">
        <v>6</v>
      </c>
      <c r="P6" s="587" t="s">
        <v>29</v>
      </c>
      <c r="Q6" s="587" t="s">
        <v>8</v>
      </c>
      <c r="R6" s="587" t="s">
        <v>30</v>
      </c>
      <c r="S6" s="587"/>
      <c r="T6" s="587" t="s">
        <v>26</v>
      </c>
      <c r="U6" s="587"/>
      <c r="V6" s="587"/>
      <c r="W6" s="587"/>
      <c r="X6" s="587" t="s">
        <v>5</v>
      </c>
      <c r="Y6" s="587" t="s">
        <v>7</v>
      </c>
      <c r="Z6" s="587" t="s">
        <v>9</v>
      </c>
      <c r="AA6" s="585" t="s">
        <v>1133</v>
      </c>
      <c r="AB6" s="589" t="s">
        <v>1227</v>
      </c>
      <c r="AD6" s="2" t="s">
        <v>17</v>
      </c>
    </row>
    <row r="7" spans="1:30" ht="15.75" customHeight="1" thickBot="1" x14ac:dyDescent="0.25">
      <c r="A7" s="584"/>
      <c r="B7" s="586"/>
      <c r="C7" s="586"/>
      <c r="D7" s="594"/>
      <c r="E7" s="595"/>
      <c r="F7" s="586"/>
      <c r="G7" s="586"/>
      <c r="H7" s="586"/>
      <c r="I7" s="586"/>
      <c r="J7" s="588"/>
      <c r="K7" s="586"/>
      <c r="L7" s="588"/>
      <c r="M7" s="30" t="s">
        <v>27</v>
      </c>
      <c r="N7" s="30" t="s">
        <v>28</v>
      </c>
      <c r="O7" s="588"/>
      <c r="P7" s="588"/>
      <c r="Q7" s="588"/>
      <c r="R7" s="31" t="s">
        <v>31</v>
      </c>
      <c r="S7" s="31" t="s">
        <v>0</v>
      </c>
      <c r="T7" s="31" t="s">
        <v>22</v>
      </c>
      <c r="U7" s="31" t="s">
        <v>23</v>
      </c>
      <c r="V7" s="31" t="s">
        <v>24</v>
      </c>
      <c r="W7" s="31" t="s">
        <v>25</v>
      </c>
      <c r="X7" s="588"/>
      <c r="Y7" s="588"/>
      <c r="Z7" s="588"/>
      <c r="AA7" s="586"/>
      <c r="AB7" s="590"/>
      <c r="AD7" s="2" t="s">
        <v>18</v>
      </c>
    </row>
    <row r="8" spans="1:30" ht="184.5" customHeight="1" x14ac:dyDescent="0.2">
      <c r="A8" s="315" t="s">
        <v>806</v>
      </c>
      <c r="B8" s="316" t="s">
        <v>107</v>
      </c>
      <c r="C8" s="316" t="s">
        <v>108</v>
      </c>
      <c r="D8" s="317" t="str">
        <f>IF(E8="","",CONCATENATE("OE_",MID(E8,1,1)))</f>
        <v>OE_1</v>
      </c>
      <c r="E8" s="317" t="s">
        <v>37</v>
      </c>
      <c r="F8" s="317" t="s">
        <v>804</v>
      </c>
      <c r="G8" s="9" t="s">
        <v>807</v>
      </c>
      <c r="H8" s="9" t="s">
        <v>808</v>
      </c>
      <c r="I8" s="317" t="s">
        <v>809</v>
      </c>
      <c r="J8" s="317" t="s">
        <v>810</v>
      </c>
      <c r="K8" s="317" t="s">
        <v>73</v>
      </c>
      <c r="L8" s="317" t="s">
        <v>811</v>
      </c>
      <c r="M8" s="9" t="s">
        <v>812</v>
      </c>
      <c r="N8" s="9" t="s">
        <v>813</v>
      </c>
      <c r="O8" s="9" t="s">
        <v>114</v>
      </c>
      <c r="P8" s="9" t="s">
        <v>78</v>
      </c>
      <c r="Q8" s="16">
        <v>0.95</v>
      </c>
      <c r="R8" s="16">
        <v>1</v>
      </c>
      <c r="S8" s="317" t="s">
        <v>814</v>
      </c>
      <c r="T8" s="9" t="s">
        <v>815</v>
      </c>
      <c r="U8" s="9" t="s">
        <v>816</v>
      </c>
      <c r="V8" s="9" t="s">
        <v>817</v>
      </c>
      <c r="W8" s="16">
        <v>1</v>
      </c>
      <c r="X8" s="317" t="s">
        <v>818</v>
      </c>
      <c r="Y8" s="9" t="s">
        <v>53</v>
      </c>
      <c r="Z8" s="317" t="s">
        <v>819</v>
      </c>
      <c r="AA8" s="9" t="s">
        <v>1132</v>
      </c>
      <c r="AB8" s="512" t="s">
        <v>1215</v>
      </c>
    </row>
    <row r="9" spans="1:30" ht="184.5" customHeight="1" x14ac:dyDescent="0.2">
      <c r="A9" s="315" t="s">
        <v>502</v>
      </c>
      <c r="B9" s="316" t="s">
        <v>107</v>
      </c>
      <c r="C9" s="316" t="s">
        <v>108</v>
      </c>
      <c r="D9" s="317" t="str">
        <f>IF(E9="","",CONCATENATE("OE_",MID(E9,1,1)))</f>
        <v>OE_1</v>
      </c>
      <c r="E9" s="317" t="s">
        <v>37</v>
      </c>
      <c r="F9" s="317" t="s">
        <v>59</v>
      </c>
      <c r="G9" s="9" t="s">
        <v>820</v>
      </c>
      <c r="H9" s="9" t="s">
        <v>838</v>
      </c>
      <c r="I9" s="317" t="s">
        <v>821</v>
      </c>
      <c r="J9" s="317" t="s">
        <v>822</v>
      </c>
      <c r="K9" s="317" t="s">
        <v>123</v>
      </c>
      <c r="L9" s="317" t="s">
        <v>824</v>
      </c>
      <c r="M9" s="9" t="s">
        <v>825</v>
      </c>
      <c r="N9" s="9" t="s">
        <v>826</v>
      </c>
      <c r="O9" s="9" t="s">
        <v>77</v>
      </c>
      <c r="P9" s="9" t="s">
        <v>78</v>
      </c>
      <c r="Q9" s="16" t="s">
        <v>118</v>
      </c>
      <c r="R9" s="318">
        <f>31/300000</f>
        <v>1.0333333333333333E-4</v>
      </c>
      <c r="S9" s="317" t="s">
        <v>830</v>
      </c>
      <c r="T9" s="9" t="s">
        <v>831</v>
      </c>
      <c r="U9" s="319">
        <f>R9*50%</f>
        <v>5.1666666666666664E-5</v>
      </c>
      <c r="V9" s="319">
        <f>R9*70%</f>
        <v>7.2333333333333321E-5</v>
      </c>
      <c r="W9" s="319">
        <f>W10*R9</f>
        <v>9.8166666666666663E-5</v>
      </c>
      <c r="X9" s="317" t="s">
        <v>832</v>
      </c>
      <c r="Y9" s="9" t="s">
        <v>53</v>
      </c>
      <c r="Z9" s="317" t="s">
        <v>118</v>
      </c>
      <c r="AA9" s="9" t="s">
        <v>1132</v>
      </c>
      <c r="AB9" s="512" t="s">
        <v>1216</v>
      </c>
    </row>
    <row r="10" spans="1:30" ht="184.5" customHeight="1" x14ac:dyDescent="0.2">
      <c r="A10" s="315" t="s">
        <v>502</v>
      </c>
      <c r="B10" s="316" t="s">
        <v>107</v>
      </c>
      <c r="C10" s="316" t="s">
        <v>108</v>
      </c>
      <c r="D10" s="317" t="str">
        <f>IF(E10="","",CONCATENATE("OE_",MID(E10,1,1)))</f>
        <v>OE_1</v>
      </c>
      <c r="E10" s="317" t="s">
        <v>37</v>
      </c>
      <c r="F10" s="317" t="s">
        <v>59</v>
      </c>
      <c r="G10" s="9" t="s">
        <v>959</v>
      </c>
      <c r="H10" s="9" t="s">
        <v>839</v>
      </c>
      <c r="I10" s="317" t="s">
        <v>821</v>
      </c>
      <c r="J10" s="316" t="s">
        <v>823</v>
      </c>
      <c r="K10" s="317" t="s">
        <v>89</v>
      </c>
      <c r="L10" s="316" t="s">
        <v>827</v>
      </c>
      <c r="M10" s="266" t="s">
        <v>828</v>
      </c>
      <c r="N10" s="266" t="s">
        <v>829</v>
      </c>
      <c r="O10" s="9" t="s">
        <v>77</v>
      </c>
      <c r="P10" s="9" t="s">
        <v>78</v>
      </c>
      <c r="Q10" s="16" t="s">
        <v>118</v>
      </c>
      <c r="R10" s="12">
        <v>0.95</v>
      </c>
      <c r="S10" s="316" t="s">
        <v>833</v>
      </c>
      <c r="T10" s="266" t="s">
        <v>834</v>
      </c>
      <c r="U10" s="266" t="s">
        <v>835</v>
      </c>
      <c r="V10" s="12" t="s">
        <v>836</v>
      </c>
      <c r="W10" s="12">
        <v>0.95</v>
      </c>
      <c r="X10" s="316" t="s">
        <v>837</v>
      </c>
      <c r="Y10" s="9" t="s">
        <v>53</v>
      </c>
      <c r="Z10" s="317" t="s">
        <v>118</v>
      </c>
      <c r="AA10" s="9" t="s">
        <v>1132</v>
      </c>
      <c r="AB10" s="512" t="s">
        <v>1216</v>
      </c>
    </row>
    <row r="11" spans="1:30" ht="154.5" customHeight="1" x14ac:dyDescent="0.2">
      <c r="A11" s="380" t="s">
        <v>80</v>
      </c>
      <c r="B11" s="317" t="s">
        <v>81</v>
      </c>
      <c r="C11" s="317" t="s">
        <v>82</v>
      </c>
      <c r="D11" s="317" t="str">
        <f>IF(E11="","",CONCATENATE("OE_",MID(E11,1,1)))</f>
        <v>OE_5</v>
      </c>
      <c r="E11" s="317" t="s">
        <v>41</v>
      </c>
      <c r="F11" s="317" t="s">
        <v>64</v>
      </c>
      <c r="G11" s="9" t="s">
        <v>369</v>
      </c>
      <c r="H11" s="9" t="s">
        <v>70</v>
      </c>
      <c r="I11" s="317" t="s">
        <v>71</v>
      </c>
      <c r="J11" s="317" t="s">
        <v>72</v>
      </c>
      <c r="K11" s="317" t="s">
        <v>73</v>
      </c>
      <c r="L11" s="317" t="s">
        <v>74</v>
      </c>
      <c r="M11" s="9" t="s">
        <v>75</v>
      </c>
      <c r="N11" s="9" t="s">
        <v>76</v>
      </c>
      <c r="O11" s="9" t="s">
        <v>77</v>
      </c>
      <c r="P11" s="9" t="s">
        <v>78</v>
      </c>
      <c r="Q11" s="9">
        <v>2</v>
      </c>
      <c r="R11" s="9">
        <v>2</v>
      </c>
      <c r="S11" s="317" t="s">
        <v>432</v>
      </c>
      <c r="T11" s="16">
        <v>0.3</v>
      </c>
      <c r="U11" s="9" t="s">
        <v>105</v>
      </c>
      <c r="V11" s="9" t="s">
        <v>106</v>
      </c>
      <c r="W11" s="16">
        <v>1</v>
      </c>
      <c r="X11" s="317" t="s">
        <v>79</v>
      </c>
      <c r="Y11" s="9" t="s">
        <v>53</v>
      </c>
      <c r="Z11" s="317" t="s">
        <v>775</v>
      </c>
      <c r="AA11" s="9" t="s">
        <v>1132</v>
      </c>
      <c r="AB11" s="512" t="s">
        <v>1215</v>
      </c>
    </row>
    <row r="12" spans="1:30" ht="161.25" customHeight="1" x14ac:dyDescent="0.2">
      <c r="A12" s="315" t="s">
        <v>83</v>
      </c>
      <c r="B12" s="316" t="s">
        <v>84</v>
      </c>
      <c r="C12" s="316" t="s">
        <v>85</v>
      </c>
      <c r="D12" s="316" t="str">
        <f t="shared" ref="D12:D14" si="0">IF(E12="","",CONCATENATE("OE_",MID(E12,1,1)))</f>
        <v>OE_5</v>
      </c>
      <c r="E12" s="316" t="s">
        <v>41</v>
      </c>
      <c r="F12" s="316" t="s">
        <v>60</v>
      </c>
      <c r="G12" s="266" t="s">
        <v>370</v>
      </c>
      <c r="H12" s="266" t="s">
        <v>763</v>
      </c>
      <c r="I12" s="316" t="s">
        <v>402</v>
      </c>
      <c r="J12" s="316" t="s">
        <v>88</v>
      </c>
      <c r="K12" s="316" t="s">
        <v>89</v>
      </c>
      <c r="L12" s="316" t="s">
        <v>90</v>
      </c>
      <c r="M12" s="266" t="s">
        <v>91</v>
      </c>
      <c r="N12" s="266" t="s">
        <v>92</v>
      </c>
      <c r="O12" s="266" t="s">
        <v>77</v>
      </c>
      <c r="P12" s="266" t="s">
        <v>78</v>
      </c>
      <c r="Q12" s="13">
        <v>0.98629999999999995</v>
      </c>
      <c r="R12" s="12">
        <v>0.9</v>
      </c>
      <c r="S12" s="316" t="s">
        <v>93</v>
      </c>
      <c r="T12" s="12">
        <v>0.3</v>
      </c>
      <c r="U12" s="266" t="s">
        <v>105</v>
      </c>
      <c r="V12" s="266" t="s">
        <v>106</v>
      </c>
      <c r="W12" s="12">
        <v>0.9</v>
      </c>
      <c r="X12" s="316" t="s">
        <v>94</v>
      </c>
      <c r="Y12" s="266" t="s">
        <v>51</v>
      </c>
      <c r="Z12" s="316" t="s">
        <v>118</v>
      </c>
      <c r="AA12" s="9" t="s">
        <v>1132</v>
      </c>
      <c r="AB12" s="512" t="s">
        <v>1215</v>
      </c>
    </row>
    <row r="13" spans="1:30" ht="168.75" customHeight="1" x14ac:dyDescent="0.2">
      <c r="A13" s="315" t="s">
        <v>535</v>
      </c>
      <c r="B13" s="316" t="s">
        <v>107</v>
      </c>
      <c r="C13" s="316" t="s">
        <v>536</v>
      </c>
      <c r="D13" s="316" t="str">
        <f t="shared" si="0"/>
        <v>OE_5</v>
      </c>
      <c r="E13" s="316" t="s">
        <v>41</v>
      </c>
      <c r="F13" s="316" t="s">
        <v>87</v>
      </c>
      <c r="G13" s="266" t="s">
        <v>371</v>
      </c>
      <c r="H13" s="266" t="s">
        <v>434</v>
      </c>
      <c r="I13" s="316" t="s">
        <v>435</v>
      </c>
      <c r="J13" s="316" t="s">
        <v>95</v>
      </c>
      <c r="K13" s="316" t="s">
        <v>73</v>
      </c>
      <c r="L13" s="316" t="s">
        <v>433</v>
      </c>
      <c r="M13" s="266" t="s">
        <v>96</v>
      </c>
      <c r="N13" s="266" t="s">
        <v>97</v>
      </c>
      <c r="O13" s="266" t="s">
        <v>77</v>
      </c>
      <c r="P13" s="266" t="s">
        <v>98</v>
      </c>
      <c r="Q13" s="13">
        <v>0.96699999999999997</v>
      </c>
      <c r="R13" s="12">
        <v>1</v>
      </c>
      <c r="S13" s="316" t="s">
        <v>776</v>
      </c>
      <c r="T13" s="12">
        <v>0.3</v>
      </c>
      <c r="U13" s="266" t="s">
        <v>99</v>
      </c>
      <c r="V13" s="266" t="s">
        <v>438</v>
      </c>
      <c r="W13" s="12">
        <v>1</v>
      </c>
      <c r="X13" s="316" t="s">
        <v>777</v>
      </c>
      <c r="Y13" s="266" t="s">
        <v>53</v>
      </c>
      <c r="Z13" s="316" t="s">
        <v>118</v>
      </c>
      <c r="AA13" s="9" t="s">
        <v>1132</v>
      </c>
      <c r="AB13" s="512" t="s">
        <v>1215</v>
      </c>
    </row>
    <row r="14" spans="1:30" ht="186" customHeight="1" x14ac:dyDescent="0.2">
      <c r="A14" s="315" t="s">
        <v>83</v>
      </c>
      <c r="B14" s="316" t="s">
        <v>84</v>
      </c>
      <c r="C14" s="316" t="s">
        <v>85</v>
      </c>
      <c r="D14" s="316" t="str">
        <f t="shared" si="0"/>
        <v>OE_5</v>
      </c>
      <c r="E14" s="316" t="s">
        <v>41</v>
      </c>
      <c r="F14" s="316" t="s">
        <v>87</v>
      </c>
      <c r="G14" s="266" t="s">
        <v>372</v>
      </c>
      <c r="H14" s="266" t="s">
        <v>86</v>
      </c>
      <c r="I14" s="316" t="s">
        <v>101</v>
      </c>
      <c r="J14" s="316" t="s">
        <v>102</v>
      </c>
      <c r="K14" s="316" t="s">
        <v>89</v>
      </c>
      <c r="L14" s="316" t="s">
        <v>436</v>
      </c>
      <c r="M14" s="266" t="s">
        <v>103</v>
      </c>
      <c r="N14" s="266" t="s">
        <v>104</v>
      </c>
      <c r="O14" s="266" t="s">
        <v>77</v>
      </c>
      <c r="P14" s="266" t="s">
        <v>78</v>
      </c>
      <c r="Q14" s="13">
        <v>0.95240000000000002</v>
      </c>
      <c r="R14" s="12">
        <v>0.9</v>
      </c>
      <c r="S14" s="316" t="s">
        <v>109</v>
      </c>
      <c r="T14" s="12">
        <v>0.3</v>
      </c>
      <c r="U14" s="266" t="s">
        <v>105</v>
      </c>
      <c r="V14" s="266" t="s">
        <v>106</v>
      </c>
      <c r="W14" s="12">
        <v>0.9</v>
      </c>
      <c r="X14" s="316" t="s">
        <v>437</v>
      </c>
      <c r="Y14" s="266" t="s">
        <v>53</v>
      </c>
      <c r="Z14" s="316" t="s">
        <v>100</v>
      </c>
      <c r="AA14" s="9" t="s">
        <v>1132</v>
      </c>
      <c r="AB14" s="512" t="s">
        <v>1215</v>
      </c>
    </row>
    <row r="15" spans="1:30" ht="140.25" customHeight="1" x14ac:dyDescent="0.2">
      <c r="A15" s="315" t="s">
        <v>404</v>
      </c>
      <c r="B15" s="316" t="s">
        <v>405</v>
      </c>
      <c r="C15" s="316" t="s">
        <v>406</v>
      </c>
      <c r="D15" s="316" t="str">
        <f>IF(E15="","",CONCATENATE("OE_",MID(E15,1,1)))</f>
        <v>OE_2</v>
      </c>
      <c r="E15" s="316" t="s">
        <v>38</v>
      </c>
      <c r="F15" s="316" t="s">
        <v>804</v>
      </c>
      <c r="G15" s="266" t="s">
        <v>359</v>
      </c>
      <c r="H15" s="266" t="s">
        <v>409</v>
      </c>
      <c r="I15" s="316" t="s">
        <v>457</v>
      </c>
      <c r="J15" s="382" t="s">
        <v>110</v>
      </c>
      <c r="K15" s="316" t="s">
        <v>89</v>
      </c>
      <c r="L15" s="316" t="s">
        <v>111</v>
      </c>
      <c r="M15" s="266" t="s">
        <v>112</v>
      </c>
      <c r="N15" s="266" t="s">
        <v>113</v>
      </c>
      <c r="O15" s="266" t="s">
        <v>114</v>
      </c>
      <c r="P15" s="266" t="s">
        <v>98</v>
      </c>
      <c r="Q15" s="266" t="s">
        <v>118</v>
      </c>
      <c r="R15" s="266">
        <v>12</v>
      </c>
      <c r="S15" s="316" t="s">
        <v>407</v>
      </c>
      <c r="T15" s="12">
        <v>0.3</v>
      </c>
      <c r="U15" s="266" t="s">
        <v>115</v>
      </c>
      <c r="V15" s="266" t="s">
        <v>116</v>
      </c>
      <c r="W15" s="12">
        <v>0.91</v>
      </c>
      <c r="X15" s="316" t="s">
        <v>117</v>
      </c>
      <c r="Y15" s="266" t="s">
        <v>53</v>
      </c>
      <c r="Z15" s="316" t="s">
        <v>118</v>
      </c>
      <c r="AA15" s="9" t="s">
        <v>1132</v>
      </c>
      <c r="AB15" s="513" t="s">
        <v>1216</v>
      </c>
    </row>
    <row r="16" spans="1:30" ht="162.75" customHeight="1" x14ac:dyDescent="0.2">
      <c r="A16" s="315" t="s">
        <v>404</v>
      </c>
      <c r="B16" s="316" t="s">
        <v>405</v>
      </c>
      <c r="C16" s="316" t="s">
        <v>406</v>
      </c>
      <c r="D16" s="316" t="str">
        <f t="shared" ref="D16:D22" si="1">IF(E16="","",CONCATENATE("OE_",MID(E16,1,1)))</f>
        <v>OE_2</v>
      </c>
      <c r="E16" s="316" t="s">
        <v>38</v>
      </c>
      <c r="F16" s="316" t="s">
        <v>61</v>
      </c>
      <c r="G16" s="266" t="s">
        <v>360</v>
      </c>
      <c r="H16" s="266" t="s">
        <v>410</v>
      </c>
      <c r="I16" s="316" t="s">
        <v>403</v>
      </c>
      <c r="J16" s="382" t="s">
        <v>413</v>
      </c>
      <c r="K16" s="316" t="s">
        <v>73</v>
      </c>
      <c r="L16" s="316" t="s">
        <v>119</v>
      </c>
      <c r="M16" s="266" t="s">
        <v>120</v>
      </c>
      <c r="N16" s="266" t="s">
        <v>121</v>
      </c>
      <c r="O16" s="266" t="s">
        <v>114</v>
      </c>
      <c r="P16" s="266" t="s">
        <v>78</v>
      </c>
      <c r="Q16" s="266">
        <v>331</v>
      </c>
      <c r="R16" s="266">
        <v>320</v>
      </c>
      <c r="S16" s="316" t="s">
        <v>408</v>
      </c>
      <c r="T16" s="12">
        <v>0.3</v>
      </c>
      <c r="U16" s="266" t="s">
        <v>115</v>
      </c>
      <c r="V16" s="266" t="s">
        <v>116</v>
      </c>
      <c r="W16" s="12">
        <v>0.91</v>
      </c>
      <c r="X16" s="316" t="s">
        <v>122</v>
      </c>
      <c r="Y16" s="266" t="s">
        <v>53</v>
      </c>
      <c r="Z16" s="316" t="s">
        <v>118</v>
      </c>
      <c r="AA16" s="9" t="s">
        <v>1132</v>
      </c>
      <c r="AB16" s="513" t="s">
        <v>1216</v>
      </c>
    </row>
    <row r="17" spans="1:28" ht="190.5" customHeight="1" x14ac:dyDescent="0.2">
      <c r="A17" s="315" t="s">
        <v>404</v>
      </c>
      <c r="B17" s="316" t="s">
        <v>405</v>
      </c>
      <c r="C17" s="316" t="s">
        <v>411</v>
      </c>
      <c r="D17" s="316" t="str">
        <f t="shared" si="1"/>
        <v>OE_5</v>
      </c>
      <c r="E17" s="316" t="s">
        <v>41</v>
      </c>
      <c r="F17" s="316" t="s">
        <v>60</v>
      </c>
      <c r="G17" s="266" t="s">
        <v>373</v>
      </c>
      <c r="H17" s="15" t="s">
        <v>493</v>
      </c>
      <c r="I17" s="382" t="s">
        <v>412</v>
      </c>
      <c r="J17" s="382" t="s">
        <v>494</v>
      </c>
      <c r="K17" s="316" t="s">
        <v>123</v>
      </c>
      <c r="L17" s="382" t="s">
        <v>499</v>
      </c>
      <c r="M17" s="15" t="s">
        <v>496</v>
      </c>
      <c r="N17" s="15" t="s">
        <v>495</v>
      </c>
      <c r="O17" s="266" t="s">
        <v>114</v>
      </c>
      <c r="P17" s="266" t="s">
        <v>98</v>
      </c>
      <c r="Q17" s="266" t="s">
        <v>118</v>
      </c>
      <c r="R17" s="14">
        <v>0.9</v>
      </c>
      <c r="S17" s="382" t="s">
        <v>497</v>
      </c>
      <c r="T17" s="12">
        <v>0.3</v>
      </c>
      <c r="U17" s="266" t="s">
        <v>115</v>
      </c>
      <c r="V17" s="266" t="s">
        <v>116</v>
      </c>
      <c r="W17" s="12">
        <v>0.91</v>
      </c>
      <c r="X17" s="316" t="s">
        <v>498</v>
      </c>
      <c r="Y17" s="266" t="s">
        <v>53</v>
      </c>
      <c r="Z17" s="316" t="s">
        <v>118</v>
      </c>
      <c r="AA17" s="9" t="s">
        <v>1132</v>
      </c>
      <c r="AB17" s="513" t="s">
        <v>1216</v>
      </c>
    </row>
    <row r="18" spans="1:28" ht="144" customHeight="1" x14ac:dyDescent="0.2">
      <c r="A18" s="315" t="s">
        <v>404</v>
      </c>
      <c r="B18" s="316" t="s">
        <v>405</v>
      </c>
      <c r="C18" s="316" t="s">
        <v>411</v>
      </c>
      <c r="D18" s="316" t="str">
        <f t="shared" si="1"/>
        <v>OE_5</v>
      </c>
      <c r="E18" s="316" t="s">
        <v>41</v>
      </c>
      <c r="F18" s="316" t="s">
        <v>60</v>
      </c>
      <c r="G18" s="266" t="s">
        <v>374</v>
      </c>
      <c r="H18" s="15" t="s">
        <v>439</v>
      </c>
      <c r="I18" s="316" t="s">
        <v>440</v>
      </c>
      <c r="J18" s="382" t="s">
        <v>500</v>
      </c>
      <c r="K18" s="316" t="s">
        <v>73</v>
      </c>
      <c r="L18" s="316" t="s">
        <v>124</v>
      </c>
      <c r="M18" s="15" t="s">
        <v>441</v>
      </c>
      <c r="N18" s="15" t="s">
        <v>125</v>
      </c>
      <c r="O18" s="266" t="s">
        <v>114</v>
      </c>
      <c r="P18" s="266" t="s">
        <v>98</v>
      </c>
      <c r="Q18" s="12">
        <v>1</v>
      </c>
      <c r="R18" s="12">
        <v>0.9</v>
      </c>
      <c r="S18" s="382" t="s">
        <v>501</v>
      </c>
      <c r="T18" s="12">
        <v>0.3</v>
      </c>
      <c r="U18" s="266" t="s">
        <v>115</v>
      </c>
      <c r="V18" s="266" t="s">
        <v>116</v>
      </c>
      <c r="W18" s="12">
        <v>0.91</v>
      </c>
      <c r="X18" s="316" t="s">
        <v>126</v>
      </c>
      <c r="Y18" s="266" t="s">
        <v>53</v>
      </c>
      <c r="Z18" s="316" t="s">
        <v>118</v>
      </c>
      <c r="AA18" s="9" t="s">
        <v>1132</v>
      </c>
      <c r="AB18" s="513" t="s">
        <v>1216</v>
      </c>
    </row>
    <row r="19" spans="1:28" ht="304.5" customHeight="1" x14ac:dyDescent="0.2">
      <c r="A19" s="315" t="s">
        <v>502</v>
      </c>
      <c r="B19" s="316" t="s">
        <v>107</v>
      </c>
      <c r="C19" s="316" t="s">
        <v>108</v>
      </c>
      <c r="D19" s="316" t="str">
        <f t="shared" si="1"/>
        <v>OE_4</v>
      </c>
      <c r="E19" s="316" t="s">
        <v>40</v>
      </c>
      <c r="F19" s="316" t="s">
        <v>61</v>
      </c>
      <c r="G19" s="266" t="s">
        <v>367</v>
      </c>
      <c r="H19" s="266" t="s">
        <v>840</v>
      </c>
      <c r="I19" s="316" t="s">
        <v>778</v>
      </c>
      <c r="J19" s="317" t="s">
        <v>734</v>
      </c>
      <c r="K19" s="317" t="s">
        <v>73</v>
      </c>
      <c r="L19" s="317" t="s">
        <v>779</v>
      </c>
      <c r="M19" s="9" t="s">
        <v>735</v>
      </c>
      <c r="N19" s="9" t="s">
        <v>736</v>
      </c>
      <c r="O19" s="9" t="s">
        <v>114</v>
      </c>
      <c r="P19" s="9" t="s">
        <v>78</v>
      </c>
      <c r="Q19" s="16">
        <v>1</v>
      </c>
      <c r="R19" s="16">
        <v>1</v>
      </c>
      <c r="S19" s="320" t="s">
        <v>737</v>
      </c>
      <c r="T19" s="321" t="s">
        <v>128</v>
      </c>
      <c r="U19" s="321" t="s">
        <v>129</v>
      </c>
      <c r="V19" s="322" t="s">
        <v>130</v>
      </c>
      <c r="W19" s="321" t="s">
        <v>131</v>
      </c>
      <c r="X19" s="317" t="s">
        <v>1139</v>
      </c>
      <c r="Y19" s="9" t="s">
        <v>53</v>
      </c>
      <c r="Z19" s="316" t="s">
        <v>127</v>
      </c>
      <c r="AA19" s="9" t="s">
        <v>1132</v>
      </c>
      <c r="AB19" s="513" t="s">
        <v>1214</v>
      </c>
    </row>
    <row r="20" spans="1:28" ht="258" customHeight="1" x14ac:dyDescent="0.2">
      <c r="A20" s="315" t="s">
        <v>502</v>
      </c>
      <c r="B20" s="316" t="s">
        <v>107</v>
      </c>
      <c r="C20" s="316" t="s">
        <v>108</v>
      </c>
      <c r="D20" s="316" t="str">
        <f t="shared" si="1"/>
        <v>OE_4</v>
      </c>
      <c r="E20" s="316" t="s">
        <v>40</v>
      </c>
      <c r="F20" s="316" t="s">
        <v>63</v>
      </c>
      <c r="G20" s="266" t="s">
        <v>368</v>
      </c>
      <c r="H20" s="266" t="s">
        <v>841</v>
      </c>
      <c r="I20" s="316" t="s">
        <v>778</v>
      </c>
      <c r="J20" s="316" t="s">
        <v>741</v>
      </c>
      <c r="K20" s="316" t="s">
        <v>89</v>
      </c>
      <c r="L20" s="317" t="s">
        <v>738</v>
      </c>
      <c r="M20" s="266" t="s">
        <v>1067</v>
      </c>
      <c r="N20" s="266" t="s">
        <v>1160</v>
      </c>
      <c r="O20" s="9" t="s">
        <v>114</v>
      </c>
      <c r="P20" s="9" t="s">
        <v>78</v>
      </c>
      <c r="Q20" s="16" t="s">
        <v>1068</v>
      </c>
      <c r="R20" s="16" t="s">
        <v>1161</v>
      </c>
      <c r="S20" s="540" t="s">
        <v>1162</v>
      </c>
      <c r="T20" s="321" t="s">
        <v>739</v>
      </c>
      <c r="U20" s="321" t="s">
        <v>1163</v>
      </c>
      <c r="V20" s="322" t="s">
        <v>1164</v>
      </c>
      <c r="W20" s="321" t="s">
        <v>131</v>
      </c>
      <c r="X20" s="317" t="s">
        <v>740</v>
      </c>
      <c r="Y20" s="9" t="s">
        <v>54</v>
      </c>
      <c r="Z20" s="382" t="s">
        <v>780</v>
      </c>
      <c r="AA20" s="9" t="s">
        <v>1132</v>
      </c>
      <c r="AB20" s="513" t="s">
        <v>1214</v>
      </c>
    </row>
    <row r="21" spans="1:28" ht="279.75" customHeight="1" x14ac:dyDescent="0.2">
      <c r="A21" s="315" t="s">
        <v>502</v>
      </c>
      <c r="B21" s="316" t="s">
        <v>107</v>
      </c>
      <c r="C21" s="316" t="s">
        <v>108</v>
      </c>
      <c r="D21" s="316" t="str">
        <f t="shared" si="1"/>
        <v>OE_2</v>
      </c>
      <c r="E21" s="316" t="s">
        <v>38</v>
      </c>
      <c r="F21" s="316" t="s">
        <v>58</v>
      </c>
      <c r="G21" s="266" t="s">
        <v>361</v>
      </c>
      <c r="H21" s="574" t="s">
        <v>132</v>
      </c>
      <c r="I21" s="591" t="s">
        <v>781</v>
      </c>
      <c r="J21" s="316" t="s">
        <v>133</v>
      </c>
      <c r="K21" s="316" t="s">
        <v>73</v>
      </c>
      <c r="L21" s="316" t="s">
        <v>442</v>
      </c>
      <c r="M21" s="266" t="s">
        <v>134</v>
      </c>
      <c r="N21" s="266" t="s">
        <v>135</v>
      </c>
      <c r="O21" s="266" t="s">
        <v>114</v>
      </c>
      <c r="P21" s="266" t="s">
        <v>98</v>
      </c>
      <c r="Q21" s="266" t="s">
        <v>136</v>
      </c>
      <c r="R21" s="266" t="s">
        <v>137</v>
      </c>
      <c r="S21" s="316" t="s">
        <v>138</v>
      </c>
      <c r="T21" s="266" t="s">
        <v>139</v>
      </c>
      <c r="U21" s="266" t="s">
        <v>140</v>
      </c>
      <c r="V21" s="266" t="s">
        <v>137</v>
      </c>
      <c r="W21" s="266" t="s">
        <v>141</v>
      </c>
      <c r="X21" s="385" t="s">
        <v>800</v>
      </c>
      <c r="Y21" s="266" t="s">
        <v>53</v>
      </c>
      <c r="Z21" s="316" t="s">
        <v>443</v>
      </c>
      <c r="AA21" s="266" t="s">
        <v>1124</v>
      </c>
      <c r="AB21" s="513" t="s">
        <v>1217</v>
      </c>
    </row>
    <row r="22" spans="1:28" ht="180" customHeight="1" x14ac:dyDescent="0.2">
      <c r="A22" s="315" t="s">
        <v>502</v>
      </c>
      <c r="B22" s="316" t="s">
        <v>107</v>
      </c>
      <c r="C22" s="316" t="s">
        <v>108</v>
      </c>
      <c r="D22" s="316" t="str">
        <f t="shared" si="1"/>
        <v>OE_1</v>
      </c>
      <c r="E22" s="316" t="s">
        <v>37</v>
      </c>
      <c r="F22" s="316" t="s">
        <v>62</v>
      </c>
      <c r="G22" s="266" t="s">
        <v>960</v>
      </c>
      <c r="H22" s="574"/>
      <c r="I22" s="591"/>
      <c r="J22" s="316" t="s">
        <v>458</v>
      </c>
      <c r="K22" s="316" t="s">
        <v>73</v>
      </c>
      <c r="L22" s="382" t="s">
        <v>1140</v>
      </c>
      <c r="M22" s="266" t="s">
        <v>355</v>
      </c>
      <c r="N22" s="266" t="s">
        <v>356</v>
      </c>
      <c r="O22" s="266" t="s">
        <v>77</v>
      </c>
      <c r="P22" s="266" t="s">
        <v>98</v>
      </c>
      <c r="Q22" s="266" t="s">
        <v>357</v>
      </c>
      <c r="R22" s="266" t="s">
        <v>357</v>
      </c>
      <c r="S22" s="316" t="s">
        <v>803</v>
      </c>
      <c r="T22" s="266" t="s">
        <v>1080</v>
      </c>
      <c r="U22" s="266" t="s">
        <v>1081</v>
      </c>
      <c r="V22" s="266" t="s">
        <v>1082</v>
      </c>
      <c r="W22" s="266" t="s">
        <v>1083</v>
      </c>
      <c r="X22" s="316" t="s">
        <v>1141</v>
      </c>
      <c r="Y22" s="266" t="s">
        <v>53</v>
      </c>
      <c r="Z22" s="316" t="s">
        <v>459</v>
      </c>
      <c r="AA22" s="266" t="s">
        <v>1124</v>
      </c>
      <c r="AB22" s="513" t="s">
        <v>1218</v>
      </c>
    </row>
    <row r="23" spans="1:28" ht="285" customHeight="1" x14ac:dyDescent="0.2">
      <c r="A23" s="315" t="s">
        <v>502</v>
      </c>
      <c r="B23" s="316" t="s">
        <v>107</v>
      </c>
      <c r="C23" s="316" t="s">
        <v>503</v>
      </c>
      <c r="D23" s="316" t="s">
        <v>65</v>
      </c>
      <c r="E23" s="316" t="s">
        <v>37</v>
      </c>
      <c r="F23" s="316" t="s">
        <v>58</v>
      </c>
      <c r="G23" s="266" t="s">
        <v>961</v>
      </c>
      <c r="H23" s="266" t="s">
        <v>1084</v>
      </c>
      <c r="I23" s="316" t="s">
        <v>1085</v>
      </c>
      <c r="J23" s="316" t="s">
        <v>1086</v>
      </c>
      <c r="K23" s="316" t="s">
        <v>73</v>
      </c>
      <c r="L23" s="316" t="s">
        <v>1087</v>
      </c>
      <c r="M23" s="266" t="s">
        <v>1088</v>
      </c>
      <c r="N23" s="266" t="s">
        <v>1089</v>
      </c>
      <c r="O23" s="266" t="s">
        <v>114</v>
      </c>
      <c r="P23" s="266" t="s">
        <v>78</v>
      </c>
      <c r="Q23" s="17">
        <v>1</v>
      </c>
      <c r="R23" s="17">
        <v>1</v>
      </c>
      <c r="S23" s="316" t="s">
        <v>1090</v>
      </c>
      <c r="T23" s="266" t="s">
        <v>128</v>
      </c>
      <c r="U23" s="266" t="s">
        <v>142</v>
      </c>
      <c r="V23" s="12">
        <v>1</v>
      </c>
      <c r="W23" s="266" t="s">
        <v>131</v>
      </c>
      <c r="X23" s="316" t="s">
        <v>801</v>
      </c>
      <c r="Y23" s="266" t="s">
        <v>53</v>
      </c>
      <c r="Z23" s="382" t="s">
        <v>444</v>
      </c>
      <c r="AA23" s="266" t="s">
        <v>1124</v>
      </c>
      <c r="AB23" s="513" t="s">
        <v>1217</v>
      </c>
    </row>
    <row r="24" spans="1:28" ht="203.25" customHeight="1" x14ac:dyDescent="0.2">
      <c r="A24" s="315" t="s">
        <v>504</v>
      </c>
      <c r="B24" s="316" t="s">
        <v>505</v>
      </c>
      <c r="C24" s="316" t="s">
        <v>506</v>
      </c>
      <c r="D24" s="316" t="s">
        <v>67</v>
      </c>
      <c r="E24" s="316" t="s">
        <v>39</v>
      </c>
      <c r="F24" s="316" t="s">
        <v>62</v>
      </c>
      <c r="G24" s="266" t="s">
        <v>362</v>
      </c>
      <c r="H24" s="266" t="s">
        <v>143</v>
      </c>
      <c r="I24" s="316" t="s">
        <v>144</v>
      </c>
      <c r="J24" s="316" t="s">
        <v>145</v>
      </c>
      <c r="K24" s="316" t="s">
        <v>73</v>
      </c>
      <c r="L24" s="316" t="s">
        <v>146</v>
      </c>
      <c r="M24" s="266" t="s">
        <v>147</v>
      </c>
      <c r="N24" s="266" t="s">
        <v>782</v>
      </c>
      <c r="O24" s="266" t="s">
        <v>114</v>
      </c>
      <c r="P24" s="266" t="s">
        <v>78</v>
      </c>
      <c r="Q24" s="17">
        <v>1</v>
      </c>
      <c r="R24" s="17">
        <v>1</v>
      </c>
      <c r="S24" s="316" t="s">
        <v>460</v>
      </c>
      <c r="T24" s="266" t="s">
        <v>128</v>
      </c>
      <c r="U24" s="266" t="s">
        <v>142</v>
      </c>
      <c r="V24" s="12">
        <v>1</v>
      </c>
      <c r="W24" s="266" t="s">
        <v>131</v>
      </c>
      <c r="X24" s="316" t="s">
        <v>802</v>
      </c>
      <c r="Y24" s="266" t="s">
        <v>53</v>
      </c>
      <c r="Z24" s="382" t="s">
        <v>445</v>
      </c>
      <c r="AA24" s="266" t="s">
        <v>1124</v>
      </c>
      <c r="AB24" s="513" t="s">
        <v>1220</v>
      </c>
    </row>
    <row r="25" spans="1:28" ht="195" customHeight="1" x14ac:dyDescent="0.2">
      <c r="A25" s="315" t="s">
        <v>504</v>
      </c>
      <c r="B25" s="316" t="s">
        <v>505</v>
      </c>
      <c r="C25" s="316" t="s">
        <v>507</v>
      </c>
      <c r="D25" s="316" t="s">
        <v>67</v>
      </c>
      <c r="E25" s="316" t="s">
        <v>39</v>
      </c>
      <c r="F25" s="316" t="s">
        <v>60</v>
      </c>
      <c r="G25" s="266" t="s">
        <v>363</v>
      </c>
      <c r="H25" s="266" t="s">
        <v>148</v>
      </c>
      <c r="I25" s="316" t="s">
        <v>149</v>
      </c>
      <c r="J25" s="316" t="s">
        <v>150</v>
      </c>
      <c r="K25" s="316" t="s">
        <v>123</v>
      </c>
      <c r="L25" s="316" t="s">
        <v>462</v>
      </c>
      <c r="M25" s="266" t="s">
        <v>151</v>
      </c>
      <c r="N25" s="266" t="s">
        <v>152</v>
      </c>
      <c r="O25" s="266" t="s">
        <v>77</v>
      </c>
      <c r="P25" s="266" t="s">
        <v>98</v>
      </c>
      <c r="Q25" s="266" t="s">
        <v>153</v>
      </c>
      <c r="R25" s="17">
        <v>1</v>
      </c>
      <c r="S25" s="316" t="s">
        <v>461</v>
      </c>
      <c r="T25" s="17">
        <v>0.85</v>
      </c>
      <c r="U25" s="266" t="s">
        <v>154</v>
      </c>
      <c r="V25" s="266" t="s">
        <v>155</v>
      </c>
      <c r="W25" s="266" t="s">
        <v>156</v>
      </c>
      <c r="X25" s="316" t="s">
        <v>463</v>
      </c>
      <c r="Y25" s="266" t="s">
        <v>51</v>
      </c>
      <c r="Z25" s="316" t="s">
        <v>464</v>
      </c>
      <c r="AA25" s="266" t="s">
        <v>1124</v>
      </c>
      <c r="AB25" s="513" t="s">
        <v>1219</v>
      </c>
    </row>
    <row r="26" spans="1:28" ht="213" customHeight="1" x14ac:dyDescent="0.2">
      <c r="A26" s="315" t="s">
        <v>504</v>
      </c>
      <c r="B26" s="316" t="s">
        <v>505</v>
      </c>
      <c r="C26" s="316" t="s">
        <v>507</v>
      </c>
      <c r="D26" s="316" t="s">
        <v>67</v>
      </c>
      <c r="E26" s="316" t="s">
        <v>39</v>
      </c>
      <c r="F26" s="316" t="s">
        <v>64</v>
      </c>
      <c r="G26" s="266" t="s">
        <v>364</v>
      </c>
      <c r="H26" s="266" t="s">
        <v>764</v>
      </c>
      <c r="I26" s="316" t="s">
        <v>414</v>
      </c>
      <c r="J26" s="316" t="s">
        <v>415</v>
      </c>
      <c r="K26" s="316" t="s">
        <v>89</v>
      </c>
      <c r="L26" s="316" t="s">
        <v>168</v>
      </c>
      <c r="M26" s="266" t="s">
        <v>448</v>
      </c>
      <c r="N26" s="266" t="s">
        <v>467</v>
      </c>
      <c r="O26" s="266" t="s">
        <v>114</v>
      </c>
      <c r="P26" s="266" t="s">
        <v>78</v>
      </c>
      <c r="Q26" s="17">
        <v>0.9</v>
      </c>
      <c r="R26" s="17">
        <v>0.95</v>
      </c>
      <c r="S26" s="316" t="s">
        <v>169</v>
      </c>
      <c r="T26" s="266" t="s">
        <v>164</v>
      </c>
      <c r="U26" s="266" t="s">
        <v>99</v>
      </c>
      <c r="V26" s="266" t="s">
        <v>451</v>
      </c>
      <c r="W26" s="266" t="s">
        <v>452</v>
      </c>
      <c r="X26" s="316" t="s">
        <v>170</v>
      </c>
      <c r="Y26" s="266" t="s">
        <v>53</v>
      </c>
      <c r="Z26" s="316" t="s">
        <v>100</v>
      </c>
      <c r="AA26" s="266" t="s">
        <v>1128</v>
      </c>
      <c r="AB26" s="513" t="s">
        <v>1222</v>
      </c>
    </row>
    <row r="27" spans="1:28" ht="90.75" customHeight="1" x14ac:dyDescent="0.2">
      <c r="A27" s="315" t="s">
        <v>504</v>
      </c>
      <c r="B27" s="316" t="s">
        <v>505</v>
      </c>
      <c r="C27" s="316" t="s">
        <v>507</v>
      </c>
      <c r="D27" s="316" t="s">
        <v>67</v>
      </c>
      <c r="E27" s="316" t="s">
        <v>39</v>
      </c>
      <c r="F27" s="316" t="s">
        <v>64</v>
      </c>
      <c r="G27" s="266" t="s">
        <v>365</v>
      </c>
      <c r="H27" s="266" t="s">
        <v>772</v>
      </c>
      <c r="I27" s="316" t="s">
        <v>171</v>
      </c>
      <c r="J27" s="316" t="s">
        <v>172</v>
      </c>
      <c r="K27" s="316" t="s">
        <v>89</v>
      </c>
      <c r="L27" s="316" t="s">
        <v>173</v>
      </c>
      <c r="M27" s="266" t="s">
        <v>449</v>
      </c>
      <c r="N27" s="266" t="s">
        <v>468</v>
      </c>
      <c r="O27" s="266" t="s">
        <v>114</v>
      </c>
      <c r="P27" s="266" t="s">
        <v>78</v>
      </c>
      <c r="Q27" s="17">
        <v>0.9</v>
      </c>
      <c r="R27" s="17">
        <v>0.95</v>
      </c>
      <c r="S27" s="316" t="s">
        <v>174</v>
      </c>
      <c r="T27" s="266" t="s">
        <v>164</v>
      </c>
      <c r="U27" s="266" t="s">
        <v>99</v>
      </c>
      <c r="V27" s="266" t="s">
        <v>451</v>
      </c>
      <c r="W27" s="266" t="s">
        <v>452</v>
      </c>
      <c r="X27" s="316" t="s">
        <v>170</v>
      </c>
      <c r="Y27" s="266" t="s">
        <v>53</v>
      </c>
      <c r="Z27" s="316" t="s">
        <v>100</v>
      </c>
      <c r="AA27" s="266" t="s">
        <v>1128</v>
      </c>
      <c r="AB27" s="513" t="s">
        <v>1222</v>
      </c>
    </row>
    <row r="28" spans="1:28" ht="108.75" customHeight="1" x14ac:dyDescent="0.2">
      <c r="A28" s="315" t="s">
        <v>504</v>
      </c>
      <c r="B28" s="316" t="s">
        <v>505</v>
      </c>
      <c r="C28" s="316" t="s">
        <v>507</v>
      </c>
      <c r="D28" s="316" t="s">
        <v>67</v>
      </c>
      <c r="E28" s="316" t="s">
        <v>39</v>
      </c>
      <c r="F28" s="316" t="s">
        <v>64</v>
      </c>
      <c r="G28" s="266" t="s">
        <v>366</v>
      </c>
      <c r="H28" s="266" t="s">
        <v>773</v>
      </c>
      <c r="I28" s="382" t="s">
        <v>465</v>
      </c>
      <c r="J28" s="316" t="s">
        <v>175</v>
      </c>
      <c r="K28" s="316" t="s">
        <v>89</v>
      </c>
      <c r="L28" s="316" t="s">
        <v>176</v>
      </c>
      <c r="M28" s="266" t="s">
        <v>450</v>
      </c>
      <c r="N28" s="266" t="s">
        <v>469</v>
      </c>
      <c r="O28" s="266" t="s">
        <v>114</v>
      </c>
      <c r="P28" s="266" t="s">
        <v>78</v>
      </c>
      <c r="Q28" s="17">
        <v>0.9</v>
      </c>
      <c r="R28" s="17">
        <v>0.95</v>
      </c>
      <c r="S28" s="316" t="s">
        <v>177</v>
      </c>
      <c r="T28" s="266" t="s">
        <v>164</v>
      </c>
      <c r="U28" s="266" t="s">
        <v>99</v>
      </c>
      <c r="V28" s="266" t="s">
        <v>451</v>
      </c>
      <c r="W28" s="266" t="s">
        <v>452</v>
      </c>
      <c r="X28" s="316" t="s">
        <v>170</v>
      </c>
      <c r="Y28" s="266" t="s">
        <v>53</v>
      </c>
      <c r="Z28" s="316" t="s">
        <v>100</v>
      </c>
      <c r="AA28" s="266" t="s">
        <v>1128</v>
      </c>
      <c r="AB28" s="513" t="s">
        <v>1222</v>
      </c>
    </row>
    <row r="29" spans="1:28" ht="174.75" customHeight="1" x14ac:dyDescent="0.2">
      <c r="A29" s="381" t="s">
        <v>508</v>
      </c>
      <c r="B29" s="316" t="s">
        <v>509</v>
      </c>
      <c r="C29" s="382" t="s">
        <v>510</v>
      </c>
      <c r="D29" s="316" t="s">
        <v>69</v>
      </c>
      <c r="E29" s="316" t="s">
        <v>41</v>
      </c>
      <c r="F29" s="316" t="s">
        <v>157</v>
      </c>
      <c r="G29" s="266" t="s">
        <v>375</v>
      </c>
      <c r="H29" s="266" t="s">
        <v>158</v>
      </c>
      <c r="I29" s="316" t="s">
        <v>159</v>
      </c>
      <c r="J29" s="316" t="s">
        <v>160</v>
      </c>
      <c r="K29" s="316" t="s">
        <v>89</v>
      </c>
      <c r="L29" s="316" t="s">
        <v>161</v>
      </c>
      <c r="M29" s="266" t="s">
        <v>162</v>
      </c>
      <c r="N29" s="266" t="s">
        <v>163</v>
      </c>
      <c r="O29" s="266" t="s">
        <v>77</v>
      </c>
      <c r="P29" s="266" t="s">
        <v>78</v>
      </c>
      <c r="Q29" s="17">
        <v>0.91</v>
      </c>
      <c r="R29" s="17">
        <v>0.9</v>
      </c>
      <c r="S29" s="316" t="s">
        <v>446</v>
      </c>
      <c r="T29" s="266" t="s">
        <v>164</v>
      </c>
      <c r="U29" s="266" t="s">
        <v>99</v>
      </c>
      <c r="V29" s="266" t="s">
        <v>165</v>
      </c>
      <c r="W29" s="266" t="s">
        <v>447</v>
      </c>
      <c r="X29" s="316" t="s">
        <v>167</v>
      </c>
      <c r="Y29" s="266" t="s">
        <v>53</v>
      </c>
      <c r="Z29" s="316" t="s">
        <v>100</v>
      </c>
      <c r="AA29" s="266" t="s">
        <v>1128</v>
      </c>
      <c r="AB29" s="513" t="s">
        <v>1222</v>
      </c>
    </row>
    <row r="30" spans="1:28" ht="81.75" customHeight="1" x14ac:dyDescent="0.2">
      <c r="A30" s="315" t="s">
        <v>404</v>
      </c>
      <c r="B30" s="316" t="s">
        <v>405</v>
      </c>
      <c r="C30" s="316" t="s">
        <v>512</v>
      </c>
      <c r="D30" s="316" t="s">
        <v>69</v>
      </c>
      <c r="E30" s="316" t="s">
        <v>41</v>
      </c>
      <c r="F30" s="316" t="s">
        <v>60</v>
      </c>
      <c r="G30" s="266" t="s">
        <v>376</v>
      </c>
      <c r="H30" s="266" t="s">
        <v>767</v>
      </c>
      <c r="I30" s="316" t="s">
        <v>178</v>
      </c>
      <c r="J30" s="316" t="s">
        <v>416</v>
      </c>
      <c r="K30" s="316" t="s">
        <v>73</v>
      </c>
      <c r="L30" s="316" t="s">
        <v>179</v>
      </c>
      <c r="M30" s="266" t="s">
        <v>180</v>
      </c>
      <c r="N30" s="266" t="s">
        <v>181</v>
      </c>
      <c r="O30" s="266" t="s">
        <v>114</v>
      </c>
      <c r="P30" s="266" t="s">
        <v>78</v>
      </c>
      <c r="Q30" s="17">
        <v>0.2</v>
      </c>
      <c r="R30" s="17">
        <v>0.9</v>
      </c>
      <c r="S30" s="316" t="s">
        <v>182</v>
      </c>
      <c r="T30" s="266" t="s">
        <v>164</v>
      </c>
      <c r="U30" s="266" t="s">
        <v>99</v>
      </c>
      <c r="V30" s="266" t="s">
        <v>165</v>
      </c>
      <c r="W30" s="266" t="s">
        <v>447</v>
      </c>
      <c r="X30" s="316" t="s">
        <v>183</v>
      </c>
      <c r="Y30" s="266" t="s">
        <v>53</v>
      </c>
      <c r="Z30" s="316" t="s">
        <v>100</v>
      </c>
      <c r="AA30" s="266" t="s">
        <v>1128</v>
      </c>
      <c r="AB30" s="513" t="s">
        <v>1222</v>
      </c>
    </row>
    <row r="31" spans="1:28" ht="105" customHeight="1" x14ac:dyDescent="0.2">
      <c r="A31" s="315" t="s">
        <v>404</v>
      </c>
      <c r="B31" s="316" t="s">
        <v>511</v>
      </c>
      <c r="C31" s="316" t="s">
        <v>516</v>
      </c>
      <c r="D31" s="316" t="s">
        <v>69</v>
      </c>
      <c r="E31" s="316" t="s">
        <v>41</v>
      </c>
      <c r="F31" s="316" t="s">
        <v>157</v>
      </c>
      <c r="G31" s="266" t="s">
        <v>377</v>
      </c>
      <c r="H31" s="574" t="s">
        <v>184</v>
      </c>
      <c r="I31" s="316" t="s">
        <v>185</v>
      </c>
      <c r="J31" s="316" t="s">
        <v>186</v>
      </c>
      <c r="K31" s="316" t="s">
        <v>73</v>
      </c>
      <c r="L31" s="316" t="s">
        <v>187</v>
      </c>
      <c r="M31" s="266" t="s">
        <v>188</v>
      </c>
      <c r="N31" s="266" t="s">
        <v>189</v>
      </c>
      <c r="O31" s="266" t="s">
        <v>77</v>
      </c>
      <c r="P31" s="266" t="s">
        <v>78</v>
      </c>
      <c r="Q31" s="17">
        <v>1.1000000000000001</v>
      </c>
      <c r="R31" s="17">
        <v>1</v>
      </c>
      <c r="S31" s="316" t="s">
        <v>466</v>
      </c>
      <c r="T31" s="266" t="s">
        <v>164</v>
      </c>
      <c r="U31" s="266" t="s">
        <v>99</v>
      </c>
      <c r="V31" s="266" t="s">
        <v>438</v>
      </c>
      <c r="W31" s="12">
        <v>1</v>
      </c>
      <c r="X31" s="316" t="s">
        <v>190</v>
      </c>
      <c r="Y31" s="266" t="s">
        <v>53</v>
      </c>
      <c r="Z31" s="316" t="s">
        <v>783</v>
      </c>
      <c r="AA31" s="266" t="s">
        <v>1128</v>
      </c>
      <c r="AB31" s="513" t="s">
        <v>1222</v>
      </c>
    </row>
    <row r="32" spans="1:28" ht="117" customHeight="1" x14ac:dyDescent="0.2">
      <c r="A32" s="315" t="s">
        <v>404</v>
      </c>
      <c r="B32" s="316" t="s">
        <v>511</v>
      </c>
      <c r="C32" s="316" t="s">
        <v>516</v>
      </c>
      <c r="D32" s="316" t="s">
        <v>69</v>
      </c>
      <c r="E32" s="316" t="s">
        <v>41</v>
      </c>
      <c r="F32" s="316" t="s">
        <v>157</v>
      </c>
      <c r="G32" s="266" t="s">
        <v>378</v>
      </c>
      <c r="H32" s="574"/>
      <c r="I32" s="316" t="s">
        <v>191</v>
      </c>
      <c r="J32" s="316" t="s">
        <v>192</v>
      </c>
      <c r="K32" s="316" t="s">
        <v>73</v>
      </c>
      <c r="L32" s="316" t="s">
        <v>193</v>
      </c>
      <c r="M32" s="266" t="s">
        <v>194</v>
      </c>
      <c r="N32" s="266" t="s">
        <v>195</v>
      </c>
      <c r="O32" s="266" t="s">
        <v>77</v>
      </c>
      <c r="P32" s="266" t="s">
        <v>78</v>
      </c>
      <c r="Q32" s="12">
        <v>1</v>
      </c>
      <c r="R32" s="17">
        <v>1</v>
      </c>
      <c r="S32" s="316" t="s">
        <v>784</v>
      </c>
      <c r="T32" s="266" t="s">
        <v>164</v>
      </c>
      <c r="U32" s="266" t="s">
        <v>99</v>
      </c>
      <c r="V32" s="266" t="s">
        <v>438</v>
      </c>
      <c r="W32" s="12">
        <v>1</v>
      </c>
      <c r="X32" s="316" t="s">
        <v>196</v>
      </c>
      <c r="Y32" s="266" t="s">
        <v>53</v>
      </c>
      <c r="Z32" s="316" t="s">
        <v>100</v>
      </c>
      <c r="AA32" s="266" t="s">
        <v>1128</v>
      </c>
      <c r="AB32" s="513" t="s">
        <v>1222</v>
      </c>
    </row>
    <row r="33" spans="1:28" ht="105" customHeight="1" x14ac:dyDescent="0.2">
      <c r="A33" s="315" t="s">
        <v>80</v>
      </c>
      <c r="B33" s="316" t="s">
        <v>81</v>
      </c>
      <c r="C33" s="316" t="s">
        <v>531</v>
      </c>
      <c r="D33" s="316" t="s">
        <v>69</v>
      </c>
      <c r="E33" s="316" t="s">
        <v>41</v>
      </c>
      <c r="F33" s="316" t="s">
        <v>60</v>
      </c>
      <c r="G33" s="266" t="s">
        <v>379</v>
      </c>
      <c r="H33" s="266" t="s">
        <v>768</v>
      </c>
      <c r="I33" s="316" t="s">
        <v>417</v>
      </c>
      <c r="J33" s="316" t="s">
        <v>197</v>
      </c>
      <c r="K33" s="316" t="s">
        <v>73</v>
      </c>
      <c r="L33" s="316" t="s">
        <v>198</v>
      </c>
      <c r="M33" s="266" t="s">
        <v>479</v>
      </c>
      <c r="N33" s="266" t="s">
        <v>470</v>
      </c>
      <c r="O33" s="266" t="s">
        <v>77</v>
      </c>
      <c r="P33" s="266" t="s">
        <v>78</v>
      </c>
      <c r="Q33" s="17">
        <v>1</v>
      </c>
      <c r="R33" s="17">
        <v>1</v>
      </c>
      <c r="S33" s="316" t="s">
        <v>480</v>
      </c>
      <c r="T33" s="266" t="s">
        <v>164</v>
      </c>
      <c r="U33" s="266" t="s">
        <v>99</v>
      </c>
      <c r="V33" s="266" t="s">
        <v>438</v>
      </c>
      <c r="W33" s="12">
        <v>1</v>
      </c>
      <c r="X33" s="316" t="s">
        <v>199</v>
      </c>
      <c r="Y33" s="266" t="s">
        <v>53</v>
      </c>
      <c r="Z33" s="316" t="s">
        <v>118</v>
      </c>
      <c r="AA33" s="266" t="s">
        <v>1128</v>
      </c>
      <c r="AB33" s="513" t="s">
        <v>1221</v>
      </c>
    </row>
    <row r="34" spans="1:28" ht="131.25" customHeight="1" x14ac:dyDescent="0.2">
      <c r="A34" s="315" t="s">
        <v>513</v>
      </c>
      <c r="B34" s="316" t="s">
        <v>514</v>
      </c>
      <c r="C34" s="316" t="s">
        <v>515</v>
      </c>
      <c r="D34" s="316" t="s">
        <v>69</v>
      </c>
      <c r="E34" s="316" t="s">
        <v>41</v>
      </c>
      <c r="F34" s="316" t="s">
        <v>60</v>
      </c>
      <c r="G34" s="266" t="s">
        <v>380</v>
      </c>
      <c r="H34" s="266" t="s">
        <v>771</v>
      </c>
      <c r="I34" s="316" t="s">
        <v>418</v>
      </c>
      <c r="J34" s="316" t="s">
        <v>200</v>
      </c>
      <c r="K34" s="316" t="s">
        <v>89</v>
      </c>
      <c r="L34" s="316" t="s">
        <v>201</v>
      </c>
      <c r="M34" s="266" t="s">
        <v>478</v>
      </c>
      <c r="N34" s="266" t="s">
        <v>471</v>
      </c>
      <c r="O34" s="266" t="s">
        <v>77</v>
      </c>
      <c r="P34" s="266" t="s">
        <v>78</v>
      </c>
      <c r="Q34" s="17">
        <v>1</v>
      </c>
      <c r="R34" s="17">
        <v>0.9</v>
      </c>
      <c r="S34" s="316" t="s">
        <v>785</v>
      </c>
      <c r="T34" s="266" t="s">
        <v>164</v>
      </c>
      <c r="U34" s="266" t="s">
        <v>99</v>
      </c>
      <c r="V34" s="266" t="s">
        <v>165</v>
      </c>
      <c r="W34" s="266" t="s">
        <v>166</v>
      </c>
      <c r="X34" s="316" t="s">
        <v>202</v>
      </c>
      <c r="Y34" s="266" t="s">
        <v>53</v>
      </c>
      <c r="Z34" s="316" t="s">
        <v>118</v>
      </c>
      <c r="AA34" s="266" t="s">
        <v>1128</v>
      </c>
      <c r="AB34" s="513" t="s">
        <v>1221</v>
      </c>
    </row>
    <row r="35" spans="1:28" ht="190.5" customHeight="1" x14ac:dyDescent="0.2">
      <c r="A35" s="315" t="s">
        <v>513</v>
      </c>
      <c r="B35" s="316" t="s">
        <v>514</v>
      </c>
      <c r="C35" s="316" t="s">
        <v>515</v>
      </c>
      <c r="D35" s="316" t="s">
        <v>69</v>
      </c>
      <c r="E35" s="316" t="s">
        <v>41</v>
      </c>
      <c r="F35" s="316" t="s">
        <v>60</v>
      </c>
      <c r="G35" s="266" t="s">
        <v>381</v>
      </c>
      <c r="H35" s="266" t="s">
        <v>770</v>
      </c>
      <c r="I35" s="316" t="s">
        <v>419</v>
      </c>
      <c r="J35" s="316" t="s">
        <v>203</v>
      </c>
      <c r="K35" s="316" t="s">
        <v>73</v>
      </c>
      <c r="L35" s="316" t="s">
        <v>204</v>
      </c>
      <c r="M35" s="266" t="s">
        <v>477</v>
      </c>
      <c r="N35" s="266" t="s">
        <v>472</v>
      </c>
      <c r="O35" s="266" t="s">
        <v>77</v>
      </c>
      <c r="P35" s="266" t="s">
        <v>78</v>
      </c>
      <c r="Q35" s="17">
        <v>1</v>
      </c>
      <c r="R35" s="17">
        <v>0.9</v>
      </c>
      <c r="S35" s="316" t="s">
        <v>205</v>
      </c>
      <c r="T35" s="266" t="s">
        <v>164</v>
      </c>
      <c r="U35" s="266" t="s">
        <v>99</v>
      </c>
      <c r="V35" s="266" t="s">
        <v>165</v>
      </c>
      <c r="W35" s="266" t="s">
        <v>447</v>
      </c>
      <c r="X35" s="316" t="s">
        <v>206</v>
      </c>
      <c r="Y35" s="266" t="s">
        <v>53</v>
      </c>
      <c r="Z35" s="316" t="s">
        <v>118</v>
      </c>
      <c r="AA35" s="266" t="s">
        <v>1128</v>
      </c>
      <c r="AB35" s="513" t="s">
        <v>1221</v>
      </c>
    </row>
    <row r="36" spans="1:28" ht="142.5" customHeight="1" x14ac:dyDescent="0.2">
      <c r="A36" s="315" t="s">
        <v>513</v>
      </c>
      <c r="B36" s="316" t="s">
        <v>514</v>
      </c>
      <c r="C36" s="316" t="s">
        <v>515</v>
      </c>
      <c r="D36" s="316" t="s">
        <v>69</v>
      </c>
      <c r="E36" s="316" t="s">
        <v>41</v>
      </c>
      <c r="F36" s="316" t="s">
        <v>60</v>
      </c>
      <c r="G36" s="266" t="s">
        <v>382</v>
      </c>
      <c r="H36" s="266" t="s">
        <v>769</v>
      </c>
      <c r="I36" s="316" t="s">
        <v>420</v>
      </c>
      <c r="J36" s="316" t="s">
        <v>207</v>
      </c>
      <c r="K36" s="316" t="s">
        <v>73</v>
      </c>
      <c r="L36" s="316" t="s">
        <v>208</v>
      </c>
      <c r="M36" s="266" t="s">
        <v>476</v>
      </c>
      <c r="N36" s="266" t="s">
        <v>473</v>
      </c>
      <c r="O36" s="266" t="s">
        <v>77</v>
      </c>
      <c r="P36" s="266" t="s">
        <v>78</v>
      </c>
      <c r="Q36" s="17">
        <v>1</v>
      </c>
      <c r="R36" s="17">
        <v>0.9</v>
      </c>
      <c r="S36" s="316" t="s">
        <v>423</v>
      </c>
      <c r="T36" s="266" t="s">
        <v>164</v>
      </c>
      <c r="U36" s="266" t="s">
        <v>99</v>
      </c>
      <c r="V36" s="266" t="s">
        <v>165</v>
      </c>
      <c r="W36" s="266" t="s">
        <v>447</v>
      </c>
      <c r="X36" s="316" t="s">
        <v>209</v>
      </c>
      <c r="Y36" s="266" t="s">
        <v>53</v>
      </c>
      <c r="Z36" s="316" t="s">
        <v>118</v>
      </c>
      <c r="AA36" s="266" t="s">
        <v>1128</v>
      </c>
      <c r="AB36" s="513" t="s">
        <v>1221</v>
      </c>
    </row>
    <row r="37" spans="1:28" ht="136.5" customHeight="1" x14ac:dyDescent="0.2">
      <c r="A37" s="315" t="s">
        <v>513</v>
      </c>
      <c r="B37" s="316" t="s">
        <v>514</v>
      </c>
      <c r="C37" s="316" t="s">
        <v>515</v>
      </c>
      <c r="D37" s="316" t="s">
        <v>69</v>
      </c>
      <c r="E37" s="316" t="s">
        <v>41</v>
      </c>
      <c r="F37" s="316" t="s">
        <v>60</v>
      </c>
      <c r="G37" s="266" t="s">
        <v>383</v>
      </c>
      <c r="H37" s="266" t="s">
        <v>210</v>
      </c>
      <c r="I37" s="316" t="s">
        <v>211</v>
      </c>
      <c r="J37" s="316" t="s">
        <v>212</v>
      </c>
      <c r="K37" s="316" t="s">
        <v>73</v>
      </c>
      <c r="L37" s="316" t="s">
        <v>213</v>
      </c>
      <c r="M37" s="266" t="s">
        <v>475</v>
      </c>
      <c r="N37" s="266" t="s">
        <v>474</v>
      </c>
      <c r="O37" s="266" t="s">
        <v>77</v>
      </c>
      <c r="P37" s="266" t="s">
        <v>78</v>
      </c>
      <c r="Q37" s="17">
        <v>1</v>
      </c>
      <c r="R37" s="17">
        <v>1</v>
      </c>
      <c r="S37" s="316" t="s">
        <v>214</v>
      </c>
      <c r="T37" s="266" t="s">
        <v>164</v>
      </c>
      <c r="U37" s="266" t="s">
        <v>99</v>
      </c>
      <c r="V37" s="266" t="s">
        <v>438</v>
      </c>
      <c r="W37" s="12">
        <v>1</v>
      </c>
      <c r="X37" s="316" t="s">
        <v>215</v>
      </c>
      <c r="Y37" s="266" t="s">
        <v>53</v>
      </c>
      <c r="Z37" s="316" t="s">
        <v>118</v>
      </c>
      <c r="AA37" s="266" t="s">
        <v>1128</v>
      </c>
      <c r="AB37" s="513" t="s">
        <v>1221</v>
      </c>
    </row>
    <row r="38" spans="1:28" ht="140.25" customHeight="1" x14ac:dyDescent="0.2">
      <c r="A38" s="315" t="s">
        <v>513</v>
      </c>
      <c r="B38" s="316" t="s">
        <v>514</v>
      </c>
      <c r="C38" s="316" t="s">
        <v>517</v>
      </c>
      <c r="D38" s="316" t="s">
        <v>69</v>
      </c>
      <c r="E38" s="316" t="s">
        <v>41</v>
      </c>
      <c r="F38" s="316" t="s">
        <v>60</v>
      </c>
      <c r="G38" s="266" t="s">
        <v>384</v>
      </c>
      <c r="H38" s="266" t="s">
        <v>216</v>
      </c>
      <c r="I38" s="316" t="s">
        <v>217</v>
      </c>
      <c r="J38" s="316" t="s">
        <v>218</v>
      </c>
      <c r="K38" s="316" t="s">
        <v>73</v>
      </c>
      <c r="L38" s="316" t="s">
        <v>527</v>
      </c>
      <c r="M38" s="266" t="s">
        <v>528</v>
      </c>
      <c r="N38" s="266" t="s">
        <v>529</v>
      </c>
      <c r="O38" s="266" t="s">
        <v>77</v>
      </c>
      <c r="P38" s="266" t="s">
        <v>78</v>
      </c>
      <c r="Q38" s="17" t="s">
        <v>219</v>
      </c>
      <c r="R38" s="17">
        <v>1</v>
      </c>
      <c r="S38" s="316" t="s">
        <v>786</v>
      </c>
      <c r="T38" s="266" t="s">
        <v>164</v>
      </c>
      <c r="U38" s="266" t="s">
        <v>99</v>
      </c>
      <c r="V38" s="266" t="s">
        <v>165</v>
      </c>
      <c r="W38" s="266" t="s">
        <v>166</v>
      </c>
      <c r="X38" s="316" t="s">
        <v>787</v>
      </c>
      <c r="Y38" s="266" t="s">
        <v>53</v>
      </c>
      <c r="Z38" s="316" t="s">
        <v>530</v>
      </c>
      <c r="AA38" s="266" t="s">
        <v>1128</v>
      </c>
      <c r="AB38" s="513" t="s">
        <v>1222</v>
      </c>
    </row>
    <row r="39" spans="1:28" ht="81" customHeight="1" x14ac:dyDescent="0.2">
      <c r="A39" s="315" t="s">
        <v>518</v>
      </c>
      <c r="B39" s="316" t="s">
        <v>519</v>
      </c>
      <c r="C39" s="316" t="s">
        <v>520</v>
      </c>
      <c r="D39" s="316" t="s">
        <v>69</v>
      </c>
      <c r="E39" s="316" t="s">
        <v>41</v>
      </c>
      <c r="F39" s="316" t="s">
        <v>157</v>
      </c>
      <c r="G39" s="266" t="s">
        <v>385</v>
      </c>
      <c r="H39" s="266" t="s">
        <v>220</v>
      </c>
      <c r="I39" s="316" t="s">
        <v>421</v>
      </c>
      <c r="J39" s="316" t="s">
        <v>221</v>
      </c>
      <c r="K39" s="316" t="s">
        <v>73</v>
      </c>
      <c r="L39" s="316" t="s">
        <v>222</v>
      </c>
      <c r="M39" s="266" t="s">
        <v>223</v>
      </c>
      <c r="N39" s="266" t="s">
        <v>224</v>
      </c>
      <c r="O39" s="266" t="s">
        <v>114</v>
      </c>
      <c r="P39" s="266" t="s">
        <v>78</v>
      </c>
      <c r="Q39" s="266">
        <v>1</v>
      </c>
      <c r="R39" s="266" t="s">
        <v>225</v>
      </c>
      <c r="S39" s="316" t="s">
        <v>422</v>
      </c>
      <c r="T39" s="266" t="s">
        <v>226</v>
      </c>
      <c r="U39" s="266">
        <v>1</v>
      </c>
      <c r="V39" s="266" t="s">
        <v>225</v>
      </c>
      <c r="W39" s="266" t="s">
        <v>227</v>
      </c>
      <c r="X39" s="316" t="s">
        <v>422</v>
      </c>
      <c r="Y39" s="266" t="s">
        <v>228</v>
      </c>
      <c r="Z39" s="316" t="s">
        <v>229</v>
      </c>
      <c r="AA39" s="266" t="s">
        <v>1130</v>
      </c>
      <c r="AB39" s="513" t="s">
        <v>1223</v>
      </c>
    </row>
    <row r="40" spans="1:28" ht="81.75" customHeight="1" x14ac:dyDescent="0.2">
      <c r="A40" s="315" t="s">
        <v>518</v>
      </c>
      <c r="B40" s="316" t="s">
        <v>519</v>
      </c>
      <c r="C40" s="316" t="s">
        <v>520</v>
      </c>
      <c r="D40" s="316" t="s">
        <v>69</v>
      </c>
      <c r="E40" s="316" t="s">
        <v>41</v>
      </c>
      <c r="F40" s="316" t="s">
        <v>157</v>
      </c>
      <c r="G40" s="266" t="s">
        <v>386</v>
      </c>
      <c r="H40" s="266" t="s">
        <v>230</v>
      </c>
      <c r="I40" s="316" t="s">
        <v>231</v>
      </c>
      <c r="J40" s="316" t="s">
        <v>232</v>
      </c>
      <c r="K40" s="316" t="s">
        <v>73</v>
      </c>
      <c r="L40" s="316" t="s">
        <v>233</v>
      </c>
      <c r="M40" s="266" t="s">
        <v>234</v>
      </c>
      <c r="N40" s="266" t="s">
        <v>235</v>
      </c>
      <c r="O40" s="266" t="s">
        <v>114</v>
      </c>
      <c r="P40" s="266" t="s">
        <v>98</v>
      </c>
      <c r="Q40" s="19">
        <v>0.75</v>
      </c>
      <c r="R40" s="19">
        <v>0.85</v>
      </c>
      <c r="S40" s="316" t="s">
        <v>788</v>
      </c>
      <c r="T40" s="17">
        <v>0.3</v>
      </c>
      <c r="U40" s="17">
        <v>0.5</v>
      </c>
      <c r="V40" s="17">
        <v>0.8</v>
      </c>
      <c r="W40" s="17">
        <v>0.9</v>
      </c>
      <c r="X40" s="316" t="s">
        <v>424</v>
      </c>
      <c r="Y40" s="266" t="s">
        <v>236</v>
      </c>
      <c r="Z40" s="316" t="s">
        <v>237</v>
      </c>
      <c r="AA40" s="266" t="s">
        <v>1130</v>
      </c>
      <c r="AB40" s="513" t="s">
        <v>1223</v>
      </c>
    </row>
    <row r="41" spans="1:28" ht="75" customHeight="1" x14ac:dyDescent="0.2">
      <c r="A41" s="315" t="s">
        <v>518</v>
      </c>
      <c r="B41" s="316" t="s">
        <v>519</v>
      </c>
      <c r="C41" s="316" t="s">
        <v>520</v>
      </c>
      <c r="D41" s="316" t="s">
        <v>69</v>
      </c>
      <c r="E41" s="316" t="s">
        <v>41</v>
      </c>
      <c r="F41" s="316" t="s">
        <v>157</v>
      </c>
      <c r="G41" s="266" t="s">
        <v>387</v>
      </c>
      <c r="H41" s="266" t="s">
        <v>238</v>
      </c>
      <c r="I41" s="316" t="s">
        <v>239</v>
      </c>
      <c r="J41" s="316" t="s">
        <v>240</v>
      </c>
      <c r="K41" s="316" t="s">
        <v>73</v>
      </c>
      <c r="L41" s="316" t="s">
        <v>241</v>
      </c>
      <c r="M41" s="266" t="s">
        <v>242</v>
      </c>
      <c r="N41" s="266" t="s">
        <v>243</v>
      </c>
      <c r="O41" s="266" t="s">
        <v>244</v>
      </c>
      <c r="P41" s="266" t="s">
        <v>98</v>
      </c>
      <c r="Q41" s="266">
        <v>2.94</v>
      </c>
      <c r="R41" s="266" t="s">
        <v>245</v>
      </c>
      <c r="S41" s="316" t="s">
        <v>246</v>
      </c>
      <c r="T41" s="266" t="s">
        <v>247</v>
      </c>
      <c r="U41" s="266" t="s">
        <v>248</v>
      </c>
      <c r="V41" s="266" t="s">
        <v>249</v>
      </c>
      <c r="W41" s="266" t="s">
        <v>250</v>
      </c>
      <c r="X41" s="316" t="s">
        <v>251</v>
      </c>
      <c r="Y41" s="266" t="s">
        <v>236</v>
      </c>
      <c r="Z41" s="316" t="s">
        <v>1142</v>
      </c>
      <c r="AA41" s="266" t="s">
        <v>1130</v>
      </c>
      <c r="AB41" s="513" t="s">
        <v>1223</v>
      </c>
    </row>
    <row r="42" spans="1:28" ht="77.25" customHeight="1" x14ac:dyDescent="0.2">
      <c r="A42" s="315" t="s">
        <v>518</v>
      </c>
      <c r="B42" s="316" t="s">
        <v>519</v>
      </c>
      <c r="C42" s="316" t="s">
        <v>520</v>
      </c>
      <c r="D42" s="316" t="s">
        <v>69</v>
      </c>
      <c r="E42" s="316" t="s">
        <v>41</v>
      </c>
      <c r="F42" s="316" t="s">
        <v>157</v>
      </c>
      <c r="G42" s="266" t="s">
        <v>388</v>
      </c>
      <c r="H42" s="266" t="s">
        <v>277</v>
      </c>
      <c r="I42" s="316" t="s">
        <v>252</v>
      </c>
      <c r="J42" s="316" t="s">
        <v>253</v>
      </c>
      <c r="K42" s="316" t="s">
        <v>89</v>
      </c>
      <c r="L42" s="316" t="s">
        <v>254</v>
      </c>
      <c r="M42" s="266" t="s">
        <v>255</v>
      </c>
      <c r="N42" s="266" t="s">
        <v>256</v>
      </c>
      <c r="O42" s="266" t="s">
        <v>244</v>
      </c>
      <c r="P42" s="266" t="s">
        <v>98</v>
      </c>
      <c r="Q42" s="266" t="s">
        <v>118</v>
      </c>
      <c r="R42" s="266" t="s">
        <v>257</v>
      </c>
      <c r="S42" s="316" t="s">
        <v>481</v>
      </c>
      <c r="T42" s="266" t="s">
        <v>258</v>
      </c>
      <c r="U42" s="266" t="s">
        <v>259</v>
      </c>
      <c r="V42" s="266" t="s">
        <v>260</v>
      </c>
      <c r="W42" s="266" t="s">
        <v>261</v>
      </c>
      <c r="X42" s="316" t="s">
        <v>482</v>
      </c>
      <c r="Y42" s="266" t="s">
        <v>51</v>
      </c>
      <c r="Z42" s="316" t="s">
        <v>262</v>
      </c>
      <c r="AA42" s="266" t="s">
        <v>1130</v>
      </c>
      <c r="AB42" s="513" t="s">
        <v>1223</v>
      </c>
    </row>
    <row r="43" spans="1:28" ht="77.25" customHeight="1" x14ac:dyDescent="0.2">
      <c r="A43" s="315" t="s">
        <v>518</v>
      </c>
      <c r="B43" s="316" t="s">
        <v>519</v>
      </c>
      <c r="C43" s="316" t="s">
        <v>520</v>
      </c>
      <c r="D43" s="316" t="s">
        <v>69</v>
      </c>
      <c r="E43" s="316" t="s">
        <v>41</v>
      </c>
      <c r="F43" s="316" t="s">
        <v>157</v>
      </c>
      <c r="G43" s="266" t="s">
        <v>389</v>
      </c>
      <c r="H43" s="266" t="s">
        <v>263</v>
      </c>
      <c r="I43" s="316" t="s">
        <v>789</v>
      </c>
      <c r="J43" s="316" t="s">
        <v>264</v>
      </c>
      <c r="K43" s="316" t="s">
        <v>73</v>
      </c>
      <c r="L43" s="316" t="s">
        <v>265</v>
      </c>
      <c r="M43" s="266" t="s">
        <v>266</v>
      </c>
      <c r="N43" s="266" t="s">
        <v>1143</v>
      </c>
      <c r="O43" s="266" t="s">
        <v>114</v>
      </c>
      <c r="P43" s="266" t="s">
        <v>98</v>
      </c>
      <c r="Q43" s="19">
        <v>0.81159999999999999</v>
      </c>
      <c r="R43" s="19">
        <v>0.7</v>
      </c>
      <c r="S43" s="316" t="s">
        <v>267</v>
      </c>
      <c r="T43" s="520">
        <v>0.5</v>
      </c>
      <c r="U43" s="520">
        <v>0.6</v>
      </c>
      <c r="V43" s="520">
        <v>0.7</v>
      </c>
      <c r="W43" s="266" t="s">
        <v>268</v>
      </c>
      <c r="X43" s="316" t="s">
        <v>269</v>
      </c>
      <c r="Y43" s="266" t="s">
        <v>228</v>
      </c>
      <c r="Z43" s="316" t="s">
        <v>790</v>
      </c>
      <c r="AA43" s="266" t="s">
        <v>1130</v>
      </c>
      <c r="AB43" s="513" t="s">
        <v>1223</v>
      </c>
    </row>
    <row r="44" spans="1:28" ht="86.25" customHeight="1" x14ac:dyDescent="0.2">
      <c r="A44" s="315" t="s">
        <v>518</v>
      </c>
      <c r="B44" s="316" t="s">
        <v>519</v>
      </c>
      <c r="C44" s="316" t="s">
        <v>520</v>
      </c>
      <c r="D44" s="316" t="s">
        <v>69</v>
      </c>
      <c r="E44" s="316" t="s">
        <v>41</v>
      </c>
      <c r="F44" s="316" t="s">
        <v>157</v>
      </c>
      <c r="G44" s="266" t="s">
        <v>390</v>
      </c>
      <c r="H44" s="266" t="s">
        <v>270</v>
      </c>
      <c r="I44" s="316" t="s">
        <v>791</v>
      </c>
      <c r="J44" s="316" t="s">
        <v>271</v>
      </c>
      <c r="K44" s="316" t="s">
        <v>73</v>
      </c>
      <c r="L44" s="316" t="s">
        <v>272</v>
      </c>
      <c r="M44" s="266" t="s">
        <v>273</v>
      </c>
      <c r="N44" s="266" t="s">
        <v>274</v>
      </c>
      <c r="O44" s="266" t="s">
        <v>244</v>
      </c>
      <c r="P44" s="266" t="s">
        <v>98</v>
      </c>
      <c r="Q44" s="266">
        <v>5</v>
      </c>
      <c r="R44" s="266">
        <v>11</v>
      </c>
      <c r="S44" s="316" t="s">
        <v>275</v>
      </c>
      <c r="T44" s="266">
        <v>5</v>
      </c>
      <c r="U44" s="266">
        <v>7</v>
      </c>
      <c r="V44" s="266">
        <v>9</v>
      </c>
      <c r="W44" s="266">
        <v>11</v>
      </c>
      <c r="X44" s="316" t="s">
        <v>276</v>
      </c>
      <c r="Y44" s="266" t="s">
        <v>228</v>
      </c>
      <c r="Z44" s="316" t="s">
        <v>1144</v>
      </c>
      <c r="AA44" s="266" t="s">
        <v>1130</v>
      </c>
      <c r="AB44" s="513" t="s">
        <v>1223</v>
      </c>
    </row>
    <row r="45" spans="1:28" ht="114" customHeight="1" x14ac:dyDescent="0.2">
      <c r="A45" s="383" t="s">
        <v>404</v>
      </c>
      <c r="B45" s="384" t="s">
        <v>519</v>
      </c>
      <c r="C45" s="384" t="s">
        <v>521</v>
      </c>
      <c r="D45" s="316" t="s">
        <v>69</v>
      </c>
      <c r="E45" s="316" t="s">
        <v>41</v>
      </c>
      <c r="F45" s="316" t="s">
        <v>60</v>
      </c>
      <c r="G45" s="266" t="s">
        <v>391</v>
      </c>
      <c r="H45" s="266" t="s">
        <v>278</v>
      </c>
      <c r="I45" s="316" t="s">
        <v>279</v>
      </c>
      <c r="J45" s="316" t="s">
        <v>280</v>
      </c>
      <c r="K45" s="316" t="s">
        <v>73</v>
      </c>
      <c r="L45" s="316" t="s">
        <v>281</v>
      </c>
      <c r="M45" s="266" t="s">
        <v>282</v>
      </c>
      <c r="N45" s="266" t="s">
        <v>484</v>
      </c>
      <c r="O45" s="266" t="s">
        <v>114</v>
      </c>
      <c r="P45" s="266" t="s">
        <v>78</v>
      </c>
      <c r="Q45" s="266" t="s">
        <v>219</v>
      </c>
      <c r="R45" s="17">
        <v>1</v>
      </c>
      <c r="S45" s="316" t="s">
        <v>483</v>
      </c>
      <c r="T45" s="17">
        <v>0.5</v>
      </c>
      <c r="U45" s="17">
        <v>0.6</v>
      </c>
      <c r="V45" s="17">
        <v>0.9</v>
      </c>
      <c r="W45" s="17">
        <v>1</v>
      </c>
      <c r="X45" s="316" t="s">
        <v>283</v>
      </c>
      <c r="Y45" s="266" t="s">
        <v>53</v>
      </c>
      <c r="Z45" s="316" t="s">
        <v>118</v>
      </c>
      <c r="AA45" s="266" t="s">
        <v>1127</v>
      </c>
      <c r="AB45" s="513" t="s">
        <v>1224</v>
      </c>
    </row>
    <row r="46" spans="1:28" ht="114" customHeight="1" x14ac:dyDescent="0.2">
      <c r="A46" s="383" t="s">
        <v>404</v>
      </c>
      <c r="B46" s="384" t="s">
        <v>519</v>
      </c>
      <c r="C46" s="384" t="s">
        <v>521</v>
      </c>
      <c r="D46" s="316" t="s">
        <v>69</v>
      </c>
      <c r="E46" s="316" t="s">
        <v>41</v>
      </c>
      <c r="F46" s="316" t="s">
        <v>60</v>
      </c>
      <c r="G46" s="266" t="s">
        <v>392</v>
      </c>
      <c r="H46" s="266" t="s">
        <v>284</v>
      </c>
      <c r="I46" s="316" t="s">
        <v>285</v>
      </c>
      <c r="J46" s="316" t="s">
        <v>286</v>
      </c>
      <c r="K46" s="316" t="s">
        <v>73</v>
      </c>
      <c r="L46" s="316" t="s">
        <v>287</v>
      </c>
      <c r="M46" s="266" t="s">
        <v>453</v>
      </c>
      <c r="N46" s="266" t="s">
        <v>454</v>
      </c>
      <c r="O46" s="266" t="s">
        <v>114</v>
      </c>
      <c r="P46" s="266" t="s">
        <v>98</v>
      </c>
      <c r="Q46" s="266" t="s">
        <v>219</v>
      </c>
      <c r="R46" s="17">
        <v>1</v>
      </c>
      <c r="S46" s="316" t="s">
        <v>425</v>
      </c>
      <c r="T46" s="17">
        <v>0.5</v>
      </c>
      <c r="U46" s="17">
        <v>0.6</v>
      </c>
      <c r="V46" s="17">
        <v>0.9</v>
      </c>
      <c r="W46" s="17">
        <v>1</v>
      </c>
      <c r="X46" s="316" t="s">
        <v>1145</v>
      </c>
      <c r="Y46" s="266" t="s">
        <v>53</v>
      </c>
      <c r="Z46" s="316" t="s">
        <v>118</v>
      </c>
      <c r="AA46" s="266" t="s">
        <v>1127</v>
      </c>
      <c r="AB46" s="513" t="s">
        <v>1224</v>
      </c>
    </row>
    <row r="47" spans="1:28" ht="78.75" customHeight="1" x14ac:dyDescent="0.2">
      <c r="A47" s="383" t="s">
        <v>404</v>
      </c>
      <c r="B47" s="384" t="s">
        <v>519</v>
      </c>
      <c r="C47" s="384" t="s">
        <v>522</v>
      </c>
      <c r="D47" s="316" t="s">
        <v>69</v>
      </c>
      <c r="E47" s="316" t="s">
        <v>41</v>
      </c>
      <c r="F47" s="316" t="s">
        <v>60</v>
      </c>
      <c r="G47" s="266" t="s">
        <v>393</v>
      </c>
      <c r="H47" s="266" t="s">
        <v>288</v>
      </c>
      <c r="I47" s="316" t="s">
        <v>289</v>
      </c>
      <c r="J47" s="316" t="s">
        <v>290</v>
      </c>
      <c r="K47" s="316" t="s">
        <v>73</v>
      </c>
      <c r="L47" s="316" t="s">
        <v>291</v>
      </c>
      <c r="M47" s="266" t="s">
        <v>292</v>
      </c>
      <c r="N47" s="266" t="s">
        <v>293</v>
      </c>
      <c r="O47" s="266" t="s">
        <v>244</v>
      </c>
      <c r="P47" s="266" t="s">
        <v>78</v>
      </c>
      <c r="Q47" s="266" t="s">
        <v>219</v>
      </c>
      <c r="R47" s="266">
        <v>4</v>
      </c>
      <c r="S47" s="316" t="s">
        <v>792</v>
      </c>
      <c r="T47" s="17">
        <v>0.5</v>
      </c>
      <c r="U47" s="17">
        <v>0.6</v>
      </c>
      <c r="V47" s="17">
        <v>0.9</v>
      </c>
      <c r="W47" s="17">
        <v>1</v>
      </c>
      <c r="X47" s="316" t="s">
        <v>1146</v>
      </c>
      <c r="Y47" s="266" t="s">
        <v>53</v>
      </c>
      <c r="Z47" s="316" t="s">
        <v>118</v>
      </c>
      <c r="AA47" s="266" t="s">
        <v>1127</v>
      </c>
      <c r="AB47" s="513" t="s">
        <v>1224</v>
      </c>
    </row>
    <row r="48" spans="1:28" ht="108" customHeight="1" x14ac:dyDescent="0.2">
      <c r="A48" s="383" t="s">
        <v>83</v>
      </c>
      <c r="B48" s="384" t="s">
        <v>523</v>
      </c>
      <c r="C48" s="384" t="s">
        <v>524</v>
      </c>
      <c r="D48" s="316" t="s">
        <v>69</v>
      </c>
      <c r="E48" s="316" t="s">
        <v>41</v>
      </c>
      <c r="F48" s="316" t="s">
        <v>157</v>
      </c>
      <c r="G48" s="266" t="s">
        <v>394</v>
      </c>
      <c r="H48" s="266" t="s">
        <v>294</v>
      </c>
      <c r="I48" s="316" t="s">
        <v>295</v>
      </c>
      <c r="J48" s="316" t="s">
        <v>296</v>
      </c>
      <c r="K48" s="316" t="s">
        <v>89</v>
      </c>
      <c r="L48" s="316" t="s">
        <v>297</v>
      </c>
      <c r="M48" s="266" t="s">
        <v>455</v>
      </c>
      <c r="N48" s="266" t="s">
        <v>485</v>
      </c>
      <c r="O48" s="266" t="s">
        <v>77</v>
      </c>
      <c r="P48" s="266" t="s">
        <v>78</v>
      </c>
      <c r="Q48" s="17">
        <v>1</v>
      </c>
      <c r="R48" s="17">
        <v>1</v>
      </c>
      <c r="S48" s="316" t="s">
        <v>486</v>
      </c>
      <c r="T48" s="266" t="s">
        <v>298</v>
      </c>
      <c r="U48" s="266" t="s">
        <v>299</v>
      </c>
      <c r="V48" s="266" t="s">
        <v>456</v>
      </c>
      <c r="W48" s="17">
        <v>1</v>
      </c>
      <c r="X48" s="316" t="s">
        <v>300</v>
      </c>
      <c r="Y48" s="266" t="s">
        <v>53</v>
      </c>
      <c r="Z48" s="316" t="s">
        <v>118</v>
      </c>
      <c r="AA48" s="266" t="s">
        <v>1127</v>
      </c>
      <c r="AB48" s="513" t="s">
        <v>1225</v>
      </c>
    </row>
    <row r="49" spans="1:28" ht="110.25" customHeight="1" x14ac:dyDescent="0.2">
      <c r="A49" s="383" t="s">
        <v>83</v>
      </c>
      <c r="B49" s="384" t="s">
        <v>523</v>
      </c>
      <c r="C49" s="384" t="s">
        <v>524</v>
      </c>
      <c r="D49" s="316" t="s">
        <v>69</v>
      </c>
      <c r="E49" s="316" t="s">
        <v>41</v>
      </c>
      <c r="F49" s="316" t="s">
        <v>157</v>
      </c>
      <c r="G49" s="266" t="s">
        <v>395</v>
      </c>
      <c r="H49" s="266" t="s">
        <v>301</v>
      </c>
      <c r="I49" s="316" t="s">
        <v>302</v>
      </c>
      <c r="J49" s="316" t="s">
        <v>303</v>
      </c>
      <c r="K49" s="316" t="s">
        <v>123</v>
      </c>
      <c r="L49" s="316" t="s">
        <v>304</v>
      </c>
      <c r="M49" s="266" t="s">
        <v>1147</v>
      </c>
      <c r="N49" s="266" t="s">
        <v>1148</v>
      </c>
      <c r="O49" s="266" t="s">
        <v>77</v>
      </c>
      <c r="P49" s="266" t="s">
        <v>98</v>
      </c>
      <c r="Q49" s="17">
        <v>1</v>
      </c>
      <c r="R49" s="17">
        <v>1</v>
      </c>
      <c r="S49" s="316" t="s">
        <v>487</v>
      </c>
      <c r="T49" s="266" t="s">
        <v>1149</v>
      </c>
      <c r="U49" s="266" t="s">
        <v>1150</v>
      </c>
      <c r="V49" s="266" t="s">
        <v>1151</v>
      </c>
      <c r="W49" s="17">
        <v>1</v>
      </c>
      <c r="X49" s="316" t="s">
        <v>358</v>
      </c>
      <c r="Y49" s="266" t="s">
        <v>51</v>
      </c>
      <c r="Z49" s="316" t="s">
        <v>118</v>
      </c>
      <c r="AA49" s="266" t="s">
        <v>1127</v>
      </c>
      <c r="AB49" s="513" t="s">
        <v>1225</v>
      </c>
    </row>
    <row r="50" spans="1:28" ht="92.25" customHeight="1" x14ac:dyDescent="0.2">
      <c r="A50" s="315" t="s">
        <v>525</v>
      </c>
      <c r="B50" s="316" t="s">
        <v>519</v>
      </c>
      <c r="C50" s="316" t="s">
        <v>526</v>
      </c>
      <c r="D50" s="316" t="str">
        <f>IF(E50="","",CONCATENATE("OE_",MID(E50,1,1)))</f>
        <v>OE_5</v>
      </c>
      <c r="E50" s="316" t="s">
        <v>41</v>
      </c>
      <c r="F50" s="316" t="s">
        <v>60</v>
      </c>
      <c r="G50" s="266" t="s">
        <v>396</v>
      </c>
      <c r="H50" s="266" t="s">
        <v>426</v>
      </c>
      <c r="I50" s="316" t="s">
        <v>305</v>
      </c>
      <c r="J50" s="316" t="s">
        <v>306</v>
      </c>
      <c r="K50" s="316" t="s">
        <v>73</v>
      </c>
      <c r="L50" s="316" t="s">
        <v>307</v>
      </c>
      <c r="M50" s="266" t="s">
        <v>308</v>
      </c>
      <c r="N50" s="266" t="s">
        <v>309</v>
      </c>
      <c r="O50" s="266" t="s">
        <v>77</v>
      </c>
      <c r="P50" s="266" t="s">
        <v>98</v>
      </c>
      <c r="Q50" s="12">
        <v>0.97</v>
      </c>
      <c r="R50" s="12">
        <v>0.96</v>
      </c>
      <c r="S50" s="316" t="s">
        <v>488</v>
      </c>
      <c r="T50" s="266" t="s">
        <v>226</v>
      </c>
      <c r="U50" s="266" t="s">
        <v>310</v>
      </c>
      <c r="V50" s="266" t="s">
        <v>311</v>
      </c>
      <c r="W50" s="266" t="s">
        <v>312</v>
      </c>
      <c r="X50" s="316" t="s">
        <v>313</v>
      </c>
      <c r="Y50" s="266" t="s">
        <v>53</v>
      </c>
      <c r="Z50" s="316" t="s">
        <v>118</v>
      </c>
      <c r="AA50" s="266" t="s">
        <v>649</v>
      </c>
      <c r="AB50" s="513" t="s">
        <v>1226</v>
      </c>
    </row>
    <row r="51" spans="1:28" ht="90.75" customHeight="1" x14ac:dyDescent="0.2">
      <c r="A51" s="315" t="s">
        <v>525</v>
      </c>
      <c r="B51" s="316" t="s">
        <v>519</v>
      </c>
      <c r="C51" s="316" t="s">
        <v>526</v>
      </c>
      <c r="D51" s="316" t="str">
        <f t="shared" ref="D51:D53" si="2">IF(E51="","",CONCATENATE("OE_",MID(E51,1,1)))</f>
        <v>OE_5</v>
      </c>
      <c r="E51" s="316" t="s">
        <v>41</v>
      </c>
      <c r="F51" s="316" t="s">
        <v>60</v>
      </c>
      <c r="G51" s="266" t="s">
        <v>397</v>
      </c>
      <c r="H51" s="266" t="s">
        <v>427</v>
      </c>
      <c r="I51" s="316" t="s">
        <v>305</v>
      </c>
      <c r="J51" s="316" t="s">
        <v>314</v>
      </c>
      <c r="K51" s="316" t="s">
        <v>73</v>
      </c>
      <c r="L51" s="316" t="s">
        <v>315</v>
      </c>
      <c r="M51" s="266" t="s">
        <v>316</v>
      </c>
      <c r="N51" s="266" t="s">
        <v>317</v>
      </c>
      <c r="O51" s="266" t="s">
        <v>77</v>
      </c>
      <c r="P51" s="266" t="s">
        <v>98</v>
      </c>
      <c r="Q51" s="12">
        <v>0.65</v>
      </c>
      <c r="R51" s="12">
        <v>0.65</v>
      </c>
      <c r="S51" s="316" t="s">
        <v>489</v>
      </c>
      <c r="T51" s="266" t="s">
        <v>318</v>
      </c>
      <c r="U51" s="266" t="s">
        <v>319</v>
      </c>
      <c r="V51" s="266" t="s">
        <v>320</v>
      </c>
      <c r="W51" s="266" t="s">
        <v>321</v>
      </c>
      <c r="X51" s="316" t="s">
        <v>322</v>
      </c>
      <c r="Y51" s="266" t="s">
        <v>54</v>
      </c>
      <c r="Z51" s="316" t="s">
        <v>323</v>
      </c>
      <c r="AA51" s="266" t="s">
        <v>649</v>
      </c>
      <c r="AB51" s="513" t="s">
        <v>1226</v>
      </c>
    </row>
    <row r="52" spans="1:28" ht="96" customHeight="1" x14ac:dyDescent="0.2">
      <c r="A52" s="315" t="s">
        <v>525</v>
      </c>
      <c r="B52" s="316" t="s">
        <v>519</v>
      </c>
      <c r="C52" s="316" t="s">
        <v>526</v>
      </c>
      <c r="D52" s="316" t="str">
        <f t="shared" si="2"/>
        <v>OE_5</v>
      </c>
      <c r="E52" s="316" t="s">
        <v>41</v>
      </c>
      <c r="F52" s="316" t="s">
        <v>60</v>
      </c>
      <c r="G52" s="266" t="s">
        <v>398</v>
      </c>
      <c r="H52" s="266" t="s">
        <v>428</v>
      </c>
      <c r="I52" s="316" t="s">
        <v>305</v>
      </c>
      <c r="J52" s="316" t="s">
        <v>324</v>
      </c>
      <c r="K52" s="316" t="s">
        <v>73</v>
      </c>
      <c r="L52" s="316" t="s">
        <v>325</v>
      </c>
      <c r="M52" s="266" t="s">
        <v>326</v>
      </c>
      <c r="N52" s="266" t="s">
        <v>327</v>
      </c>
      <c r="O52" s="266" t="s">
        <v>77</v>
      </c>
      <c r="P52" s="266" t="s">
        <v>78</v>
      </c>
      <c r="Q52" s="12">
        <v>0.75</v>
      </c>
      <c r="R52" s="12">
        <v>0.75</v>
      </c>
      <c r="S52" s="316" t="s">
        <v>490</v>
      </c>
      <c r="T52" s="266" t="s">
        <v>318</v>
      </c>
      <c r="U52" s="266" t="s">
        <v>319</v>
      </c>
      <c r="V52" s="266" t="s">
        <v>328</v>
      </c>
      <c r="W52" s="266" t="s">
        <v>329</v>
      </c>
      <c r="X52" s="316" t="s">
        <v>330</v>
      </c>
      <c r="Y52" s="266" t="s">
        <v>54</v>
      </c>
      <c r="Z52" s="316" t="s">
        <v>323</v>
      </c>
      <c r="AA52" s="266" t="s">
        <v>649</v>
      </c>
      <c r="AB52" s="513" t="s">
        <v>1226</v>
      </c>
    </row>
    <row r="53" spans="1:28" ht="90.75" customHeight="1" x14ac:dyDescent="0.2">
      <c r="A53" s="315" t="s">
        <v>525</v>
      </c>
      <c r="B53" s="316" t="s">
        <v>519</v>
      </c>
      <c r="C53" s="316" t="s">
        <v>526</v>
      </c>
      <c r="D53" s="316" t="str">
        <f t="shared" si="2"/>
        <v>OE_5</v>
      </c>
      <c r="E53" s="316" t="s">
        <v>41</v>
      </c>
      <c r="F53" s="316" t="s">
        <v>60</v>
      </c>
      <c r="G53" s="266" t="s">
        <v>399</v>
      </c>
      <c r="H53" s="266" t="s">
        <v>429</v>
      </c>
      <c r="I53" s="316" t="s">
        <v>305</v>
      </c>
      <c r="J53" s="316" t="s">
        <v>793</v>
      </c>
      <c r="K53" s="316" t="s">
        <v>73</v>
      </c>
      <c r="L53" s="316" t="s">
        <v>331</v>
      </c>
      <c r="M53" s="266" t="s">
        <v>332</v>
      </c>
      <c r="N53" s="266" t="s">
        <v>333</v>
      </c>
      <c r="O53" s="266" t="s">
        <v>77</v>
      </c>
      <c r="P53" s="266" t="s">
        <v>98</v>
      </c>
      <c r="Q53" s="12" t="s">
        <v>118</v>
      </c>
      <c r="R53" s="12">
        <v>0.65</v>
      </c>
      <c r="S53" s="316" t="s">
        <v>491</v>
      </c>
      <c r="T53" s="266" t="s">
        <v>318</v>
      </c>
      <c r="U53" s="266" t="s">
        <v>319</v>
      </c>
      <c r="V53" s="266" t="s">
        <v>320</v>
      </c>
      <c r="W53" s="266" t="s">
        <v>321</v>
      </c>
      <c r="X53" s="316" t="s">
        <v>334</v>
      </c>
      <c r="Y53" s="266" t="s">
        <v>54</v>
      </c>
      <c r="Z53" s="316" t="s">
        <v>335</v>
      </c>
      <c r="AA53" s="266" t="s">
        <v>649</v>
      </c>
      <c r="AB53" s="513" t="s">
        <v>1226</v>
      </c>
    </row>
    <row r="54" spans="1:28" ht="87" customHeight="1" x14ac:dyDescent="0.2">
      <c r="A54" s="315" t="s">
        <v>525</v>
      </c>
      <c r="B54" s="316" t="s">
        <v>519</v>
      </c>
      <c r="C54" s="316" t="s">
        <v>526</v>
      </c>
      <c r="D54" s="316" t="str">
        <f>IF(E54="","",CONCATENATE("OE_",MID(E54,1,1)))</f>
        <v>OE_5</v>
      </c>
      <c r="E54" s="316" t="s">
        <v>41</v>
      </c>
      <c r="F54" s="316" t="s">
        <v>60</v>
      </c>
      <c r="G54" s="266" t="s">
        <v>400</v>
      </c>
      <c r="H54" s="266" t="s">
        <v>430</v>
      </c>
      <c r="I54" s="316" t="s">
        <v>305</v>
      </c>
      <c r="J54" s="316" t="s">
        <v>336</v>
      </c>
      <c r="K54" s="316" t="s">
        <v>73</v>
      </c>
      <c r="L54" s="316" t="s">
        <v>337</v>
      </c>
      <c r="M54" s="266" t="s">
        <v>338</v>
      </c>
      <c r="N54" s="266" t="s">
        <v>339</v>
      </c>
      <c r="O54" s="266" t="s">
        <v>77</v>
      </c>
      <c r="P54" s="266" t="s">
        <v>78</v>
      </c>
      <c r="Q54" s="12" t="s">
        <v>118</v>
      </c>
      <c r="R54" s="12">
        <v>0.25</v>
      </c>
      <c r="S54" s="316" t="s">
        <v>340</v>
      </c>
      <c r="T54" s="12" t="s">
        <v>341</v>
      </c>
      <c r="U54" s="12" t="s">
        <v>342</v>
      </c>
      <c r="V54" s="12" t="s">
        <v>343</v>
      </c>
      <c r="W54" s="12" t="s">
        <v>344</v>
      </c>
      <c r="X54" s="316" t="s">
        <v>345</v>
      </c>
      <c r="Y54" s="266" t="s">
        <v>53</v>
      </c>
      <c r="Z54" s="316" t="s">
        <v>346</v>
      </c>
      <c r="AA54" s="266" t="s">
        <v>649</v>
      </c>
      <c r="AB54" s="513" t="s">
        <v>1226</v>
      </c>
    </row>
    <row r="55" spans="1:28" ht="88.5" customHeight="1" x14ac:dyDescent="0.2">
      <c r="A55" s="315" t="s">
        <v>525</v>
      </c>
      <c r="B55" s="316" t="s">
        <v>519</v>
      </c>
      <c r="C55" s="316" t="s">
        <v>526</v>
      </c>
      <c r="D55" s="316" t="str">
        <f>IF(E55="","",CONCATENATE("OE_",MID(E55,1,1)))</f>
        <v>OE_5</v>
      </c>
      <c r="E55" s="316" t="s">
        <v>41</v>
      </c>
      <c r="F55" s="316" t="s">
        <v>60</v>
      </c>
      <c r="G55" s="266" t="s">
        <v>401</v>
      </c>
      <c r="H55" s="266" t="s">
        <v>431</v>
      </c>
      <c r="I55" s="316" t="s">
        <v>305</v>
      </c>
      <c r="J55" s="316" t="s">
        <v>347</v>
      </c>
      <c r="K55" s="316" t="s">
        <v>123</v>
      </c>
      <c r="L55" s="316" t="s">
        <v>348</v>
      </c>
      <c r="M55" s="266" t="s">
        <v>349</v>
      </c>
      <c r="N55" s="266" t="s">
        <v>350</v>
      </c>
      <c r="O55" s="266" t="s">
        <v>351</v>
      </c>
      <c r="P55" s="266" t="s">
        <v>98</v>
      </c>
      <c r="Q55" s="12" t="s">
        <v>118</v>
      </c>
      <c r="R55" s="25">
        <v>4</v>
      </c>
      <c r="S55" s="316" t="s">
        <v>492</v>
      </c>
      <c r="T55" s="26" t="s">
        <v>352</v>
      </c>
      <c r="U55" s="26" t="s">
        <v>353</v>
      </c>
      <c r="V55" s="26" t="s">
        <v>354</v>
      </c>
      <c r="W55" s="25">
        <v>4</v>
      </c>
      <c r="X55" s="316" t="s">
        <v>345</v>
      </c>
      <c r="Y55" s="266" t="s">
        <v>1100</v>
      </c>
      <c r="Z55" s="316" t="s">
        <v>794</v>
      </c>
      <c r="AA55" s="266" t="s">
        <v>649</v>
      </c>
      <c r="AB55" s="513" t="s">
        <v>1226</v>
      </c>
    </row>
    <row r="56" spans="1:28" ht="20.25" customHeight="1" thickBot="1" x14ac:dyDescent="0.25">
      <c r="A56" s="27"/>
      <c r="B56" s="28"/>
      <c r="C56" s="28"/>
      <c r="D56" s="28" t="str">
        <f t="shared" ref="D56" si="3">IF(E56="","",CONCATENATE("OE_",MID(E56,1,1)))</f>
        <v/>
      </c>
      <c r="E56" s="28"/>
      <c r="F56" s="28"/>
      <c r="G56" s="28"/>
      <c r="H56" s="28"/>
      <c r="I56" s="28"/>
      <c r="J56" s="28"/>
      <c r="K56" s="28"/>
      <c r="L56" s="28"/>
      <c r="M56" s="28"/>
      <c r="N56" s="28"/>
      <c r="O56" s="28"/>
      <c r="P56" s="28"/>
      <c r="Q56" s="28"/>
      <c r="R56" s="28"/>
      <c r="S56" s="28"/>
      <c r="T56" s="28"/>
      <c r="U56" s="28"/>
      <c r="V56" s="28"/>
      <c r="W56" s="28"/>
      <c r="X56" s="28"/>
      <c r="Y56" s="28"/>
      <c r="Z56" s="28"/>
      <c r="AA56" s="28"/>
      <c r="AB56" s="29"/>
    </row>
    <row r="57" spans="1:28" ht="13.5" thickBot="1" x14ac:dyDescent="0.25">
      <c r="F57" s="3"/>
      <c r="G57" s="3"/>
      <c r="H57" s="3"/>
      <c r="K57" s="3"/>
    </row>
    <row r="58" spans="1:28" ht="21" customHeight="1" thickBot="1" x14ac:dyDescent="0.25">
      <c r="A58" s="575" t="s">
        <v>34</v>
      </c>
      <c r="B58" s="576"/>
      <c r="C58" s="576"/>
      <c r="D58" s="576"/>
      <c r="E58" s="576"/>
      <c r="F58" s="577"/>
      <c r="H58" s="603" t="s">
        <v>533</v>
      </c>
      <c r="I58" s="604"/>
      <c r="J58" s="604"/>
      <c r="K58" s="604"/>
      <c r="L58" s="604"/>
      <c r="M58" s="604"/>
      <c r="N58" s="604"/>
      <c r="O58" s="604"/>
      <c r="P58" s="604"/>
      <c r="Q58" s="604"/>
      <c r="R58" s="604"/>
      <c r="S58" s="604"/>
      <c r="T58" s="604"/>
      <c r="U58" s="604"/>
      <c r="V58" s="604"/>
      <c r="W58" s="604"/>
      <c r="X58" s="604"/>
      <c r="Y58" s="604"/>
      <c r="Z58" s="604"/>
      <c r="AA58" s="604"/>
      <c r="AB58" s="605"/>
    </row>
    <row r="59" spans="1:28" ht="44.25" customHeight="1" x14ac:dyDescent="0.2">
      <c r="A59" s="23" t="s">
        <v>11</v>
      </c>
      <c r="B59" s="608" t="s">
        <v>35</v>
      </c>
      <c r="C59" s="609"/>
      <c r="D59" s="609"/>
      <c r="E59" s="609"/>
      <c r="F59" s="610"/>
      <c r="H59" s="313" t="s">
        <v>534</v>
      </c>
      <c r="I59" s="606" t="s">
        <v>795</v>
      </c>
      <c r="J59" s="606"/>
      <c r="K59" s="606"/>
      <c r="L59" s="606"/>
      <c r="M59" s="606"/>
      <c r="N59" s="606"/>
      <c r="O59" s="606"/>
      <c r="P59" s="606"/>
      <c r="Q59" s="606"/>
      <c r="R59" s="606"/>
      <c r="S59" s="606"/>
      <c r="T59" s="606"/>
      <c r="U59" s="606"/>
      <c r="V59" s="606"/>
      <c r="W59" s="606"/>
      <c r="X59" s="606"/>
      <c r="Y59" s="606"/>
      <c r="Z59" s="606"/>
      <c r="AA59" s="606"/>
      <c r="AB59" s="607"/>
    </row>
    <row r="60" spans="1:28" ht="44.25" customHeight="1" x14ac:dyDescent="0.2">
      <c r="A60" s="24" t="s">
        <v>12</v>
      </c>
      <c r="B60" s="596" t="s">
        <v>36</v>
      </c>
      <c r="C60" s="591"/>
      <c r="D60" s="591"/>
      <c r="E60" s="591"/>
      <c r="F60" s="597"/>
      <c r="H60" s="514" t="s">
        <v>805</v>
      </c>
      <c r="I60" s="591" t="s">
        <v>842</v>
      </c>
      <c r="J60" s="591"/>
      <c r="K60" s="591"/>
      <c r="L60" s="591"/>
      <c r="M60" s="591"/>
      <c r="N60" s="591"/>
      <c r="O60" s="591"/>
      <c r="P60" s="591"/>
      <c r="Q60" s="591"/>
      <c r="R60" s="591"/>
      <c r="S60" s="591"/>
      <c r="T60" s="591"/>
      <c r="U60" s="591"/>
      <c r="V60" s="591"/>
      <c r="W60" s="591"/>
      <c r="X60" s="591"/>
      <c r="Y60" s="591"/>
      <c r="Z60" s="591"/>
      <c r="AA60" s="591"/>
      <c r="AB60" s="597"/>
    </row>
    <row r="61" spans="1:28" ht="44.25" customHeight="1" x14ac:dyDescent="0.2">
      <c r="A61" s="601" t="s">
        <v>13</v>
      </c>
      <c r="B61" s="596" t="s">
        <v>37</v>
      </c>
      <c r="C61" s="591"/>
      <c r="D61" s="591"/>
      <c r="E61" s="591"/>
      <c r="F61" s="597"/>
      <c r="H61" s="514" t="s">
        <v>1069</v>
      </c>
      <c r="I61" s="591" t="s">
        <v>1070</v>
      </c>
      <c r="J61" s="591"/>
      <c r="K61" s="591"/>
      <c r="L61" s="591"/>
      <c r="M61" s="591"/>
      <c r="N61" s="591"/>
      <c r="O61" s="591"/>
      <c r="P61" s="591"/>
      <c r="Q61" s="591"/>
      <c r="R61" s="591"/>
      <c r="S61" s="591"/>
      <c r="T61" s="591"/>
      <c r="U61" s="591"/>
      <c r="V61" s="591"/>
      <c r="W61" s="591"/>
      <c r="X61" s="591"/>
      <c r="Y61" s="591"/>
      <c r="Z61" s="591"/>
      <c r="AA61" s="591"/>
      <c r="AB61" s="597"/>
    </row>
    <row r="62" spans="1:28" ht="44.25" customHeight="1" thickBot="1" x14ac:dyDescent="0.25">
      <c r="A62" s="601"/>
      <c r="B62" s="596" t="s">
        <v>38</v>
      </c>
      <c r="C62" s="591"/>
      <c r="D62" s="591"/>
      <c r="E62" s="591"/>
      <c r="F62" s="597"/>
      <c r="H62" s="314" t="s">
        <v>1152</v>
      </c>
      <c r="I62" s="599" t="s">
        <v>1138</v>
      </c>
      <c r="J62" s="599"/>
      <c r="K62" s="599"/>
      <c r="L62" s="599"/>
      <c r="M62" s="599"/>
      <c r="N62" s="599"/>
      <c r="O62" s="599"/>
      <c r="P62" s="599"/>
      <c r="Q62" s="599"/>
      <c r="R62" s="599"/>
      <c r="S62" s="599"/>
      <c r="T62" s="599"/>
      <c r="U62" s="599"/>
      <c r="V62" s="599"/>
      <c r="W62" s="599"/>
      <c r="X62" s="599"/>
      <c r="Y62" s="599"/>
      <c r="Z62" s="599"/>
      <c r="AA62" s="599"/>
      <c r="AB62" s="600"/>
    </row>
    <row r="63" spans="1:28" ht="44.25" customHeight="1" x14ac:dyDescent="0.2">
      <c r="A63" s="601"/>
      <c r="B63" s="596" t="s">
        <v>39</v>
      </c>
      <c r="C63" s="591"/>
      <c r="D63" s="591"/>
      <c r="E63" s="591"/>
      <c r="F63" s="597"/>
      <c r="I63" s="22"/>
      <c r="J63" s="22"/>
      <c r="K63" s="22"/>
      <c r="L63" s="20"/>
      <c r="M63" s="20"/>
      <c r="N63" s="20"/>
      <c r="O63" s="20"/>
      <c r="P63" s="20"/>
      <c r="Q63" s="20"/>
      <c r="R63" s="20"/>
      <c r="S63" s="20"/>
      <c r="T63" s="20"/>
      <c r="U63" s="20"/>
      <c r="V63" s="20"/>
      <c r="W63" s="20"/>
      <c r="X63" s="20"/>
      <c r="Y63" s="20"/>
      <c r="Z63" s="20"/>
      <c r="AA63" s="20"/>
      <c r="AB63" s="20"/>
    </row>
    <row r="64" spans="1:28" ht="44.25" customHeight="1" x14ac:dyDescent="0.2">
      <c r="A64" s="601"/>
      <c r="B64" s="596" t="s">
        <v>40</v>
      </c>
      <c r="C64" s="591"/>
      <c r="D64" s="591"/>
      <c r="E64" s="591"/>
      <c r="F64" s="597"/>
      <c r="I64" s="22"/>
      <c r="J64" s="22"/>
      <c r="K64" s="22"/>
      <c r="L64" s="20"/>
      <c r="M64" s="20"/>
      <c r="N64" s="20"/>
      <c r="O64" s="20"/>
      <c r="P64" s="20"/>
      <c r="Q64" s="20"/>
      <c r="R64" s="20"/>
      <c r="S64" s="20"/>
      <c r="T64" s="20"/>
      <c r="U64" s="20"/>
      <c r="V64" s="20"/>
      <c r="W64" s="20"/>
      <c r="X64" s="20"/>
      <c r="Y64" s="20"/>
      <c r="Z64" s="20"/>
      <c r="AA64" s="20"/>
      <c r="AB64" s="20"/>
    </row>
    <row r="65" spans="1:28" ht="44.25" customHeight="1" thickBot="1" x14ac:dyDescent="0.25">
      <c r="A65" s="602"/>
      <c r="B65" s="598" t="s">
        <v>41</v>
      </c>
      <c r="C65" s="599"/>
      <c r="D65" s="599"/>
      <c r="E65" s="599"/>
      <c r="F65" s="600"/>
      <c r="I65" s="22"/>
      <c r="J65" s="22"/>
      <c r="K65" s="22"/>
      <c r="L65" s="20"/>
      <c r="M65" s="20"/>
      <c r="N65" s="20"/>
      <c r="O65" s="20"/>
      <c r="P65" s="20"/>
      <c r="Q65" s="20"/>
      <c r="R65" s="20"/>
      <c r="S65" s="20"/>
      <c r="T65" s="20"/>
      <c r="U65" s="20"/>
      <c r="V65" s="20"/>
      <c r="W65" s="20"/>
      <c r="X65" s="20"/>
      <c r="Y65" s="20"/>
      <c r="Z65" s="20"/>
      <c r="AA65" s="20"/>
      <c r="AB65" s="20"/>
    </row>
    <row r="66" spans="1:28" ht="19.5" customHeight="1" x14ac:dyDescent="0.2">
      <c r="F66" s="21"/>
      <c r="G66" s="21"/>
      <c r="H66" s="20"/>
      <c r="I66" s="20"/>
      <c r="J66" s="20"/>
      <c r="K66" s="20"/>
      <c r="L66" s="20"/>
      <c r="M66" s="20"/>
      <c r="N66" s="20"/>
      <c r="O66" s="20"/>
      <c r="P66" s="20"/>
      <c r="Q66" s="20"/>
      <c r="R66" s="20"/>
      <c r="S66" s="20"/>
      <c r="T66" s="20"/>
      <c r="U66" s="20"/>
      <c r="V66" s="20"/>
      <c r="W66" s="20"/>
      <c r="X66" s="20"/>
      <c r="Y66" s="20"/>
      <c r="Z66" s="20"/>
      <c r="AA66" s="20"/>
      <c r="AB66" s="20"/>
    </row>
    <row r="67" spans="1:28" x14ac:dyDescent="0.2"/>
    <row r="68" spans="1:28" x14ac:dyDescent="0.2"/>
  </sheetData>
  <autoFilter ref="A7:AD56" xr:uid="{987EFC67-042D-49AE-A026-6F184EB2F603}">
    <filterColumn colId="3" showButton="0"/>
  </autoFilter>
  <mergeCells count="42">
    <mergeCell ref="B64:F64"/>
    <mergeCell ref="B65:F65"/>
    <mergeCell ref="A61:A65"/>
    <mergeCell ref="H58:AB58"/>
    <mergeCell ref="I59:AB59"/>
    <mergeCell ref="B59:F59"/>
    <mergeCell ref="B60:F60"/>
    <mergeCell ref="B61:F61"/>
    <mergeCell ref="B62:F62"/>
    <mergeCell ref="B63:F63"/>
    <mergeCell ref="I60:AB60"/>
    <mergeCell ref="I61:AB61"/>
    <mergeCell ref="I62:AB62"/>
    <mergeCell ref="Z6:Z7"/>
    <mergeCell ref="I21:I22"/>
    <mergeCell ref="D6:E7"/>
    <mergeCell ref="Y6:Y7"/>
    <mergeCell ref="J6:J7"/>
    <mergeCell ref="X6:X7"/>
    <mergeCell ref="I6:I7"/>
    <mergeCell ref="K6:K7"/>
    <mergeCell ref="P6:P7"/>
    <mergeCell ref="R6:S6"/>
    <mergeCell ref="T6:W6"/>
    <mergeCell ref="M6:N6"/>
    <mergeCell ref="H21:H22"/>
    <mergeCell ref="B3:AB3"/>
    <mergeCell ref="H31:H32"/>
    <mergeCell ref="A58:F58"/>
    <mergeCell ref="A1:AB1"/>
    <mergeCell ref="A2:AB2"/>
    <mergeCell ref="A6:A7"/>
    <mergeCell ref="B6:B7"/>
    <mergeCell ref="C6:C7"/>
    <mergeCell ref="Q6:Q7"/>
    <mergeCell ref="L6:L7"/>
    <mergeCell ref="O6:O7"/>
    <mergeCell ref="F6:F7"/>
    <mergeCell ref="AA6:AA7"/>
    <mergeCell ref="AB6:AB7"/>
    <mergeCell ref="G6:G7"/>
    <mergeCell ref="H6:H7"/>
  </mergeCells>
  <phoneticPr fontId="3" type="noConversion"/>
  <dataValidations count="5">
    <dataValidation type="list" allowBlank="1" showInputMessage="1" showErrorMessage="1" sqref="K8:K56" xr:uid="{9577BD02-6873-4958-90C1-86A2728B8228}">
      <formula1>TIPO</formula1>
    </dataValidation>
    <dataValidation type="list" allowBlank="1" showInputMessage="1" showErrorMessage="1" sqref="P8:P56" xr:uid="{B5869A76-511C-4972-BD54-F72FB210FC94}">
      <formula1>TENDENCIA</formula1>
    </dataValidation>
    <dataValidation type="list" allowBlank="1" showInputMessage="1" showErrorMessage="1" sqref="Y56 Y8:Y54" xr:uid="{7C99D210-BAD8-4FE2-A67F-81EF95867E98}">
      <formula1>PERIODICIDAD</formula1>
    </dataValidation>
    <dataValidation type="list" allowBlank="1" showInputMessage="1" showErrorMessage="1" sqref="E8:E56" xr:uid="{5D0A88D9-CF2B-4459-BD1E-037260177A57}">
      <formula1>OBJETIVOS</formula1>
    </dataValidation>
    <dataValidation type="list" allowBlank="1" showInputMessage="1" showErrorMessage="1" sqref="F8:F56" xr:uid="{3BD0F63A-AA72-4CC2-AADF-A4ECA6F95145}">
      <formula1>INDIRECT(D8)</formula1>
    </dataValidation>
  </dataValidations>
  <pageMargins left="0.24" right="0.15" top="0.42" bottom="0.74803149606299213" header="0.25" footer="0.31496062992125984"/>
  <pageSetup paperSize="5" scale="6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C0701-848F-452D-914E-E46F93507DB3}">
  <dimension ref="A1:Z52"/>
  <sheetViews>
    <sheetView showGridLines="0" workbookViewId="0">
      <selection activeCell="B6" sqref="B6:B7"/>
    </sheetView>
  </sheetViews>
  <sheetFormatPr baseColWidth="10" defaultColWidth="0" defaultRowHeight="15" customHeight="1" zeroHeight="1" x14ac:dyDescent="0.25"/>
  <cols>
    <col min="1" max="1" width="2.42578125" style="166" customWidth="1"/>
    <col min="2" max="2" width="4.42578125" style="217" customWidth="1"/>
    <col min="3" max="3" width="30" style="218" customWidth="1"/>
    <col min="4" max="4" width="21.85546875" style="218" customWidth="1"/>
    <col min="5" max="5" width="30" style="218" customWidth="1"/>
    <col min="6" max="6" width="21.42578125" style="170" customWidth="1"/>
    <col min="7" max="8" width="13.42578125" style="170" customWidth="1"/>
    <col min="9" max="9" width="13.7109375" style="170" customWidth="1"/>
    <col min="10" max="10" width="58.42578125" style="216" customWidth="1"/>
    <col min="11" max="11" width="4.28515625" style="166" customWidth="1"/>
    <col min="12" max="12" width="0" style="170" hidden="1" customWidth="1"/>
    <col min="13" max="16384" width="11.42578125" style="170" hidden="1"/>
  </cols>
  <sheetData>
    <row r="1" spans="1:11" ht="18.75" customHeight="1" x14ac:dyDescent="0.25">
      <c r="B1" s="167"/>
      <c r="C1" s="167"/>
      <c r="D1" s="168"/>
      <c r="E1" s="168"/>
      <c r="F1" s="168"/>
      <c r="G1" s="168"/>
      <c r="H1" s="168"/>
      <c r="I1" s="168"/>
      <c r="J1" s="169"/>
    </row>
    <row r="2" spans="1:11" ht="18.75" customHeight="1" x14ac:dyDescent="0.25">
      <c r="B2" s="171"/>
      <c r="C2" s="788" t="s">
        <v>698</v>
      </c>
      <c r="D2" s="788"/>
      <c r="E2" s="788"/>
      <c r="F2" s="788"/>
      <c r="G2" s="788"/>
      <c r="H2" s="788"/>
      <c r="I2" s="788"/>
      <c r="J2" s="788"/>
    </row>
    <row r="3" spans="1:11" ht="18.75" customHeight="1" x14ac:dyDescent="0.25">
      <c r="B3" s="171"/>
      <c r="C3" s="172"/>
      <c r="D3" s="173"/>
      <c r="E3" s="172"/>
      <c r="F3" s="174"/>
      <c r="G3" s="175"/>
      <c r="H3" s="176"/>
      <c r="I3" s="176"/>
      <c r="J3" s="177"/>
    </row>
    <row r="4" spans="1:11" ht="29.25" customHeight="1" x14ac:dyDescent="0.25">
      <c r="B4" s="171"/>
      <c r="C4" s="178" t="s">
        <v>651</v>
      </c>
      <c r="D4" s="789" t="s">
        <v>699</v>
      </c>
      <c r="E4" s="789"/>
      <c r="F4" s="789"/>
      <c r="G4" s="789"/>
      <c r="H4" s="789"/>
      <c r="I4" s="789"/>
      <c r="J4" s="789"/>
    </row>
    <row r="5" spans="1:11" ht="6.75" customHeight="1" x14ac:dyDescent="0.25">
      <c r="B5" s="171"/>
      <c r="C5" s="179"/>
      <c r="D5" s="180"/>
      <c r="E5" s="172"/>
      <c r="F5" s="181"/>
      <c r="G5" s="181"/>
      <c r="H5" s="181"/>
      <c r="I5" s="181"/>
      <c r="J5" s="177"/>
    </row>
    <row r="6" spans="1:11" ht="17.25" customHeight="1" x14ac:dyDescent="0.25">
      <c r="B6" s="171"/>
      <c r="C6" s="178" t="s">
        <v>653</v>
      </c>
      <c r="D6" s="789">
        <v>1</v>
      </c>
      <c r="E6" s="789"/>
      <c r="F6" s="789"/>
      <c r="G6" s="789"/>
      <c r="H6" s="789"/>
      <c r="I6" s="182"/>
      <c r="J6" s="182"/>
    </row>
    <row r="7" spans="1:11" ht="8.25" customHeight="1" x14ac:dyDescent="0.25">
      <c r="B7" s="171"/>
      <c r="C7" s="183"/>
      <c r="D7" s="183"/>
      <c r="E7" s="183"/>
      <c r="F7" s="184"/>
      <c r="G7" s="184"/>
      <c r="H7" s="184"/>
      <c r="I7" s="184"/>
      <c r="J7" s="177"/>
    </row>
    <row r="8" spans="1:11" ht="18" customHeight="1" x14ac:dyDescent="0.25">
      <c r="B8" s="171"/>
      <c r="C8" s="178" t="s">
        <v>690</v>
      </c>
      <c r="D8" s="790">
        <v>44592</v>
      </c>
      <c r="E8" s="789"/>
      <c r="F8" s="789"/>
      <c r="G8" s="789"/>
      <c r="H8" s="789"/>
      <c r="I8" s="182"/>
      <c r="J8" s="182"/>
    </row>
    <row r="9" spans="1:11" ht="8.25" customHeight="1" thickBot="1" x14ac:dyDescent="0.3">
      <c r="B9" s="171"/>
      <c r="C9" s="185"/>
      <c r="D9" s="185"/>
      <c r="E9" s="185"/>
      <c r="F9" s="186"/>
      <c r="G9" s="186"/>
      <c r="H9" s="186"/>
      <c r="I9" s="186"/>
      <c r="J9" s="187"/>
    </row>
    <row r="10" spans="1:11" ht="18" customHeight="1" x14ac:dyDescent="0.25">
      <c r="B10" s="791" t="s">
        <v>655</v>
      </c>
      <c r="C10" s="792"/>
      <c r="D10" s="792"/>
      <c r="E10" s="792"/>
      <c r="F10" s="792"/>
      <c r="G10" s="792"/>
      <c r="H10" s="792"/>
      <c r="I10" s="792"/>
      <c r="J10" s="793"/>
    </row>
    <row r="11" spans="1:11" ht="18" customHeight="1" x14ac:dyDescent="0.25">
      <c r="B11" s="794" t="s">
        <v>656</v>
      </c>
      <c r="C11" s="796" t="s">
        <v>657</v>
      </c>
      <c r="D11" s="796" t="s">
        <v>658</v>
      </c>
      <c r="E11" s="796" t="s">
        <v>659</v>
      </c>
      <c r="F11" s="796" t="s">
        <v>660</v>
      </c>
      <c r="G11" s="796" t="s">
        <v>661</v>
      </c>
      <c r="H11" s="796"/>
      <c r="I11" s="280" t="s">
        <v>662</v>
      </c>
      <c r="J11" s="798" t="s">
        <v>9</v>
      </c>
    </row>
    <row r="12" spans="1:11" s="189" customFormat="1" ht="18" customHeight="1" thickBot="1" x14ac:dyDescent="0.3">
      <c r="A12" s="188"/>
      <c r="B12" s="795"/>
      <c r="C12" s="797"/>
      <c r="D12" s="797"/>
      <c r="E12" s="797"/>
      <c r="F12" s="797"/>
      <c r="G12" s="281" t="s">
        <v>663</v>
      </c>
      <c r="H12" s="281" t="s">
        <v>664</v>
      </c>
      <c r="I12" s="282">
        <f>SUM(I13:I15)</f>
        <v>1</v>
      </c>
      <c r="J12" s="799"/>
      <c r="K12" s="188"/>
    </row>
    <row r="13" spans="1:11" s="189" customFormat="1" ht="60.75" customHeight="1" x14ac:dyDescent="0.25">
      <c r="A13" s="188"/>
      <c r="B13" s="190">
        <v>1</v>
      </c>
      <c r="C13" s="191" t="s">
        <v>700</v>
      </c>
      <c r="D13" s="191" t="s">
        <v>701</v>
      </c>
      <c r="E13" s="191" t="s">
        <v>702</v>
      </c>
      <c r="F13" s="192">
        <v>0.9</v>
      </c>
      <c r="G13" s="193">
        <v>44593</v>
      </c>
      <c r="H13" s="193">
        <v>44926</v>
      </c>
      <c r="I13" s="192">
        <v>0.5</v>
      </c>
      <c r="J13" s="194" t="s">
        <v>703</v>
      </c>
      <c r="K13" s="188"/>
    </row>
    <row r="14" spans="1:11" s="189" customFormat="1" ht="60.75" customHeight="1" x14ac:dyDescent="0.25">
      <c r="A14" s="188"/>
      <c r="B14" s="195">
        <v>2</v>
      </c>
      <c r="C14" s="196" t="s">
        <v>704</v>
      </c>
      <c r="D14" s="197" t="s">
        <v>701</v>
      </c>
      <c r="E14" s="197" t="s">
        <v>702</v>
      </c>
      <c r="F14" s="198">
        <v>0.9</v>
      </c>
      <c r="G14" s="193">
        <v>44593</v>
      </c>
      <c r="H14" s="193">
        <v>44926</v>
      </c>
      <c r="I14" s="198">
        <v>0.5</v>
      </c>
      <c r="J14" s="199" t="s">
        <v>703</v>
      </c>
      <c r="K14" s="188"/>
    </row>
    <row r="15" spans="1:11" s="189" customFormat="1" ht="22.5" customHeight="1" thickBot="1" x14ac:dyDescent="0.3">
      <c r="A15" s="188"/>
      <c r="B15" s="200"/>
      <c r="C15" s="201"/>
      <c r="D15" s="202"/>
      <c r="E15" s="203"/>
      <c r="F15" s="203"/>
      <c r="G15" s="204"/>
      <c r="H15" s="204"/>
      <c r="I15" s="205"/>
      <c r="J15" s="206"/>
      <c r="K15" s="188"/>
    </row>
    <row r="16" spans="1:11" s="189" customFormat="1" ht="33" customHeight="1" thickBot="1" x14ac:dyDescent="0.3">
      <c r="A16" s="188"/>
      <c r="B16" s="800" t="s">
        <v>705</v>
      </c>
      <c r="C16" s="800"/>
      <c r="D16" s="800"/>
      <c r="E16" s="800"/>
      <c r="F16" s="800"/>
      <c r="G16" s="800"/>
      <c r="H16" s="800"/>
      <c r="I16" s="800"/>
      <c r="J16" s="800"/>
      <c r="K16" s="188"/>
    </row>
    <row r="17" spans="1:26" s="61" customFormat="1" ht="24" customHeight="1" thickBot="1" x14ac:dyDescent="0.3">
      <c r="B17" s="92"/>
      <c r="C17" s="752" t="s">
        <v>675</v>
      </c>
      <c r="D17" s="753"/>
      <c r="E17" s="753"/>
      <c r="F17" s="754"/>
      <c r="G17" s="93"/>
      <c r="H17" s="93"/>
      <c r="I17" s="93"/>
    </row>
    <row r="18" spans="1:26" s="61" customFormat="1" ht="33.75" customHeight="1" x14ac:dyDescent="0.25">
      <c r="B18" s="92"/>
      <c r="C18" s="267" t="s">
        <v>676</v>
      </c>
      <c r="D18" s="739" t="s">
        <v>677</v>
      </c>
      <c r="E18" s="740"/>
      <c r="F18" s="268" t="s">
        <v>678</v>
      </c>
      <c r="G18" s="93"/>
      <c r="H18" s="93"/>
      <c r="I18" s="93"/>
    </row>
    <row r="19" spans="1:26" s="61" customFormat="1" ht="35.25" customHeight="1" x14ac:dyDescent="0.25">
      <c r="B19" s="92"/>
      <c r="C19" s="94">
        <v>1</v>
      </c>
      <c r="D19" s="741" t="s">
        <v>679</v>
      </c>
      <c r="E19" s="742"/>
      <c r="F19" s="95">
        <v>44592</v>
      </c>
      <c r="G19" s="93"/>
      <c r="H19" s="93"/>
      <c r="I19" s="93"/>
    </row>
    <row r="20" spans="1:26" s="61" customFormat="1" ht="15.75" customHeight="1" x14ac:dyDescent="0.25">
      <c r="B20" s="92"/>
      <c r="C20" s="94"/>
      <c r="D20" s="96"/>
      <c r="E20" s="97"/>
      <c r="F20" s="98"/>
      <c r="G20" s="93"/>
      <c r="H20" s="93"/>
      <c r="I20" s="93"/>
    </row>
    <row r="21" spans="1:26" s="61" customFormat="1" ht="15.75" customHeight="1" thickBot="1" x14ac:dyDescent="0.3">
      <c r="B21" s="92"/>
      <c r="C21" s="99"/>
      <c r="D21" s="100"/>
      <c r="E21" s="101"/>
      <c r="F21" s="102"/>
      <c r="G21" s="93"/>
      <c r="H21" s="93"/>
      <c r="I21" s="93"/>
    </row>
    <row r="22" spans="1:26" s="61" customFormat="1" ht="16.5" customHeight="1" x14ac:dyDescent="0.25">
      <c r="A22" s="125"/>
      <c r="B22" s="122"/>
      <c r="C22" s="123"/>
      <c r="D22" s="123"/>
      <c r="E22" s="123"/>
      <c r="F22" s="123"/>
      <c r="G22" s="123"/>
      <c r="H22" s="123"/>
      <c r="I22" s="123"/>
      <c r="J22" s="165"/>
      <c r="K22" s="125"/>
      <c r="L22" s="123"/>
      <c r="M22" s="123"/>
      <c r="N22" s="123"/>
      <c r="O22" s="123"/>
      <c r="P22" s="123"/>
      <c r="Q22" s="123"/>
      <c r="R22" s="123"/>
      <c r="S22" s="123"/>
      <c r="T22" s="123"/>
      <c r="U22" s="123"/>
      <c r="V22" s="123"/>
      <c r="W22" s="123"/>
      <c r="X22" s="123"/>
      <c r="Y22" s="123"/>
      <c r="Z22" s="129"/>
    </row>
    <row r="23" spans="1:26" s="189" customFormat="1" ht="33" customHeight="1" x14ac:dyDescent="0.25">
      <c r="A23" s="188"/>
      <c r="B23" s="207"/>
      <c r="C23" s="208"/>
      <c r="D23" s="208"/>
      <c r="E23" s="207"/>
      <c r="F23" s="207"/>
      <c r="G23" s="209"/>
      <c r="H23" s="209"/>
      <c r="I23" s="209"/>
      <c r="J23" s="210"/>
      <c r="K23" s="188"/>
    </row>
    <row r="24" spans="1:26" s="189" customFormat="1" ht="33" hidden="1" customHeight="1" x14ac:dyDescent="0.25">
      <c r="A24" s="188"/>
      <c r="B24" s="207"/>
      <c r="C24" s="208"/>
      <c r="D24" s="208"/>
      <c r="E24" s="207"/>
      <c r="F24" s="207"/>
      <c r="G24" s="209"/>
      <c r="H24" s="209"/>
      <c r="I24" s="209"/>
      <c r="J24" s="210"/>
      <c r="K24" s="188"/>
    </row>
    <row r="25" spans="1:26" s="189" customFormat="1" ht="33" hidden="1" customHeight="1" x14ac:dyDescent="0.25">
      <c r="A25" s="188"/>
      <c r="B25" s="207"/>
      <c r="C25" s="208"/>
      <c r="D25" s="208"/>
      <c r="E25" s="207"/>
      <c r="F25" s="207"/>
      <c r="G25" s="209"/>
      <c r="H25" s="209"/>
      <c r="I25" s="209"/>
      <c r="J25" s="210"/>
      <c r="K25" s="188"/>
    </row>
    <row r="26" spans="1:26" s="189" customFormat="1" ht="33" hidden="1" customHeight="1" x14ac:dyDescent="0.25">
      <c r="A26" s="188"/>
      <c r="B26" s="207"/>
      <c r="C26" s="208"/>
      <c r="D26" s="208"/>
      <c r="E26" s="207"/>
      <c r="F26" s="207"/>
      <c r="G26" s="209"/>
      <c r="H26" s="209"/>
      <c r="I26" s="209"/>
      <c r="J26" s="210"/>
      <c r="K26" s="188"/>
    </row>
    <row r="27" spans="1:26" s="189" customFormat="1" ht="6.75" hidden="1" customHeight="1" x14ac:dyDescent="0.25">
      <c r="A27" s="188"/>
      <c r="B27" s="211"/>
      <c r="C27" s="210"/>
      <c r="D27" s="210"/>
      <c r="E27" s="207"/>
      <c r="F27" s="207"/>
      <c r="G27" s="211"/>
      <c r="H27" s="211"/>
      <c r="I27" s="211"/>
      <c r="J27" s="210"/>
      <c r="K27" s="188"/>
    </row>
    <row r="28" spans="1:26" ht="42.75" hidden="1" customHeight="1" x14ac:dyDescent="0.25">
      <c r="B28" s="212"/>
      <c r="C28" s="213"/>
      <c r="D28" s="213"/>
      <c r="E28" s="214"/>
      <c r="F28" s="215"/>
      <c r="G28" s="189"/>
      <c r="H28" s="189"/>
      <c r="I28" s="189"/>
    </row>
    <row r="29" spans="1:26" ht="16.5" hidden="1" customHeight="1" x14ac:dyDescent="0.25">
      <c r="C29" s="170"/>
      <c r="D29" s="170"/>
      <c r="E29" s="170"/>
    </row>
    <row r="30" spans="1:26" ht="16.5" hidden="1" customHeight="1" x14ac:dyDescent="0.25"/>
    <row r="31" spans="1:26" ht="16.5" hidden="1" customHeight="1" x14ac:dyDescent="0.25"/>
    <row r="32" spans="1:26"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ht="16.5" hidden="1" customHeight="1" x14ac:dyDescent="0.25"/>
    <row r="39" spans="2:12" s="166" customFormat="1" ht="16.5" hidden="1" customHeight="1" x14ac:dyDescent="0.25">
      <c r="B39" s="217"/>
      <c r="C39" s="218"/>
      <c r="D39" s="218"/>
      <c r="E39" s="218"/>
      <c r="F39" s="170"/>
      <c r="G39" s="170"/>
      <c r="H39" s="170"/>
      <c r="I39" s="170"/>
      <c r="J39" s="216"/>
      <c r="L39" s="170"/>
    </row>
    <row r="40" spans="2:12" s="166" customFormat="1" ht="16.5" hidden="1" customHeight="1" x14ac:dyDescent="0.25">
      <c r="B40" s="217"/>
      <c r="C40" s="218"/>
      <c r="D40" s="218"/>
      <c r="E40" s="218"/>
      <c r="F40" s="170"/>
      <c r="G40" s="170"/>
      <c r="H40" s="170"/>
      <c r="I40" s="170"/>
      <c r="J40" s="216"/>
      <c r="L40" s="170"/>
    </row>
    <row r="41" spans="2:12" s="166" customFormat="1" ht="16.5" hidden="1" customHeight="1" x14ac:dyDescent="0.25">
      <c r="B41" s="217"/>
      <c r="C41" s="218"/>
      <c r="D41" s="218"/>
      <c r="E41" s="218"/>
      <c r="F41" s="170"/>
      <c r="G41" s="170"/>
      <c r="H41" s="170"/>
      <c r="I41" s="170"/>
      <c r="J41" s="216"/>
      <c r="L41" s="170"/>
    </row>
    <row r="42" spans="2:12" s="166" customFormat="1" ht="16.5" hidden="1" customHeight="1" x14ac:dyDescent="0.25">
      <c r="B42" s="217"/>
      <c r="C42" s="218"/>
      <c r="D42" s="218"/>
      <c r="E42" s="218"/>
      <c r="F42" s="170"/>
      <c r="G42" s="170"/>
      <c r="H42" s="170"/>
      <c r="I42" s="170"/>
      <c r="J42" s="216"/>
      <c r="L42" s="170"/>
    </row>
    <row r="43" spans="2:12" s="166" customFormat="1" ht="16.5" hidden="1" customHeight="1" x14ac:dyDescent="0.25">
      <c r="B43" s="217"/>
      <c r="C43" s="218"/>
      <c r="D43" s="218"/>
      <c r="E43" s="218"/>
      <c r="F43" s="170"/>
      <c r="G43" s="170"/>
      <c r="H43" s="170"/>
      <c r="I43" s="170"/>
      <c r="J43" s="216"/>
      <c r="L43" s="170"/>
    </row>
    <row r="44" spans="2:12" s="166" customFormat="1" ht="16.5" hidden="1" customHeight="1" x14ac:dyDescent="0.25">
      <c r="B44" s="217"/>
      <c r="C44" s="218"/>
      <c r="D44" s="218"/>
      <c r="E44" s="218"/>
      <c r="F44" s="170"/>
      <c r="G44" s="170"/>
      <c r="H44" s="170"/>
      <c r="I44" s="170"/>
      <c r="J44" s="216"/>
      <c r="L44" s="170"/>
    </row>
    <row r="45" spans="2:12" s="166" customFormat="1" ht="16.5" hidden="1" customHeight="1" x14ac:dyDescent="0.25">
      <c r="B45" s="217"/>
      <c r="C45" s="218"/>
      <c r="D45" s="218"/>
      <c r="E45" s="218"/>
      <c r="F45" s="170"/>
      <c r="G45" s="170"/>
      <c r="H45" s="170"/>
      <c r="I45" s="170"/>
      <c r="J45" s="216"/>
      <c r="L45" s="170"/>
    </row>
    <row r="46" spans="2:12" s="166" customFormat="1" ht="16.5" hidden="1" customHeight="1" x14ac:dyDescent="0.25">
      <c r="B46" s="217"/>
      <c r="C46" s="218"/>
      <c r="D46" s="218"/>
      <c r="E46" s="218"/>
      <c r="F46" s="170"/>
      <c r="G46" s="170"/>
      <c r="H46" s="170"/>
      <c r="I46" s="170"/>
      <c r="J46" s="216"/>
      <c r="L46" s="170"/>
    </row>
    <row r="47" spans="2:12" s="166" customFormat="1" ht="16.5" hidden="1" customHeight="1" x14ac:dyDescent="0.25">
      <c r="B47" s="217"/>
      <c r="C47" s="218"/>
      <c r="D47" s="218"/>
      <c r="E47" s="218"/>
      <c r="F47" s="170"/>
      <c r="G47" s="170"/>
      <c r="H47" s="170"/>
      <c r="I47" s="170"/>
      <c r="J47" s="216"/>
      <c r="L47" s="170"/>
    </row>
    <row r="48" spans="2:12" s="166" customFormat="1" ht="16.5" hidden="1" customHeight="1" x14ac:dyDescent="0.25">
      <c r="B48" s="217"/>
      <c r="C48" s="218"/>
      <c r="D48" s="218"/>
      <c r="E48" s="218"/>
      <c r="F48" s="170"/>
      <c r="G48" s="170"/>
      <c r="H48" s="170"/>
      <c r="I48" s="170"/>
      <c r="J48" s="216"/>
      <c r="L48" s="170"/>
    </row>
    <row r="49" spans="2:12" s="166" customFormat="1" ht="16.5" hidden="1" customHeight="1" x14ac:dyDescent="0.25">
      <c r="B49" s="217"/>
      <c r="C49" s="218"/>
      <c r="D49" s="218"/>
      <c r="E49" s="218"/>
      <c r="F49" s="170"/>
      <c r="G49" s="170"/>
      <c r="H49" s="170"/>
      <c r="I49" s="170"/>
      <c r="J49" s="216"/>
      <c r="L49" s="170"/>
    </row>
    <row r="50" spans="2:12" s="166" customFormat="1" ht="16.5" hidden="1" customHeight="1" x14ac:dyDescent="0.25">
      <c r="B50" s="217"/>
      <c r="C50" s="218"/>
      <c r="D50" s="218"/>
      <c r="E50" s="218"/>
      <c r="F50" s="170"/>
      <c r="G50" s="170"/>
      <c r="H50" s="170"/>
      <c r="I50" s="170"/>
      <c r="J50" s="216"/>
      <c r="L50" s="170"/>
    </row>
    <row r="51" spans="2:12" s="166" customFormat="1" ht="16.5" hidden="1" customHeight="1" x14ac:dyDescent="0.25">
      <c r="B51" s="217"/>
      <c r="C51" s="218"/>
      <c r="D51" s="218"/>
      <c r="E51" s="218"/>
      <c r="F51" s="170"/>
      <c r="G51" s="170"/>
      <c r="H51" s="170"/>
      <c r="I51" s="170"/>
      <c r="J51" s="216"/>
      <c r="L51" s="170"/>
    </row>
    <row r="52" spans="2:12" s="166" customFormat="1" ht="16.5" hidden="1" customHeight="1" x14ac:dyDescent="0.25">
      <c r="B52" s="217"/>
      <c r="C52" s="218"/>
      <c r="D52" s="218"/>
      <c r="E52" s="218"/>
      <c r="F52" s="170"/>
      <c r="G52" s="170"/>
      <c r="H52" s="170"/>
      <c r="I52" s="170"/>
      <c r="J52" s="216"/>
      <c r="L52" s="170"/>
    </row>
  </sheetData>
  <mergeCells count="16">
    <mergeCell ref="D19:E19"/>
    <mergeCell ref="C2:J2"/>
    <mergeCell ref="D4:J4"/>
    <mergeCell ref="D6:H6"/>
    <mergeCell ref="D8:H8"/>
    <mergeCell ref="B10:J10"/>
    <mergeCell ref="B11:B12"/>
    <mergeCell ref="C11:C12"/>
    <mergeCell ref="D11:D12"/>
    <mergeCell ref="E11:E12"/>
    <mergeCell ref="F11:F12"/>
    <mergeCell ref="G11:H11"/>
    <mergeCell ref="J11:J12"/>
    <mergeCell ref="B16:J16"/>
    <mergeCell ref="C17:F17"/>
    <mergeCell ref="D18:E18"/>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28E56-E85B-4688-9AAA-9B9D1D241A19}">
  <dimension ref="A1:K68"/>
  <sheetViews>
    <sheetView showGridLines="0" workbookViewId="0">
      <selection activeCell="B6" sqref="B6:B7"/>
    </sheetView>
  </sheetViews>
  <sheetFormatPr baseColWidth="10" defaultColWidth="0" defaultRowHeight="15" customHeight="1" zeroHeight="1" x14ac:dyDescent="0.25"/>
  <cols>
    <col min="1" max="1" width="2.7109375" style="166" customWidth="1"/>
    <col min="2" max="2" width="4.42578125" style="217" customWidth="1"/>
    <col min="3" max="3" width="30" style="218" customWidth="1"/>
    <col min="4" max="4" width="21.85546875" style="218" customWidth="1"/>
    <col min="5" max="5" width="30" style="218" customWidth="1"/>
    <col min="6" max="6" width="20" style="170" customWidth="1"/>
    <col min="7" max="8" width="13.42578125" style="170" customWidth="1"/>
    <col min="9" max="9" width="15.28515625" style="170" customWidth="1"/>
    <col min="10" max="10" width="58.42578125" style="216" customWidth="1"/>
    <col min="11" max="11" width="4.28515625" style="166" customWidth="1"/>
    <col min="12" max="16384" width="11.42578125" style="170" hidden="1"/>
  </cols>
  <sheetData>
    <row r="1" spans="1:11" ht="18.75" customHeight="1" x14ac:dyDescent="0.25">
      <c r="B1" s="167"/>
      <c r="C1" s="167"/>
      <c r="D1" s="168"/>
      <c r="E1" s="168"/>
      <c r="F1" s="168"/>
      <c r="G1" s="168"/>
      <c r="H1" s="168"/>
      <c r="I1" s="168"/>
      <c r="J1" s="169"/>
    </row>
    <row r="2" spans="1:11" ht="18.75" customHeight="1" x14ac:dyDescent="0.25">
      <c r="B2" s="171"/>
      <c r="C2" s="788" t="s">
        <v>715</v>
      </c>
      <c r="D2" s="788"/>
      <c r="E2" s="788"/>
      <c r="F2" s="788"/>
      <c r="G2" s="788"/>
      <c r="H2" s="788"/>
      <c r="I2" s="788"/>
      <c r="J2" s="788"/>
    </row>
    <row r="3" spans="1:11" ht="18.75" customHeight="1" x14ac:dyDescent="0.25">
      <c r="B3" s="171"/>
      <c r="C3" s="172"/>
      <c r="D3" s="173"/>
      <c r="E3" s="172"/>
      <c r="F3" s="174"/>
      <c r="G3" s="175"/>
      <c r="H3" s="176"/>
      <c r="I3" s="176"/>
      <c r="J3" s="177"/>
    </row>
    <row r="4" spans="1:11" ht="29.25" customHeight="1" x14ac:dyDescent="0.25">
      <c r="B4" s="171"/>
      <c r="C4" s="178" t="s">
        <v>651</v>
      </c>
      <c r="D4" s="789" t="s">
        <v>707</v>
      </c>
      <c r="E4" s="789"/>
      <c r="F4" s="789"/>
      <c r="G4" s="789"/>
      <c r="H4" s="789"/>
      <c r="I4" s="789"/>
      <c r="J4" s="789"/>
    </row>
    <row r="5" spans="1:11" ht="6.75" customHeight="1" x14ac:dyDescent="0.25">
      <c r="B5" s="171"/>
      <c r="C5" s="179"/>
      <c r="D5" s="180"/>
      <c r="E5" s="172"/>
      <c r="F5" s="181"/>
      <c r="G5" s="181"/>
      <c r="H5" s="181"/>
      <c r="I5" s="181"/>
      <c r="J5" s="177"/>
    </row>
    <row r="6" spans="1:11" ht="17.25" customHeight="1" x14ac:dyDescent="0.25">
      <c r="B6" s="171"/>
      <c r="C6" s="178" t="s">
        <v>653</v>
      </c>
      <c r="D6" s="789">
        <v>1</v>
      </c>
      <c r="E6" s="789"/>
      <c r="F6" s="789"/>
      <c r="G6" s="789"/>
      <c r="H6" s="789"/>
      <c r="I6" s="182"/>
      <c r="J6" s="182"/>
    </row>
    <row r="7" spans="1:11" ht="8.25" customHeight="1" x14ac:dyDescent="0.25">
      <c r="B7" s="171"/>
      <c r="C7" s="183"/>
      <c r="D7" s="183"/>
      <c r="E7" s="183"/>
      <c r="F7" s="184"/>
      <c r="G7" s="184"/>
      <c r="H7" s="184"/>
      <c r="I7" s="184"/>
      <c r="J7" s="177"/>
    </row>
    <row r="8" spans="1:11" ht="18" customHeight="1" x14ac:dyDescent="0.25">
      <c r="B8" s="171"/>
      <c r="C8" s="178" t="s">
        <v>690</v>
      </c>
      <c r="D8" s="790">
        <v>44590</v>
      </c>
      <c r="E8" s="790"/>
      <c r="F8" s="790"/>
      <c r="G8" s="790"/>
      <c r="H8" s="790"/>
      <c r="I8" s="182"/>
      <c r="J8" s="182"/>
    </row>
    <row r="9" spans="1:11" ht="8.25" customHeight="1" thickBot="1" x14ac:dyDescent="0.3">
      <c r="B9" s="171"/>
      <c r="C9" s="185"/>
      <c r="D9" s="185"/>
      <c r="E9" s="185"/>
      <c r="F9" s="186"/>
      <c r="G9" s="186"/>
      <c r="H9" s="186"/>
      <c r="I9" s="186"/>
      <c r="J9" s="187"/>
    </row>
    <row r="10" spans="1:11" ht="18" customHeight="1" x14ac:dyDescent="0.25">
      <c r="B10" s="791" t="s">
        <v>655</v>
      </c>
      <c r="C10" s="792"/>
      <c r="D10" s="792"/>
      <c r="E10" s="792"/>
      <c r="F10" s="792"/>
      <c r="G10" s="792"/>
      <c r="H10" s="792"/>
      <c r="I10" s="792"/>
      <c r="J10" s="793"/>
    </row>
    <row r="11" spans="1:11" ht="18" customHeight="1" x14ac:dyDescent="0.25">
      <c r="B11" s="801" t="s">
        <v>656</v>
      </c>
      <c r="C11" s="803" t="s">
        <v>657</v>
      </c>
      <c r="D11" s="803" t="s">
        <v>658</v>
      </c>
      <c r="E11" s="803" t="s">
        <v>659</v>
      </c>
      <c r="F11" s="803" t="s">
        <v>660</v>
      </c>
      <c r="G11" s="805" t="s">
        <v>661</v>
      </c>
      <c r="H11" s="806"/>
      <c r="I11" s="283" t="s">
        <v>662</v>
      </c>
      <c r="J11" s="807" t="s">
        <v>9</v>
      </c>
    </row>
    <row r="12" spans="1:11" s="189" customFormat="1" ht="18" customHeight="1" thickBot="1" x14ac:dyDescent="0.3">
      <c r="A12" s="188"/>
      <c r="B12" s="802"/>
      <c r="C12" s="804"/>
      <c r="D12" s="804"/>
      <c r="E12" s="804"/>
      <c r="F12" s="804"/>
      <c r="G12" s="281" t="s">
        <v>663</v>
      </c>
      <c r="H12" s="281" t="s">
        <v>664</v>
      </c>
      <c r="I12" s="282">
        <f>SUM(I13:I15)</f>
        <v>1</v>
      </c>
      <c r="J12" s="808"/>
      <c r="K12" s="188"/>
    </row>
    <row r="13" spans="1:11" s="189" customFormat="1" ht="61.5" customHeight="1" x14ac:dyDescent="0.25">
      <c r="A13" s="188"/>
      <c r="B13" s="284">
        <v>1</v>
      </c>
      <c r="C13" s="285" t="s">
        <v>716</v>
      </c>
      <c r="D13" s="285" t="s">
        <v>701</v>
      </c>
      <c r="E13" s="286" t="s">
        <v>717</v>
      </c>
      <c r="F13" s="287">
        <v>1</v>
      </c>
      <c r="G13" s="288">
        <v>44593</v>
      </c>
      <c r="H13" s="288">
        <v>44895</v>
      </c>
      <c r="I13" s="287">
        <v>0.4</v>
      </c>
      <c r="J13" s="289" t="s">
        <v>718</v>
      </c>
      <c r="K13" s="188"/>
    </row>
    <row r="14" spans="1:11" s="189" customFormat="1" ht="74.25" customHeight="1" x14ac:dyDescent="0.25">
      <c r="A14" s="188"/>
      <c r="B14" s="195">
        <v>2</v>
      </c>
      <c r="C14" s="221" t="s">
        <v>719</v>
      </c>
      <c r="D14" s="221" t="s">
        <v>701</v>
      </c>
      <c r="E14" s="197" t="s">
        <v>720</v>
      </c>
      <c r="F14" s="198">
        <v>0.5</v>
      </c>
      <c r="G14" s="193">
        <v>44593</v>
      </c>
      <c r="H14" s="193">
        <v>44895</v>
      </c>
      <c r="I14" s="198">
        <v>0.3</v>
      </c>
      <c r="J14" s="223" t="s">
        <v>718</v>
      </c>
      <c r="K14" s="188"/>
    </row>
    <row r="15" spans="1:11" s="189" customFormat="1" ht="49.5" customHeight="1" thickBot="1" x14ac:dyDescent="0.3">
      <c r="A15" s="188"/>
      <c r="B15" s="200">
        <v>3</v>
      </c>
      <c r="C15" s="201" t="s">
        <v>721</v>
      </c>
      <c r="D15" s="201" t="s">
        <v>701</v>
      </c>
      <c r="E15" s="203" t="s">
        <v>722</v>
      </c>
      <c r="F15" s="205">
        <v>0.5</v>
      </c>
      <c r="G15" s="290">
        <v>44593</v>
      </c>
      <c r="H15" s="290">
        <v>44895</v>
      </c>
      <c r="I15" s="205">
        <v>0.3</v>
      </c>
      <c r="J15" s="206" t="s">
        <v>718</v>
      </c>
      <c r="K15" s="188"/>
    </row>
    <row r="16" spans="1:11" s="189" customFormat="1" ht="49.5" customHeight="1" thickBot="1" x14ac:dyDescent="0.3">
      <c r="A16" s="188"/>
      <c r="B16" s="800" t="s">
        <v>705</v>
      </c>
      <c r="C16" s="800"/>
      <c r="D16" s="800"/>
      <c r="E16" s="800"/>
      <c r="F16" s="800"/>
      <c r="G16" s="800"/>
      <c r="H16" s="800"/>
      <c r="I16" s="800"/>
      <c r="J16" s="800"/>
      <c r="K16" s="188"/>
    </row>
    <row r="17" spans="1:11" s="61" customFormat="1" ht="24" customHeight="1" thickBot="1" x14ac:dyDescent="0.3">
      <c r="B17" s="92"/>
      <c r="C17" s="752" t="s">
        <v>675</v>
      </c>
      <c r="D17" s="753"/>
      <c r="E17" s="753"/>
      <c r="F17" s="754"/>
      <c r="G17" s="93"/>
      <c r="H17" s="93"/>
      <c r="I17" s="93"/>
    </row>
    <row r="18" spans="1:11" s="61" customFormat="1" ht="33.75" customHeight="1" x14ac:dyDescent="0.25">
      <c r="B18" s="92"/>
      <c r="C18" s="267" t="s">
        <v>676</v>
      </c>
      <c r="D18" s="739" t="s">
        <v>677</v>
      </c>
      <c r="E18" s="740"/>
      <c r="F18" s="268" t="s">
        <v>678</v>
      </c>
      <c r="G18" s="93"/>
      <c r="H18" s="93"/>
      <c r="I18" s="93"/>
    </row>
    <row r="19" spans="1:11" s="61" customFormat="1" ht="35.25" customHeight="1" x14ac:dyDescent="0.25">
      <c r="B19" s="92"/>
      <c r="C19" s="94">
        <v>1</v>
      </c>
      <c r="D19" s="741" t="s">
        <v>679</v>
      </c>
      <c r="E19" s="742"/>
      <c r="F19" s="95">
        <v>44590</v>
      </c>
      <c r="G19" s="93"/>
      <c r="H19" s="93"/>
      <c r="I19" s="93"/>
    </row>
    <row r="20" spans="1:11" s="61" customFormat="1" ht="15.75" customHeight="1" x14ac:dyDescent="0.25">
      <c r="B20" s="92"/>
      <c r="C20" s="94"/>
      <c r="D20" s="96"/>
      <c r="E20" s="97"/>
      <c r="F20" s="98"/>
      <c r="G20" s="93"/>
      <c r="H20" s="93"/>
      <c r="I20" s="93"/>
    </row>
    <row r="21" spans="1:11" s="61" customFormat="1" ht="15.75" customHeight="1" thickBot="1" x14ac:dyDescent="0.3">
      <c r="B21" s="92"/>
      <c r="C21" s="99"/>
      <c r="D21" s="100"/>
      <c r="E21" s="101"/>
      <c r="F21" s="102"/>
      <c r="G21" s="93"/>
      <c r="H21" s="93"/>
      <c r="I21" s="93"/>
    </row>
    <row r="22" spans="1:11" s="189" customFormat="1" ht="33" customHeight="1" x14ac:dyDescent="0.25">
      <c r="A22" s="188"/>
      <c r="B22" s="207"/>
      <c r="C22" s="208"/>
      <c r="D22" s="208"/>
      <c r="E22" s="207"/>
      <c r="F22" s="207"/>
      <c r="G22" s="209"/>
      <c r="H22" s="209"/>
      <c r="I22" s="209"/>
      <c r="J22" s="210"/>
      <c r="K22" s="188"/>
    </row>
    <row r="23" spans="1:11" s="189" customFormat="1" ht="33" customHeight="1" x14ac:dyDescent="0.25">
      <c r="A23" s="188"/>
      <c r="K23" s="188"/>
    </row>
    <row r="24" spans="1:11" s="189" customFormat="1" ht="33" hidden="1" customHeight="1" x14ac:dyDescent="0.25">
      <c r="A24" s="188"/>
      <c r="B24" s="207"/>
      <c r="C24" s="208"/>
      <c r="D24" s="208"/>
      <c r="E24" s="207"/>
      <c r="F24" s="207"/>
      <c r="G24" s="209"/>
      <c r="H24" s="209"/>
      <c r="I24" s="209"/>
      <c r="J24" s="210"/>
      <c r="K24" s="188"/>
    </row>
    <row r="25" spans="1:11" s="189" customFormat="1" ht="33" hidden="1" customHeight="1" x14ac:dyDescent="0.25">
      <c r="A25" s="188"/>
      <c r="B25" s="207"/>
      <c r="C25" s="208"/>
      <c r="D25" s="208"/>
      <c r="E25" s="207"/>
      <c r="F25" s="207"/>
      <c r="G25" s="209"/>
      <c r="H25" s="209"/>
      <c r="I25" s="209"/>
      <c r="J25" s="210"/>
      <c r="K25" s="188"/>
    </row>
    <row r="26" spans="1:11" s="189" customFormat="1" ht="33" hidden="1" customHeight="1" x14ac:dyDescent="0.25">
      <c r="A26" s="188"/>
      <c r="B26" s="207"/>
      <c r="C26" s="208"/>
      <c r="D26" s="208"/>
      <c r="E26" s="207"/>
      <c r="F26" s="207"/>
      <c r="G26" s="209"/>
      <c r="H26" s="209"/>
      <c r="I26" s="209"/>
      <c r="J26" s="210"/>
      <c r="K26" s="188"/>
    </row>
    <row r="27" spans="1:11" s="189" customFormat="1" ht="6.75" hidden="1" customHeight="1" x14ac:dyDescent="0.25">
      <c r="A27" s="188"/>
      <c r="B27" s="211"/>
      <c r="C27" s="210"/>
      <c r="D27" s="210"/>
      <c r="E27" s="207"/>
      <c r="F27" s="207"/>
      <c r="G27" s="211"/>
      <c r="H27" s="211"/>
      <c r="I27" s="211"/>
      <c r="J27" s="210"/>
      <c r="K27" s="188"/>
    </row>
    <row r="28" spans="1:11" ht="42.75" hidden="1" customHeight="1" x14ac:dyDescent="0.25">
      <c r="B28" s="212"/>
      <c r="C28" s="213"/>
      <c r="D28" s="213"/>
      <c r="E28" s="214"/>
      <c r="F28" s="215"/>
      <c r="G28" s="189"/>
      <c r="H28" s="189"/>
      <c r="I28" s="189"/>
    </row>
    <row r="29" spans="1:11" ht="16.5" hidden="1" customHeight="1" x14ac:dyDescent="0.25">
      <c r="C29" s="170"/>
      <c r="D29" s="170"/>
      <c r="E29" s="170"/>
    </row>
    <row r="30" spans="1:11" ht="16.5" hidden="1" customHeight="1" x14ac:dyDescent="0.25"/>
    <row r="31" spans="1:11" ht="16.5" hidden="1" customHeight="1" x14ac:dyDescent="0.25"/>
    <row r="32" spans="1:11" ht="16.5" hidden="1" customHeight="1" x14ac:dyDescent="0.25"/>
    <row r="33" spans="2:10" ht="16.5" hidden="1" customHeight="1" x14ac:dyDescent="0.25"/>
    <row r="34" spans="2:10" ht="16.5" hidden="1" customHeight="1" x14ac:dyDescent="0.25"/>
    <row r="35" spans="2:10" ht="16.5" hidden="1" customHeight="1" x14ac:dyDescent="0.25"/>
    <row r="36" spans="2:10" ht="16.5" hidden="1" customHeight="1" x14ac:dyDescent="0.25"/>
    <row r="37" spans="2:10" ht="16.5" hidden="1" customHeight="1" x14ac:dyDescent="0.25"/>
    <row r="38" spans="2:10" ht="16.5" hidden="1" customHeight="1" x14ac:dyDescent="0.25"/>
    <row r="39" spans="2:10" ht="16.5" hidden="1" customHeight="1" x14ac:dyDescent="0.25"/>
    <row r="40" spans="2:10" s="166" customFormat="1" ht="16.5" hidden="1" customHeight="1" x14ac:dyDescent="0.25">
      <c r="B40" s="217"/>
      <c r="C40" s="218"/>
      <c r="D40" s="218"/>
      <c r="E40" s="218"/>
      <c r="F40" s="170"/>
      <c r="G40" s="170"/>
      <c r="H40" s="170"/>
      <c r="I40" s="170"/>
      <c r="J40" s="216"/>
    </row>
    <row r="41" spans="2:10" s="166" customFormat="1" ht="16.5" hidden="1" customHeight="1" x14ac:dyDescent="0.25">
      <c r="B41" s="217"/>
      <c r="C41" s="218"/>
      <c r="D41" s="218"/>
      <c r="E41" s="218"/>
      <c r="F41" s="170"/>
      <c r="G41" s="170"/>
      <c r="H41" s="170"/>
      <c r="I41" s="170"/>
      <c r="J41" s="216"/>
    </row>
    <row r="42" spans="2:10" s="166" customFormat="1" ht="16.5" hidden="1" customHeight="1" x14ac:dyDescent="0.25">
      <c r="B42" s="217"/>
      <c r="C42" s="218"/>
      <c r="D42" s="218"/>
      <c r="E42" s="218"/>
      <c r="F42" s="170"/>
      <c r="G42" s="170"/>
      <c r="H42" s="170"/>
      <c r="I42" s="170"/>
      <c r="J42" s="216"/>
    </row>
    <row r="43" spans="2:10" s="166" customFormat="1" ht="16.5" hidden="1" customHeight="1" x14ac:dyDescent="0.25">
      <c r="B43" s="217"/>
      <c r="C43" s="218"/>
      <c r="D43" s="218"/>
      <c r="E43" s="218"/>
      <c r="F43" s="170"/>
      <c r="G43" s="170"/>
      <c r="H43" s="170"/>
      <c r="I43" s="170"/>
      <c r="J43" s="216"/>
    </row>
    <row r="44" spans="2:10" s="166" customFormat="1" ht="16.5" hidden="1" customHeight="1" x14ac:dyDescent="0.25">
      <c r="B44" s="217"/>
      <c r="C44" s="218"/>
      <c r="D44" s="218"/>
      <c r="E44" s="218"/>
      <c r="F44" s="170"/>
      <c r="G44" s="170"/>
      <c r="H44" s="170"/>
      <c r="I44" s="170"/>
      <c r="J44" s="216"/>
    </row>
    <row r="45" spans="2:10" s="166" customFormat="1" ht="16.5" hidden="1" customHeight="1" x14ac:dyDescent="0.25">
      <c r="B45" s="217"/>
      <c r="C45" s="218"/>
      <c r="D45" s="218"/>
      <c r="E45" s="218"/>
      <c r="F45" s="170"/>
      <c r="G45" s="170"/>
      <c r="H45" s="170"/>
      <c r="I45" s="170"/>
      <c r="J45" s="216"/>
    </row>
    <row r="46" spans="2:10" s="166" customFormat="1" ht="16.5" hidden="1" customHeight="1" x14ac:dyDescent="0.25">
      <c r="B46" s="217"/>
      <c r="C46" s="218"/>
      <c r="D46" s="218"/>
      <c r="E46" s="218"/>
      <c r="F46" s="170"/>
      <c r="G46" s="170"/>
      <c r="H46" s="170"/>
      <c r="I46" s="170"/>
      <c r="J46" s="216"/>
    </row>
    <row r="47" spans="2:10" s="166" customFormat="1" ht="16.5" hidden="1" customHeight="1" x14ac:dyDescent="0.25">
      <c r="B47" s="217"/>
      <c r="C47" s="218"/>
      <c r="D47" s="218"/>
      <c r="E47" s="218"/>
      <c r="F47" s="170"/>
      <c r="G47" s="170"/>
      <c r="H47" s="170"/>
      <c r="I47" s="170"/>
      <c r="J47" s="216"/>
    </row>
    <row r="48" spans="2:10" s="166" customFormat="1" ht="16.5" hidden="1" customHeight="1" x14ac:dyDescent="0.25">
      <c r="B48" s="217"/>
      <c r="C48" s="218"/>
      <c r="D48" s="218"/>
      <c r="E48" s="218"/>
      <c r="F48" s="170"/>
      <c r="G48" s="170"/>
      <c r="H48" s="170"/>
      <c r="I48" s="170"/>
      <c r="J48" s="216"/>
    </row>
    <row r="49" spans="1:11" s="166" customFormat="1" ht="16.5" hidden="1" customHeight="1" x14ac:dyDescent="0.25">
      <c r="B49" s="217"/>
      <c r="C49" s="218"/>
      <c r="D49" s="218"/>
      <c r="E49" s="218"/>
      <c r="F49" s="170"/>
      <c r="G49" s="170"/>
      <c r="H49" s="170"/>
      <c r="I49" s="170"/>
      <c r="J49" s="216"/>
    </row>
    <row r="50" spans="1:11" s="166" customFormat="1" ht="16.5" hidden="1" customHeight="1" x14ac:dyDescent="0.25">
      <c r="B50" s="217"/>
      <c r="C50" s="218"/>
      <c r="D50" s="218"/>
      <c r="E50" s="218"/>
      <c r="F50" s="170"/>
      <c r="G50" s="170"/>
      <c r="H50" s="170"/>
      <c r="I50" s="170"/>
      <c r="J50" s="216"/>
    </row>
    <row r="51" spans="1:11" s="166" customFormat="1" ht="16.5" hidden="1" customHeight="1" x14ac:dyDescent="0.25">
      <c r="B51" s="217"/>
      <c r="C51" s="218"/>
      <c r="D51" s="218"/>
      <c r="E51" s="218"/>
      <c r="F51" s="170"/>
      <c r="G51" s="170"/>
      <c r="H51" s="170"/>
      <c r="I51" s="170"/>
      <c r="J51" s="216"/>
    </row>
    <row r="52" spans="1:11" s="166" customFormat="1" ht="16.5" hidden="1" customHeight="1" x14ac:dyDescent="0.25">
      <c r="B52" s="217"/>
      <c r="C52" s="218"/>
      <c r="D52" s="218"/>
      <c r="E52" s="218"/>
      <c r="F52" s="170"/>
      <c r="G52" s="170"/>
      <c r="H52" s="170"/>
      <c r="I52" s="170"/>
      <c r="J52" s="216"/>
    </row>
    <row r="53" spans="1:11" s="166" customFormat="1" ht="16.5" hidden="1" customHeight="1" x14ac:dyDescent="0.25">
      <c r="B53" s="217"/>
      <c r="C53" s="218"/>
      <c r="D53" s="218"/>
      <c r="E53" s="218"/>
      <c r="F53" s="170"/>
      <c r="G53" s="170"/>
      <c r="H53" s="170"/>
      <c r="I53" s="170"/>
      <c r="J53" s="216"/>
    </row>
    <row r="54" spans="1:11" s="166" customFormat="1" ht="16.5" hidden="1" customHeight="1" x14ac:dyDescent="0.25">
      <c r="B54" s="217"/>
      <c r="C54" s="218"/>
      <c r="D54" s="218"/>
      <c r="E54" s="218"/>
      <c r="F54" s="170"/>
      <c r="G54" s="170"/>
      <c r="H54" s="170"/>
      <c r="I54" s="170"/>
      <c r="J54" s="216"/>
    </row>
    <row r="55" spans="1:11" s="166" customFormat="1" ht="16.5" hidden="1" customHeight="1" x14ac:dyDescent="0.25">
      <c r="B55" s="217"/>
      <c r="C55" s="218"/>
      <c r="D55" s="218"/>
      <c r="E55" s="218"/>
      <c r="F55" s="170"/>
      <c r="G55" s="170"/>
      <c r="H55" s="170"/>
      <c r="I55" s="170"/>
      <c r="J55" s="216"/>
    </row>
    <row r="56" spans="1:11" ht="16.5" hidden="1" customHeight="1" x14ac:dyDescent="0.25"/>
    <row r="57" spans="1:11" ht="16.5" hidden="1" customHeight="1" x14ac:dyDescent="0.25"/>
    <row r="58" spans="1:11" ht="16.5" hidden="1" customHeight="1" x14ac:dyDescent="0.25"/>
    <row r="59" spans="1:11" ht="0" hidden="1" customHeight="1" x14ac:dyDescent="0.25">
      <c r="A59" s="170"/>
      <c r="B59" s="170"/>
      <c r="C59" s="170"/>
      <c r="D59" s="170"/>
      <c r="E59" s="170"/>
      <c r="J59" s="170"/>
      <c r="K59" s="170"/>
    </row>
    <row r="60" spans="1:11" ht="0" hidden="1" customHeight="1" x14ac:dyDescent="0.25">
      <c r="A60" s="170"/>
      <c r="B60" s="170"/>
      <c r="C60" s="170"/>
      <c r="D60" s="170"/>
      <c r="E60" s="170"/>
      <c r="J60" s="170"/>
      <c r="K60" s="170"/>
    </row>
    <row r="61" spans="1:11" ht="0" hidden="1" customHeight="1" x14ac:dyDescent="0.25">
      <c r="A61" s="170"/>
      <c r="B61" s="170"/>
      <c r="C61" s="170"/>
      <c r="D61" s="170"/>
      <c r="E61" s="170"/>
      <c r="J61" s="170"/>
      <c r="K61" s="170"/>
    </row>
    <row r="62" spans="1:11" ht="0" hidden="1" customHeight="1" x14ac:dyDescent="0.25">
      <c r="A62" s="170"/>
      <c r="B62" s="170"/>
      <c r="C62" s="170"/>
      <c r="D62" s="170"/>
      <c r="E62" s="170"/>
      <c r="J62" s="170"/>
      <c r="K62" s="170"/>
    </row>
    <row r="63" spans="1:11" ht="0" hidden="1" customHeight="1" x14ac:dyDescent="0.25">
      <c r="A63" s="170"/>
      <c r="B63" s="170"/>
      <c r="C63" s="170"/>
      <c r="D63" s="170"/>
      <c r="E63" s="170"/>
      <c r="J63" s="170"/>
      <c r="K63" s="170"/>
    </row>
    <row r="64" spans="1:11" ht="0" hidden="1" customHeight="1" x14ac:dyDescent="0.25">
      <c r="A64" s="170"/>
      <c r="B64" s="170"/>
      <c r="C64" s="170"/>
      <c r="D64" s="170"/>
      <c r="E64" s="170"/>
      <c r="J64" s="170"/>
      <c r="K64" s="170"/>
    </row>
    <row r="65" s="170" customFormat="1" ht="0" hidden="1" customHeight="1" x14ac:dyDescent="0.25"/>
    <row r="66" s="170" customFormat="1" ht="0" hidden="1" customHeight="1" x14ac:dyDescent="0.25"/>
    <row r="67" s="170" customFormat="1" ht="0" hidden="1" customHeight="1" x14ac:dyDescent="0.25"/>
    <row r="68" s="170" customFormat="1" ht="0" hidden="1" customHeight="1" x14ac:dyDescent="0.25"/>
  </sheetData>
  <mergeCells count="16">
    <mergeCell ref="D19:E19"/>
    <mergeCell ref="C2:J2"/>
    <mergeCell ref="D4:J4"/>
    <mergeCell ref="D6:H6"/>
    <mergeCell ref="D8:H8"/>
    <mergeCell ref="B10:J10"/>
    <mergeCell ref="B11:B12"/>
    <mergeCell ref="C11:C12"/>
    <mergeCell ref="D11:D12"/>
    <mergeCell ref="E11:E12"/>
    <mergeCell ref="F11:F12"/>
    <mergeCell ref="G11:H11"/>
    <mergeCell ref="J11:J12"/>
    <mergeCell ref="B16:J16"/>
    <mergeCell ref="C17:F17"/>
    <mergeCell ref="D18:E18"/>
  </mergeCell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0004-8949-4236-831C-95C0EE76425A}">
  <dimension ref="A1:L51"/>
  <sheetViews>
    <sheetView showGridLines="0" workbookViewId="0">
      <selection activeCell="B6" sqref="B6:B7"/>
    </sheetView>
  </sheetViews>
  <sheetFormatPr baseColWidth="10" defaultColWidth="0" defaultRowHeight="15" customHeight="1" zeroHeight="1" x14ac:dyDescent="0.25"/>
  <cols>
    <col min="1" max="1" width="2.42578125" style="166" customWidth="1"/>
    <col min="2" max="2" width="4.42578125" style="217" customWidth="1"/>
    <col min="3" max="3" width="30" style="218" customWidth="1"/>
    <col min="4" max="4" width="21.85546875" style="218" customWidth="1"/>
    <col min="5" max="5" width="30" style="218" customWidth="1"/>
    <col min="6" max="6" width="23.42578125" style="170" customWidth="1"/>
    <col min="7" max="8" width="13.42578125" style="170" customWidth="1"/>
    <col min="9" max="9" width="14.5703125" style="170" customWidth="1"/>
    <col min="10" max="10" width="56.42578125" style="216" customWidth="1"/>
    <col min="11" max="11" width="4.28515625" style="166" customWidth="1"/>
    <col min="12" max="12" width="0" style="170" hidden="1" customWidth="1"/>
    <col min="13" max="16384" width="11.42578125" style="170" hidden="1"/>
  </cols>
  <sheetData>
    <row r="1" spans="1:11" ht="18.75" customHeight="1" x14ac:dyDescent="0.25">
      <c r="B1" s="167"/>
      <c r="C1" s="167"/>
      <c r="D1" s="168"/>
      <c r="E1" s="168"/>
      <c r="F1" s="168"/>
      <c r="G1" s="168"/>
      <c r="H1" s="168"/>
      <c r="I1" s="168"/>
      <c r="J1" s="169"/>
    </row>
    <row r="2" spans="1:11" ht="18.75" customHeight="1" x14ac:dyDescent="0.25">
      <c r="B2" s="171"/>
      <c r="C2" s="788" t="s">
        <v>706</v>
      </c>
      <c r="D2" s="788"/>
      <c r="E2" s="788"/>
      <c r="F2" s="788"/>
      <c r="G2" s="788"/>
      <c r="H2" s="788"/>
      <c r="I2" s="788"/>
      <c r="J2" s="788"/>
    </row>
    <row r="3" spans="1:11" ht="18.75" customHeight="1" x14ac:dyDescent="0.25">
      <c r="B3" s="171"/>
      <c r="C3" s="172"/>
      <c r="D3" s="173"/>
      <c r="E3" s="172"/>
      <c r="F3" s="174"/>
      <c r="G3" s="175"/>
      <c r="H3" s="176"/>
      <c r="I3" s="176"/>
      <c r="J3" s="177"/>
    </row>
    <row r="4" spans="1:11" ht="29.25" customHeight="1" x14ac:dyDescent="0.25">
      <c r="B4" s="171"/>
      <c r="C4" s="178" t="s">
        <v>651</v>
      </c>
      <c r="D4" s="789" t="s">
        <v>707</v>
      </c>
      <c r="E4" s="789"/>
      <c r="F4" s="789"/>
      <c r="G4" s="789"/>
      <c r="H4" s="789"/>
      <c r="I4" s="789"/>
      <c r="J4" s="789"/>
    </row>
    <row r="5" spans="1:11" ht="6.75" customHeight="1" x14ac:dyDescent="0.25">
      <c r="B5" s="171"/>
      <c r="C5" s="179"/>
      <c r="D5" s="180"/>
      <c r="E5" s="172"/>
      <c r="F5" s="181"/>
      <c r="G5" s="181"/>
      <c r="H5" s="181"/>
      <c r="I5" s="181"/>
      <c r="J5" s="177"/>
    </row>
    <row r="6" spans="1:11" ht="17.25" customHeight="1" x14ac:dyDescent="0.25">
      <c r="B6" s="171"/>
      <c r="C6" s="178" t="s">
        <v>653</v>
      </c>
      <c r="D6" s="789">
        <v>1</v>
      </c>
      <c r="E6" s="789"/>
      <c r="F6" s="789"/>
      <c r="G6" s="789"/>
      <c r="H6" s="789"/>
      <c r="I6" s="182"/>
      <c r="J6" s="182"/>
    </row>
    <row r="7" spans="1:11" ht="8.25" customHeight="1" x14ac:dyDescent="0.25">
      <c r="B7" s="171"/>
      <c r="C7" s="183"/>
      <c r="D7" s="183"/>
      <c r="E7" s="183"/>
      <c r="F7" s="184"/>
      <c r="G7" s="184"/>
      <c r="H7" s="184"/>
      <c r="I7" s="184"/>
      <c r="J7" s="177"/>
    </row>
    <row r="8" spans="1:11" ht="18" customHeight="1" x14ac:dyDescent="0.25">
      <c r="B8" s="171"/>
      <c r="C8" s="178" t="s">
        <v>690</v>
      </c>
      <c r="D8" s="790">
        <v>44592</v>
      </c>
      <c r="E8" s="789"/>
      <c r="F8" s="789"/>
      <c r="G8" s="789"/>
      <c r="H8" s="789"/>
      <c r="I8" s="182"/>
      <c r="J8" s="182"/>
    </row>
    <row r="9" spans="1:11" ht="8.25" customHeight="1" thickBot="1" x14ac:dyDescent="0.3">
      <c r="B9" s="171"/>
      <c r="C9" s="185"/>
      <c r="D9" s="185"/>
      <c r="E9" s="185"/>
      <c r="F9" s="186"/>
      <c r="G9" s="186"/>
      <c r="H9" s="186"/>
      <c r="I9" s="186"/>
      <c r="J9" s="187"/>
    </row>
    <row r="10" spans="1:11" ht="18" customHeight="1" x14ac:dyDescent="0.25">
      <c r="B10" s="809" t="s">
        <v>655</v>
      </c>
      <c r="C10" s="810"/>
      <c r="D10" s="810"/>
      <c r="E10" s="810"/>
      <c r="F10" s="810"/>
      <c r="G10" s="810"/>
      <c r="H10" s="810"/>
      <c r="I10" s="810"/>
      <c r="J10" s="811"/>
    </row>
    <row r="11" spans="1:11" ht="18" customHeight="1" x14ac:dyDescent="0.25">
      <c r="B11" s="794" t="s">
        <v>656</v>
      </c>
      <c r="C11" s="796" t="s">
        <v>657</v>
      </c>
      <c r="D11" s="796" t="s">
        <v>658</v>
      </c>
      <c r="E11" s="796" t="s">
        <v>659</v>
      </c>
      <c r="F11" s="796" t="s">
        <v>660</v>
      </c>
      <c r="G11" s="796" t="s">
        <v>661</v>
      </c>
      <c r="H11" s="796"/>
      <c r="I11" s="283" t="s">
        <v>662</v>
      </c>
      <c r="J11" s="798" t="s">
        <v>9</v>
      </c>
    </row>
    <row r="12" spans="1:11" s="189" customFormat="1" ht="18" customHeight="1" thickBot="1" x14ac:dyDescent="0.3">
      <c r="A12" s="188"/>
      <c r="B12" s="795"/>
      <c r="C12" s="797"/>
      <c r="D12" s="797"/>
      <c r="E12" s="797"/>
      <c r="F12" s="797"/>
      <c r="G12" s="281" t="s">
        <v>663</v>
      </c>
      <c r="H12" s="281" t="s">
        <v>664</v>
      </c>
      <c r="I12" s="282">
        <f>SUM(I13:I18)</f>
        <v>1</v>
      </c>
      <c r="J12" s="799"/>
      <c r="K12" s="188"/>
    </row>
    <row r="13" spans="1:11" s="189" customFormat="1" ht="42" customHeight="1" x14ac:dyDescent="0.25">
      <c r="A13" s="188"/>
      <c r="B13" s="190">
        <v>1</v>
      </c>
      <c r="C13" s="219" t="s">
        <v>708</v>
      </c>
      <c r="D13" s="219" t="s">
        <v>701</v>
      </c>
      <c r="E13" s="191" t="s">
        <v>709</v>
      </c>
      <c r="F13" s="192">
        <v>1</v>
      </c>
      <c r="G13" s="193">
        <v>44593</v>
      </c>
      <c r="H13" s="193">
        <v>44925</v>
      </c>
      <c r="I13" s="192">
        <v>0.2</v>
      </c>
      <c r="J13" s="220" t="s">
        <v>710</v>
      </c>
      <c r="K13" s="188"/>
    </row>
    <row r="14" spans="1:11" s="189" customFormat="1" ht="42" customHeight="1" x14ac:dyDescent="0.25">
      <c r="A14" s="188"/>
      <c r="B14" s="195">
        <v>2</v>
      </c>
      <c r="C14" s="221" t="s">
        <v>711</v>
      </c>
      <c r="D14" s="222" t="s">
        <v>701</v>
      </c>
      <c r="E14" s="197" t="s">
        <v>709</v>
      </c>
      <c r="F14" s="198">
        <v>1</v>
      </c>
      <c r="G14" s="193">
        <v>44593</v>
      </c>
      <c r="H14" s="193">
        <v>44925</v>
      </c>
      <c r="I14" s="198">
        <v>0.2</v>
      </c>
      <c r="J14" s="223" t="s">
        <v>710</v>
      </c>
      <c r="K14" s="188"/>
    </row>
    <row r="15" spans="1:11" s="189" customFormat="1" ht="42" customHeight="1" x14ac:dyDescent="0.25">
      <c r="A15" s="188"/>
      <c r="B15" s="195">
        <v>3</v>
      </c>
      <c r="C15" s="221" t="s">
        <v>712</v>
      </c>
      <c r="D15" s="222" t="s">
        <v>701</v>
      </c>
      <c r="E15" s="197" t="s">
        <v>709</v>
      </c>
      <c r="F15" s="198">
        <v>1</v>
      </c>
      <c r="G15" s="193">
        <v>44593</v>
      </c>
      <c r="H15" s="193">
        <v>44925</v>
      </c>
      <c r="I15" s="198">
        <v>0.2</v>
      </c>
      <c r="J15" s="223" t="s">
        <v>710</v>
      </c>
      <c r="K15" s="188"/>
    </row>
    <row r="16" spans="1:11" s="189" customFormat="1" ht="42" customHeight="1" x14ac:dyDescent="0.25">
      <c r="A16" s="188"/>
      <c r="B16" s="195">
        <v>4</v>
      </c>
      <c r="C16" s="221" t="s">
        <v>713</v>
      </c>
      <c r="D16" s="222" t="s">
        <v>701</v>
      </c>
      <c r="E16" s="197" t="s">
        <v>709</v>
      </c>
      <c r="F16" s="198">
        <v>1</v>
      </c>
      <c r="G16" s="193">
        <v>44593</v>
      </c>
      <c r="H16" s="193">
        <v>44925</v>
      </c>
      <c r="I16" s="198">
        <v>0.2</v>
      </c>
      <c r="J16" s="223" t="s">
        <v>710</v>
      </c>
      <c r="K16" s="188"/>
    </row>
    <row r="17" spans="1:11" s="189" customFormat="1" ht="42" customHeight="1" x14ac:dyDescent="0.25">
      <c r="A17" s="188"/>
      <c r="B17" s="195">
        <v>5</v>
      </c>
      <c r="C17" s="221" t="s">
        <v>714</v>
      </c>
      <c r="D17" s="222" t="s">
        <v>701</v>
      </c>
      <c r="E17" s="197" t="s">
        <v>709</v>
      </c>
      <c r="F17" s="198">
        <v>1</v>
      </c>
      <c r="G17" s="193">
        <v>44593</v>
      </c>
      <c r="H17" s="193">
        <v>44925</v>
      </c>
      <c r="I17" s="198">
        <v>0.2</v>
      </c>
      <c r="J17" s="223" t="s">
        <v>710</v>
      </c>
      <c r="K17" s="188"/>
    </row>
    <row r="18" spans="1:11" s="189" customFormat="1" ht="15" customHeight="1" thickBot="1" x14ac:dyDescent="0.3">
      <c r="A18" s="188"/>
      <c r="B18" s="200"/>
      <c r="C18" s="201"/>
      <c r="D18" s="202"/>
      <c r="E18" s="203"/>
      <c r="F18" s="205"/>
      <c r="G18" s="204"/>
      <c r="H18" s="204"/>
      <c r="I18" s="205"/>
      <c r="J18" s="206"/>
      <c r="K18" s="188"/>
    </row>
    <row r="19" spans="1:11" s="189" customFormat="1" ht="33" customHeight="1" thickBot="1" x14ac:dyDescent="0.3">
      <c r="A19" s="188"/>
      <c r="B19" s="800" t="s">
        <v>705</v>
      </c>
      <c r="C19" s="800"/>
      <c r="D19" s="800"/>
      <c r="E19" s="800"/>
      <c r="F19" s="800"/>
      <c r="G19" s="800"/>
      <c r="H19" s="800"/>
      <c r="I19" s="800"/>
      <c r="J19" s="800"/>
      <c r="K19" s="188"/>
    </row>
    <row r="20" spans="1:11" s="61" customFormat="1" ht="24" customHeight="1" thickBot="1" x14ac:dyDescent="0.3">
      <c r="B20" s="92"/>
      <c r="C20" s="752" t="s">
        <v>675</v>
      </c>
      <c r="D20" s="753"/>
      <c r="E20" s="753"/>
      <c r="F20" s="754"/>
      <c r="G20" s="93"/>
      <c r="H20" s="93"/>
      <c r="I20" s="93"/>
    </row>
    <row r="21" spans="1:11" s="61" customFormat="1" ht="33.75" customHeight="1" x14ac:dyDescent="0.25">
      <c r="B21" s="92"/>
      <c r="C21" s="267" t="s">
        <v>676</v>
      </c>
      <c r="D21" s="739" t="s">
        <v>677</v>
      </c>
      <c r="E21" s="740"/>
      <c r="F21" s="268" t="s">
        <v>678</v>
      </c>
      <c r="G21" s="93"/>
      <c r="H21" s="93"/>
      <c r="I21" s="93"/>
    </row>
    <row r="22" spans="1:11" s="61" customFormat="1" ht="35.25" customHeight="1" x14ac:dyDescent="0.25">
      <c r="B22" s="92"/>
      <c r="C22" s="94">
        <v>1</v>
      </c>
      <c r="D22" s="741" t="s">
        <v>679</v>
      </c>
      <c r="E22" s="742"/>
      <c r="F22" s="95">
        <v>44592</v>
      </c>
      <c r="G22" s="93"/>
      <c r="H22" s="93"/>
      <c r="I22" s="93"/>
    </row>
    <row r="23" spans="1:11" s="61" customFormat="1" ht="15.75" customHeight="1" x14ac:dyDescent="0.25">
      <c r="B23" s="92"/>
      <c r="C23" s="94"/>
      <c r="D23" s="96"/>
      <c r="E23" s="97"/>
      <c r="F23" s="98"/>
      <c r="G23" s="93"/>
      <c r="H23" s="93"/>
      <c r="I23" s="93"/>
    </row>
    <row r="24" spans="1:11" s="61" customFormat="1" ht="15.75" customHeight="1" thickBot="1" x14ac:dyDescent="0.3">
      <c r="B24" s="92"/>
      <c r="C24" s="99"/>
      <c r="D24" s="100"/>
      <c r="E24" s="101"/>
      <c r="F24" s="102"/>
      <c r="G24" s="93"/>
      <c r="H24" s="93"/>
      <c r="I24" s="93"/>
    </row>
    <row r="25" spans="1:11" s="189" customFormat="1" ht="33" customHeight="1" x14ac:dyDescent="0.25">
      <c r="A25" s="188"/>
      <c r="B25" s="207"/>
      <c r="C25" s="208"/>
      <c r="D25" s="208"/>
      <c r="E25" s="207"/>
      <c r="F25" s="207"/>
      <c r="G25" s="209"/>
      <c r="H25" s="209"/>
      <c r="I25" s="209"/>
      <c r="J25" s="210"/>
      <c r="K25" s="188"/>
    </row>
    <row r="26" spans="1:11" s="189" customFormat="1" ht="33" hidden="1" customHeight="1" x14ac:dyDescent="0.25">
      <c r="A26" s="188"/>
      <c r="B26" s="207"/>
      <c r="C26" s="208"/>
      <c r="D26" s="208"/>
      <c r="E26" s="207"/>
      <c r="F26" s="207"/>
      <c r="G26" s="209"/>
      <c r="H26" s="209"/>
      <c r="I26" s="209"/>
      <c r="J26" s="210"/>
      <c r="K26" s="188"/>
    </row>
    <row r="27" spans="1:11" s="189" customFormat="1" ht="33" hidden="1" customHeight="1" x14ac:dyDescent="0.25">
      <c r="A27" s="188"/>
      <c r="B27" s="207"/>
      <c r="C27" s="208"/>
      <c r="D27" s="208"/>
      <c r="E27" s="207"/>
      <c r="F27" s="207"/>
      <c r="G27" s="209"/>
      <c r="H27" s="209"/>
      <c r="I27" s="209"/>
      <c r="J27" s="210"/>
      <c r="K27" s="188"/>
    </row>
    <row r="28" spans="1:11" s="189" customFormat="1" ht="33" hidden="1" customHeight="1" x14ac:dyDescent="0.25">
      <c r="A28" s="188"/>
      <c r="B28" s="207"/>
      <c r="C28" s="208"/>
      <c r="D28" s="208"/>
      <c r="E28" s="207"/>
      <c r="F28" s="207"/>
      <c r="G28" s="209"/>
      <c r="H28" s="209"/>
      <c r="I28" s="209"/>
      <c r="J28" s="210"/>
      <c r="K28" s="188"/>
    </row>
    <row r="29" spans="1:11" s="189" customFormat="1" ht="6.75" hidden="1" customHeight="1" x14ac:dyDescent="0.25">
      <c r="A29" s="188"/>
      <c r="B29" s="211"/>
      <c r="C29" s="210"/>
      <c r="D29" s="210"/>
      <c r="E29" s="207"/>
      <c r="F29" s="207"/>
      <c r="G29" s="211"/>
      <c r="H29" s="211"/>
      <c r="I29" s="211"/>
      <c r="J29" s="210"/>
      <c r="K29" s="188"/>
    </row>
    <row r="30" spans="1:11" ht="42.75" hidden="1" customHeight="1" x14ac:dyDescent="0.25">
      <c r="B30" s="212"/>
      <c r="C30" s="213"/>
      <c r="D30" s="213"/>
      <c r="E30" s="214"/>
      <c r="F30" s="215"/>
      <c r="G30" s="189"/>
      <c r="H30" s="189"/>
      <c r="I30" s="189"/>
    </row>
    <row r="31" spans="1:11" ht="16.5" hidden="1" customHeight="1" x14ac:dyDescent="0.25">
      <c r="C31" s="170"/>
      <c r="D31" s="170"/>
      <c r="E31" s="170"/>
    </row>
    <row r="32" spans="1:11" ht="16.5" hidden="1" customHeight="1" x14ac:dyDescent="0.25"/>
    <row r="33" spans="2:12" ht="16.5" hidden="1" customHeight="1" x14ac:dyDescent="0.25"/>
    <row r="34" spans="2:12" ht="16.5" hidden="1" customHeight="1" x14ac:dyDescent="0.25"/>
    <row r="35" spans="2:12" ht="16.5" hidden="1" customHeight="1" x14ac:dyDescent="0.25"/>
    <row r="36" spans="2:12" ht="16.5" hidden="1" customHeight="1" x14ac:dyDescent="0.25"/>
    <row r="37" spans="2:12" ht="16.5" hidden="1" customHeight="1" x14ac:dyDescent="0.25"/>
    <row r="38" spans="2:12" s="166" customFormat="1" ht="16.5" hidden="1" customHeight="1" x14ac:dyDescent="0.25">
      <c r="B38" s="217"/>
      <c r="C38" s="218"/>
      <c r="D38" s="218"/>
      <c r="E38" s="218"/>
      <c r="F38" s="170"/>
      <c r="G38" s="170"/>
      <c r="H38" s="170"/>
      <c r="I38" s="170"/>
      <c r="J38" s="216"/>
      <c r="L38" s="170"/>
    </row>
    <row r="39" spans="2:12" s="166" customFormat="1" ht="16.5" hidden="1" customHeight="1" x14ac:dyDescent="0.25">
      <c r="B39" s="217"/>
      <c r="C39" s="218"/>
      <c r="D39" s="218"/>
      <c r="E39" s="218"/>
      <c r="F39" s="170"/>
      <c r="G39" s="170"/>
      <c r="H39" s="170"/>
      <c r="I39" s="170"/>
      <c r="J39" s="216"/>
      <c r="L39" s="170"/>
    </row>
    <row r="40" spans="2:12" s="166" customFormat="1" ht="16.5" hidden="1" customHeight="1" x14ac:dyDescent="0.25">
      <c r="B40" s="217"/>
      <c r="C40" s="218"/>
      <c r="D40" s="218"/>
      <c r="E40" s="218"/>
      <c r="F40" s="170"/>
      <c r="G40" s="170"/>
      <c r="H40" s="170"/>
      <c r="I40" s="170"/>
      <c r="J40" s="216"/>
      <c r="L40" s="170"/>
    </row>
    <row r="41" spans="2:12" s="166" customFormat="1" ht="16.5" hidden="1" customHeight="1" x14ac:dyDescent="0.25">
      <c r="B41" s="217"/>
      <c r="C41" s="218"/>
      <c r="D41" s="218"/>
      <c r="E41" s="218"/>
      <c r="F41" s="170"/>
      <c r="G41" s="170"/>
      <c r="H41" s="170"/>
      <c r="I41" s="170"/>
      <c r="J41" s="216"/>
      <c r="L41" s="170"/>
    </row>
    <row r="42" spans="2:12" s="166" customFormat="1" ht="16.5" hidden="1" customHeight="1" x14ac:dyDescent="0.25">
      <c r="B42" s="217"/>
      <c r="C42" s="218"/>
      <c r="D42" s="218"/>
      <c r="E42" s="218"/>
      <c r="F42" s="170"/>
      <c r="G42" s="170"/>
      <c r="H42" s="170"/>
      <c r="I42" s="170"/>
      <c r="J42" s="216"/>
      <c r="L42" s="170"/>
    </row>
    <row r="43" spans="2:12" s="166" customFormat="1" ht="16.5" hidden="1" customHeight="1" x14ac:dyDescent="0.25">
      <c r="B43" s="217"/>
      <c r="C43" s="218"/>
      <c r="D43" s="218"/>
      <c r="E43" s="218"/>
      <c r="F43" s="170"/>
      <c r="G43" s="170"/>
      <c r="H43" s="170"/>
      <c r="I43" s="170"/>
      <c r="J43" s="216"/>
      <c r="L43" s="170"/>
    </row>
    <row r="44" spans="2:12" s="166" customFormat="1" ht="16.5" hidden="1" customHeight="1" x14ac:dyDescent="0.25">
      <c r="B44" s="217"/>
      <c r="C44" s="218"/>
      <c r="D44" s="218"/>
      <c r="E44" s="218"/>
      <c r="F44" s="170"/>
      <c r="G44" s="170"/>
      <c r="H44" s="170"/>
      <c r="I44" s="170"/>
      <c r="J44" s="216"/>
      <c r="L44" s="170"/>
    </row>
    <row r="45" spans="2:12" s="166" customFormat="1" ht="16.5" hidden="1" customHeight="1" x14ac:dyDescent="0.25">
      <c r="B45" s="217"/>
      <c r="C45" s="218"/>
      <c r="D45" s="218"/>
      <c r="E45" s="218"/>
      <c r="F45" s="170"/>
      <c r="G45" s="170"/>
      <c r="H45" s="170"/>
      <c r="I45" s="170"/>
      <c r="J45" s="216"/>
      <c r="L45" s="170"/>
    </row>
    <row r="46" spans="2:12" s="166" customFormat="1" ht="16.5" hidden="1" customHeight="1" x14ac:dyDescent="0.25">
      <c r="B46" s="217"/>
      <c r="C46" s="218"/>
      <c r="D46" s="218"/>
      <c r="E46" s="218"/>
      <c r="F46" s="170"/>
      <c r="G46" s="170"/>
      <c r="H46" s="170"/>
      <c r="I46" s="170"/>
      <c r="J46" s="216"/>
      <c r="L46" s="170"/>
    </row>
    <row r="47" spans="2:12" s="166" customFormat="1" ht="16.5" hidden="1" customHeight="1" x14ac:dyDescent="0.25">
      <c r="B47" s="217"/>
      <c r="C47" s="218"/>
      <c r="D47" s="218"/>
      <c r="E47" s="218"/>
      <c r="F47" s="170"/>
      <c r="G47" s="170"/>
      <c r="H47" s="170"/>
      <c r="I47" s="170"/>
      <c r="J47" s="216"/>
      <c r="L47" s="170"/>
    </row>
    <row r="48" spans="2:12" s="166" customFormat="1" ht="16.5" hidden="1" customHeight="1" x14ac:dyDescent="0.25">
      <c r="B48" s="217"/>
      <c r="C48" s="218"/>
      <c r="D48" s="218"/>
      <c r="E48" s="218"/>
      <c r="F48" s="170"/>
      <c r="G48" s="170"/>
      <c r="H48" s="170"/>
      <c r="I48" s="170"/>
      <c r="J48" s="216"/>
      <c r="L48" s="170"/>
    </row>
    <row r="49" spans="2:12" s="166" customFormat="1" ht="16.5" hidden="1" customHeight="1" x14ac:dyDescent="0.25">
      <c r="B49" s="217"/>
      <c r="C49" s="218"/>
      <c r="D49" s="218"/>
      <c r="E49" s="218"/>
      <c r="F49" s="170"/>
      <c r="G49" s="170"/>
      <c r="H49" s="170"/>
      <c r="I49" s="170"/>
      <c r="J49" s="216"/>
      <c r="L49" s="170"/>
    </row>
    <row r="50" spans="2:12" s="166" customFormat="1" ht="16.5" hidden="1" customHeight="1" x14ac:dyDescent="0.25">
      <c r="B50" s="217"/>
      <c r="C50" s="218"/>
      <c r="D50" s="218"/>
      <c r="E50" s="218"/>
      <c r="F50" s="170"/>
      <c r="G50" s="170"/>
      <c r="H50" s="170"/>
      <c r="I50" s="170"/>
      <c r="J50" s="216"/>
      <c r="L50" s="170"/>
    </row>
    <row r="51" spans="2:12" s="166" customFormat="1" ht="16.5" hidden="1" customHeight="1" x14ac:dyDescent="0.25">
      <c r="B51" s="217"/>
      <c r="C51" s="218"/>
      <c r="D51" s="218"/>
      <c r="E51" s="218"/>
      <c r="F51" s="170"/>
      <c r="G51" s="170"/>
      <c r="H51" s="170"/>
      <c r="I51" s="170"/>
      <c r="J51" s="216"/>
      <c r="L51" s="170"/>
    </row>
  </sheetData>
  <mergeCells count="16">
    <mergeCell ref="D22:E22"/>
    <mergeCell ref="C2:J2"/>
    <mergeCell ref="D4:J4"/>
    <mergeCell ref="D6:H6"/>
    <mergeCell ref="D8:H8"/>
    <mergeCell ref="B10:J10"/>
    <mergeCell ref="B11:B12"/>
    <mergeCell ref="C11:C12"/>
    <mergeCell ref="D11:D12"/>
    <mergeCell ref="E11:E12"/>
    <mergeCell ref="F11:F12"/>
    <mergeCell ref="G11:H11"/>
    <mergeCell ref="J11:J12"/>
    <mergeCell ref="B19:J19"/>
    <mergeCell ref="C20:F20"/>
    <mergeCell ref="D21:E21"/>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DC71-0AA9-4AC5-B594-3B31F73729F9}">
  <dimension ref="A1:Z981"/>
  <sheetViews>
    <sheetView showGridLines="0" workbookViewId="0">
      <selection activeCell="B6" sqref="B6:B7"/>
    </sheetView>
  </sheetViews>
  <sheetFormatPr baseColWidth="10" defaultColWidth="0" defaultRowHeight="12.75" customHeight="1" zeroHeight="1" x14ac:dyDescent="0.2"/>
  <cols>
    <col min="1" max="1" width="2.42578125" style="228" customWidth="1"/>
    <col min="2" max="2" width="4.42578125" style="228" customWidth="1"/>
    <col min="3" max="3" width="30" style="228" customWidth="1"/>
    <col min="4" max="4" width="21.85546875" style="228" customWidth="1"/>
    <col min="5" max="5" width="30" style="228" customWidth="1"/>
    <col min="6" max="6" width="23.42578125" style="228" customWidth="1"/>
    <col min="7" max="8" width="13.42578125" style="228" customWidth="1"/>
    <col min="9" max="9" width="14.28515625" style="228" customWidth="1"/>
    <col min="10" max="10" width="58.42578125" style="228" customWidth="1"/>
    <col min="11" max="13" width="6.85546875" style="228" customWidth="1"/>
    <col min="14" max="26" width="10.7109375" style="228" hidden="1" customWidth="1"/>
    <col min="27" max="16384" width="14.42578125" style="228" hidden="1"/>
  </cols>
  <sheetData>
    <row r="1" spans="1:25" ht="18.75" customHeight="1" x14ac:dyDescent="0.2">
      <c r="A1" s="224"/>
      <c r="B1" s="225"/>
      <c r="C1" s="225"/>
      <c r="D1" s="226"/>
      <c r="E1" s="226"/>
      <c r="F1" s="226"/>
      <c r="G1" s="226"/>
      <c r="H1" s="226"/>
      <c r="I1" s="226"/>
      <c r="J1" s="227"/>
      <c r="K1" s="224"/>
      <c r="L1" s="224"/>
      <c r="M1" s="224"/>
      <c r="N1" s="224"/>
      <c r="O1" s="224"/>
      <c r="P1" s="224"/>
      <c r="Q1" s="224"/>
      <c r="R1" s="224"/>
      <c r="S1" s="224"/>
      <c r="T1" s="224"/>
      <c r="U1" s="224"/>
      <c r="V1" s="224"/>
      <c r="W1" s="224"/>
      <c r="X1" s="224"/>
      <c r="Y1" s="224"/>
    </row>
    <row r="2" spans="1:25" ht="18.75" customHeight="1" x14ac:dyDescent="0.2">
      <c r="A2" s="224"/>
      <c r="B2" s="229"/>
      <c r="C2" s="812" t="s">
        <v>723</v>
      </c>
      <c r="D2" s="812"/>
      <c r="E2" s="812"/>
      <c r="F2" s="812"/>
      <c r="G2" s="812"/>
      <c r="H2" s="812"/>
      <c r="I2" s="812"/>
      <c r="J2" s="812"/>
      <c r="K2" s="224"/>
      <c r="L2" s="224"/>
      <c r="M2" s="224"/>
      <c r="N2" s="224"/>
      <c r="O2" s="224"/>
      <c r="P2" s="224"/>
      <c r="Q2" s="224"/>
      <c r="R2" s="224"/>
      <c r="S2" s="224"/>
      <c r="T2" s="224"/>
      <c r="U2" s="224"/>
      <c r="V2" s="224"/>
      <c r="W2" s="224"/>
      <c r="X2" s="224"/>
      <c r="Y2" s="224"/>
    </row>
    <row r="3" spans="1:25" ht="18.75" customHeight="1" x14ac:dyDescent="0.2">
      <c r="A3" s="224"/>
      <c r="B3" s="229"/>
      <c r="C3" s="230"/>
      <c r="D3" s="231"/>
      <c r="E3" s="230"/>
      <c r="F3" s="232"/>
      <c r="G3" s="233"/>
      <c r="H3" s="234"/>
      <c r="I3" s="234"/>
      <c r="J3" s="235"/>
      <c r="K3" s="224"/>
      <c r="L3" s="224"/>
      <c r="M3" s="224"/>
      <c r="N3" s="224"/>
      <c r="O3" s="224"/>
      <c r="P3" s="224"/>
      <c r="Q3" s="224"/>
      <c r="R3" s="224"/>
      <c r="S3" s="224"/>
      <c r="T3" s="224"/>
      <c r="U3" s="224"/>
      <c r="V3" s="224"/>
      <c r="W3" s="224"/>
      <c r="X3" s="224"/>
      <c r="Y3" s="224"/>
    </row>
    <row r="4" spans="1:25" ht="16.5" customHeight="1" x14ac:dyDescent="0.2">
      <c r="A4" s="224"/>
      <c r="B4" s="229"/>
      <c r="C4" s="231" t="s">
        <v>651</v>
      </c>
      <c r="D4" s="813" t="s">
        <v>724</v>
      </c>
      <c r="E4" s="813"/>
      <c r="F4" s="813"/>
      <c r="G4" s="813"/>
      <c r="H4" s="813"/>
      <c r="I4" s="813"/>
      <c r="J4" s="813"/>
      <c r="K4" s="224"/>
      <c r="L4" s="224"/>
      <c r="M4" s="224"/>
      <c r="N4" s="224"/>
      <c r="O4" s="224"/>
      <c r="P4" s="224"/>
      <c r="Q4" s="224"/>
      <c r="R4" s="224"/>
      <c r="S4" s="224"/>
      <c r="T4" s="224"/>
      <c r="U4" s="224"/>
      <c r="V4" s="224"/>
      <c r="W4" s="224"/>
      <c r="X4" s="224"/>
      <c r="Y4" s="224"/>
    </row>
    <row r="5" spans="1:25" ht="5.25" customHeight="1" x14ac:dyDescent="0.2">
      <c r="A5" s="224"/>
      <c r="B5" s="229"/>
      <c r="C5" s="236"/>
      <c r="D5" s="237"/>
      <c r="E5" s="230"/>
      <c r="F5" s="238"/>
      <c r="G5" s="238"/>
      <c r="H5" s="238"/>
      <c r="I5" s="238"/>
      <c r="J5" s="235"/>
      <c r="K5" s="224"/>
      <c r="L5" s="224"/>
      <c r="M5" s="224"/>
      <c r="N5" s="224"/>
      <c r="O5" s="224"/>
      <c r="P5" s="224"/>
      <c r="Q5" s="224"/>
      <c r="R5" s="224"/>
      <c r="S5" s="224"/>
      <c r="T5" s="224"/>
      <c r="U5" s="224"/>
      <c r="V5" s="224"/>
      <c r="W5" s="224"/>
      <c r="X5" s="224"/>
      <c r="Y5" s="224"/>
    </row>
    <row r="6" spans="1:25" ht="16.5" customHeight="1" x14ac:dyDescent="0.2">
      <c r="A6" s="224"/>
      <c r="B6" s="229"/>
      <c r="C6" s="231" t="s">
        <v>653</v>
      </c>
      <c r="D6" s="813">
        <v>1</v>
      </c>
      <c r="E6" s="813"/>
      <c r="F6" s="813"/>
      <c r="G6" s="813"/>
      <c r="H6" s="813"/>
      <c r="I6" s="239"/>
      <c r="J6" s="239"/>
      <c r="K6" s="224"/>
      <c r="L6" s="224"/>
      <c r="M6" s="224"/>
      <c r="N6" s="224"/>
      <c r="O6" s="224"/>
      <c r="P6" s="224"/>
      <c r="Q6" s="224"/>
      <c r="R6" s="224"/>
      <c r="S6" s="224"/>
      <c r="T6" s="224"/>
      <c r="U6" s="224"/>
      <c r="V6" s="224"/>
      <c r="W6" s="224"/>
      <c r="X6" s="224"/>
      <c r="Y6" s="224"/>
    </row>
    <row r="7" spans="1:25" ht="5.25" customHeight="1" x14ac:dyDescent="0.2">
      <c r="A7" s="224"/>
      <c r="B7" s="229"/>
      <c r="C7" s="240"/>
      <c r="D7" s="240"/>
      <c r="E7" s="240"/>
      <c r="F7" s="241"/>
      <c r="G7" s="241"/>
      <c r="H7" s="241"/>
      <c r="I7" s="241"/>
      <c r="J7" s="235"/>
      <c r="K7" s="224"/>
      <c r="L7" s="224"/>
      <c r="M7" s="224"/>
      <c r="N7" s="224"/>
      <c r="O7" s="224"/>
      <c r="P7" s="224"/>
      <c r="Q7" s="224"/>
      <c r="R7" s="224"/>
      <c r="S7" s="224"/>
      <c r="T7" s="224"/>
      <c r="U7" s="224"/>
      <c r="V7" s="224"/>
      <c r="W7" s="224"/>
      <c r="X7" s="224"/>
      <c r="Y7" s="224"/>
    </row>
    <row r="8" spans="1:25" ht="16.5" customHeight="1" x14ac:dyDescent="0.2">
      <c r="A8" s="224"/>
      <c r="B8" s="229"/>
      <c r="C8" s="231" t="s">
        <v>690</v>
      </c>
      <c r="D8" s="790">
        <v>44592</v>
      </c>
      <c r="E8" s="790"/>
      <c r="F8" s="790"/>
      <c r="G8" s="790"/>
      <c r="H8" s="790"/>
      <c r="I8" s="239"/>
      <c r="J8" s="239"/>
      <c r="K8" s="224"/>
      <c r="L8" s="224"/>
      <c r="M8" s="224"/>
      <c r="N8" s="224"/>
      <c r="O8" s="224"/>
      <c r="P8" s="224"/>
      <c r="Q8" s="224"/>
      <c r="R8" s="224"/>
      <c r="S8" s="224"/>
      <c r="T8" s="224"/>
      <c r="U8" s="224"/>
      <c r="V8" s="224"/>
      <c r="W8" s="224"/>
      <c r="X8" s="224"/>
      <c r="Y8" s="224"/>
    </row>
    <row r="9" spans="1:25" ht="8.25" customHeight="1" thickBot="1" x14ac:dyDescent="0.25">
      <c r="A9" s="224"/>
      <c r="B9" s="229"/>
      <c r="C9" s="242"/>
      <c r="D9" s="242"/>
      <c r="E9" s="242"/>
      <c r="F9" s="243"/>
      <c r="G9" s="243"/>
      <c r="H9" s="243"/>
      <c r="I9" s="243"/>
      <c r="J9" s="244"/>
      <c r="K9" s="224"/>
      <c r="L9" s="224"/>
      <c r="M9" s="224"/>
      <c r="N9" s="224"/>
      <c r="O9" s="224"/>
      <c r="P9" s="224"/>
      <c r="Q9" s="224"/>
      <c r="R9" s="224"/>
      <c r="S9" s="224"/>
      <c r="T9" s="224"/>
      <c r="U9" s="224"/>
      <c r="V9" s="224"/>
      <c r="W9" s="224"/>
      <c r="X9" s="224"/>
      <c r="Y9" s="224"/>
    </row>
    <row r="10" spans="1:25" ht="18" customHeight="1" x14ac:dyDescent="0.2">
      <c r="A10" s="224"/>
      <c r="B10" s="814" t="s">
        <v>655</v>
      </c>
      <c r="C10" s="815"/>
      <c r="D10" s="815"/>
      <c r="E10" s="815"/>
      <c r="F10" s="815"/>
      <c r="G10" s="815"/>
      <c r="H10" s="815"/>
      <c r="I10" s="815"/>
      <c r="J10" s="816"/>
      <c r="K10" s="224"/>
      <c r="L10" s="224"/>
      <c r="M10" s="224"/>
      <c r="N10" s="224"/>
      <c r="O10" s="224"/>
      <c r="P10" s="224"/>
      <c r="Q10" s="224"/>
      <c r="R10" s="224"/>
      <c r="S10" s="224"/>
      <c r="T10" s="224"/>
      <c r="U10" s="224"/>
      <c r="V10" s="224"/>
      <c r="W10" s="224"/>
      <c r="X10" s="224"/>
      <c r="Y10" s="224"/>
    </row>
    <row r="11" spans="1:25" ht="18" customHeight="1" x14ac:dyDescent="0.2">
      <c r="A11" s="224"/>
      <c r="B11" s="817" t="s">
        <v>656</v>
      </c>
      <c r="C11" s="819" t="s">
        <v>657</v>
      </c>
      <c r="D11" s="819" t="s">
        <v>658</v>
      </c>
      <c r="E11" s="819" t="s">
        <v>659</v>
      </c>
      <c r="F11" s="819" t="s">
        <v>660</v>
      </c>
      <c r="G11" s="821" t="s">
        <v>661</v>
      </c>
      <c r="H11" s="822"/>
      <c r="I11" s="291" t="s">
        <v>662</v>
      </c>
      <c r="J11" s="823" t="s">
        <v>9</v>
      </c>
      <c r="K11" s="224"/>
      <c r="L11" s="224"/>
      <c r="M11" s="224"/>
      <c r="N11" s="224"/>
      <c r="O11" s="224"/>
      <c r="P11" s="224"/>
      <c r="Q11" s="224"/>
      <c r="R11" s="224"/>
      <c r="S11" s="224"/>
      <c r="T11" s="224"/>
      <c r="U11" s="224"/>
      <c r="V11" s="224"/>
      <c r="W11" s="224"/>
      <c r="X11" s="224"/>
      <c r="Y11" s="224"/>
    </row>
    <row r="12" spans="1:25" ht="18" customHeight="1" thickBot="1" x14ac:dyDescent="0.25">
      <c r="A12" s="245"/>
      <c r="B12" s="818"/>
      <c r="C12" s="820"/>
      <c r="D12" s="820"/>
      <c r="E12" s="820"/>
      <c r="F12" s="820"/>
      <c r="G12" s="292" t="s">
        <v>663</v>
      </c>
      <c r="H12" s="292" t="s">
        <v>664</v>
      </c>
      <c r="I12" s="293">
        <f>SUM(I13:I16)</f>
        <v>1</v>
      </c>
      <c r="J12" s="824"/>
      <c r="K12" s="245"/>
      <c r="L12" s="224"/>
      <c r="M12" s="224"/>
      <c r="N12" s="224"/>
      <c r="O12" s="224"/>
      <c r="P12" s="224"/>
      <c r="Q12" s="224"/>
      <c r="R12" s="224"/>
      <c r="S12" s="224"/>
      <c r="T12" s="224"/>
      <c r="U12" s="224"/>
      <c r="V12" s="224"/>
      <c r="W12" s="224"/>
      <c r="X12" s="224"/>
      <c r="Y12" s="224"/>
    </row>
    <row r="13" spans="1:25" ht="49.5" customHeight="1" x14ac:dyDescent="0.2">
      <c r="A13" s="245"/>
      <c r="B13" s="246">
        <v>1</v>
      </c>
      <c r="C13" s="247" t="s">
        <v>725</v>
      </c>
      <c r="D13" s="247" t="s">
        <v>726</v>
      </c>
      <c r="E13" s="247" t="s">
        <v>727</v>
      </c>
      <c r="F13" s="248">
        <v>0.9</v>
      </c>
      <c r="G13" s="249">
        <v>44593</v>
      </c>
      <c r="H13" s="249">
        <v>44926</v>
      </c>
      <c r="I13" s="248">
        <v>0.5</v>
      </c>
      <c r="J13" s="250" t="s">
        <v>728</v>
      </c>
      <c r="K13" s="245"/>
      <c r="L13" s="224"/>
      <c r="M13" s="224"/>
      <c r="N13" s="224"/>
      <c r="O13" s="224"/>
      <c r="P13" s="224"/>
      <c r="Q13" s="224"/>
      <c r="R13" s="224"/>
      <c r="S13" s="224"/>
      <c r="T13" s="224"/>
      <c r="U13" s="224"/>
      <c r="V13" s="224"/>
      <c r="W13" s="224"/>
      <c r="X13" s="224"/>
      <c r="Y13" s="224"/>
    </row>
    <row r="14" spans="1:25" ht="49.5" customHeight="1" x14ac:dyDescent="0.2">
      <c r="A14" s="245"/>
      <c r="B14" s="251">
        <v>2</v>
      </c>
      <c r="C14" s="252" t="s">
        <v>729</v>
      </c>
      <c r="D14" s="252" t="s">
        <v>726</v>
      </c>
      <c r="E14" s="252" t="s">
        <v>730</v>
      </c>
      <c r="F14" s="253">
        <v>1</v>
      </c>
      <c r="G14" s="249">
        <v>44593</v>
      </c>
      <c r="H14" s="249">
        <v>44926</v>
      </c>
      <c r="I14" s="253">
        <v>0.25</v>
      </c>
      <c r="J14" s="254" t="s">
        <v>728</v>
      </c>
      <c r="K14" s="245"/>
      <c r="L14" s="224"/>
      <c r="M14" s="224"/>
      <c r="N14" s="224"/>
      <c r="O14" s="224"/>
      <c r="P14" s="224"/>
      <c r="Q14" s="224"/>
      <c r="R14" s="224"/>
      <c r="S14" s="224"/>
      <c r="T14" s="224"/>
      <c r="U14" s="224"/>
      <c r="V14" s="224"/>
      <c r="W14" s="224"/>
      <c r="X14" s="224"/>
      <c r="Y14" s="224"/>
    </row>
    <row r="15" spans="1:25" ht="49.5" customHeight="1" x14ac:dyDescent="0.2">
      <c r="A15" s="245"/>
      <c r="B15" s="251">
        <v>3</v>
      </c>
      <c r="C15" s="252" t="s">
        <v>731</v>
      </c>
      <c r="D15" s="252" t="s">
        <v>726</v>
      </c>
      <c r="E15" s="252" t="s">
        <v>732</v>
      </c>
      <c r="F15" s="253">
        <v>0.95</v>
      </c>
      <c r="G15" s="249">
        <v>44593</v>
      </c>
      <c r="H15" s="249">
        <v>44926</v>
      </c>
      <c r="I15" s="253">
        <v>0.25</v>
      </c>
      <c r="J15" s="254" t="s">
        <v>733</v>
      </c>
      <c r="K15" s="245"/>
      <c r="L15" s="224"/>
      <c r="M15" s="224"/>
      <c r="N15" s="224"/>
      <c r="O15" s="224"/>
      <c r="P15" s="224"/>
      <c r="Q15" s="224"/>
      <c r="R15" s="224"/>
      <c r="S15" s="224"/>
      <c r="T15" s="224"/>
      <c r="U15" s="224"/>
      <c r="V15" s="224"/>
      <c r="W15" s="224"/>
      <c r="X15" s="224"/>
      <c r="Y15" s="224"/>
    </row>
    <row r="16" spans="1:25" ht="22.5" customHeight="1" thickBot="1" x14ac:dyDescent="0.25">
      <c r="A16" s="245"/>
      <c r="B16" s="255"/>
      <c r="C16" s="256"/>
      <c r="D16" s="256"/>
      <c r="E16" s="256"/>
      <c r="F16" s="256"/>
      <c r="G16" s="257"/>
      <c r="H16" s="257"/>
      <c r="I16" s="257"/>
      <c r="J16" s="258"/>
      <c r="K16" s="245"/>
      <c r="L16" s="224"/>
      <c r="M16" s="224"/>
      <c r="N16" s="224"/>
      <c r="O16" s="224"/>
      <c r="P16" s="224"/>
      <c r="Q16" s="224"/>
      <c r="R16" s="224"/>
      <c r="S16" s="224"/>
      <c r="T16" s="224"/>
      <c r="U16" s="224"/>
      <c r="V16" s="224"/>
      <c r="W16" s="224"/>
      <c r="X16" s="224"/>
      <c r="Y16" s="224"/>
    </row>
    <row r="17" spans="1:25" ht="33" customHeight="1" thickBot="1" x14ac:dyDescent="0.25">
      <c r="A17" s="245"/>
      <c r="B17" s="825" t="s">
        <v>705</v>
      </c>
      <c r="C17" s="825"/>
      <c r="D17" s="825"/>
      <c r="E17" s="825"/>
      <c r="F17" s="825"/>
      <c r="G17" s="825"/>
      <c r="H17" s="825"/>
      <c r="I17" s="825"/>
      <c r="J17" s="825"/>
      <c r="K17" s="245"/>
      <c r="L17" s="224"/>
      <c r="M17" s="224"/>
      <c r="N17" s="224"/>
      <c r="O17" s="224"/>
      <c r="P17" s="224"/>
      <c r="Q17" s="224"/>
      <c r="R17" s="224"/>
      <c r="S17" s="224"/>
      <c r="T17" s="224"/>
      <c r="U17" s="224"/>
      <c r="V17" s="224"/>
      <c r="W17" s="224"/>
      <c r="X17" s="224"/>
      <c r="Y17" s="224"/>
    </row>
    <row r="18" spans="1:25" s="61" customFormat="1" ht="24" customHeight="1" thickBot="1" x14ac:dyDescent="0.3">
      <c r="B18" s="92"/>
      <c r="C18" s="752" t="s">
        <v>675</v>
      </c>
      <c r="D18" s="753"/>
      <c r="E18" s="753"/>
      <c r="F18" s="754"/>
      <c r="G18" s="93"/>
      <c r="H18" s="93"/>
      <c r="I18" s="93"/>
    </row>
    <row r="19" spans="1:25" s="61" customFormat="1" ht="33.75" customHeight="1" x14ac:dyDescent="0.25">
      <c r="B19" s="92"/>
      <c r="C19" s="267" t="s">
        <v>676</v>
      </c>
      <c r="D19" s="739" t="s">
        <v>677</v>
      </c>
      <c r="E19" s="740"/>
      <c r="F19" s="268" t="s">
        <v>678</v>
      </c>
      <c r="G19" s="93"/>
      <c r="H19" s="93"/>
      <c r="I19" s="93"/>
    </row>
    <row r="20" spans="1:25" s="61" customFormat="1" ht="35.25" customHeight="1" x14ac:dyDescent="0.25">
      <c r="B20" s="92"/>
      <c r="C20" s="94">
        <v>1</v>
      </c>
      <c r="D20" s="741" t="s">
        <v>679</v>
      </c>
      <c r="E20" s="742"/>
      <c r="F20" s="95">
        <v>44592</v>
      </c>
      <c r="G20" s="93"/>
      <c r="H20" s="93"/>
      <c r="I20" s="93"/>
    </row>
    <row r="21" spans="1:25" s="61" customFormat="1" ht="15.75" customHeight="1" x14ac:dyDescent="0.25">
      <c r="B21" s="92"/>
      <c r="C21" s="94"/>
      <c r="D21" s="96"/>
      <c r="E21" s="97"/>
      <c r="F21" s="98"/>
      <c r="G21" s="93"/>
      <c r="H21" s="93"/>
      <c r="I21" s="93"/>
    </row>
    <row r="22" spans="1:25" s="61" customFormat="1" ht="15.75" customHeight="1" thickBot="1" x14ac:dyDescent="0.3">
      <c r="B22" s="92"/>
      <c r="C22" s="99"/>
      <c r="D22" s="100"/>
      <c r="E22" s="101"/>
      <c r="F22" s="102"/>
      <c r="G22" s="93"/>
      <c r="H22" s="93"/>
      <c r="I22" s="93"/>
    </row>
    <row r="23" spans="1:25" ht="33" customHeight="1" x14ac:dyDescent="0.2">
      <c r="A23" s="245"/>
      <c r="B23" s="259"/>
      <c r="C23" s="260"/>
      <c r="D23" s="260"/>
      <c r="E23" s="259"/>
      <c r="F23" s="259"/>
      <c r="G23" s="261"/>
      <c r="H23" s="261"/>
      <c r="I23" s="261"/>
      <c r="J23" s="260"/>
      <c r="K23" s="245"/>
      <c r="L23" s="224"/>
      <c r="M23" s="224"/>
      <c r="N23" s="224"/>
      <c r="O23" s="224"/>
      <c r="P23" s="224"/>
      <c r="Q23" s="224"/>
      <c r="R23" s="224"/>
      <c r="S23" s="224"/>
      <c r="T23" s="224"/>
      <c r="U23" s="224"/>
      <c r="V23" s="224"/>
      <c r="W23" s="224"/>
      <c r="X23" s="224"/>
      <c r="Y23" s="224"/>
    </row>
    <row r="24" spans="1:25" ht="33" hidden="1" customHeight="1" x14ac:dyDescent="0.2">
      <c r="A24" s="245"/>
      <c r="B24" s="259"/>
      <c r="C24" s="260"/>
      <c r="D24" s="260"/>
      <c r="E24" s="259"/>
      <c r="F24" s="259"/>
      <c r="G24" s="261"/>
      <c r="H24" s="261"/>
      <c r="I24" s="261"/>
      <c r="J24" s="260"/>
      <c r="K24" s="245"/>
      <c r="L24" s="245"/>
      <c r="M24" s="245"/>
      <c r="N24" s="245"/>
      <c r="O24" s="245"/>
      <c r="P24" s="245"/>
      <c r="Q24" s="245"/>
      <c r="R24" s="245"/>
      <c r="S24" s="245"/>
      <c r="T24" s="245"/>
      <c r="U24" s="245"/>
      <c r="V24" s="245"/>
      <c r="W24" s="245"/>
      <c r="X24" s="245"/>
      <c r="Y24" s="245"/>
    </row>
    <row r="25" spans="1:25" ht="33" hidden="1" customHeight="1" x14ac:dyDescent="0.2">
      <c r="A25" s="245"/>
      <c r="B25" s="259"/>
      <c r="C25" s="260"/>
      <c r="D25" s="260"/>
      <c r="E25" s="259"/>
      <c r="F25" s="259"/>
      <c r="G25" s="261"/>
      <c r="H25" s="261"/>
      <c r="I25" s="261"/>
      <c r="J25" s="260"/>
      <c r="K25" s="245"/>
      <c r="L25" s="245"/>
      <c r="M25" s="245"/>
      <c r="N25" s="245"/>
      <c r="O25" s="245"/>
      <c r="P25" s="245"/>
      <c r="Q25" s="245"/>
      <c r="R25" s="245"/>
      <c r="S25" s="245"/>
      <c r="T25" s="245"/>
      <c r="U25" s="245"/>
      <c r="V25" s="245"/>
      <c r="W25" s="245"/>
      <c r="X25" s="245"/>
      <c r="Y25" s="245"/>
    </row>
    <row r="26" spans="1:25" ht="33" hidden="1" customHeight="1" x14ac:dyDescent="0.2">
      <c r="A26" s="245"/>
      <c r="B26" s="259"/>
      <c r="C26" s="260"/>
      <c r="D26" s="260"/>
      <c r="E26" s="259"/>
      <c r="F26" s="259"/>
      <c r="G26" s="261"/>
      <c r="H26" s="261"/>
      <c r="I26" s="261"/>
      <c r="J26" s="260"/>
      <c r="K26" s="245"/>
      <c r="L26" s="245"/>
      <c r="M26" s="245"/>
      <c r="N26" s="245"/>
      <c r="O26" s="245"/>
      <c r="P26" s="245"/>
      <c r="Q26" s="245"/>
      <c r="R26" s="245"/>
      <c r="S26" s="245"/>
      <c r="T26" s="245"/>
      <c r="U26" s="245"/>
      <c r="V26" s="245"/>
      <c r="W26" s="245"/>
      <c r="X26" s="245"/>
      <c r="Y26" s="245"/>
    </row>
    <row r="27" spans="1:25" ht="6.75" hidden="1" customHeight="1" x14ac:dyDescent="0.2">
      <c r="A27" s="245"/>
      <c r="B27" s="262"/>
      <c r="C27" s="260"/>
      <c r="D27" s="260"/>
      <c r="E27" s="259"/>
      <c r="F27" s="259"/>
      <c r="G27" s="262"/>
      <c r="H27" s="262"/>
      <c r="I27" s="262"/>
      <c r="J27" s="260"/>
      <c r="K27" s="245"/>
      <c r="L27" s="245"/>
      <c r="M27" s="245"/>
      <c r="N27" s="245"/>
      <c r="O27" s="245"/>
      <c r="P27" s="245"/>
      <c r="Q27" s="245"/>
      <c r="R27" s="245"/>
      <c r="S27" s="245"/>
      <c r="T27" s="245"/>
      <c r="U27" s="245"/>
      <c r="V27" s="245"/>
      <c r="W27" s="245"/>
      <c r="X27" s="245"/>
      <c r="Y27" s="245"/>
    </row>
    <row r="28" spans="1:25" ht="42.75" hidden="1" customHeight="1" x14ac:dyDescent="0.2">
      <c r="A28" s="224"/>
      <c r="B28" s="212"/>
      <c r="C28" s="263"/>
      <c r="D28" s="263"/>
      <c r="E28" s="264"/>
      <c r="F28" s="264"/>
      <c r="G28" s="265"/>
      <c r="H28" s="265"/>
      <c r="I28" s="265"/>
      <c r="J28" s="216"/>
      <c r="K28" s="224"/>
      <c r="L28" s="224"/>
      <c r="M28" s="224"/>
      <c r="N28" s="224"/>
      <c r="O28" s="224"/>
      <c r="P28" s="224"/>
      <c r="Q28" s="224"/>
      <c r="R28" s="224"/>
      <c r="S28" s="224"/>
      <c r="T28" s="224"/>
      <c r="U28" s="224"/>
      <c r="V28" s="224"/>
      <c r="W28" s="224"/>
      <c r="X28" s="224"/>
      <c r="Y28" s="224"/>
    </row>
    <row r="29" spans="1:25" ht="16.5" hidden="1" customHeight="1" x14ac:dyDescent="0.2">
      <c r="A29" s="224"/>
      <c r="B29" s="217"/>
      <c r="C29" s="170"/>
      <c r="D29" s="170"/>
      <c r="E29" s="170"/>
      <c r="F29" s="170"/>
      <c r="G29" s="170"/>
      <c r="H29" s="170"/>
      <c r="I29" s="170"/>
      <c r="J29" s="216"/>
      <c r="K29" s="224"/>
      <c r="L29" s="224"/>
      <c r="M29" s="224"/>
      <c r="N29" s="224"/>
      <c r="O29" s="224"/>
      <c r="P29" s="224"/>
      <c r="Q29" s="224"/>
      <c r="R29" s="224"/>
      <c r="S29" s="224"/>
      <c r="T29" s="224"/>
      <c r="U29" s="224"/>
      <c r="V29" s="224"/>
      <c r="W29" s="224"/>
      <c r="X29" s="224"/>
      <c r="Y29" s="224"/>
    </row>
    <row r="30" spans="1:25" ht="16.5" hidden="1" customHeight="1" x14ac:dyDescent="0.2">
      <c r="A30" s="224"/>
      <c r="B30" s="217"/>
      <c r="C30" s="218"/>
      <c r="D30" s="218"/>
      <c r="E30" s="218"/>
      <c r="F30" s="170"/>
      <c r="G30" s="170"/>
      <c r="H30" s="170"/>
      <c r="I30" s="170"/>
      <c r="J30" s="216"/>
      <c r="K30" s="224"/>
      <c r="L30" s="224"/>
      <c r="M30" s="224"/>
      <c r="N30" s="224"/>
      <c r="O30" s="224"/>
      <c r="P30" s="224"/>
      <c r="Q30" s="224"/>
      <c r="R30" s="224"/>
      <c r="S30" s="224"/>
      <c r="T30" s="224"/>
      <c r="U30" s="224"/>
      <c r="V30" s="224"/>
      <c r="W30" s="224"/>
      <c r="X30" s="224"/>
      <c r="Y30" s="224"/>
    </row>
    <row r="31" spans="1:25" ht="16.5" hidden="1" customHeight="1" x14ac:dyDescent="0.2">
      <c r="A31" s="224"/>
      <c r="B31" s="217"/>
      <c r="C31" s="218"/>
      <c r="D31" s="218"/>
      <c r="E31" s="218"/>
      <c r="F31" s="170"/>
      <c r="G31" s="170"/>
      <c r="H31" s="170"/>
      <c r="I31" s="170"/>
      <c r="J31" s="216"/>
      <c r="K31" s="224"/>
      <c r="L31" s="224"/>
      <c r="M31" s="224"/>
      <c r="N31" s="224"/>
      <c r="O31" s="224"/>
      <c r="P31" s="224"/>
      <c r="Q31" s="224"/>
      <c r="R31" s="224"/>
      <c r="S31" s="224"/>
      <c r="T31" s="224"/>
      <c r="U31" s="224"/>
      <c r="V31" s="224"/>
      <c r="W31" s="224"/>
      <c r="X31" s="224"/>
      <c r="Y31" s="224"/>
    </row>
    <row r="32" spans="1:25" ht="16.5" hidden="1" customHeight="1" x14ac:dyDescent="0.2">
      <c r="A32" s="224"/>
      <c r="B32" s="217"/>
      <c r="C32" s="218"/>
      <c r="D32" s="218"/>
      <c r="E32" s="218"/>
      <c r="F32" s="170"/>
      <c r="G32" s="170"/>
      <c r="H32" s="170"/>
      <c r="I32" s="170"/>
      <c r="J32" s="216"/>
      <c r="K32" s="224"/>
      <c r="L32" s="224"/>
      <c r="M32" s="224"/>
      <c r="N32" s="224"/>
      <c r="O32" s="224"/>
      <c r="P32" s="224"/>
      <c r="Q32" s="224"/>
      <c r="R32" s="224"/>
      <c r="S32" s="224"/>
      <c r="T32" s="224"/>
      <c r="U32" s="224"/>
      <c r="V32" s="224"/>
      <c r="W32" s="224"/>
      <c r="X32" s="224"/>
      <c r="Y32" s="224"/>
    </row>
    <row r="33" spans="1:25" ht="16.5" hidden="1" customHeight="1" x14ac:dyDescent="0.2">
      <c r="A33" s="224"/>
      <c r="B33" s="217"/>
      <c r="C33" s="218"/>
      <c r="D33" s="218"/>
      <c r="E33" s="218"/>
      <c r="F33" s="170"/>
      <c r="G33" s="170"/>
      <c r="H33" s="170"/>
      <c r="I33" s="170"/>
      <c r="J33" s="216"/>
      <c r="K33" s="224"/>
      <c r="L33" s="224"/>
      <c r="M33" s="224"/>
      <c r="N33" s="224"/>
      <c r="O33" s="224"/>
      <c r="P33" s="224"/>
      <c r="Q33" s="224"/>
      <c r="R33" s="224"/>
      <c r="S33" s="224"/>
      <c r="T33" s="224"/>
      <c r="U33" s="224"/>
      <c r="V33" s="224"/>
      <c r="W33" s="224"/>
      <c r="X33" s="224"/>
      <c r="Y33" s="224"/>
    </row>
    <row r="34" spans="1:25" ht="16.5" hidden="1" customHeight="1" x14ac:dyDescent="0.2">
      <c r="A34" s="224"/>
      <c r="B34" s="217"/>
      <c r="C34" s="218"/>
      <c r="D34" s="218"/>
      <c r="E34" s="218"/>
      <c r="F34" s="170"/>
      <c r="G34" s="170"/>
      <c r="H34" s="170"/>
      <c r="I34" s="170"/>
      <c r="J34" s="216"/>
      <c r="K34" s="224"/>
      <c r="L34" s="224"/>
      <c r="M34" s="224"/>
      <c r="N34" s="224"/>
      <c r="O34" s="224"/>
      <c r="P34" s="224"/>
      <c r="Q34" s="224"/>
      <c r="R34" s="224"/>
      <c r="S34" s="224"/>
      <c r="T34" s="224"/>
      <c r="U34" s="224"/>
      <c r="V34" s="224"/>
      <c r="W34" s="224"/>
      <c r="X34" s="224"/>
      <c r="Y34" s="224"/>
    </row>
    <row r="35" spans="1:25" ht="16.5" hidden="1" customHeight="1" x14ac:dyDescent="0.2">
      <c r="A35" s="224"/>
      <c r="B35" s="217"/>
      <c r="C35" s="218"/>
      <c r="D35" s="218"/>
      <c r="E35" s="218"/>
      <c r="F35" s="170"/>
      <c r="G35" s="170"/>
      <c r="H35" s="170"/>
      <c r="I35" s="170"/>
      <c r="J35" s="216"/>
      <c r="K35" s="224"/>
      <c r="L35" s="224"/>
      <c r="M35" s="224"/>
      <c r="N35" s="224"/>
      <c r="O35" s="224"/>
      <c r="P35" s="224"/>
      <c r="Q35" s="224"/>
      <c r="R35" s="224"/>
      <c r="S35" s="224"/>
      <c r="T35" s="224"/>
      <c r="U35" s="224"/>
      <c r="V35" s="224"/>
      <c r="W35" s="224"/>
      <c r="X35" s="224"/>
      <c r="Y35" s="224"/>
    </row>
    <row r="36" spans="1:25" ht="16.5" hidden="1" customHeight="1" x14ac:dyDescent="0.2">
      <c r="A36" s="224"/>
      <c r="B36" s="217"/>
      <c r="C36" s="218"/>
      <c r="D36" s="218"/>
      <c r="E36" s="218"/>
      <c r="F36" s="170"/>
      <c r="G36" s="170"/>
      <c r="H36" s="170"/>
      <c r="I36" s="170"/>
      <c r="J36" s="216"/>
      <c r="K36" s="224"/>
      <c r="L36" s="224"/>
      <c r="M36" s="224"/>
      <c r="N36" s="224"/>
      <c r="O36" s="224"/>
      <c r="P36" s="224"/>
      <c r="Q36" s="224"/>
      <c r="R36" s="224"/>
      <c r="S36" s="224"/>
      <c r="T36" s="224"/>
      <c r="U36" s="224"/>
      <c r="V36" s="224"/>
      <c r="W36" s="224"/>
      <c r="X36" s="224"/>
      <c r="Y36" s="224"/>
    </row>
    <row r="37" spans="1:25" ht="16.5" hidden="1" customHeight="1" x14ac:dyDescent="0.2">
      <c r="A37" s="224"/>
      <c r="B37" s="217"/>
      <c r="C37" s="218"/>
      <c r="D37" s="218"/>
      <c r="E37" s="218"/>
      <c r="F37" s="170"/>
      <c r="G37" s="170"/>
      <c r="H37" s="170"/>
      <c r="I37" s="170"/>
      <c r="J37" s="216"/>
      <c r="K37" s="224"/>
      <c r="L37" s="224"/>
      <c r="M37" s="224"/>
      <c r="N37" s="224"/>
      <c r="O37" s="224"/>
      <c r="P37" s="224"/>
      <c r="Q37" s="224"/>
      <c r="R37" s="224"/>
      <c r="S37" s="224"/>
      <c r="T37" s="224"/>
      <c r="U37" s="224"/>
      <c r="V37" s="224"/>
      <c r="W37" s="224"/>
      <c r="X37" s="224"/>
      <c r="Y37" s="224"/>
    </row>
    <row r="38" spans="1:25" ht="16.5" hidden="1" customHeight="1" x14ac:dyDescent="0.2">
      <c r="A38" s="224"/>
      <c r="B38" s="217"/>
      <c r="C38" s="218"/>
      <c r="D38" s="218"/>
      <c r="E38" s="218"/>
      <c r="F38" s="170"/>
      <c r="G38" s="170"/>
      <c r="H38" s="170"/>
      <c r="I38" s="170"/>
      <c r="J38" s="216"/>
      <c r="K38" s="224"/>
      <c r="L38" s="224"/>
      <c r="M38" s="224"/>
      <c r="N38" s="224"/>
      <c r="O38" s="224"/>
      <c r="P38" s="224"/>
      <c r="Q38" s="224"/>
      <c r="R38" s="224"/>
      <c r="S38" s="224"/>
      <c r="T38" s="224"/>
      <c r="U38" s="224"/>
      <c r="V38" s="224"/>
      <c r="W38" s="224"/>
      <c r="X38" s="224"/>
      <c r="Y38" s="224"/>
    </row>
    <row r="39" spans="1:25" ht="16.5" hidden="1" customHeight="1" x14ac:dyDescent="0.2">
      <c r="A39" s="224"/>
      <c r="B39" s="217"/>
      <c r="C39" s="218"/>
      <c r="D39" s="218"/>
      <c r="E39" s="218"/>
      <c r="F39" s="170"/>
      <c r="G39" s="170"/>
      <c r="H39" s="170"/>
      <c r="I39" s="170"/>
      <c r="J39" s="216"/>
      <c r="K39" s="224"/>
      <c r="L39" s="224"/>
      <c r="M39" s="224"/>
      <c r="N39" s="224"/>
      <c r="O39" s="224"/>
      <c r="P39" s="224"/>
      <c r="Q39" s="224"/>
      <c r="R39" s="224"/>
      <c r="S39" s="224"/>
      <c r="T39" s="224"/>
      <c r="U39" s="224"/>
      <c r="V39" s="224"/>
      <c r="W39" s="224"/>
      <c r="X39" s="224"/>
      <c r="Y39" s="224"/>
    </row>
    <row r="40" spans="1:25" ht="16.5" hidden="1" customHeight="1" x14ac:dyDescent="0.2">
      <c r="A40" s="224"/>
      <c r="B40" s="217"/>
      <c r="C40" s="218"/>
      <c r="D40" s="218"/>
      <c r="E40" s="218"/>
      <c r="F40" s="170"/>
      <c r="G40" s="170"/>
      <c r="H40" s="170"/>
      <c r="I40" s="170"/>
      <c r="J40" s="216"/>
      <c r="K40" s="224"/>
      <c r="L40" s="224"/>
      <c r="M40" s="224"/>
      <c r="N40" s="224"/>
      <c r="O40" s="224"/>
      <c r="P40" s="224"/>
      <c r="Q40" s="224"/>
      <c r="R40" s="224"/>
      <c r="S40" s="224"/>
      <c r="T40" s="224"/>
      <c r="U40" s="224"/>
      <c r="V40" s="224"/>
      <c r="W40" s="224"/>
      <c r="X40" s="224"/>
      <c r="Y40" s="224"/>
    </row>
    <row r="41" spans="1:25" ht="16.5" hidden="1" customHeight="1" x14ac:dyDescent="0.2">
      <c r="A41" s="224"/>
      <c r="B41" s="217"/>
      <c r="C41" s="218"/>
      <c r="D41" s="218"/>
      <c r="E41" s="218"/>
      <c r="F41" s="170"/>
      <c r="G41" s="170"/>
      <c r="H41" s="170"/>
      <c r="I41" s="170"/>
      <c r="J41" s="216"/>
      <c r="K41" s="224"/>
      <c r="L41" s="224"/>
      <c r="M41" s="224"/>
      <c r="N41" s="224"/>
      <c r="O41" s="224"/>
      <c r="P41" s="224"/>
      <c r="Q41" s="224"/>
      <c r="R41" s="224"/>
      <c r="S41" s="224"/>
      <c r="T41" s="224"/>
      <c r="U41" s="224"/>
      <c r="V41" s="224"/>
      <c r="W41" s="224"/>
      <c r="X41" s="224"/>
      <c r="Y41" s="224"/>
    </row>
    <row r="42" spans="1:25" ht="16.5" hidden="1" customHeight="1" x14ac:dyDescent="0.2">
      <c r="A42" s="224"/>
      <c r="B42" s="217"/>
      <c r="C42" s="218"/>
      <c r="D42" s="218"/>
      <c r="E42" s="218"/>
      <c r="F42" s="170"/>
      <c r="G42" s="170"/>
      <c r="H42" s="170"/>
      <c r="I42" s="170"/>
      <c r="J42" s="216"/>
      <c r="K42" s="224"/>
      <c r="L42" s="224"/>
      <c r="M42" s="224"/>
      <c r="N42" s="224"/>
      <c r="O42" s="224"/>
      <c r="P42" s="224"/>
      <c r="Q42" s="224"/>
      <c r="R42" s="224"/>
      <c r="S42" s="224"/>
      <c r="T42" s="224"/>
      <c r="U42" s="224"/>
      <c r="V42" s="224"/>
      <c r="W42" s="224"/>
      <c r="X42" s="224"/>
      <c r="Y42" s="224"/>
    </row>
    <row r="43" spans="1:25" ht="16.5" hidden="1" customHeight="1" x14ac:dyDescent="0.2">
      <c r="A43" s="224"/>
      <c r="B43" s="217"/>
      <c r="C43" s="218"/>
      <c r="D43" s="218"/>
      <c r="E43" s="218"/>
      <c r="F43" s="170"/>
      <c r="G43" s="170"/>
      <c r="H43" s="170"/>
      <c r="I43" s="170"/>
      <c r="J43" s="216"/>
      <c r="K43" s="224"/>
      <c r="L43" s="224"/>
      <c r="M43" s="224"/>
      <c r="N43" s="224"/>
      <c r="O43" s="224"/>
      <c r="P43" s="224"/>
      <c r="Q43" s="224"/>
      <c r="R43" s="224"/>
      <c r="S43" s="224"/>
      <c r="T43" s="224"/>
      <c r="U43" s="224"/>
      <c r="V43" s="224"/>
      <c r="W43" s="224"/>
      <c r="X43" s="224"/>
      <c r="Y43" s="224"/>
    </row>
    <row r="44" spans="1:25" ht="16.5" hidden="1" customHeight="1" x14ac:dyDescent="0.2">
      <c r="A44" s="224"/>
      <c r="B44" s="217"/>
      <c r="C44" s="218"/>
      <c r="D44" s="218"/>
      <c r="E44" s="218"/>
      <c r="F44" s="170"/>
      <c r="G44" s="170"/>
      <c r="H44" s="170"/>
      <c r="I44" s="170"/>
      <c r="J44" s="216"/>
      <c r="K44" s="224"/>
      <c r="L44" s="224"/>
      <c r="M44" s="224"/>
      <c r="N44" s="224"/>
      <c r="O44" s="224"/>
      <c r="P44" s="224"/>
      <c r="Q44" s="224"/>
      <c r="R44" s="224"/>
      <c r="S44" s="224"/>
      <c r="T44" s="224"/>
      <c r="U44" s="224"/>
      <c r="V44" s="224"/>
      <c r="W44" s="224"/>
      <c r="X44" s="224"/>
      <c r="Y44" s="224"/>
    </row>
    <row r="45" spans="1:25" ht="16.5" hidden="1" customHeight="1" x14ac:dyDescent="0.2">
      <c r="A45" s="224"/>
      <c r="B45" s="217"/>
      <c r="C45" s="218"/>
      <c r="D45" s="218"/>
      <c r="E45" s="218"/>
      <c r="F45" s="170"/>
      <c r="G45" s="170"/>
      <c r="H45" s="170"/>
      <c r="I45" s="170"/>
      <c r="J45" s="216"/>
      <c r="K45" s="224"/>
      <c r="L45" s="224"/>
      <c r="M45" s="224"/>
      <c r="N45" s="224"/>
      <c r="O45" s="224"/>
      <c r="P45" s="224"/>
      <c r="Q45" s="224"/>
      <c r="R45" s="224"/>
      <c r="S45" s="224"/>
      <c r="T45" s="224"/>
      <c r="U45" s="224"/>
      <c r="V45" s="224"/>
      <c r="W45" s="224"/>
      <c r="X45" s="224"/>
      <c r="Y45" s="224"/>
    </row>
    <row r="46" spans="1:25" ht="16.5" hidden="1" customHeight="1" x14ac:dyDescent="0.2">
      <c r="A46" s="224"/>
      <c r="B46" s="217"/>
      <c r="C46" s="218"/>
      <c r="D46" s="218"/>
      <c r="E46" s="218"/>
      <c r="F46" s="170"/>
      <c r="G46" s="170"/>
      <c r="H46" s="170"/>
      <c r="I46" s="170"/>
      <c r="J46" s="216"/>
      <c r="K46" s="224"/>
      <c r="L46" s="224"/>
      <c r="M46" s="224"/>
      <c r="N46" s="224"/>
      <c r="O46" s="224"/>
      <c r="P46" s="224"/>
      <c r="Q46" s="224"/>
      <c r="R46" s="224"/>
      <c r="S46" s="224"/>
      <c r="T46" s="224"/>
      <c r="U46" s="224"/>
      <c r="V46" s="224"/>
      <c r="W46" s="224"/>
      <c r="X46" s="224"/>
      <c r="Y46" s="224"/>
    </row>
    <row r="47" spans="1:25" ht="16.5" hidden="1" customHeight="1" x14ac:dyDescent="0.2">
      <c r="A47" s="224"/>
      <c r="B47" s="217"/>
      <c r="C47" s="218"/>
      <c r="D47" s="218"/>
      <c r="E47" s="218"/>
      <c r="F47" s="170"/>
      <c r="G47" s="170"/>
      <c r="H47" s="170"/>
      <c r="I47" s="170"/>
      <c r="J47" s="216"/>
      <c r="K47" s="224"/>
      <c r="L47" s="224"/>
      <c r="M47" s="224"/>
      <c r="N47" s="224"/>
      <c r="O47" s="224"/>
      <c r="P47" s="224"/>
      <c r="Q47" s="224"/>
      <c r="R47" s="224"/>
      <c r="S47" s="224"/>
      <c r="T47" s="224"/>
      <c r="U47" s="224"/>
      <c r="V47" s="224"/>
      <c r="W47" s="224"/>
      <c r="X47" s="224"/>
      <c r="Y47" s="224"/>
    </row>
    <row r="48" spans="1:25" ht="16.5" hidden="1" customHeight="1" x14ac:dyDescent="0.2">
      <c r="A48" s="224"/>
      <c r="B48" s="217"/>
      <c r="C48" s="218"/>
      <c r="D48" s="218"/>
      <c r="E48" s="218"/>
      <c r="F48" s="170"/>
      <c r="G48" s="170"/>
      <c r="H48" s="170"/>
      <c r="I48" s="170"/>
      <c r="J48" s="216"/>
      <c r="K48" s="224"/>
      <c r="L48" s="224"/>
      <c r="M48" s="224"/>
      <c r="N48" s="224"/>
      <c r="O48" s="224"/>
      <c r="P48" s="224"/>
      <c r="Q48" s="224"/>
      <c r="R48" s="224"/>
      <c r="S48" s="224"/>
      <c r="T48" s="224"/>
      <c r="U48" s="224"/>
      <c r="V48" s="224"/>
      <c r="W48" s="224"/>
      <c r="X48" s="224"/>
      <c r="Y48" s="224"/>
    </row>
    <row r="49" spans="1:25" ht="16.5" hidden="1" customHeight="1" x14ac:dyDescent="0.2">
      <c r="A49" s="224"/>
      <c r="B49" s="217"/>
      <c r="C49" s="218"/>
      <c r="D49" s="218"/>
      <c r="E49" s="218"/>
      <c r="F49" s="170"/>
      <c r="G49" s="170"/>
      <c r="H49" s="170"/>
      <c r="I49" s="170"/>
      <c r="J49" s="216"/>
      <c r="K49" s="224"/>
      <c r="L49" s="224"/>
      <c r="M49" s="224"/>
      <c r="N49" s="224"/>
      <c r="O49" s="224"/>
      <c r="P49" s="224"/>
      <c r="Q49" s="224"/>
      <c r="R49" s="224"/>
      <c r="S49" s="224"/>
      <c r="T49" s="224"/>
      <c r="U49" s="224"/>
      <c r="V49" s="224"/>
      <c r="W49" s="224"/>
      <c r="X49" s="224"/>
      <c r="Y49" s="224"/>
    </row>
    <row r="50" spans="1:25" ht="16.5" hidden="1" customHeight="1" x14ac:dyDescent="0.2">
      <c r="A50" s="224"/>
      <c r="B50" s="217"/>
      <c r="C50" s="218"/>
      <c r="D50" s="218"/>
      <c r="E50" s="218"/>
      <c r="F50" s="170"/>
      <c r="G50" s="170"/>
      <c r="H50" s="170"/>
      <c r="I50" s="170"/>
      <c r="J50" s="216"/>
      <c r="K50" s="224"/>
      <c r="L50" s="224"/>
      <c r="M50" s="224"/>
      <c r="N50" s="224"/>
      <c r="O50" s="224"/>
      <c r="P50" s="224"/>
      <c r="Q50" s="224"/>
      <c r="R50" s="224"/>
      <c r="S50" s="224"/>
      <c r="T50" s="224"/>
      <c r="U50" s="224"/>
      <c r="V50" s="224"/>
      <c r="W50" s="224"/>
      <c r="X50" s="224"/>
      <c r="Y50" s="224"/>
    </row>
    <row r="51" spans="1:25" ht="16.5" hidden="1" customHeight="1" x14ac:dyDescent="0.2">
      <c r="A51" s="224"/>
      <c r="B51" s="217"/>
      <c r="C51" s="218"/>
      <c r="D51" s="218"/>
      <c r="E51" s="218"/>
      <c r="F51" s="170"/>
      <c r="G51" s="170"/>
      <c r="H51" s="170"/>
      <c r="I51" s="170"/>
      <c r="J51" s="216"/>
      <c r="K51" s="224"/>
      <c r="L51" s="224"/>
      <c r="M51" s="224"/>
      <c r="N51" s="224"/>
      <c r="O51" s="224"/>
      <c r="P51" s="224"/>
      <c r="Q51" s="224"/>
      <c r="R51" s="224"/>
      <c r="S51" s="224"/>
      <c r="T51" s="224"/>
      <c r="U51" s="224"/>
      <c r="V51" s="224"/>
      <c r="W51" s="224"/>
      <c r="X51" s="224"/>
      <c r="Y51" s="224"/>
    </row>
    <row r="52" spans="1:25" ht="16.5" hidden="1" customHeight="1" x14ac:dyDescent="0.2">
      <c r="A52" s="224"/>
      <c r="B52" s="217"/>
      <c r="C52" s="218"/>
      <c r="D52" s="218"/>
      <c r="E52" s="218"/>
      <c r="F52" s="170"/>
      <c r="G52" s="170"/>
      <c r="H52" s="170"/>
      <c r="I52" s="170"/>
      <c r="J52" s="216"/>
      <c r="K52" s="224"/>
      <c r="L52" s="224"/>
      <c r="M52" s="224"/>
      <c r="N52" s="224"/>
      <c r="O52" s="224"/>
      <c r="P52" s="224"/>
      <c r="Q52" s="224"/>
      <c r="R52" s="224"/>
      <c r="S52" s="224"/>
      <c r="T52" s="224"/>
      <c r="U52" s="224"/>
      <c r="V52" s="224"/>
      <c r="W52" s="224"/>
      <c r="X52" s="224"/>
      <c r="Y52" s="224"/>
    </row>
    <row r="53" spans="1:25" ht="16.5" hidden="1" customHeight="1" x14ac:dyDescent="0.2">
      <c r="A53" s="224"/>
      <c r="B53" s="217"/>
      <c r="C53" s="218"/>
      <c r="D53" s="218"/>
      <c r="E53" s="218"/>
      <c r="F53" s="170"/>
      <c r="G53" s="170"/>
      <c r="H53" s="170"/>
      <c r="I53" s="170"/>
      <c r="J53" s="216"/>
      <c r="K53" s="224"/>
      <c r="L53" s="224"/>
      <c r="M53" s="224"/>
      <c r="N53" s="224"/>
      <c r="O53" s="224"/>
      <c r="P53" s="224"/>
      <c r="Q53" s="224"/>
      <c r="R53" s="224"/>
      <c r="S53" s="224"/>
      <c r="T53" s="224"/>
      <c r="U53" s="224"/>
      <c r="V53" s="224"/>
      <c r="W53" s="224"/>
      <c r="X53" s="224"/>
      <c r="Y53" s="224"/>
    </row>
    <row r="54" spans="1:25" ht="16.5" hidden="1" customHeight="1" x14ac:dyDescent="0.2">
      <c r="A54" s="224"/>
      <c r="B54" s="217"/>
      <c r="C54" s="218"/>
      <c r="D54" s="218"/>
      <c r="E54" s="218"/>
      <c r="F54" s="170"/>
      <c r="G54" s="170"/>
      <c r="H54" s="170"/>
      <c r="I54" s="170"/>
      <c r="J54" s="216"/>
      <c r="K54" s="224"/>
      <c r="L54" s="224"/>
      <c r="M54" s="224"/>
      <c r="N54" s="224"/>
      <c r="O54" s="224"/>
      <c r="P54" s="224"/>
      <c r="Q54" s="224"/>
      <c r="R54" s="224"/>
      <c r="S54" s="224"/>
      <c r="T54" s="224"/>
      <c r="U54" s="224"/>
      <c r="V54" s="224"/>
      <c r="W54" s="224"/>
      <c r="X54" s="224"/>
      <c r="Y54" s="224"/>
    </row>
    <row r="55" spans="1:25" ht="16.5" hidden="1" customHeight="1" x14ac:dyDescent="0.2">
      <c r="A55" s="224"/>
      <c r="B55" s="217"/>
      <c r="C55" s="218"/>
      <c r="D55" s="218"/>
      <c r="E55" s="218"/>
      <c r="F55" s="170"/>
      <c r="G55" s="170"/>
      <c r="H55" s="170"/>
      <c r="I55" s="170"/>
      <c r="J55" s="216"/>
      <c r="K55" s="224"/>
      <c r="L55" s="224"/>
      <c r="M55" s="224"/>
      <c r="N55" s="224"/>
      <c r="O55" s="224"/>
      <c r="P55" s="224"/>
      <c r="Q55" s="224"/>
      <c r="R55" s="224"/>
      <c r="S55" s="224"/>
      <c r="T55" s="224"/>
      <c r="U55" s="224"/>
      <c r="V55" s="224"/>
      <c r="W55" s="224"/>
      <c r="X55" s="224"/>
      <c r="Y55" s="224"/>
    </row>
    <row r="56" spans="1:25" ht="16.5" hidden="1" customHeight="1" x14ac:dyDescent="0.2">
      <c r="A56" s="224"/>
      <c r="B56" s="217"/>
      <c r="C56" s="218"/>
      <c r="D56" s="218"/>
      <c r="E56" s="218"/>
      <c r="F56" s="170"/>
      <c r="G56" s="170"/>
      <c r="H56" s="170"/>
      <c r="I56" s="170"/>
      <c r="J56" s="216"/>
      <c r="K56" s="224"/>
      <c r="L56" s="224"/>
      <c r="M56" s="224"/>
      <c r="N56" s="224"/>
      <c r="O56" s="224"/>
      <c r="P56" s="224"/>
      <c r="Q56" s="224"/>
      <c r="R56" s="224"/>
      <c r="S56" s="224"/>
      <c r="T56" s="224"/>
      <c r="U56" s="224"/>
      <c r="V56" s="224"/>
      <c r="W56" s="224"/>
      <c r="X56" s="224"/>
      <c r="Y56" s="224"/>
    </row>
    <row r="57" spans="1:25" ht="16.5" hidden="1" customHeight="1" x14ac:dyDescent="0.2">
      <c r="A57" s="224"/>
      <c r="B57" s="217"/>
      <c r="C57" s="218"/>
      <c r="D57" s="218"/>
      <c r="E57" s="218"/>
      <c r="F57" s="170"/>
      <c r="G57" s="170"/>
      <c r="H57" s="170"/>
      <c r="I57" s="170"/>
      <c r="J57" s="216"/>
      <c r="K57" s="224"/>
      <c r="L57" s="224"/>
      <c r="M57" s="224"/>
      <c r="N57" s="224"/>
      <c r="O57" s="224"/>
      <c r="P57" s="224"/>
      <c r="Q57" s="224"/>
      <c r="R57" s="224"/>
      <c r="S57" s="224"/>
      <c r="T57" s="224"/>
      <c r="U57" s="224"/>
      <c r="V57" s="224"/>
      <c r="W57" s="224"/>
      <c r="X57" s="224"/>
      <c r="Y57" s="224"/>
    </row>
    <row r="58" spans="1:25" ht="16.5" hidden="1" customHeight="1" x14ac:dyDescent="0.2">
      <c r="A58" s="224"/>
      <c r="B58" s="217"/>
      <c r="C58" s="218"/>
      <c r="D58" s="218"/>
      <c r="E58" s="218"/>
      <c r="F58" s="170"/>
      <c r="G58" s="170"/>
      <c r="H58" s="170"/>
      <c r="I58" s="170"/>
      <c r="J58" s="216"/>
      <c r="K58" s="224"/>
      <c r="L58" s="224"/>
      <c r="M58" s="224"/>
      <c r="N58" s="224"/>
      <c r="O58" s="224"/>
      <c r="P58" s="224"/>
      <c r="Q58" s="224"/>
      <c r="R58" s="224"/>
      <c r="S58" s="224"/>
      <c r="T58" s="224"/>
      <c r="U58" s="224"/>
      <c r="V58" s="224"/>
      <c r="W58" s="224"/>
      <c r="X58" s="224"/>
      <c r="Y58" s="224"/>
    </row>
    <row r="59" spans="1:25" ht="15" hidden="1" customHeight="1" x14ac:dyDescent="0.2">
      <c r="A59" s="224"/>
      <c r="B59" s="217"/>
      <c r="C59" s="218"/>
      <c r="D59" s="218"/>
      <c r="E59" s="218"/>
      <c r="F59" s="170"/>
      <c r="G59" s="170"/>
      <c r="H59" s="170"/>
      <c r="I59" s="170"/>
      <c r="J59" s="216"/>
      <c r="K59" s="224"/>
      <c r="L59" s="224"/>
      <c r="M59" s="224"/>
      <c r="N59" s="224"/>
      <c r="O59" s="224"/>
      <c r="P59" s="224"/>
      <c r="Q59" s="224"/>
      <c r="R59" s="224"/>
      <c r="S59" s="224"/>
      <c r="T59" s="224"/>
      <c r="U59" s="224"/>
      <c r="V59" s="224"/>
      <c r="W59" s="224"/>
      <c r="X59" s="224"/>
      <c r="Y59" s="224"/>
    </row>
    <row r="60" spans="1:25" ht="15" hidden="1" customHeight="1" x14ac:dyDescent="0.2">
      <c r="A60" s="224"/>
      <c r="B60" s="217"/>
      <c r="C60" s="218"/>
      <c r="D60" s="218"/>
      <c r="E60" s="218"/>
      <c r="F60" s="170"/>
      <c r="G60" s="170"/>
      <c r="H60" s="170"/>
      <c r="I60" s="170"/>
      <c r="J60" s="216"/>
      <c r="K60" s="224"/>
      <c r="L60" s="224"/>
      <c r="M60" s="224"/>
      <c r="N60" s="224"/>
      <c r="O60" s="224"/>
      <c r="P60" s="224"/>
      <c r="Q60" s="224"/>
      <c r="R60" s="224"/>
      <c r="S60" s="224"/>
      <c r="T60" s="224"/>
      <c r="U60" s="224"/>
      <c r="V60" s="224"/>
      <c r="W60" s="224"/>
      <c r="X60" s="224"/>
      <c r="Y60" s="224"/>
    </row>
    <row r="61" spans="1:25" ht="15" hidden="1" customHeight="1" x14ac:dyDescent="0.2">
      <c r="A61" s="224"/>
      <c r="B61" s="217"/>
      <c r="C61" s="218"/>
      <c r="D61" s="218"/>
      <c r="E61" s="218"/>
      <c r="F61" s="170"/>
      <c r="G61" s="170"/>
      <c r="H61" s="170"/>
      <c r="I61" s="170"/>
      <c r="J61" s="216"/>
      <c r="K61" s="224"/>
      <c r="L61" s="224"/>
      <c r="M61" s="224"/>
      <c r="N61" s="224"/>
      <c r="O61" s="224"/>
      <c r="P61" s="224"/>
      <c r="Q61" s="224"/>
      <c r="R61" s="224"/>
      <c r="S61" s="224"/>
      <c r="T61" s="224"/>
      <c r="U61" s="224"/>
      <c r="V61" s="224"/>
      <c r="W61" s="224"/>
      <c r="X61" s="224"/>
      <c r="Y61" s="224"/>
    </row>
    <row r="62" spans="1:25" ht="15" hidden="1" customHeight="1" x14ac:dyDescent="0.2">
      <c r="A62" s="224"/>
      <c r="B62" s="217"/>
      <c r="C62" s="218"/>
      <c r="D62" s="218"/>
      <c r="E62" s="218"/>
      <c r="F62" s="170"/>
      <c r="G62" s="170"/>
      <c r="H62" s="170"/>
      <c r="I62" s="170"/>
      <c r="J62" s="216"/>
      <c r="K62" s="224"/>
      <c r="L62" s="224"/>
      <c r="M62" s="224"/>
      <c r="N62" s="224"/>
      <c r="O62" s="224"/>
      <c r="P62" s="224"/>
      <c r="Q62" s="224"/>
      <c r="R62" s="224"/>
      <c r="S62" s="224"/>
      <c r="T62" s="224"/>
      <c r="U62" s="224"/>
      <c r="V62" s="224"/>
      <c r="W62" s="224"/>
      <c r="X62" s="224"/>
      <c r="Y62" s="224"/>
    </row>
    <row r="63" spans="1:25" ht="15" hidden="1" customHeight="1" x14ac:dyDescent="0.2">
      <c r="A63" s="224"/>
      <c r="B63" s="217"/>
      <c r="C63" s="218"/>
      <c r="D63" s="218"/>
      <c r="E63" s="218"/>
      <c r="F63" s="170"/>
      <c r="G63" s="170"/>
      <c r="H63" s="170"/>
      <c r="I63" s="170"/>
      <c r="J63" s="216"/>
      <c r="K63" s="224"/>
      <c r="L63" s="224"/>
      <c r="M63" s="224"/>
      <c r="N63" s="224"/>
      <c r="O63" s="224"/>
      <c r="P63" s="224"/>
      <c r="Q63" s="224"/>
      <c r="R63" s="224"/>
      <c r="S63" s="224"/>
      <c r="T63" s="224"/>
      <c r="U63" s="224"/>
      <c r="V63" s="224"/>
      <c r="W63" s="224"/>
      <c r="X63" s="224"/>
      <c r="Y63" s="224"/>
    </row>
    <row r="64" spans="1:25" ht="15" hidden="1" customHeight="1" x14ac:dyDescent="0.2">
      <c r="A64" s="224"/>
      <c r="B64" s="217"/>
      <c r="C64" s="218"/>
      <c r="D64" s="218"/>
      <c r="E64" s="218"/>
      <c r="F64" s="170"/>
      <c r="G64" s="170"/>
      <c r="H64" s="170"/>
      <c r="I64" s="170"/>
      <c r="J64" s="216"/>
      <c r="K64" s="224"/>
      <c r="L64" s="224"/>
      <c r="M64" s="224"/>
      <c r="N64" s="224"/>
      <c r="O64" s="224"/>
      <c r="P64" s="224"/>
      <c r="Q64" s="224"/>
      <c r="R64" s="224"/>
      <c r="S64" s="224"/>
      <c r="T64" s="224"/>
      <c r="U64" s="224"/>
      <c r="V64" s="224"/>
      <c r="W64" s="224"/>
      <c r="X64" s="224"/>
      <c r="Y64" s="224"/>
    </row>
    <row r="65" spans="1:25" ht="15" hidden="1" customHeight="1" x14ac:dyDescent="0.2">
      <c r="A65" s="224"/>
      <c r="B65" s="217"/>
      <c r="C65" s="218"/>
      <c r="D65" s="218"/>
      <c r="E65" s="218"/>
      <c r="F65" s="170"/>
      <c r="G65" s="170"/>
      <c r="H65" s="170"/>
      <c r="I65" s="170"/>
      <c r="J65" s="216"/>
      <c r="K65" s="224"/>
      <c r="L65" s="224"/>
      <c r="M65" s="224"/>
      <c r="N65" s="224"/>
      <c r="O65" s="224"/>
      <c r="P65" s="224"/>
      <c r="Q65" s="224"/>
      <c r="R65" s="224"/>
      <c r="S65" s="224"/>
      <c r="T65" s="224"/>
      <c r="U65" s="224"/>
      <c r="V65" s="224"/>
      <c r="W65" s="224"/>
      <c r="X65" s="224"/>
      <c r="Y65" s="224"/>
    </row>
    <row r="66" spans="1:25" ht="15" hidden="1" customHeight="1" x14ac:dyDescent="0.2">
      <c r="A66" s="224"/>
      <c r="B66" s="217"/>
      <c r="C66" s="218"/>
      <c r="D66" s="218"/>
      <c r="E66" s="218"/>
      <c r="F66" s="170"/>
      <c r="G66" s="170"/>
      <c r="H66" s="170"/>
      <c r="I66" s="170"/>
      <c r="J66" s="216"/>
      <c r="K66" s="224"/>
      <c r="L66" s="224"/>
      <c r="M66" s="224"/>
      <c r="N66" s="224"/>
      <c r="O66" s="224"/>
      <c r="P66" s="224"/>
      <c r="Q66" s="224"/>
      <c r="R66" s="224"/>
      <c r="S66" s="224"/>
      <c r="T66" s="224"/>
      <c r="U66" s="224"/>
      <c r="V66" s="224"/>
      <c r="W66" s="224"/>
      <c r="X66" s="224"/>
      <c r="Y66" s="224"/>
    </row>
    <row r="67" spans="1:25" ht="15" hidden="1" customHeight="1" x14ac:dyDescent="0.2">
      <c r="A67" s="224"/>
      <c r="B67" s="217"/>
      <c r="C67" s="218"/>
      <c r="D67" s="218"/>
      <c r="E67" s="218"/>
      <c r="F67" s="170"/>
      <c r="G67" s="170"/>
      <c r="H67" s="170"/>
      <c r="I67" s="170"/>
      <c r="J67" s="216"/>
      <c r="K67" s="224"/>
      <c r="L67" s="224"/>
      <c r="M67" s="224"/>
      <c r="N67" s="224"/>
      <c r="O67" s="224"/>
      <c r="P67" s="224"/>
      <c r="Q67" s="224"/>
      <c r="R67" s="224"/>
      <c r="S67" s="224"/>
      <c r="T67" s="224"/>
      <c r="U67" s="224"/>
      <c r="V67" s="224"/>
      <c r="W67" s="224"/>
      <c r="X67" s="224"/>
      <c r="Y67" s="224"/>
    </row>
    <row r="68" spans="1:25" ht="15" hidden="1" customHeight="1" x14ac:dyDescent="0.2">
      <c r="A68" s="224"/>
      <c r="B68" s="217"/>
      <c r="C68" s="218"/>
      <c r="D68" s="218"/>
      <c r="E68" s="218"/>
      <c r="F68" s="170"/>
      <c r="G68" s="170"/>
      <c r="H68" s="170"/>
      <c r="I68" s="170"/>
      <c r="J68" s="216"/>
      <c r="K68" s="224"/>
      <c r="L68" s="224"/>
      <c r="M68" s="224"/>
      <c r="N68" s="224"/>
      <c r="O68" s="224"/>
      <c r="P68" s="224"/>
      <c r="Q68" s="224"/>
      <c r="R68" s="224"/>
      <c r="S68" s="224"/>
      <c r="T68" s="224"/>
      <c r="U68" s="224"/>
      <c r="V68" s="224"/>
      <c r="W68" s="224"/>
      <c r="X68" s="224"/>
      <c r="Y68" s="224"/>
    </row>
    <row r="69" spans="1:25" ht="15.75" hidden="1" customHeight="1" x14ac:dyDescent="0.2">
      <c r="A69" s="224"/>
      <c r="B69" s="217"/>
      <c r="C69" s="218"/>
      <c r="D69" s="218"/>
      <c r="E69" s="218"/>
      <c r="F69" s="170"/>
      <c r="G69" s="170"/>
      <c r="H69" s="170"/>
      <c r="I69" s="170"/>
      <c r="J69" s="216"/>
      <c r="K69" s="224"/>
      <c r="L69" s="224"/>
      <c r="M69" s="224"/>
      <c r="N69" s="224"/>
      <c r="O69" s="224"/>
      <c r="P69" s="224"/>
      <c r="Q69" s="224"/>
      <c r="R69" s="224"/>
      <c r="S69" s="224"/>
      <c r="T69" s="224"/>
      <c r="U69" s="224"/>
      <c r="V69" s="224"/>
      <c r="W69" s="224"/>
      <c r="X69" s="224"/>
      <c r="Y69" s="224"/>
    </row>
    <row r="70" spans="1:25" ht="15.75" hidden="1" customHeight="1" x14ac:dyDescent="0.2">
      <c r="A70" s="224"/>
      <c r="B70" s="217"/>
      <c r="C70" s="218"/>
      <c r="D70" s="218"/>
      <c r="E70" s="218"/>
      <c r="F70" s="170"/>
      <c r="G70" s="170"/>
      <c r="H70" s="170"/>
      <c r="I70" s="170"/>
      <c r="J70" s="216"/>
      <c r="K70" s="224"/>
      <c r="L70" s="224"/>
      <c r="M70" s="224"/>
      <c r="N70" s="224"/>
      <c r="O70" s="224"/>
      <c r="P70" s="224"/>
      <c r="Q70" s="224"/>
      <c r="R70" s="224"/>
      <c r="S70" s="224"/>
      <c r="T70" s="224"/>
      <c r="U70" s="224"/>
      <c r="V70" s="224"/>
      <c r="W70" s="224"/>
      <c r="X70" s="224"/>
      <c r="Y70" s="224"/>
    </row>
    <row r="71" spans="1:25" ht="15.75" hidden="1" customHeight="1" x14ac:dyDescent="0.2">
      <c r="A71" s="224"/>
      <c r="B71" s="217"/>
      <c r="C71" s="218"/>
      <c r="D71" s="218"/>
      <c r="E71" s="218"/>
      <c r="F71" s="170"/>
      <c r="G71" s="170"/>
      <c r="H71" s="170"/>
      <c r="I71" s="170"/>
      <c r="J71" s="216"/>
      <c r="K71" s="224"/>
      <c r="L71" s="224"/>
      <c r="M71" s="224"/>
      <c r="N71" s="224"/>
      <c r="O71" s="224"/>
      <c r="P71" s="224"/>
      <c r="Q71" s="224"/>
      <c r="R71" s="224"/>
      <c r="S71" s="224"/>
      <c r="T71" s="224"/>
      <c r="U71" s="224"/>
      <c r="V71" s="224"/>
      <c r="W71" s="224"/>
      <c r="X71" s="224"/>
      <c r="Y71" s="224"/>
    </row>
    <row r="72" spans="1:25" ht="15.75" hidden="1" customHeight="1" x14ac:dyDescent="0.2">
      <c r="A72" s="224"/>
      <c r="B72" s="217"/>
      <c r="C72" s="218"/>
      <c r="D72" s="218"/>
      <c r="E72" s="218"/>
      <c r="F72" s="170"/>
      <c r="G72" s="170"/>
      <c r="H72" s="170"/>
      <c r="I72" s="170"/>
      <c r="J72" s="216"/>
      <c r="K72" s="224"/>
      <c r="L72" s="224"/>
      <c r="M72" s="224"/>
      <c r="N72" s="224"/>
      <c r="O72" s="224"/>
      <c r="P72" s="224"/>
      <c r="Q72" s="224"/>
      <c r="R72" s="224"/>
      <c r="S72" s="224"/>
      <c r="T72" s="224"/>
      <c r="U72" s="224"/>
      <c r="V72" s="224"/>
      <c r="W72" s="224"/>
      <c r="X72" s="224"/>
      <c r="Y72" s="224"/>
    </row>
    <row r="73" spans="1:25" ht="15.75" hidden="1" customHeight="1" x14ac:dyDescent="0.2">
      <c r="A73" s="224"/>
      <c r="B73" s="217"/>
      <c r="C73" s="218"/>
      <c r="D73" s="218"/>
      <c r="E73" s="218"/>
      <c r="F73" s="170"/>
      <c r="G73" s="170"/>
      <c r="H73" s="170"/>
      <c r="I73" s="170"/>
      <c r="J73" s="216"/>
      <c r="K73" s="224"/>
      <c r="L73" s="224"/>
      <c r="M73" s="224"/>
      <c r="N73" s="224"/>
      <c r="O73" s="224"/>
      <c r="P73" s="224"/>
      <c r="Q73" s="224"/>
      <c r="R73" s="224"/>
      <c r="S73" s="224"/>
      <c r="T73" s="224"/>
      <c r="U73" s="224"/>
      <c r="V73" s="224"/>
      <c r="W73" s="224"/>
      <c r="X73" s="224"/>
      <c r="Y73" s="224"/>
    </row>
    <row r="74" spans="1:25" ht="15.75" hidden="1" customHeight="1" x14ac:dyDescent="0.2">
      <c r="A74" s="224"/>
      <c r="B74" s="217"/>
      <c r="C74" s="218"/>
      <c r="D74" s="218"/>
      <c r="E74" s="218"/>
      <c r="F74" s="170"/>
      <c r="G74" s="170"/>
      <c r="H74" s="170"/>
      <c r="I74" s="170"/>
      <c r="J74" s="216"/>
      <c r="K74" s="224"/>
      <c r="L74" s="224"/>
      <c r="M74" s="224"/>
      <c r="N74" s="224"/>
      <c r="O74" s="224"/>
      <c r="P74" s="224"/>
      <c r="Q74" s="224"/>
      <c r="R74" s="224"/>
      <c r="S74" s="224"/>
      <c r="T74" s="224"/>
      <c r="U74" s="224"/>
      <c r="V74" s="224"/>
      <c r="W74" s="224"/>
      <c r="X74" s="224"/>
      <c r="Y74" s="224"/>
    </row>
    <row r="75" spans="1:25" ht="15.75" hidden="1" customHeight="1" x14ac:dyDescent="0.2">
      <c r="A75" s="224"/>
      <c r="B75" s="217"/>
      <c r="C75" s="218"/>
      <c r="D75" s="218"/>
      <c r="E75" s="218"/>
      <c r="F75" s="170"/>
      <c r="G75" s="170"/>
      <c r="H75" s="170"/>
      <c r="I75" s="170"/>
      <c r="J75" s="216"/>
      <c r="K75" s="224"/>
      <c r="L75" s="224"/>
      <c r="M75" s="224"/>
      <c r="N75" s="224"/>
      <c r="O75" s="224"/>
      <c r="P75" s="224"/>
      <c r="Q75" s="224"/>
      <c r="R75" s="224"/>
      <c r="S75" s="224"/>
      <c r="T75" s="224"/>
      <c r="U75" s="224"/>
      <c r="V75" s="224"/>
      <c r="W75" s="224"/>
      <c r="X75" s="224"/>
      <c r="Y75" s="224"/>
    </row>
    <row r="76" spans="1:25" ht="15.75" hidden="1" customHeight="1" x14ac:dyDescent="0.2">
      <c r="A76" s="224"/>
      <c r="B76" s="217"/>
      <c r="C76" s="218"/>
      <c r="D76" s="218"/>
      <c r="E76" s="218"/>
      <c r="F76" s="170"/>
      <c r="G76" s="170"/>
      <c r="H76" s="170"/>
      <c r="I76" s="170"/>
      <c r="J76" s="216"/>
      <c r="K76" s="224"/>
      <c r="L76" s="224"/>
      <c r="M76" s="224"/>
      <c r="N76" s="224"/>
      <c r="O76" s="224"/>
      <c r="P76" s="224"/>
      <c r="Q76" s="224"/>
      <c r="R76" s="224"/>
      <c r="S76" s="224"/>
      <c r="T76" s="224"/>
      <c r="U76" s="224"/>
      <c r="V76" s="224"/>
      <c r="W76" s="224"/>
      <c r="X76" s="224"/>
      <c r="Y76" s="224"/>
    </row>
    <row r="77" spans="1:25" ht="15.75" hidden="1" customHeight="1" x14ac:dyDescent="0.2">
      <c r="A77" s="224"/>
      <c r="B77" s="217"/>
      <c r="C77" s="218"/>
      <c r="D77" s="218"/>
      <c r="E77" s="218"/>
      <c r="F77" s="170"/>
      <c r="G77" s="170"/>
      <c r="H77" s="170"/>
      <c r="I77" s="170"/>
      <c r="J77" s="216"/>
      <c r="K77" s="224"/>
      <c r="L77" s="224"/>
      <c r="M77" s="224"/>
      <c r="N77" s="224"/>
      <c r="O77" s="224"/>
      <c r="P77" s="224"/>
      <c r="Q77" s="224"/>
      <c r="R77" s="224"/>
      <c r="S77" s="224"/>
      <c r="T77" s="224"/>
      <c r="U77" s="224"/>
      <c r="V77" s="224"/>
      <c r="W77" s="224"/>
      <c r="X77" s="224"/>
      <c r="Y77" s="224"/>
    </row>
    <row r="78" spans="1:25" ht="15.75" hidden="1" customHeight="1" x14ac:dyDescent="0.2">
      <c r="A78" s="224"/>
      <c r="B78" s="217"/>
      <c r="C78" s="218"/>
      <c r="D78" s="218"/>
      <c r="E78" s="218"/>
      <c r="F78" s="170"/>
      <c r="G78" s="170"/>
      <c r="H78" s="170"/>
      <c r="I78" s="170"/>
      <c r="J78" s="216"/>
      <c r="K78" s="224"/>
      <c r="L78" s="224"/>
      <c r="M78" s="224"/>
      <c r="N78" s="224"/>
      <c r="O78" s="224"/>
      <c r="P78" s="224"/>
      <c r="Q78" s="224"/>
      <c r="R78" s="224"/>
      <c r="S78" s="224"/>
      <c r="T78" s="224"/>
      <c r="U78" s="224"/>
      <c r="V78" s="224"/>
      <c r="W78" s="224"/>
      <c r="X78" s="224"/>
      <c r="Y78" s="224"/>
    </row>
    <row r="79" spans="1:25" ht="15.75" hidden="1" customHeight="1" x14ac:dyDescent="0.2">
      <c r="A79" s="224"/>
      <c r="B79" s="217"/>
      <c r="C79" s="218"/>
      <c r="D79" s="218"/>
      <c r="E79" s="218"/>
      <c r="F79" s="170"/>
      <c r="G79" s="170"/>
      <c r="H79" s="170"/>
      <c r="I79" s="170"/>
      <c r="J79" s="216"/>
      <c r="K79" s="224"/>
      <c r="L79" s="224"/>
      <c r="M79" s="224"/>
      <c r="N79" s="224"/>
      <c r="O79" s="224"/>
      <c r="P79" s="224"/>
      <c r="Q79" s="224"/>
      <c r="R79" s="224"/>
      <c r="S79" s="224"/>
      <c r="T79" s="224"/>
      <c r="U79" s="224"/>
      <c r="V79" s="224"/>
      <c r="W79" s="224"/>
      <c r="X79" s="224"/>
      <c r="Y79" s="224"/>
    </row>
    <row r="80" spans="1:25" ht="15.75" hidden="1" customHeight="1" x14ac:dyDescent="0.2">
      <c r="A80" s="224"/>
      <c r="B80" s="217"/>
      <c r="C80" s="218"/>
      <c r="D80" s="218"/>
      <c r="E80" s="218"/>
      <c r="F80" s="170"/>
      <c r="G80" s="170"/>
      <c r="H80" s="170"/>
      <c r="I80" s="170"/>
      <c r="J80" s="216"/>
      <c r="K80" s="224"/>
      <c r="L80" s="224"/>
      <c r="M80" s="224"/>
      <c r="N80" s="224"/>
      <c r="O80" s="224"/>
      <c r="P80" s="224"/>
      <c r="Q80" s="224"/>
      <c r="R80" s="224"/>
      <c r="S80" s="224"/>
      <c r="T80" s="224"/>
      <c r="U80" s="224"/>
      <c r="V80" s="224"/>
      <c r="W80" s="224"/>
      <c r="X80" s="224"/>
      <c r="Y80" s="224"/>
    </row>
    <row r="81" spans="1:25" ht="15.75" hidden="1" customHeight="1" x14ac:dyDescent="0.2">
      <c r="A81" s="224"/>
      <c r="B81" s="217"/>
      <c r="C81" s="218"/>
      <c r="D81" s="218"/>
      <c r="E81" s="218"/>
      <c r="F81" s="170"/>
      <c r="G81" s="170"/>
      <c r="H81" s="170"/>
      <c r="I81" s="170"/>
      <c r="J81" s="216"/>
      <c r="K81" s="224"/>
      <c r="L81" s="224"/>
      <c r="M81" s="224"/>
      <c r="N81" s="224"/>
      <c r="O81" s="224"/>
      <c r="P81" s="224"/>
      <c r="Q81" s="224"/>
      <c r="R81" s="224"/>
      <c r="S81" s="224"/>
      <c r="T81" s="224"/>
      <c r="U81" s="224"/>
      <c r="V81" s="224"/>
      <c r="W81" s="224"/>
      <c r="X81" s="224"/>
      <c r="Y81" s="224"/>
    </row>
    <row r="82" spans="1:25" ht="15.75" hidden="1" customHeight="1" x14ac:dyDescent="0.2">
      <c r="A82" s="224"/>
      <c r="B82" s="217"/>
      <c r="C82" s="218"/>
      <c r="D82" s="218"/>
      <c r="E82" s="218"/>
      <c r="F82" s="170"/>
      <c r="G82" s="170"/>
      <c r="H82" s="170"/>
      <c r="I82" s="170"/>
      <c r="J82" s="216"/>
      <c r="K82" s="224"/>
      <c r="L82" s="224"/>
      <c r="M82" s="224"/>
      <c r="N82" s="224"/>
      <c r="O82" s="224"/>
      <c r="P82" s="224"/>
      <c r="Q82" s="224"/>
      <c r="R82" s="224"/>
      <c r="S82" s="224"/>
      <c r="T82" s="224"/>
      <c r="U82" s="224"/>
      <c r="V82" s="224"/>
      <c r="W82" s="224"/>
      <c r="X82" s="224"/>
      <c r="Y82" s="224"/>
    </row>
    <row r="83" spans="1:25" ht="15.75" hidden="1" customHeight="1" x14ac:dyDescent="0.2">
      <c r="A83" s="224"/>
      <c r="B83" s="217"/>
      <c r="C83" s="218"/>
      <c r="D83" s="218"/>
      <c r="E83" s="218"/>
      <c r="F83" s="170"/>
      <c r="G83" s="170"/>
      <c r="H83" s="170"/>
      <c r="I83" s="170"/>
      <c r="J83" s="216"/>
      <c r="K83" s="224"/>
      <c r="L83" s="224"/>
      <c r="M83" s="224"/>
      <c r="N83" s="224"/>
      <c r="O83" s="224"/>
      <c r="P83" s="224"/>
      <c r="Q83" s="224"/>
      <c r="R83" s="224"/>
      <c r="S83" s="224"/>
      <c r="T83" s="224"/>
      <c r="U83" s="224"/>
      <c r="V83" s="224"/>
      <c r="W83" s="224"/>
      <c r="X83" s="224"/>
      <c r="Y83" s="224"/>
    </row>
    <row r="84" spans="1:25" ht="15.75" hidden="1" customHeight="1" x14ac:dyDescent="0.2">
      <c r="A84" s="224"/>
      <c r="B84" s="217"/>
      <c r="C84" s="218"/>
      <c r="D84" s="218"/>
      <c r="E84" s="218"/>
      <c r="F84" s="170"/>
      <c r="G84" s="170"/>
      <c r="H84" s="170"/>
      <c r="I84" s="170"/>
      <c r="J84" s="216"/>
      <c r="K84" s="224"/>
      <c r="L84" s="224"/>
      <c r="M84" s="224"/>
      <c r="N84" s="224"/>
      <c r="O84" s="224"/>
      <c r="P84" s="224"/>
      <c r="Q84" s="224"/>
      <c r="R84" s="224"/>
      <c r="S84" s="224"/>
      <c r="T84" s="224"/>
      <c r="U84" s="224"/>
      <c r="V84" s="224"/>
      <c r="W84" s="224"/>
      <c r="X84" s="224"/>
      <c r="Y84" s="224"/>
    </row>
    <row r="85" spans="1:25" ht="15.75" hidden="1" customHeight="1" x14ac:dyDescent="0.2">
      <c r="A85" s="224"/>
      <c r="B85" s="217"/>
      <c r="C85" s="218"/>
      <c r="D85" s="218"/>
      <c r="E85" s="218"/>
      <c r="F85" s="170"/>
      <c r="G85" s="170"/>
      <c r="H85" s="170"/>
      <c r="I85" s="170"/>
      <c r="J85" s="216"/>
      <c r="K85" s="224"/>
      <c r="L85" s="224"/>
      <c r="M85" s="224"/>
      <c r="N85" s="224"/>
      <c r="O85" s="224"/>
      <c r="P85" s="224"/>
      <c r="Q85" s="224"/>
      <c r="R85" s="224"/>
      <c r="S85" s="224"/>
      <c r="T85" s="224"/>
      <c r="U85" s="224"/>
      <c r="V85" s="224"/>
      <c r="W85" s="224"/>
      <c r="X85" s="224"/>
      <c r="Y85" s="224"/>
    </row>
    <row r="86" spans="1:25" ht="15.75" hidden="1" customHeight="1" x14ac:dyDescent="0.2">
      <c r="A86" s="224"/>
      <c r="B86" s="217"/>
      <c r="C86" s="218"/>
      <c r="D86" s="218"/>
      <c r="E86" s="218"/>
      <c r="F86" s="170"/>
      <c r="G86" s="170"/>
      <c r="H86" s="170"/>
      <c r="I86" s="170"/>
      <c r="J86" s="216"/>
      <c r="K86" s="224"/>
      <c r="L86" s="224"/>
      <c r="M86" s="224"/>
      <c r="N86" s="224"/>
      <c r="O86" s="224"/>
      <c r="P86" s="224"/>
      <c r="Q86" s="224"/>
      <c r="R86" s="224"/>
      <c r="S86" s="224"/>
      <c r="T86" s="224"/>
      <c r="U86" s="224"/>
      <c r="V86" s="224"/>
      <c r="W86" s="224"/>
      <c r="X86" s="224"/>
      <c r="Y86" s="224"/>
    </row>
    <row r="87" spans="1:25" ht="15.75" hidden="1" customHeight="1" x14ac:dyDescent="0.2">
      <c r="A87" s="224"/>
      <c r="B87" s="217"/>
      <c r="C87" s="218"/>
      <c r="D87" s="218"/>
      <c r="E87" s="218"/>
      <c r="F87" s="170"/>
      <c r="G87" s="170"/>
      <c r="H87" s="170"/>
      <c r="I87" s="170"/>
      <c r="J87" s="216"/>
      <c r="K87" s="224"/>
      <c r="L87" s="224"/>
      <c r="M87" s="224"/>
      <c r="N87" s="224"/>
      <c r="O87" s="224"/>
      <c r="P87" s="224"/>
      <c r="Q87" s="224"/>
      <c r="R87" s="224"/>
      <c r="S87" s="224"/>
      <c r="T87" s="224"/>
      <c r="U87" s="224"/>
      <c r="V87" s="224"/>
      <c r="W87" s="224"/>
      <c r="X87" s="224"/>
      <c r="Y87" s="224"/>
    </row>
    <row r="88" spans="1:25" ht="15.75" hidden="1" customHeight="1" x14ac:dyDescent="0.2">
      <c r="A88" s="224"/>
      <c r="B88" s="217"/>
      <c r="C88" s="218"/>
      <c r="D88" s="218"/>
      <c r="E88" s="218"/>
      <c r="F88" s="170"/>
      <c r="G88" s="170"/>
      <c r="H88" s="170"/>
      <c r="I88" s="170"/>
      <c r="J88" s="216"/>
      <c r="K88" s="224"/>
      <c r="L88" s="224"/>
      <c r="M88" s="224"/>
      <c r="N88" s="224"/>
      <c r="O88" s="224"/>
      <c r="P88" s="224"/>
      <c r="Q88" s="224"/>
      <c r="R88" s="224"/>
      <c r="S88" s="224"/>
      <c r="T88" s="224"/>
      <c r="U88" s="224"/>
      <c r="V88" s="224"/>
      <c r="W88" s="224"/>
      <c r="X88" s="224"/>
      <c r="Y88" s="224"/>
    </row>
    <row r="89" spans="1:25" ht="15.75" hidden="1" customHeight="1" x14ac:dyDescent="0.2">
      <c r="A89" s="224"/>
      <c r="B89" s="217"/>
      <c r="C89" s="218"/>
      <c r="D89" s="218"/>
      <c r="E89" s="218"/>
      <c r="F89" s="170"/>
      <c r="G89" s="170"/>
      <c r="H89" s="170"/>
      <c r="I89" s="170"/>
      <c r="J89" s="216"/>
      <c r="K89" s="224"/>
      <c r="L89" s="224"/>
      <c r="M89" s="224"/>
      <c r="N89" s="224"/>
      <c r="O89" s="224"/>
      <c r="P89" s="224"/>
      <c r="Q89" s="224"/>
      <c r="R89" s="224"/>
      <c r="S89" s="224"/>
      <c r="T89" s="224"/>
      <c r="U89" s="224"/>
      <c r="V89" s="224"/>
      <c r="W89" s="224"/>
      <c r="X89" s="224"/>
      <c r="Y89" s="224"/>
    </row>
    <row r="90" spans="1:25" ht="15.75" hidden="1" customHeight="1" x14ac:dyDescent="0.2">
      <c r="A90" s="224"/>
      <c r="B90" s="217"/>
      <c r="C90" s="218"/>
      <c r="D90" s="218"/>
      <c r="E90" s="218"/>
      <c r="F90" s="170"/>
      <c r="G90" s="170"/>
      <c r="H90" s="170"/>
      <c r="I90" s="170"/>
      <c r="J90" s="216"/>
      <c r="K90" s="224"/>
      <c r="L90" s="224"/>
      <c r="M90" s="224"/>
      <c r="N90" s="224"/>
      <c r="O90" s="224"/>
      <c r="P90" s="224"/>
      <c r="Q90" s="224"/>
      <c r="R90" s="224"/>
      <c r="S90" s="224"/>
      <c r="T90" s="224"/>
      <c r="U90" s="224"/>
      <c r="V90" s="224"/>
      <c r="W90" s="224"/>
      <c r="X90" s="224"/>
      <c r="Y90" s="224"/>
    </row>
    <row r="91" spans="1:25" ht="15.75" hidden="1" customHeight="1" x14ac:dyDescent="0.2">
      <c r="A91" s="224"/>
      <c r="B91" s="217"/>
      <c r="C91" s="218"/>
      <c r="D91" s="218"/>
      <c r="E91" s="218"/>
      <c r="F91" s="170"/>
      <c r="G91" s="170"/>
      <c r="H91" s="170"/>
      <c r="I91" s="170"/>
      <c r="J91" s="216"/>
      <c r="K91" s="224"/>
      <c r="L91" s="224"/>
      <c r="M91" s="224"/>
      <c r="N91" s="224"/>
      <c r="O91" s="224"/>
      <c r="P91" s="224"/>
      <c r="Q91" s="224"/>
      <c r="R91" s="224"/>
      <c r="S91" s="224"/>
      <c r="T91" s="224"/>
      <c r="U91" s="224"/>
      <c r="V91" s="224"/>
      <c r="W91" s="224"/>
      <c r="X91" s="224"/>
      <c r="Y91" s="224"/>
    </row>
    <row r="92" spans="1:25" ht="15.75" hidden="1" customHeight="1" x14ac:dyDescent="0.2">
      <c r="A92" s="224"/>
      <c r="B92" s="217"/>
      <c r="C92" s="218"/>
      <c r="D92" s="218"/>
      <c r="E92" s="218"/>
      <c r="F92" s="170"/>
      <c r="G92" s="170"/>
      <c r="H92" s="170"/>
      <c r="I92" s="170"/>
      <c r="J92" s="216"/>
      <c r="K92" s="224"/>
      <c r="L92" s="224"/>
      <c r="M92" s="224"/>
      <c r="N92" s="224"/>
      <c r="O92" s="224"/>
      <c r="P92" s="224"/>
      <c r="Q92" s="224"/>
      <c r="R92" s="224"/>
      <c r="S92" s="224"/>
      <c r="T92" s="224"/>
      <c r="U92" s="224"/>
      <c r="V92" s="224"/>
      <c r="W92" s="224"/>
      <c r="X92" s="224"/>
      <c r="Y92" s="224"/>
    </row>
    <row r="93" spans="1:25" ht="15.75" hidden="1" customHeight="1" x14ac:dyDescent="0.2">
      <c r="A93" s="224"/>
      <c r="B93" s="217"/>
      <c r="C93" s="218"/>
      <c r="D93" s="218"/>
      <c r="E93" s="218"/>
      <c r="F93" s="170"/>
      <c r="G93" s="170"/>
      <c r="H93" s="170"/>
      <c r="I93" s="170"/>
      <c r="J93" s="216"/>
      <c r="K93" s="224"/>
      <c r="L93" s="224"/>
      <c r="M93" s="224"/>
      <c r="N93" s="224"/>
      <c r="O93" s="224"/>
      <c r="P93" s="224"/>
      <c r="Q93" s="224"/>
      <c r="R93" s="224"/>
      <c r="S93" s="224"/>
      <c r="T93" s="224"/>
      <c r="U93" s="224"/>
      <c r="V93" s="224"/>
      <c r="W93" s="224"/>
      <c r="X93" s="224"/>
      <c r="Y93" s="224"/>
    </row>
    <row r="94" spans="1:25" ht="15.75" hidden="1" customHeight="1" x14ac:dyDescent="0.2">
      <c r="A94" s="224"/>
      <c r="B94" s="217"/>
      <c r="C94" s="218"/>
      <c r="D94" s="218"/>
      <c r="E94" s="218"/>
      <c r="F94" s="170"/>
      <c r="G94" s="170"/>
      <c r="H94" s="170"/>
      <c r="I94" s="170"/>
      <c r="J94" s="216"/>
      <c r="K94" s="224"/>
      <c r="L94" s="224"/>
      <c r="M94" s="224"/>
      <c r="N94" s="224"/>
      <c r="O94" s="224"/>
      <c r="P94" s="224"/>
      <c r="Q94" s="224"/>
      <c r="R94" s="224"/>
      <c r="S94" s="224"/>
      <c r="T94" s="224"/>
      <c r="U94" s="224"/>
      <c r="V94" s="224"/>
      <c r="W94" s="224"/>
      <c r="X94" s="224"/>
      <c r="Y94" s="224"/>
    </row>
    <row r="95" spans="1:25" ht="15.75" hidden="1" customHeight="1" x14ac:dyDescent="0.2">
      <c r="A95" s="224"/>
      <c r="B95" s="217"/>
      <c r="C95" s="218"/>
      <c r="D95" s="218"/>
      <c r="E95" s="218"/>
      <c r="F95" s="170"/>
      <c r="G95" s="170"/>
      <c r="H95" s="170"/>
      <c r="I95" s="170"/>
      <c r="J95" s="216"/>
      <c r="K95" s="224"/>
      <c r="L95" s="224"/>
      <c r="M95" s="224"/>
      <c r="N95" s="224"/>
      <c r="O95" s="224"/>
      <c r="P95" s="224"/>
      <c r="Q95" s="224"/>
      <c r="R95" s="224"/>
      <c r="S95" s="224"/>
      <c r="T95" s="224"/>
      <c r="U95" s="224"/>
      <c r="V95" s="224"/>
      <c r="W95" s="224"/>
      <c r="X95" s="224"/>
      <c r="Y95" s="224"/>
    </row>
    <row r="96" spans="1:25" ht="15.75" hidden="1" customHeight="1" x14ac:dyDescent="0.2">
      <c r="A96" s="224"/>
      <c r="B96" s="217"/>
      <c r="C96" s="218"/>
      <c r="D96" s="218"/>
      <c r="E96" s="218"/>
      <c r="F96" s="170"/>
      <c r="G96" s="170"/>
      <c r="H96" s="170"/>
      <c r="I96" s="170"/>
      <c r="J96" s="216"/>
      <c r="K96" s="224"/>
      <c r="L96" s="224"/>
      <c r="M96" s="224"/>
      <c r="N96" s="224"/>
      <c r="O96" s="224"/>
      <c r="P96" s="224"/>
      <c r="Q96" s="224"/>
      <c r="R96" s="224"/>
      <c r="S96" s="224"/>
      <c r="T96" s="224"/>
      <c r="U96" s="224"/>
      <c r="V96" s="224"/>
      <c r="W96" s="224"/>
      <c r="X96" s="224"/>
      <c r="Y96" s="224"/>
    </row>
    <row r="97" spans="1:25" ht="15.75" hidden="1" customHeight="1" x14ac:dyDescent="0.2">
      <c r="A97" s="224"/>
      <c r="B97" s="217"/>
      <c r="C97" s="218"/>
      <c r="D97" s="218"/>
      <c r="E97" s="218"/>
      <c r="F97" s="170"/>
      <c r="G97" s="170"/>
      <c r="H97" s="170"/>
      <c r="I97" s="170"/>
      <c r="J97" s="216"/>
      <c r="K97" s="224"/>
      <c r="L97" s="224"/>
      <c r="M97" s="224"/>
      <c r="N97" s="224"/>
      <c r="O97" s="224"/>
      <c r="P97" s="224"/>
      <c r="Q97" s="224"/>
      <c r="R97" s="224"/>
      <c r="S97" s="224"/>
      <c r="T97" s="224"/>
      <c r="U97" s="224"/>
      <c r="V97" s="224"/>
      <c r="W97" s="224"/>
      <c r="X97" s="224"/>
      <c r="Y97" s="224"/>
    </row>
    <row r="98" spans="1:25" ht="15.75" hidden="1" customHeight="1" x14ac:dyDescent="0.2">
      <c r="A98" s="224"/>
      <c r="B98" s="217"/>
      <c r="C98" s="218"/>
      <c r="D98" s="218"/>
      <c r="E98" s="218"/>
      <c r="F98" s="170"/>
      <c r="G98" s="170"/>
      <c r="H98" s="170"/>
      <c r="I98" s="170"/>
      <c r="J98" s="216"/>
      <c r="K98" s="224"/>
      <c r="L98" s="224"/>
      <c r="M98" s="224"/>
      <c r="N98" s="224"/>
      <c r="O98" s="224"/>
      <c r="P98" s="224"/>
      <c r="Q98" s="224"/>
      <c r="R98" s="224"/>
      <c r="S98" s="224"/>
      <c r="T98" s="224"/>
      <c r="U98" s="224"/>
      <c r="V98" s="224"/>
      <c r="W98" s="224"/>
      <c r="X98" s="224"/>
      <c r="Y98" s="224"/>
    </row>
    <row r="99" spans="1:25" ht="15.75" hidden="1" customHeight="1" x14ac:dyDescent="0.2">
      <c r="A99" s="224"/>
      <c r="B99" s="217"/>
      <c r="C99" s="218"/>
      <c r="D99" s="218"/>
      <c r="E99" s="218"/>
      <c r="F99" s="170"/>
      <c r="G99" s="170"/>
      <c r="H99" s="170"/>
      <c r="I99" s="170"/>
      <c r="J99" s="216"/>
      <c r="K99" s="224"/>
      <c r="L99" s="224"/>
      <c r="M99" s="224"/>
      <c r="N99" s="224"/>
      <c r="O99" s="224"/>
      <c r="P99" s="224"/>
      <c r="Q99" s="224"/>
      <c r="R99" s="224"/>
      <c r="S99" s="224"/>
      <c r="T99" s="224"/>
      <c r="U99" s="224"/>
      <c r="V99" s="224"/>
      <c r="W99" s="224"/>
      <c r="X99" s="224"/>
      <c r="Y99" s="224"/>
    </row>
    <row r="100" spans="1:25" ht="15.75" hidden="1" customHeight="1" x14ac:dyDescent="0.2">
      <c r="A100" s="224"/>
      <c r="B100" s="217"/>
      <c r="C100" s="218"/>
      <c r="D100" s="218"/>
      <c r="E100" s="218"/>
      <c r="F100" s="170"/>
      <c r="G100" s="170"/>
      <c r="H100" s="170"/>
      <c r="I100" s="170"/>
      <c r="J100" s="216"/>
      <c r="K100" s="224"/>
      <c r="L100" s="224"/>
      <c r="M100" s="224"/>
      <c r="N100" s="224"/>
      <c r="O100" s="224"/>
      <c r="P100" s="224"/>
      <c r="Q100" s="224"/>
      <c r="R100" s="224"/>
      <c r="S100" s="224"/>
      <c r="T100" s="224"/>
      <c r="U100" s="224"/>
      <c r="V100" s="224"/>
      <c r="W100" s="224"/>
      <c r="X100" s="224"/>
      <c r="Y100" s="224"/>
    </row>
    <row r="101" spans="1:25" ht="15.75" hidden="1" customHeight="1" x14ac:dyDescent="0.2">
      <c r="A101" s="224"/>
      <c r="B101" s="217"/>
      <c r="C101" s="218"/>
      <c r="D101" s="218"/>
      <c r="E101" s="218"/>
      <c r="F101" s="170"/>
      <c r="G101" s="170"/>
      <c r="H101" s="170"/>
      <c r="I101" s="170"/>
      <c r="J101" s="216"/>
      <c r="K101" s="224"/>
      <c r="L101" s="224"/>
      <c r="M101" s="224"/>
      <c r="N101" s="224"/>
      <c r="O101" s="224"/>
      <c r="P101" s="224"/>
      <c r="Q101" s="224"/>
      <c r="R101" s="224"/>
      <c r="S101" s="224"/>
      <c r="T101" s="224"/>
      <c r="U101" s="224"/>
      <c r="V101" s="224"/>
      <c r="W101" s="224"/>
      <c r="X101" s="224"/>
      <c r="Y101" s="224"/>
    </row>
    <row r="102" spans="1:25" ht="15.75" hidden="1" customHeight="1" x14ac:dyDescent="0.2">
      <c r="A102" s="224"/>
      <c r="B102" s="217"/>
      <c r="C102" s="218"/>
      <c r="D102" s="218"/>
      <c r="E102" s="218"/>
      <c r="F102" s="170"/>
      <c r="G102" s="170"/>
      <c r="H102" s="170"/>
      <c r="I102" s="170"/>
      <c r="J102" s="216"/>
      <c r="K102" s="224"/>
      <c r="L102" s="224"/>
      <c r="M102" s="224"/>
      <c r="N102" s="224"/>
      <c r="O102" s="224"/>
      <c r="P102" s="224"/>
      <c r="Q102" s="224"/>
      <c r="R102" s="224"/>
      <c r="S102" s="224"/>
      <c r="T102" s="224"/>
      <c r="U102" s="224"/>
      <c r="V102" s="224"/>
      <c r="W102" s="224"/>
      <c r="X102" s="224"/>
      <c r="Y102" s="224"/>
    </row>
    <row r="103" spans="1:25" ht="15.75" hidden="1" customHeight="1" x14ac:dyDescent="0.2">
      <c r="A103" s="224"/>
      <c r="B103" s="217"/>
      <c r="C103" s="218"/>
      <c r="D103" s="218"/>
      <c r="E103" s="218"/>
      <c r="F103" s="170"/>
      <c r="G103" s="170"/>
      <c r="H103" s="170"/>
      <c r="I103" s="170"/>
      <c r="J103" s="216"/>
      <c r="K103" s="224"/>
      <c r="L103" s="224"/>
      <c r="M103" s="224"/>
      <c r="N103" s="224"/>
      <c r="O103" s="224"/>
      <c r="P103" s="224"/>
      <c r="Q103" s="224"/>
      <c r="R103" s="224"/>
      <c r="S103" s="224"/>
      <c r="T103" s="224"/>
      <c r="U103" s="224"/>
      <c r="V103" s="224"/>
      <c r="W103" s="224"/>
      <c r="X103" s="224"/>
      <c r="Y103" s="224"/>
    </row>
    <row r="104" spans="1:25" ht="15.75" hidden="1" customHeight="1" x14ac:dyDescent="0.2">
      <c r="A104" s="224"/>
      <c r="B104" s="217"/>
      <c r="C104" s="218"/>
      <c r="D104" s="218"/>
      <c r="E104" s="218"/>
      <c r="F104" s="170"/>
      <c r="G104" s="170"/>
      <c r="H104" s="170"/>
      <c r="I104" s="170"/>
      <c r="J104" s="216"/>
      <c r="K104" s="224"/>
      <c r="L104" s="224"/>
      <c r="M104" s="224"/>
      <c r="N104" s="224"/>
      <c r="O104" s="224"/>
      <c r="P104" s="224"/>
      <c r="Q104" s="224"/>
      <c r="R104" s="224"/>
      <c r="S104" s="224"/>
      <c r="T104" s="224"/>
      <c r="U104" s="224"/>
      <c r="V104" s="224"/>
      <c r="W104" s="224"/>
      <c r="X104" s="224"/>
      <c r="Y104" s="224"/>
    </row>
    <row r="105" spans="1:25" ht="15.75" hidden="1" customHeight="1" x14ac:dyDescent="0.2">
      <c r="A105" s="224"/>
      <c r="B105" s="217"/>
      <c r="C105" s="218"/>
      <c r="D105" s="218"/>
      <c r="E105" s="218"/>
      <c r="F105" s="170"/>
      <c r="G105" s="170"/>
      <c r="H105" s="170"/>
      <c r="I105" s="170"/>
      <c r="J105" s="216"/>
      <c r="K105" s="224"/>
      <c r="L105" s="224"/>
      <c r="M105" s="224"/>
      <c r="N105" s="224"/>
      <c r="O105" s="224"/>
      <c r="P105" s="224"/>
      <c r="Q105" s="224"/>
      <c r="R105" s="224"/>
      <c r="S105" s="224"/>
      <c r="T105" s="224"/>
      <c r="U105" s="224"/>
      <c r="V105" s="224"/>
      <c r="W105" s="224"/>
      <c r="X105" s="224"/>
      <c r="Y105" s="224"/>
    </row>
    <row r="106" spans="1:25" ht="15.75" hidden="1" customHeight="1" x14ac:dyDescent="0.2">
      <c r="A106" s="224"/>
      <c r="B106" s="217"/>
      <c r="C106" s="218"/>
      <c r="D106" s="218"/>
      <c r="E106" s="218"/>
      <c r="F106" s="170"/>
      <c r="G106" s="170"/>
      <c r="H106" s="170"/>
      <c r="I106" s="170"/>
      <c r="J106" s="216"/>
      <c r="K106" s="224"/>
      <c r="L106" s="224"/>
      <c r="M106" s="224"/>
      <c r="N106" s="224"/>
      <c r="O106" s="224"/>
      <c r="P106" s="224"/>
      <c r="Q106" s="224"/>
      <c r="R106" s="224"/>
      <c r="S106" s="224"/>
      <c r="T106" s="224"/>
      <c r="U106" s="224"/>
      <c r="V106" s="224"/>
      <c r="W106" s="224"/>
      <c r="X106" s="224"/>
      <c r="Y106" s="224"/>
    </row>
    <row r="107" spans="1:25" ht="15.75" hidden="1" customHeight="1" x14ac:dyDescent="0.2">
      <c r="A107" s="224"/>
      <c r="B107" s="217"/>
      <c r="C107" s="218"/>
      <c r="D107" s="218"/>
      <c r="E107" s="218"/>
      <c r="F107" s="170"/>
      <c r="G107" s="170"/>
      <c r="H107" s="170"/>
      <c r="I107" s="170"/>
      <c r="J107" s="216"/>
      <c r="K107" s="224"/>
      <c r="L107" s="224"/>
      <c r="M107" s="224"/>
      <c r="N107" s="224"/>
      <c r="O107" s="224"/>
      <c r="P107" s="224"/>
      <c r="Q107" s="224"/>
      <c r="R107" s="224"/>
      <c r="S107" s="224"/>
      <c r="T107" s="224"/>
      <c r="U107" s="224"/>
      <c r="V107" s="224"/>
      <c r="W107" s="224"/>
      <c r="X107" s="224"/>
      <c r="Y107" s="224"/>
    </row>
    <row r="108" spans="1:25" ht="15.75" hidden="1" customHeight="1" x14ac:dyDescent="0.2">
      <c r="A108" s="224"/>
      <c r="B108" s="217"/>
      <c r="C108" s="218"/>
      <c r="D108" s="218"/>
      <c r="E108" s="218"/>
      <c r="F108" s="170"/>
      <c r="G108" s="170"/>
      <c r="H108" s="170"/>
      <c r="I108" s="170"/>
      <c r="J108" s="216"/>
      <c r="K108" s="224"/>
      <c r="L108" s="224"/>
      <c r="M108" s="224"/>
      <c r="N108" s="224"/>
      <c r="O108" s="224"/>
      <c r="P108" s="224"/>
      <c r="Q108" s="224"/>
      <c r="R108" s="224"/>
      <c r="S108" s="224"/>
      <c r="T108" s="224"/>
      <c r="U108" s="224"/>
      <c r="V108" s="224"/>
      <c r="W108" s="224"/>
      <c r="X108" s="224"/>
      <c r="Y108" s="224"/>
    </row>
    <row r="109" spans="1:25" ht="15.75" hidden="1" customHeight="1" x14ac:dyDescent="0.2">
      <c r="A109" s="224"/>
      <c r="B109" s="217"/>
      <c r="C109" s="218"/>
      <c r="D109" s="218"/>
      <c r="E109" s="218"/>
      <c r="F109" s="170"/>
      <c r="G109" s="170"/>
      <c r="H109" s="170"/>
      <c r="I109" s="170"/>
      <c r="J109" s="216"/>
      <c r="K109" s="224"/>
      <c r="L109" s="224"/>
      <c r="M109" s="224"/>
      <c r="N109" s="224"/>
      <c r="O109" s="224"/>
      <c r="P109" s="224"/>
      <c r="Q109" s="224"/>
      <c r="R109" s="224"/>
      <c r="S109" s="224"/>
      <c r="T109" s="224"/>
      <c r="U109" s="224"/>
      <c r="V109" s="224"/>
      <c r="W109" s="224"/>
      <c r="X109" s="224"/>
      <c r="Y109" s="224"/>
    </row>
    <row r="110" spans="1:25" ht="15.75" hidden="1" customHeight="1" x14ac:dyDescent="0.2">
      <c r="A110" s="224"/>
      <c r="B110" s="217"/>
      <c r="C110" s="218"/>
      <c r="D110" s="218"/>
      <c r="E110" s="218"/>
      <c r="F110" s="170"/>
      <c r="G110" s="170"/>
      <c r="H110" s="170"/>
      <c r="I110" s="170"/>
      <c r="J110" s="216"/>
      <c r="K110" s="224"/>
      <c r="L110" s="224"/>
      <c r="M110" s="224"/>
      <c r="N110" s="224"/>
      <c r="O110" s="224"/>
      <c r="P110" s="224"/>
      <c r="Q110" s="224"/>
      <c r="R110" s="224"/>
      <c r="S110" s="224"/>
      <c r="T110" s="224"/>
      <c r="U110" s="224"/>
      <c r="V110" s="224"/>
      <c r="W110" s="224"/>
      <c r="X110" s="224"/>
      <c r="Y110" s="224"/>
    </row>
    <row r="111" spans="1:25" ht="15.75" hidden="1" customHeight="1" x14ac:dyDescent="0.2">
      <c r="A111" s="224"/>
      <c r="B111" s="217"/>
      <c r="C111" s="218"/>
      <c r="D111" s="218"/>
      <c r="E111" s="218"/>
      <c r="F111" s="170"/>
      <c r="G111" s="170"/>
      <c r="H111" s="170"/>
      <c r="I111" s="170"/>
      <c r="J111" s="216"/>
      <c r="K111" s="224"/>
      <c r="L111" s="224"/>
      <c r="M111" s="224"/>
      <c r="N111" s="224"/>
      <c r="O111" s="224"/>
      <c r="P111" s="224"/>
      <c r="Q111" s="224"/>
      <c r="R111" s="224"/>
      <c r="S111" s="224"/>
      <c r="T111" s="224"/>
      <c r="U111" s="224"/>
      <c r="V111" s="224"/>
      <c r="W111" s="224"/>
      <c r="X111" s="224"/>
      <c r="Y111" s="224"/>
    </row>
    <row r="112" spans="1:25" ht="15.75" hidden="1" customHeight="1" x14ac:dyDescent="0.2">
      <c r="A112" s="224"/>
      <c r="B112" s="217"/>
      <c r="C112" s="218"/>
      <c r="D112" s="218"/>
      <c r="E112" s="218"/>
      <c r="F112" s="170"/>
      <c r="G112" s="170"/>
      <c r="H112" s="170"/>
      <c r="I112" s="170"/>
      <c r="J112" s="216"/>
      <c r="K112" s="224"/>
      <c r="L112" s="224"/>
      <c r="M112" s="224"/>
      <c r="N112" s="224"/>
      <c r="O112" s="224"/>
      <c r="P112" s="224"/>
      <c r="Q112" s="224"/>
      <c r="R112" s="224"/>
      <c r="S112" s="224"/>
      <c r="T112" s="224"/>
      <c r="U112" s="224"/>
      <c r="V112" s="224"/>
      <c r="W112" s="224"/>
      <c r="X112" s="224"/>
      <c r="Y112" s="224"/>
    </row>
    <row r="113" spans="1:25" ht="15.75" hidden="1" customHeight="1" x14ac:dyDescent="0.2">
      <c r="A113" s="224"/>
      <c r="B113" s="217"/>
      <c r="C113" s="218"/>
      <c r="D113" s="218"/>
      <c r="E113" s="218"/>
      <c r="F113" s="170"/>
      <c r="G113" s="170"/>
      <c r="H113" s="170"/>
      <c r="I113" s="170"/>
      <c r="J113" s="216"/>
      <c r="K113" s="224"/>
      <c r="L113" s="224"/>
      <c r="M113" s="224"/>
      <c r="N113" s="224"/>
      <c r="O113" s="224"/>
      <c r="P113" s="224"/>
      <c r="Q113" s="224"/>
      <c r="R113" s="224"/>
      <c r="S113" s="224"/>
      <c r="T113" s="224"/>
      <c r="U113" s="224"/>
      <c r="V113" s="224"/>
      <c r="W113" s="224"/>
      <c r="X113" s="224"/>
      <c r="Y113" s="224"/>
    </row>
    <row r="114" spans="1:25" ht="15.75" hidden="1" customHeight="1" x14ac:dyDescent="0.2">
      <c r="A114" s="224"/>
      <c r="B114" s="217"/>
      <c r="C114" s="218"/>
      <c r="D114" s="218"/>
      <c r="E114" s="218"/>
      <c r="F114" s="170"/>
      <c r="G114" s="170"/>
      <c r="H114" s="170"/>
      <c r="I114" s="170"/>
      <c r="J114" s="216"/>
      <c r="K114" s="224"/>
      <c r="L114" s="224"/>
      <c r="M114" s="224"/>
      <c r="N114" s="224"/>
      <c r="O114" s="224"/>
      <c r="P114" s="224"/>
      <c r="Q114" s="224"/>
      <c r="R114" s="224"/>
      <c r="S114" s="224"/>
      <c r="T114" s="224"/>
      <c r="U114" s="224"/>
      <c r="V114" s="224"/>
      <c r="W114" s="224"/>
      <c r="X114" s="224"/>
      <c r="Y114" s="224"/>
    </row>
    <row r="115" spans="1:25" ht="15.75" hidden="1" customHeight="1" x14ac:dyDescent="0.2">
      <c r="A115" s="224"/>
      <c r="B115" s="217"/>
      <c r="C115" s="218"/>
      <c r="D115" s="218"/>
      <c r="E115" s="218"/>
      <c r="F115" s="170"/>
      <c r="G115" s="170"/>
      <c r="H115" s="170"/>
      <c r="I115" s="170"/>
      <c r="J115" s="216"/>
      <c r="K115" s="224"/>
      <c r="L115" s="224"/>
      <c r="M115" s="224"/>
      <c r="N115" s="224"/>
      <c r="O115" s="224"/>
      <c r="P115" s="224"/>
      <c r="Q115" s="224"/>
      <c r="R115" s="224"/>
      <c r="S115" s="224"/>
      <c r="T115" s="224"/>
      <c r="U115" s="224"/>
      <c r="V115" s="224"/>
      <c r="W115" s="224"/>
      <c r="X115" s="224"/>
      <c r="Y115" s="224"/>
    </row>
    <row r="116" spans="1:25" ht="15.75" hidden="1" customHeight="1" x14ac:dyDescent="0.2">
      <c r="A116" s="224"/>
      <c r="B116" s="217"/>
      <c r="C116" s="218"/>
      <c r="D116" s="218"/>
      <c r="E116" s="218"/>
      <c r="F116" s="170"/>
      <c r="G116" s="170"/>
      <c r="H116" s="170"/>
      <c r="I116" s="170"/>
      <c r="J116" s="216"/>
      <c r="K116" s="224"/>
      <c r="L116" s="224"/>
      <c r="M116" s="224"/>
      <c r="N116" s="224"/>
      <c r="O116" s="224"/>
      <c r="P116" s="224"/>
      <c r="Q116" s="224"/>
      <c r="R116" s="224"/>
      <c r="S116" s="224"/>
      <c r="T116" s="224"/>
      <c r="U116" s="224"/>
      <c r="V116" s="224"/>
      <c r="W116" s="224"/>
      <c r="X116" s="224"/>
      <c r="Y116" s="224"/>
    </row>
    <row r="117" spans="1:25" ht="15.75" hidden="1" customHeight="1" x14ac:dyDescent="0.2">
      <c r="A117" s="224"/>
      <c r="B117" s="217"/>
      <c r="C117" s="218"/>
      <c r="D117" s="218"/>
      <c r="E117" s="218"/>
      <c r="F117" s="170"/>
      <c r="G117" s="170"/>
      <c r="H117" s="170"/>
      <c r="I117" s="170"/>
      <c r="J117" s="216"/>
      <c r="K117" s="224"/>
      <c r="L117" s="224"/>
      <c r="M117" s="224"/>
      <c r="N117" s="224"/>
      <c r="O117" s="224"/>
      <c r="P117" s="224"/>
      <c r="Q117" s="224"/>
      <c r="R117" s="224"/>
      <c r="S117" s="224"/>
      <c r="T117" s="224"/>
      <c r="U117" s="224"/>
      <c r="V117" s="224"/>
      <c r="W117" s="224"/>
      <c r="X117" s="224"/>
      <c r="Y117" s="224"/>
    </row>
    <row r="118" spans="1:25" ht="15.75" hidden="1" customHeight="1" x14ac:dyDescent="0.2">
      <c r="A118" s="224"/>
      <c r="B118" s="217"/>
      <c r="C118" s="218"/>
      <c r="D118" s="218"/>
      <c r="E118" s="218"/>
      <c r="F118" s="170"/>
      <c r="G118" s="170"/>
      <c r="H118" s="170"/>
      <c r="I118" s="170"/>
      <c r="J118" s="216"/>
      <c r="K118" s="224"/>
      <c r="L118" s="224"/>
      <c r="M118" s="224"/>
      <c r="N118" s="224"/>
      <c r="O118" s="224"/>
      <c r="P118" s="224"/>
      <c r="Q118" s="224"/>
      <c r="R118" s="224"/>
      <c r="S118" s="224"/>
      <c r="T118" s="224"/>
      <c r="U118" s="224"/>
      <c r="V118" s="224"/>
      <c r="W118" s="224"/>
      <c r="X118" s="224"/>
      <c r="Y118" s="224"/>
    </row>
    <row r="119" spans="1:25" ht="15.75" hidden="1" customHeight="1" x14ac:dyDescent="0.2">
      <c r="A119" s="224"/>
      <c r="B119" s="217"/>
      <c r="C119" s="218"/>
      <c r="D119" s="218"/>
      <c r="E119" s="218"/>
      <c r="F119" s="170"/>
      <c r="G119" s="170"/>
      <c r="H119" s="170"/>
      <c r="I119" s="170"/>
      <c r="J119" s="216"/>
      <c r="K119" s="224"/>
      <c r="L119" s="224"/>
      <c r="M119" s="224"/>
      <c r="N119" s="224"/>
      <c r="O119" s="224"/>
      <c r="P119" s="224"/>
      <c r="Q119" s="224"/>
      <c r="R119" s="224"/>
      <c r="S119" s="224"/>
      <c r="T119" s="224"/>
      <c r="U119" s="224"/>
      <c r="V119" s="224"/>
      <c r="W119" s="224"/>
      <c r="X119" s="224"/>
      <c r="Y119" s="224"/>
    </row>
    <row r="120" spans="1:25" ht="15.75" hidden="1" customHeight="1" x14ac:dyDescent="0.2">
      <c r="A120" s="224"/>
      <c r="B120" s="217"/>
      <c r="C120" s="218"/>
      <c r="D120" s="218"/>
      <c r="E120" s="218"/>
      <c r="F120" s="170"/>
      <c r="G120" s="170"/>
      <c r="H120" s="170"/>
      <c r="I120" s="170"/>
      <c r="J120" s="216"/>
      <c r="K120" s="224"/>
      <c r="L120" s="224"/>
      <c r="M120" s="224"/>
      <c r="N120" s="224"/>
      <c r="O120" s="224"/>
      <c r="P120" s="224"/>
      <c r="Q120" s="224"/>
      <c r="R120" s="224"/>
      <c r="S120" s="224"/>
      <c r="T120" s="224"/>
      <c r="U120" s="224"/>
      <c r="V120" s="224"/>
      <c r="W120" s="224"/>
      <c r="X120" s="224"/>
      <c r="Y120" s="224"/>
    </row>
    <row r="121" spans="1:25" ht="15.75" hidden="1" customHeight="1" x14ac:dyDescent="0.2">
      <c r="A121" s="224"/>
      <c r="B121" s="217"/>
      <c r="C121" s="218"/>
      <c r="D121" s="218"/>
      <c r="E121" s="218"/>
      <c r="F121" s="170"/>
      <c r="G121" s="170"/>
      <c r="H121" s="170"/>
      <c r="I121" s="170"/>
      <c r="J121" s="216"/>
      <c r="K121" s="224"/>
      <c r="L121" s="224"/>
      <c r="M121" s="224"/>
      <c r="N121" s="224"/>
      <c r="O121" s="224"/>
      <c r="P121" s="224"/>
      <c r="Q121" s="224"/>
      <c r="R121" s="224"/>
      <c r="S121" s="224"/>
      <c r="T121" s="224"/>
      <c r="U121" s="224"/>
      <c r="V121" s="224"/>
      <c r="W121" s="224"/>
      <c r="X121" s="224"/>
      <c r="Y121" s="224"/>
    </row>
    <row r="122" spans="1:25" ht="15.75" hidden="1" customHeight="1" x14ac:dyDescent="0.2">
      <c r="A122" s="224"/>
      <c r="B122" s="217"/>
      <c r="C122" s="218"/>
      <c r="D122" s="218"/>
      <c r="E122" s="218"/>
      <c r="F122" s="170"/>
      <c r="G122" s="170"/>
      <c r="H122" s="170"/>
      <c r="I122" s="170"/>
      <c r="J122" s="216"/>
      <c r="K122" s="224"/>
      <c r="L122" s="224"/>
      <c r="M122" s="224"/>
      <c r="N122" s="224"/>
      <c r="O122" s="224"/>
      <c r="P122" s="224"/>
      <c r="Q122" s="224"/>
      <c r="R122" s="224"/>
      <c r="S122" s="224"/>
      <c r="T122" s="224"/>
      <c r="U122" s="224"/>
      <c r="V122" s="224"/>
      <c r="W122" s="224"/>
      <c r="X122" s="224"/>
      <c r="Y122" s="224"/>
    </row>
    <row r="123" spans="1:25" ht="15.75" hidden="1" customHeight="1" x14ac:dyDescent="0.2">
      <c r="A123" s="224"/>
      <c r="B123" s="217"/>
      <c r="C123" s="218"/>
      <c r="D123" s="218"/>
      <c r="E123" s="218"/>
      <c r="F123" s="170"/>
      <c r="G123" s="170"/>
      <c r="H123" s="170"/>
      <c r="I123" s="170"/>
      <c r="J123" s="216"/>
      <c r="K123" s="224"/>
      <c r="L123" s="224"/>
      <c r="M123" s="224"/>
      <c r="N123" s="224"/>
      <c r="O123" s="224"/>
      <c r="P123" s="224"/>
      <c r="Q123" s="224"/>
      <c r="R123" s="224"/>
      <c r="S123" s="224"/>
      <c r="T123" s="224"/>
      <c r="U123" s="224"/>
      <c r="V123" s="224"/>
      <c r="W123" s="224"/>
      <c r="X123" s="224"/>
      <c r="Y123" s="224"/>
    </row>
    <row r="124" spans="1:25" ht="15.75" hidden="1" customHeight="1" x14ac:dyDescent="0.2">
      <c r="A124" s="224"/>
      <c r="B124" s="217"/>
      <c r="C124" s="218"/>
      <c r="D124" s="218"/>
      <c r="E124" s="218"/>
      <c r="F124" s="170"/>
      <c r="G124" s="170"/>
      <c r="H124" s="170"/>
      <c r="I124" s="170"/>
      <c r="J124" s="216"/>
      <c r="K124" s="224"/>
      <c r="L124" s="224"/>
      <c r="M124" s="224"/>
      <c r="N124" s="224"/>
      <c r="O124" s="224"/>
      <c r="P124" s="224"/>
      <c r="Q124" s="224"/>
      <c r="R124" s="224"/>
      <c r="S124" s="224"/>
      <c r="T124" s="224"/>
      <c r="U124" s="224"/>
      <c r="V124" s="224"/>
      <c r="W124" s="224"/>
      <c r="X124" s="224"/>
      <c r="Y124" s="224"/>
    </row>
    <row r="125" spans="1:25" ht="15.75" hidden="1" customHeight="1" x14ac:dyDescent="0.2">
      <c r="A125" s="224"/>
      <c r="B125" s="217"/>
      <c r="C125" s="218"/>
      <c r="D125" s="218"/>
      <c r="E125" s="218"/>
      <c r="F125" s="170"/>
      <c r="G125" s="170"/>
      <c r="H125" s="170"/>
      <c r="I125" s="170"/>
      <c r="J125" s="216"/>
      <c r="K125" s="224"/>
      <c r="L125" s="224"/>
      <c r="M125" s="224"/>
      <c r="N125" s="224"/>
      <c r="O125" s="224"/>
      <c r="P125" s="224"/>
      <c r="Q125" s="224"/>
      <c r="R125" s="224"/>
      <c r="S125" s="224"/>
      <c r="T125" s="224"/>
      <c r="U125" s="224"/>
      <c r="V125" s="224"/>
      <c r="W125" s="224"/>
      <c r="X125" s="224"/>
      <c r="Y125" s="224"/>
    </row>
    <row r="126" spans="1:25" ht="15.75" hidden="1" customHeight="1" x14ac:dyDescent="0.2">
      <c r="A126" s="224"/>
      <c r="B126" s="217"/>
      <c r="C126" s="218"/>
      <c r="D126" s="218"/>
      <c r="E126" s="218"/>
      <c r="F126" s="170"/>
      <c r="G126" s="170"/>
      <c r="H126" s="170"/>
      <c r="I126" s="170"/>
      <c r="J126" s="216"/>
      <c r="K126" s="224"/>
      <c r="L126" s="224"/>
      <c r="M126" s="224"/>
      <c r="N126" s="224"/>
      <c r="O126" s="224"/>
      <c r="P126" s="224"/>
      <c r="Q126" s="224"/>
      <c r="R126" s="224"/>
      <c r="S126" s="224"/>
      <c r="T126" s="224"/>
      <c r="U126" s="224"/>
      <c r="V126" s="224"/>
      <c r="W126" s="224"/>
      <c r="X126" s="224"/>
      <c r="Y126" s="224"/>
    </row>
    <row r="127" spans="1:25" ht="15.75" hidden="1" customHeight="1" x14ac:dyDescent="0.2">
      <c r="A127" s="224"/>
      <c r="B127" s="217"/>
      <c r="C127" s="218"/>
      <c r="D127" s="218"/>
      <c r="E127" s="218"/>
      <c r="F127" s="170"/>
      <c r="G127" s="170"/>
      <c r="H127" s="170"/>
      <c r="I127" s="170"/>
      <c r="J127" s="216"/>
      <c r="K127" s="224"/>
      <c r="L127" s="224"/>
      <c r="M127" s="224"/>
      <c r="N127" s="224"/>
      <c r="O127" s="224"/>
      <c r="P127" s="224"/>
      <c r="Q127" s="224"/>
      <c r="R127" s="224"/>
      <c r="S127" s="224"/>
      <c r="T127" s="224"/>
      <c r="U127" s="224"/>
      <c r="V127" s="224"/>
      <c r="W127" s="224"/>
      <c r="X127" s="224"/>
      <c r="Y127" s="224"/>
    </row>
    <row r="128" spans="1:25" ht="15.75" hidden="1" customHeight="1" x14ac:dyDescent="0.2">
      <c r="A128" s="224"/>
      <c r="B128" s="217"/>
      <c r="C128" s="218"/>
      <c r="D128" s="218"/>
      <c r="E128" s="218"/>
      <c r="F128" s="170"/>
      <c r="G128" s="170"/>
      <c r="H128" s="170"/>
      <c r="I128" s="170"/>
      <c r="J128" s="216"/>
      <c r="K128" s="224"/>
      <c r="L128" s="224"/>
      <c r="M128" s="224"/>
      <c r="N128" s="224"/>
      <c r="O128" s="224"/>
      <c r="P128" s="224"/>
      <c r="Q128" s="224"/>
      <c r="R128" s="224"/>
      <c r="S128" s="224"/>
      <c r="T128" s="224"/>
      <c r="U128" s="224"/>
      <c r="V128" s="224"/>
      <c r="W128" s="224"/>
      <c r="X128" s="224"/>
      <c r="Y128" s="224"/>
    </row>
    <row r="129" spans="1:25" ht="15.75" hidden="1" customHeight="1" x14ac:dyDescent="0.2">
      <c r="A129" s="224"/>
      <c r="B129" s="217"/>
      <c r="C129" s="218"/>
      <c r="D129" s="218"/>
      <c r="E129" s="218"/>
      <c r="F129" s="170"/>
      <c r="G129" s="170"/>
      <c r="H129" s="170"/>
      <c r="I129" s="170"/>
      <c r="J129" s="216"/>
      <c r="K129" s="224"/>
      <c r="L129" s="224"/>
      <c r="M129" s="224"/>
      <c r="N129" s="224"/>
      <c r="O129" s="224"/>
      <c r="P129" s="224"/>
      <c r="Q129" s="224"/>
      <c r="R129" s="224"/>
      <c r="S129" s="224"/>
      <c r="T129" s="224"/>
      <c r="U129" s="224"/>
      <c r="V129" s="224"/>
      <c r="W129" s="224"/>
      <c r="X129" s="224"/>
      <c r="Y129" s="224"/>
    </row>
    <row r="130" spans="1:25" ht="15.75" hidden="1" customHeight="1" x14ac:dyDescent="0.2">
      <c r="A130" s="224"/>
      <c r="B130" s="217"/>
      <c r="C130" s="218"/>
      <c r="D130" s="218"/>
      <c r="E130" s="218"/>
      <c r="F130" s="170"/>
      <c r="G130" s="170"/>
      <c r="H130" s="170"/>
      <c r="I130" s="170"/>
      <c r="J130" s="216"/>
      <c r="K130" s="224"/>
      <c r="L130" s="224"/>
      <c r="M130" s="224"/>
      <c r="N130" s="224"/>
      <c r="O130" s="224"/>
      <c r="P130" s="224"/>
      <c r="Q130" s="224"/>
      <c r="R130" s="224"/>
      <c r="S130" s="224"/>
      <c r="T130" s="224"/>
      <c r="U130" s="224"/>
      <c r="V130" s="224"/>
      <c r="W130" s="224"/>
      <c r="X130" s="224"/>
      <c r="Y130" s="224"/>
    </row>
    <row r="131" spans="1:25" ht="15.75" hidden="1" customHeight="1" x14ac:dyDescent="0.2">
      <c r="A131" s="224"/>
      <c r="B131" s="217"/>
      <c r="C131" s="218"/>
      <c r="D131" s="218"/>
      <c r="E131" s="218"/>
      <c r="F131" s="170"/>
      <c r="G131" s="170"/>
      <c r="H131" s="170"/>
      <c r="I131" s="170"/>
      <c r="J131" s="216"/>
      <c r="K131" s="224"/>
      <c r="L131" s="224"/>
      <c r="M131" s="224"/>
      <c r="N131" s="224"/>
      <c r="O131" s="224"/>
      <c r="P131" s="224"/>
      <c r="Q131" s="224"/>
      <c r="R131" s="224"/>
      <c r="S131" s="224"/>
      <c r="T131" s="224"/>
      <c r="U131" s="224"/>
      <c r="V131" s="224"/>
      <c r="W131" s="224"/>
      <c r="X131" s="224"/>
      <c r="Y131" s="224"/>
    </row>
    <row r="132" spans="1:25" ht="15.75" hidden="1" customHeight="1" x14ac:dyDescent="0.2">
      <c r="A132" s="224"/>
      <c r="B132" s="217"/>
      <c r="C132" s="218"/>
      <c r="D132" s="218"/>
      <c r="E132" s="218"/>
      <c r="F132" s="170"/>
      <c r="G132" s="170"/>
      <c r="H132" s="170"/>
      <c r="I132" s="170"/>
      <c r="J132" s="216"/>
      <c r="K132" s="224"/>
      <c r="L132" s="224"/>
      <c r="M132" s="224"/>
      <c r="N132" s="224"/>
      <c r="O132" s="224"/>
      <c r="P132" s="224"/>
      <c r="Q132" s="224"/>
      <c r="R132" s="224"/>
      <c r="S132" s="224"/>
      <c r="T132" s="224"/>
      <c r="U132" s="224"/>
      <c r="V132" s="224"/>
      <c r="W132" s="224"/>
      <c r="X132" s="224"/>
      <c r="Y132" s="224"/>
    </row>
    <row r="133" spans="1:25" ht="15.75" hidden="1" customHeight="1" x14ac:dyDescent="0.2">
      <c r="A133" s="224"/>
      <c r="B133" s="217"/>
      <c r="C133" s="218"/>
      <c r="D133" s="218"/>
      <c r="E133" s="218"/>
      <c r="F133" s="170"/>
      <c r="G133" s="170"/>
      <c r="H133" s="170"/>
      <c r="I133" s="170"/>
      <c r="J133" s="216"/>
      <c r="K133" s="224"/>
      <c r="L133" s="224"/>
      <c r="M133" s="224"/>
      <c r="N133" s="224"/>
      <c r="O133" s="224"/>
      <c r="P133" s="224"/>
      <c r="Q133" s="224"/>
      <c r="R133" s="224"/>
      <c r="S133" s="224"/>
      <c r="T133" s="224"/>
      <c r="U133" s="224"/>
      <c r="V133" s="224"/>
      <c r="W133" s="224"/>
      <c r="X133" s="224"/>
      <c r="Y133" s="224"/>
    </row>
    <row r="134" spans="1:25" ht="15.75" hidden="1" customHeight="1" x14ac:dyDescent="0.2">
      <c r="A134" s="224"/>
      <c r="B134" s="217"/>
      <c r="C134" s="218"/>
      <c r="D134" s="218"/>
      <c r="E134" s="218"/>
      <c r="F134" s="170"/>
      <c r="G134" s="170"/>
      <c r="H134" s="170"/>
      <c r="I134" s="170"/>
      <c r="J134" s="216"/>
      <c r="K134" s="224"/>
      <c r="L134" s="224"/>
      <c r="M134" s="224"/>
      <c r="N134" s="224"/>
      <c r="O134" s="224"/>
      <c r="P134" s="224"/>
      <c r="Q134" s="224"/>
      <c r="R134" s="224"/>
      <c r="S134" s="224"/>
      <c r="T134" s="224"/>
      <c r="U134" s="224"/>
      <c r="V134" s="224"/>
      <c r="W134" s="224"/>
      <c r="X134" s="224"/>
      <c r="Y134" s="224"/>
    </row>
    <row r="135" spans="1:25" ht="15.75" hidden="1" customHeight="1" x14ac:dyDescent="0.2">
      <c r="A135" s="224"/>
      <c r="B135" s="217"/>
      <c r="C135" s="218"/>
      <c r="D135" s="218"/>
      <c r="E135" s="218"/>
      <c r="F135" s="170"/>
      <c r="G135" s="170"/>
      <c r="H135" s="170"/>
      <c r="I135" s="170"/>
      <c r="J135" s="216"/>
      <c r="K135" s="224"/>
      <c r="L135" s="224"/>
      <c r="M135" s="224"/>
      <c r="N135" s="224"/>
      <c r="O135" s="224"/>
      <c r="P135" s="224"/>
      <c r="Q135" s="224"/>
      <c r="R135" s="224"/>
      <c r="S135" s="224"/>
      <c r="T135" s="224"/>
      <c r="U135" s="224"/>
      <c r="V135" s="224"/>
      <c r="W135" s="224"/>
      <c r="X135" s="224"/>
      <c r="Y135" s="224"/>
    </row>
    <row r="136" spans="1:25" ht="15.75" hidden="1" customHeight="1" x14ac:dyDescent="0.2">
      <c r="A136" s="224"/>
      <c r="B136" s="217"/>
      <c r="C136" s="218"/>
      <c r="D136" s="218"/>
      <c r="E136" s="218"/>
      <c r="F136" s="170"/>
      <c r="G136" s="170"/>
      <c r="H136" s="170"/>
      <c r="I136" s="170"/>
      <c r="J136" s="216"/>
      <c r="K136" s="224"/>
      <c r="L136" s="224"/>
      <c r="M136" s="224"/>
      <c r="N136" s="224"/>
      <c r="O136" s="224"/>
      <c r="P136" s="224"/>
      <c r="Q136" s="224"/>
      <c r="R136" s="224"/>
      <c r="S136" s="224"/>
      <c r="T136" s="224"/>
      <c r="U136" s="224"/>
      <c r="V136" s="224"/>
      <c r="W136" s="224"/>
      <c r="X136" s="224"/>
      <c r="Y136" s="224"/>
    </row>
    <row r="137" spans="1:25" ht="15.75" hidden="1" customHeight="1" x14ac:dyDescent="0.2">
      <c r="A137" s="224"/>
      <c r="B137" s="217"/>
      <c r="C137" s="218"/>
      <c r="D137" s="218"/>
      <c r="E137" s="218"/>
      <c r="F137" s="170"/>
      <c r="G137" s="170"/>
      <c r="H137" s="170"/>
      <c r="I137" s="170"/>
      <c r="J137" s="216"/>
      <c r="K137" s="224"/>
      <c r="L137" s="224"/>
      <c r="M137" s="224"/>
      <c r="N137" s="224"/>
      <c r="O137" s="224"/>
      <c r="P137" s="224"/>
      <c r="Q137" s="224"/>
      <c r="R137" s="224"/>
      <c r="S137" s="224"/>
      <c r="T137" s="224"/>
      <c r="U137" s="224"/>
      <c r="V137" s="224"/>
      <c r="W137" s="224"/>
      <c r="X137" s="224"/>
      <c r="Y137" s="224"/>
    </row>
    <row r="138" spans="1:25" ht="15.75" hidden="1" customHeight="1" x14ac:dyDescent="0.2">
      <c r="A138" s="224"/>
      <c r="B138" s="217"/>
      <c r="C138" s="218"/>
      <c r="D138" s="218"/>
      <c r="E138" s="218"/>
      <c r="F138" s="170"/>
      <c r="G138" s="170"/>
      <c r="H138" s="170"/>
      <c r="I138" s="170"/>
      <c r="J138" s="216"/>
      <c r="K138" s="224"/>
      <c r="L138" s="224"/>
      <c r="M138" s="224"/>
      <c r="N138" s="224"/>
      <c r="O138" s="224"/>
      <c r="P138" s="224"/>
      <c r="Q138" s="224"/>
      <c r="R138" s="224"/>
      <c r="S138" s="224"/>
      <c r="T138" s="224"/>
      <c r="U138" s="224"/>
      <c r="V138" s="224"/>
      <c r="W138" s="224"/>
      <c r="X138" s="224"/>
      <c r="Y138" s="224"/>
    </row>
    <row r="139" spans="1:25" ht="15.75" hidden="1" customHeight="1" x14ac:dyDescent="0.2">
      <c r="A139" s="224"/>
      <c r="B139" s="217"/>
      <c r="C139" s="218"/>
      <c r="D139" s="218"/>
      <c r="E139" s="218"/>
      <c r="F139" s="170"/>
      <c r="G139" s="170"/>
      <c r="H139" s="170"/>
      <c r="I139" s="170"/>
      <c r="J139" s="216"/>
      <c r="K139" s="224"/>
      <c r="L139" s="224"/>
      <c r="M139" s="224"/>
      <c r="N139" s="224"/>
      <c r="O139" s="224"/>
      <c r="P139" s="224"/>
      <c r="Q139" s="224"/>
      <c r="R139" s="224"/>
      <c r="S139" s="224"/>
      <c r="T139" s="224"/>
      <c r="U139" s="224"/>
      <c r="V139" s="224"/>
      <c r="W139" s="224"/>
      <c r="X139" s="224"/>
      <c r="Y139" s="224"/>
    </row>
    <row r="140" spans="1:25" ht="15.75" hidden="1" customHeight="1" x14ac:dyDescent="0.2">
      <c r="A140" s="224"/>
      <c r="B140" s="217"/>
      <c r="C140" s="218"/>
      <c r="D140" s="218"/>
      <c r="E140" s="218"/>
      <c r="F140" s="170"/>
      <c r="G140" s="170"/>
      <c r="H140" s="170"/>
      <c r="I140" s="170"/>
      <c r="J140" s="216"/>
      <c r="K140" s="224"/>
      <c r="L140" s="224"/>
      <c r="M140" s="224"/>
      <c r="N140" s="224"/>
      <c r="O140" s="224"/>
      <c r="P140" s="224"/>
      <c r="Q140" s="224"/>
      <c r="R140" s="224"/>
      <c r="S140" s="224"/>
      <c r="T140" s="224"/>
      <c r="U140" s="224"/>
      <c r="V140" s="224"/>
      <c r="W140" s="224"/>
      <c r="X140" s="224"/>
      <c r="Y140" s="224"/>
    </row>
    <row r="141" spans="1:25" ht="15.75" hidden="1" customHeight="1" x14ac:dyDescent="0.2">
      <c r="A141" s="224"/>
      <c r="B141" s="217"/>
      <c r="C141" s="218"/>
      <c r="D141" s="218"/>
      <c r="E141" s="218"/>
      <c r="F141" s="170"/>
      <c r="G141" s="170"/>
      <c r="H141" s="170"/>
      <c r="I141" s="170"/>
      <c r="J141" s="216"/>
      <c r="K141" s="224"/>
      <c r="L141" s="224"/>
      <c r="M141" s="224"/>
      <c r="N141" s="224"/>
      <c r="O141" s="224"/>
      <c r="P141" s="224"/>
      <c r="Q141" s="224"/>
      <c r="R141" s="224"/>
      <c r="S141" s="224"/>
      <c r="T141" s="224"/>
      <c r="U141" s="224"/>
      <c r="V141" s="224"/>
      <c r="W141" s="224"/>
      <c r="X141" s="224"/>
      <c r="Y141" s="224"/>
    </row>
    <row r="142" spans="1:25" ht="15.75" hidden="1" customHeight="1" x14ac:dyDescent="0.2">
      <c r="A142" s="224"/>
      <c r="B142" s="217"/>
      <c r="C142" s="218"/>
      <c r="D142" s="218"/>
      <c r="E142" s="218"/>
      <c r="F142" s="170"/>
      <c r="G142" s="170"/>
      <c r="H142" s="170"/>
      <c r="I142" s="170"/>
      <c r="J142" s="216"/>
      <c r="K142" s="224"/>
      <c r="L142" s="224"/>
      <c r="M142" s="224"/>
      <c r="N142" s="224"/>
      <c r="O142" s="224"/>
      <c r="P142" s="224"/>
      <c r="Q142" s="224"/>
      <c r="R142" s="224"/>
      <c r="S142" s="224"/>
      <c r="T142" s="224"/>
      <c r="U142" s="224"/>
      <c r="V142" s="224"/>
      <c r="W142" s="224"/>
      <c r="X142" s="224"/>
      <c r="Y142" s="224"/>
    </row>
    <row r="143" spans="1:25" ht="15.75" hidden="1" customHeight="1" x14ac:dyDescent="0.2">
      <c r="A143" s="224"/>
      <c r="B143" s="217"/>
      <c r="C143" s="218"/>
      <c r="D143" s="218"/>
      <c r="E143" s="218"/>
      <c r="F143" s="170"/>
      <c r="G143" s="170"/>
      <c r="H143" s="170"/>
      <c r="I143" s="170"/>
      <c r="J143" s="216"/>
      <c r="K143" s="224"/>
      <c r="L143" s="224"/>
      <c r="M143" s="224"/>
      <c r="N143" s="224"/>
      <c r="O143" s="224"/>
      <c r="P143" s="224"/>
      <c r="Q143" s="224"/>
      <c r="R143" s="224"/>
      <c r="S143" s="224"/>
      <c r="T143" s="224"/>
      <c r="U143" s="224"/>
      <c r="V143" s="224"/>
      <c r="W143" s="224"/>
      <c r="X143" s="224"/>
      <c r="Y143" s="224"/>
    </row>
    <row r="144" spans="1:25" ht="15.75" hidden="1" customHeight="1" x14ac:dyDescent="0.2">
      <c r="A144" s="224"/>
      <c r="B144" s="217"/>
      <c r="C144" s="218"/>
      <c r="D144" s="218"/>
      <c r="E144" s="218"/>
      <c r="F144" s="170"/>
      <c r="G144" s="170"/>
      <c r="H144" s="170"/>
      <c r="I144" s="170"/>
      <c r="J144" s="216"/>
      <c r="K144" s="224"/>
      <c r="L144" s="224"/>
      <c r="M144" s="224"/>
      <c r="N144" s="224"/>
      <c r="O144" s="224"/>
      <c r="P144" s="224"/>
      <c r="Q144" s="224"/>
      <c r="R144" s="224"/>
      <c r="S144" s="224"/>
      <c r="T144" s="224"/>
      <c r="U144" s="224"/>
      <c r="V144" s="224"/>
      <c r="W144" s="224"/>
      <c r="X144" s="224"/>
      <c r="Y144" s="224"/>
    </row>
    <row r="145" spans="1:25" ht="15.75" hidden="1" customHeight="1" x14ac:dyDescent="0.2">
      <c r="A145" s="224"/>
      <c r="B145" s="217"/>
      <c r="C145" s="218"/>
      <c r="D145" s="218"/>
      <c r="E145" s="218"/>
      <c r="F145" s="170"/>
      <c r="G145" s="170"/>
      <c r="H145" s="170"/>
      <c r="I145" s="170"/>
      <c r="J145" s="216"/>
      <c r="K145" s="224"/>
      <c r="L145" s="224"/>
      <c r="M145" s="224"/>
      <c r="N145" s="224"/>
      <c r="O145" s="224"/>
      <c r="P145" s="224"/>
      <c r="Q145" s="224"/>
      <c r="R145" s="224"/>
      <c r="S145" s="224"/>
      <c r="T145" s="224"/>
      <c r="U145" s="224"/>
      <c r="V145" s="224"/>
      <c r="W145" s="224"/>
      <c r="X145" s="224"/>
      <c r="Y145" s="224"/>
    </row>
    <row r="146" spans="1:25" ht="15.75" hidden="1" customHeight="1" x14ac:dyDescent="0.2">
      <c r="A146" s="224"/>
      <c r="B146" s="217"/>
      <c r="C146" s="218"/>
      <c r="D146" s="218"/>
      <c r="E146" s="218"/>
      <c r="F146" s="170"/>
      <c r="G146" s="170"/>
      <c r="H146" s="170"/>
      <c r="I146" s="170"/>
      <c r="J146" s="216"/>
      <c r="K146" s="224"/>
      <c r="L146" s="224"/>
      <c r="M146" s="224"/>
      <c r="N146" s="224"/>
      <c r="O146" s="224"/>
      <c r="P146" s="224"/>
      <c r="Q146" s="224"/>
      <c r="R146" s="224"/>
      <c r="S146" s="224"/>
      <c r="T146" s="224"/>
      <c r="U146" s="224"/>
      <c r="V146" s="224"/>
      <c r="W146" s="224"/>
      <c r="X146" s="224"/>
      <c r="Y146" s="224"/>
    </row>
    <row r="147" spans="1:25" ht="15.75" hidden="1" customHeight="1" x14ac:dyDescent="0.2">
      <c r="A147" s="224"/>
      <c r="B147" s="217"/>
      <c r="C147" s="218"/>
      <c r="D147" s="218"/>
      <c r="E147" s="218"/>
      <c r="F147" s="170"/>
      <c r="G147" s="170"/>
      <c r="H147" s="170"/>
      <c r="I147" s="170"/>
      <c r="J147" s="216"/>
      <c r="K147" s="224"/>
      <c r="L147" s="224"/>
      <c r="M147" s="224"/>
      <c r="N147" s="224"/>
      <c r="O147" s="224"/>
      <c r="P147" s="224"/>
      <c r="Q147" s="224"/>
      <c r="R147" s="224"/>
      <c r="S147" s="224"/>
      <c r="T147" s="224"/>
      <c r="U147" s="224"/>
      <c r="V147" s="224"/>
      <c r="W147" s="224"/>
      <c r="X147" s="224"/>
      <c r="Y147" s="224"/>
    </row>
    <row r="148" spans="1:25" ht="15.75" hidden="1" customHeight="1" x14ac:dyDescent="0.2">
      <c r="A148" s="224"/>
      <c r="B148" s="217"/>
      <c r="C148" s="218"/>
      <c r="D148" s="218"/>
      <c r="E148" s="218"/>
      <c r="F148" s="170"/>
      <c r="G148" s="170"/>
      <c r="H148" s="170"/>
      <c r="I148" s="170"/>
      <c r="J148" s="216"/>
      <c r="K148" s="224"/>
      <c r="L148" s="224"/>
      <c r="M148" s="224"/>
      <c r="N148" s="224"/>
      <c r="O148" s="224"/>
      <c r="P148" s="224"/>
      <c r="Q148" s="224"/>
      <c r="R148" s="224"/>
      <c r="S148" s="224"/>
      <c r="T148" s="224"/>
      <c r="U148" s="224"/>
      <c r="V148" s="224"/>
      <c r="W148" s="224"/>
      <c r="X148" s="224"/>
      <c r="Y148" s="224"/>
    </row>
    <row r="149" spans="1:25" ht="15.75" hidden="1" customHeight="1" x14ac:dyDescent="0.2">
      <c r="A149" s="224"/>
      <c r="B149" s="217"/>
      <c r="C149" s="218"/>
      <c r="D149" s="218"/>
      <c r="E149" s="218"/>
      <c r="F149" s="170"/>
      <c r="G149" s="170"/>
      <c r="H149" s="170"/>
      <c r="I149" s="170"/>
      <c r="J149" s="216"/>
      <c r="K149" s="224"/>
      <c r="L149" s="224"/>
      <c r="M149" s="224"/>
      <c r="N149" s="224"/>
      <c r="O149" s="224"/>
      <c r="P149" s="224"/>
      <c r="Q149" s="224"/>
      <c r="R149" s="224"/>
      <c r="S149" s="224"/>
      <c r="T149" s="224"/>
      <c r="U149" s="224"/>
      <c r="V149" s="224"/>
      <c r="W149" s="224"/>
      <c r="X149" s="224"/>
      <c r="Y149" s="224"/>
    </row>
    <row r="150" spans="1:25" ht="15.75" hidden="1" customHeight="1" x14ac:dyDescent="0.2">
      <c r="A150" s="224"/>
      <c r="B150" s="217"/>
      <c r="C150" s="218"/>
      <c r="D150" s="218"/>
      <c r="E150" s="218"/>
      <c r="F150" s="170"/>
      <c r="G150" s="170"/>
      <c r="H150" s="170"/>
      <c r="I150" s="170"/>
      <c r="J150" s="216"/>
      <c r="K150" s="224"/>
      <c r="L150" s="224"/>
      <c r="M150" s="224"/>
      <c r="N150" s="224"/>
      <c r="O150" s="224"/>
      <c r="P150" s="224"/>
      <c r="Q150" s="224"/>
      <c r="R150" s="224"/>
      <c r="S150" s="224"/>
      <c r="T150" s="224"/>
      <c r="U150" s="224"/>
      <c r="V150" s="224"/>
      <c r="W150" s="224"/>
      <c r="X150" s="224"/>
      <c r="Y150" s="224"/>
    </row>
    <row r="151" spans="1:25" ht="15.75" hidden="1" customHeight="1" x14ac:dyDescent="0.2">
      <c r="A151" s="224"/>
      <c r="B151" s="217"/>
      <c r="C151" s="218"/>
      <c r="D151" s="218"/>
      <c r="E151" s="218"/>
      <c r="F151" s="170"/>
      <c r="G151" s="170"/>
      <c r="H151" s="170"/>
      <c r="I151" s="170"/>
      <c r="J151" s="216"/>
      <c r="K151" s="224"/>
      <c r="L151" s="224"/>
      <c r="M151" s="224"/>
      <c r="N151" s="224"/>
      <c r="O151" s="224"/>
      <c r="P151" s="224"/>
      <c r="Q151" s="224"/>
      <c r="R151" s="224"/>
      <c r="S151" s="224"/>
      <c r="T151" s="224"/>
      <c r="U151" s="224"/>
      <c r="V151" s="224"/>
      <c r="W151" s="224"/>
      <c r="X151" s="224"/>
      <c r="Y151" s="224"/>
    </row>
    <row r="152" spans="1:25" ht="15.75" hidden="1" customHeight="1" x14ac:dyDescent="0.2">
      <c r="A152" s="224"/>
      <c r="B152" s="217"/>
      <c r="C152" s="218"/>
      <c r="D152" s="218"/>
      <c r="E152" s="218"/>
      <c r="F152" s="170"/>
      <c r="G152" s="170"/>
      <c r="H152" s="170"/>
      <c r="I152" s="170"/>
      <c r="J152" s="216"/>
      <c r="K152" s="224"/>
      <c r="L152" s="224"/>
      <c r="M152" s="224"/>
      <c r="N152" s="224"/>
      <c r="O152" s="224"/>
      <c r="P152" s="224"/>
      <c r="Q152" s="224"/>
      <c r="R152" s="224"/>
      <c r="S152" s="224"/>
      <c r="T152" s="224"/>
      <c r="U152" s="224"/>
      <c r="V152" s="224"/>
      <c r="W152" s="224"/>
      <c r="X152" s="224"/>
      <c r="Y152" s="224"/>
    </row>
    <row r="153" spans="1:25" ht="15.75" hidden="1" customHeight="1" x14ac:dyDescent="0.2">
      <c r="A153" s="224"/>
      <c r="B153" s="217"/>
      <c r="C153" s="218"/>
      <c r="D153" s="218"/>
      <c r="E153" s="218"/>
      <c r="F153" s="170"/>
      <c r="G153" s="170"/>
      <c r="H153" s="170"/>
      <c r="I153" s="170"/>
      <c r="J153" s="216"/>
      <c r="K153" s="224"/>
      <c r="L153" s="224"/>
      <c r="M153" s="224"/>
      <c r="N153" s="224"/>
      <c r="O153" s="224"/>
      <c r="P153" s="224"/>
      <c r="Q153" s="224"/>
      <c r="R153" s="224"/>
      <c r="S153" s="224"/>
      <c r="T153" s="224"/>
      <c r="U153" s="224"/>
      <c r="V153" s="224"/>
      <c r="W153" s="224"/>
      <c r="X153" s="224"/>
      <c r="Y153" s="224"/>
    </row>
    <row r="154" spans="1:25" ht="15.75" hidden="1" customHeight="1" x14ac:dyDescent="0.2">
      <c r="A154" s="224"/>
      <c r="B154" s="217"/>
      <c r="C154" s="218"/>
      <c r="D154" s="218"/>
      <c r="E154" s="218"/>
      <c r="F154" s="170"/>
      <c r="G154" s="170"/>
      <c r="H154" s="170"/>
      <c r="I154" s="170"/>
      <c r="J154" s="216"/>
      <c r="K154" s="224"/>
      <c r="L154" s="224"/>
      <c r="M154" s="224"/>
      <c r="N154" s="224"/>
      <c r="O154" s="224"/>
      <c r="P154" s="224"/>
      <c r="Q154" s="224"/>
      <c r="R154" s="224"/>
      <c r="S154" s="224"/>
      <c r="T154" s="224"/>
      <c r="U154" s="224"/>
      <c r="V154" s="224"/>
      <c r="W154" s="224"/>
      <c r="X154" s="224"/>
      <c r="Y154" s="224"/>
    </row>
    <row r="155" spans="1:25" ht="15.75" hidden="1" customHeight="1" x14ac:dyDescent="0.2">
      <c r="A155" s="224"/>
      <c r="B155" s="217"/>
      <c r="C155" s="218"/>
      <c r="D155" s="218"/>
      <c r="E155" s="218"/>
      <c r="F155" s="170"/>
      <c r="G155" s="170"/>
      <c r="H155" s="170"/>
      <c r="I155" s="170"/>
      <c r="J155" s="216"/>
      <c r="K155" s="224"/>
      <c r="L155" s="224"/>
      <c r="M155" s="224"/>
      <c r="N155" s="224"/>
      <c r="O155" s="224"/>
      <c r="P155" s="224"/>
      <c r="Q155" s="224"/>
      <c r="R155" s="224"/>
      <c r="S155" s="224"/>
      <c r="T155" s="224"/>
      <c r="U155" s="224"/>
      <c r="V155" s="224"/>
      <c r="W155" s="224"/>
      <c r="X155" s="224"/>
      <c r="Y155" s="224"/>
    </row>
    <row r="156" spans="1:25" ht="15.75" hidden="1" customHeight="1" x14ac:dyDescent="0.2">
      <c r="A156" s="224"/>
      <c r="B156" s="217"/>
      <c r="C156" s="218"/>
      <c r="D156" s="218"/>
      <c r="E156" s="218"/>
      <c r="F156" s="170"/>
      <c r="G156" s="170"/>
      <c r="H156" s="170"/>
      <c r="I156" s="170"/>
      <c r="J156" s="216"/>
      <c r="K156" s="224"/>
      <c r="L156" s="224"/>
      <c r="M156" s="224"/>
      <c r="N156" s="224"/>
      <c r="O156" s="224"/>
      <c r="P156" s="224"/>
      <c r="Q156" s="224"/>
      <c r="R156" s="224"/>
      <c r="S156" s="224"/>
      <c r="T156" s="224"/>
      <c r="U156" s="224"/>
      <c r="V156" s="224"/>
      <c r="W156" s="224"/>
      <c r="X156" s="224"/>
      <c r="Y156" s="224"/>
    </row>
    <row r="157" spans="1:25" ht="15.75" hidden="1" customHeight="1" x14ac:dyDescent="0.2">
      <c r="A157" s="224"/>
      <c r="B157" s="217"/>
      <c r="C157" s="218"/>
      <c r="D157" s="218"/>
      <c r="E157" s="218"/>
      <c r="F157" s="170"/>
      <c r="G157" s="170"/>
      <c r="H157" s="170"/>
      <c r="I157" s="170"/>
      <c r="J157" s="216"/>
      <c r="K157" s="224"/>
      <c r="L157" s="224"/>
      <c r="M157" s="224"/>
      <c r="N157" s="224"/>
      <c r="O157" s="224"/>
      <c r="P157" s="224"/>
      <c r="Q157" s="224"/>
      <c r="R157" s="224"/>
      <c r="S157" s="224"/>
      <c r="T157" s="224"/>
      <c r="U157" s="224"/>
      <c r="V157" s="224"/>
      <c r="W157" s="224"/>
      <c r="X157" s="224"/>
      <c r="Y157" s="224"/>
    </row>
    <row r="158" spans="1:25" ht="15.75" hidden="1" customHeight="1" x14ac:dyDescent="0.2">
      <c r="A158" s="224"/>
      <c r="B158" s="217"/>
      <c r="C158" s="218"/>
      <c r="D158" s="218"/>
      <c r="E158" s="218"/>
      <c r="F158" s="170"/>
      <c r="G158" s="170"/>
      <c r="H158" s="170"/>
      <c r="I158" s="170"/>
      <c r="J158" s="216"/>
      <c r="K158" s="224"/>
      <c r="L158" s="224"/>
      <c r="M158" s="224"/>
      <c r="N158" s="224"/>
      <c r="O158" s="224"/>
      <c r="P158" s="224"/>
      <c r="Q158" s="224"/>
      <c r="R158" s="224"/>
      <c r="S158" s="224"/>
      <c r="T158" s="224"/>
      <c r="U158" s="224"/>
      <c r="V158" s="224"/>
      <c r="W158" s="224"/>
      <c r="X158" s="224"/>
      <c r="Y158" s="224"/>
    </row>
    <row r="159" spans="1:25" ht="15.75" hidden="1" customHeight="1" x14ac:dyDescent="0.2">
      <c r="A159" s="224"/>
      <c r="B159" s="217"/>
      <c r="C159" s="218"/>
      <c r="D159" s="218"/>
      <c r="E159" s="218"/>
      <c r="F159" s="170"/>
      <c r="G159" s="170"/>
      <c r="H159" s="170"/>
      <c r="I159" s="170"/>
      <c r="J159" s="216"/>
      <c r="K159" s="224"/>
      <c r="L159" s="224"/>
      <c r="M159" s="224"/>
      <c r="N159" s="224"/>
      <c r="O159" s="224"/>
      <c r="P159" s="224"/>
      <c r="Q159" s="224"/>
      <c r="R159" s="224"/>
      <c r="S159" s="224"/>
      <c r="T159" s="224"/>
      <c r="U159" s="224"/>
      <c r="V159" s="224"/>
      <c r="W159" s="224"/>
      <c r="X159" s="224"/>
      <c r="Y159" s="224"/>
    </row>
    <row r="160" spans="1:25" ht="15.75" hidden="1" customHeight="1" x14ac:dyDescent="0.2">
      <c r="A160" s="224"/>
      <c r="B160" s="217"/>
      <c r="C160" s="218"/>
      <c r="D160" s="218"/>
      <c r="E160" s="218"/>
      <c r="F160" s="170"/>
      <c r="G160" s="170"/>
      <c r="H160" s="170"/>
      <c r="I160" s="170"/>
      <c r="J160" s="216"/>
      <c r="K160" s="224"/>
      <c r="L160" s="224"/>
      <c r="M160" s="224"/>
      <c r="N160" s="224"/>
      <c r="O160" s="224"/>
      <c r="P160" s="224"/>
      <c r="Q160" s="224"/>
      <c r="R160" s="224"/>
      <c r="S160" s="224"/>
      <c r="T160" s="224"/>
      <c r="U160" s="224"/>
      <c r="V160" s="224"/>
      <c r="W160" s="224"/>
      <c r="X160" s="224"/>
      <c r="Y160" s="224"/>
    </row>
    <row r="161" spans="1:25" ht="15.75" hidden="1" customHeight="1" x14ac:dyDescent="0.2">
      <c r="A161" s="224"/>
      <c r="B161" s="217"/>
      <c r="C161" s="218"/>
      <c r="D161" s="218"/>
      <c r="E161" s="218"/>
      <c r="F161" s="170"/>
      <c r="G161" s="170"/>
      <c r="H161" s="170"/>
      <c r="I161" s="170"/>
      <c r="J161" s="216"/>
      <c r="K161" s="224"/>
      <c r="L161" s="224"/>
      <c r="M161" s="224"/>
      <c r="N161" s="224"/>
      <c r="O161" s="224"/>
      <c r="P161" s="224"/>
      <c r="Q161" s="224"/>
      <c r="R161" s="224"/>
      <c r="S161" s="224"/>
      <c r="T161" s="224"/>
      <c r="U161" s="224"/>
      <c r="V161" s="224"/>
      <c r="W161" s="224"/>
      <c r="X161" s="224"/>
      <c r="Y161" s="224"/>
    </row>
    <row r="162" spans="1:25" ht="15.75" hidden="1" customHeight="1" x14ac:dyDescent="0.2">
      <c r="A162" s="224"/>
      <c r="B162" s="217"/>
      <c r="C162" s="218"/>
      <c r="D162" s="218"/>
      <c r="E162" s="218"/>
      <c r="F162" s="170"/>
      <c r="G162" s="170"/>
      <c r="H162" s="170"/>
      <c r="I162" s="170"/>
      <c r="J162" s="216"/>
      <c r="K162" s="224"/>
      <c r="L162" s="224"/>
      <c r="M162" s="224"/>
      <c r="N162" s="224"/>
      <c r="O162" s="224"/>
      <c r="P162" s="224"/>
      <c r="Q162" s="224"/>
      <c r="R162" s="224"/>
      <c r="S162" s="224"/>
      <c r="T162" s="224"/>
      <c r="U162" s="224"/>
      <c r="V162" s="224"/>
      <c r="W162" s="224"/>
      <c r="X162" s="224"/>
      <c r="Y162" s="224"/>
    </row>
    <row r="163" spans="1:25" ht="15.75" hidden="1" customHeight="1" x14ac:dyDescent="0.2">
      <c r="A163" s="224"/>
      <c r="B163" s="217"/>
      <c r="C163" s="218"/>
      <c r="D163" s="218"/>
      <c r="E163" s="218"/>
      <c r="F163" s="170"/>
      <c r="G163" s="170"/>
      <c r="H163" s="170"/>
      <c r="I163" s="170"/>
      <c r="J163" s="216"/>
      <c r="K163" s="224"/>
      <c r="L163" s="224"/>
      <c r="M163" s="224"/>
      <c r="N163" s="224"/>
      <c r="O163" s="224"/>
      <c r="P163" s="224"/>
      <c r="Q163" s="224"/>
      <c r="R163" s="224"/>
      <c r="S163" s="224"/>
      <c r="T163" s="224"/>
      <c r="U163" s="224"/>
      <c r="V163" s="224"/>
      <c r="W163" s="224"/>
      <c r="X163" s="224"/>
      <c r="Y163" s="224"/>
    </row>
    <row r="164" spans="1:25" ht="15.75" hidden="1" customHeight="1" x14ac:dyDescent="0.2">
      <c r="A164" s="224"/>
      <c r="B164" s="217"/>
      <c r="C164" s="218"/>
      <c r="D164" s="218"/>
      <c r="E164" s="218"/>
      <c r="F164" s="170"/>
      <c r="G164" s="170"/>
      <c r="H164" s="170"/>
      <c r="I164" s="170"/>
      <c r="J164" s="216"/>
      <c r="K164" s="224"/>
      <c r="L164" s="224"/>
      <c r="M164" s="224"/>
      <c r="N164" s="224"/>
      <c r="O164" s="224"/>
      <c r="P164" s="224"/>
      <c r="Q164" s="224"/>
      <c r="R164" s="224"/>
      <c r="S164" s="224"/>
      <c r="T164" s="224"/>
      <c r="U164" s="224"/>
      <c r="V164" s="224"/>
      <c r="W164" s="224"/>
      <c r="X164" s="224"/>
      <c r="Y164" s="224"/>
    </row>
    <row r="165" spans="1:25" ht="15.75" hidden="1" customHeight="1" x14ac:dyDescent="0.2">
      <c r="A165" s="224"/>
      <c r="B165" s="217"/>
      <c r="C165" s="218"/>
      <c r="D165" s="218"/>
      <c r="E165" s="218"/>
      <c r="F165" s="170"/>
      <c r="G165" s="170"/>
      <c r="H165" s="170"/>
      <c r="I165" s="170"/>
      <c r="J165" s="216"/>
      <c r="K165" s="224"/>
      <c r="L165" s="224"/>
      <c r="M165" s="224"/>
      <c r="N165" s="224"/>
      <c r="O165" s="224"/>
      <c r="P165" s="224"/>
      <c r="Q165" s="224"/>
      <c r="R165" s="224"/>
      <c r="S165" s="224"/>
      <c r="T165" s="224"/>
      <c r="U165" s="224"/>
      <c r="V165" s="224"/>
      <c r="W165" s="224"/>
      <c r="X165" s="224"/>
      <c r="Y165" s="224"/>
    </row>
    <row r="166" spans="1:25" ht="15.75" hidden="1" customHeight="1" x14ac:dyDescent="0.2">
      <c r="A166" s="224"/>
      <c r="B166" s="217"/>
      <c r="C166" s="218"/>
      <c r="D166" s="218"/>
      <c r="E166" s="218"/>
      <c r="F166" s="170"/>
      <c r="G166" s="170"/>
      <c r="H166" s="170"/>
      <c r="I166" s="170"/>
      <c r="J166" s="216"/>
      <c r="K166" s="224"/>
      <c r="L166" s="224"/>
      <c r="M166" s="224"/>
      <c r="N166" s="224"/>
      <c r="O166" s="224"/>
      <c r="P166" s="224"/>
      <c r="Q166" s="224"/>
      <c r="R166" s="224"/>
      <c r="S166" s="224"/>
      <c r="T166" s="224"/>
      <c r="U166" s="224"/>
      <c r="V166" s="224"/>
      <c r="W166" s="224"/>
      <c r="X166" s="224"/>
      <c r="Y166" s="224"/>
    </row>
    <row r="167" spans="1:25" ht="15.75" hidden="1" customHeight="1" x14ac:dyDescent="0.2">
      <c r="A167" s="224"/>
      <c r="B167" s="217"/>
      <c r="C167" s="218"/>
      <c r="D167" s="218"/>
      <c r="E167" s="218"/>
      <c r="F167" s="170"/>
      <c r="G167" s="170"/>
      <c r="H167" s="170"/>
      <c r="I167" s="170"/>
      <c r="J167" s="216"/>
      <c r="K167" s="224"/>
      <c r="L167" s="224"/>
      <c r="M167" s="224"/>
      <c r="N167" s="224"/>
      <c r="O167" s="224"/>
      <c r="P167" s="224"/>
      <c r="Q167" s="224"/>
      <c r="R167" s="224"/>
      <c r="S167" s="224"/>
      <c r="T167" s="224"/>
      <c r="U167" s="224"/>
      <c r="V167" s="224"/>
      <c r="W167" s="224"/>
      <c r="X167" s="224"/>
      <c r="Y167" s="224"/>
    </row>
    <row r="168" spans="1:25" ht="15.75" hidden="1" customHeight="1" x14ac:dyDescent="0.2">
      <c r="A168" s="224"/>
      <c r="B168" s="217"/>
      <c r="C168" s="218"/>
      <c r="D168" s="218"/>
      <c r="E168" s="218"/>
      <c r="F168" s="170"/>
      <c r="G168" s="170"/>
      <c r="H168" s="170"/>
      <c r="I168" s="170"/>
      <c r="J168" s="216"/>
      <c r="K168" s="224"/>
      <c r="L168" s="224"/>
      <c r="M168" s="224"/>
      <c r="N168" s="224"/>
      <c r="O168" s="224"/>
      <c r="P168" s="224"/>
      <c r="Q168" s="224"/>
      <c r="R168" s="224"/>
      <c r="S168" s="224"/>
      <c r="T168" s="224"/>
      <c r="U168" s="224"/>
      <c r="V168" s="224"/>
      <c r="W168" s="224"/>
      <c r="X168" s="224"/>
      <c r="Y168" s="224"/>
    </row>
    <row r="169" spans="1:25" ht="15.75" hidden="1" customHeight="1" x14ac:dyDescent="0.2">
      <c r="A169" s="224"/>
      <c r="B169" s="217"/>
      <c r="C169" s="218"/>
      <c r="D169" s="218"/>
      <c r="E169" s="218"/>
      <c r="F169" s="170"/>
      <c r="G169" s="170"/>
      <c r="H169" s="170"/>
      <c r="I169" s="170"/>
      <c r="J169" s="216"/>
      <c r="K169" s="224"/>
      <c r="L169" s="224"/>
      <c r="M169" s="224"/>
      <c r="N169" s="224"/>
      <c r="O169" s="224"/>
      <c r="P169" s="224"/>
      <c r="Q169" s="224"/>
      <c r="R169" s="224"/>
      <c r="S169" s="224"/>
      <c r="T169" s="224"/>
      <c r="U169" s="224"/>
      <c r="V169" s="224"/>
      <c r="W169" s="224"/>
      <c r="X169" s="224"/>
      <c r="Y169" s="224"/>
    </row>
    <row r="170" spans="1:25" ht="15.75" hidden="1" customHeight="1" x14ac:dyDescent="0.2">
      <c r="A170" s="224"/>
      <c r="B170" s="217"/>
      <c r="C170" s="218"/>
      <c r="D170" s="218"/>
      <c r="E170" s="218"/>
      <c r="F170" s="170"/>
      <c r="G170" s="170"/>
      <c r="H170" s="170"/>
      <c r="I170" s="170"/>
      <c r="J170" s="216"/>
      <c r="K170" s="224"/>
      <c r="L170" s="224"/>
      <c r="M170" s="224"/>
      <c r="N170" s="224"/>
      <c r="O170" s="224"/>
      <c r="P170" s="224"/>
      <c r="Q170" s="224"/>
      <c r="R170" s="224"/>
      <c r="S170" s="224"/>
      <c r="T170" s="224"/>
      <c r="U170" s="224"/>
      <c r="V170" s="224"/>
      <c r="W170" s="224"/>
      <c r="X170" s="224"/>
      <c r="Y170" s="224"/>
    </row>
    <row r="171" spans="1:25" ht="15.75" hidden="1" customHeight="1" x14ac:dyDescent="0.2">
      <c r="A171" s="224"/>
      <c r="B171" s="217"/>
      <c r="C171" s="218"/>
      <c r="D171" s="218"/>
      <c r="E171" s="218"/>
      <c r="F171" s="170"/>
      <c r="G171" s="170"/>
      <c r="H171" s="170"/>
      <c r="I171" s="170"/>
      <c r="J171" s="216"/>
      <c r="K171" s="224"/>
      <c r="L171" s="224"/>
      <c r="M171" s="224"/>
      <c r="N171" s="224"/>
      <c r="O171" s="224"/>
      <c r="P171" s="224"/>
      <c r="Q171" s="224"/>
      <c r="R171" s="224"/>
      <c r="S171" s="224"/>
      <c r="T171" s="224"/>
      <c r="U171" s="224"/>
      <c r="V171" s="224"/>
      <c r="W171" s="224"/>
      <c r="X171" s="224"/>
      <c r="Y171" s="224"/>
    </row>
    <row r="172" spans="1:25" ht="15.75" hidden="1" customHeight="1" x14ac:dyDescent="0.2">
      <c r="A172" s="224"/>
      <c r="B172" s="217"/>
      <c r="C172" s="218"/>
      <c r="D172" s="218"/>
      <c r="E172" s="218"/>
      <c r="F172" s="170"/>
      <c r="G172" s="170"/>
      <c r="H172" s="170"/>
      <c r="I172" s="170"/>
      <c r="J172" s="216"/>
      <c r="K172" s="224"/>
      <c r="L172" s="224"/>
      <c r="M172" s="224"/>
      <c r="N172" s="224"/>
      <c r="O172" s="224"/>
      <c r="P172" s="224"/>
      <c r="Q172" s="224"/>
      <c r="R172" s="224"/>
      <c r="S172" s="224"/>
      <c r="T172" s="224"/>
      <c r="U172" s="224"/>
      <c r="V172" s="224"/>
      <c r="W172" s="224"/>
      <c r="X172" s="224"/>
      <c r="Y172" s="224"/>
    </row>
    <row r="173" spans="1:25" ht="15.75" hidden="1" customHeight="1" x14ac:dyDescent="0.2">
      <c r="A173" s="224"/>
      <c r="B173" s="217"/>
      <c r="C173" s="218"/>
      <c r="D173" s="218"/>
      <c r="E173" s="218"/>
      <c r="F173" s="170"/>
      <c r="G173" s="170"/>
      <c r="H173" s="170"/>
      <c r="I173" s="170"/>
      <c r="J173" s="216"/>
      <c r="K173" s="224"/>
      <c r="L173" s="224"/>
      <c r="M173" s="224"/>
      <c r="N173" s="224"/>
      <c r="O173" s="224"/>
      <c r="P173" s="224"/>
      <c r="Q173" s="224"/>
      <c r="R173" s="224"/>
      <c r="S173" s="224"/>
      <c r="T173" s="224"/>
      <c r="U173" s="224"/>
      <c r="V173" s="224"/>
      <c r="W173" s="224"/>
      <c r="X173" s="224"/>
      <c r="Y173" s="224"/>
    </row>
    <row r="174" spans="1:25" ht="15.75" hidden="1" customHeight="1" x14ac:dyDescent="0.2">
      <c r="A174" s="224"/>
      <c r="B174" s="217"/>
      <c r="C174" s="218"/>
      <c r="D174" s="218"/>
      <c r="E174" s="218"/>
      <c r="F174" s="170"/>
      <c r="G174" s="170"/>
      <c r="H174" s="170"/>
      <c r="I174" s="170"/>
      <c r="J174" s="216"/>
      <c r="K174" s="224"/>
      <c r="L174" s="224"/>
      <c r="M174" s="224"/>
      <c r="N174" s="224"/>
      <c r="O174" s="224"/>
      <c r="P174" s="224"/>
      <c r="Q174" s="224"/>
      <c r="R174" s="224"/>
      <c r="S174" s="224"/>
      <c r="T174" s="224"/>
      <c r="U174" s="224"/>
      <c r="V174" s="224"/>
      <c r="W174" s="224"/>
      <c r="X174" s="224"/>
      <c r="Y174" s="224"/>
    </row>
    <row r="175" spans="1:25" ht="15.75" hidden="1" customHeight="1" x14ac:dyDescent="0.2">
      <c r="A175" s="224"/>
      <c r="B175" s="217"/>
      <c r="C175" s="218"/>
      <c r="D175" s="218"/>
      <c r="E175" s="218"/>
      <c r="F175" s="170"/>
      <c r="G175" s="170"/>
      <c r="H175" s="170"/>
      <c r="I175" s="170"/>
      <c r="J175" s="216"/>
      <c r="K175" s="224"/>
      <c r="L175" s="224"/>
      <c r="M175" s="224"/>
      <c r="N175" s="224"/>
      <c r="O175" s="224"/>
      <c r="P175" s="224"/>
      <c r="Q175" s="224"/>
      <c r="R175" s="224"/>
      <c r="S175" s="224"/>
      <c r="T175" s="224"/>
      <c r="U175" s="224"/>
      <c r="V175" s="224"/>
      <c r="W175" s="224"/>
      <c r="X175" s="224"/>
      <c r="Y175" s="224"/>
    </row>
    <row r="176" spans="1:25" ht="15.75" hidden="1" customHeight="1" x14ac:dyDescent="0.2">
      <c r="A176" s="224"/>
      <c r="B176" s="217"/>
      <c r="C176" s="218"/>
      <c r="D176" s="218"/>
      <c r="E176" s="218"/>
      <c r="F176" s="170"/>
      <c r="G176" s="170"/>
      <c r="H176" s="170"/>
      <c r="I176" s="170"/>
      <c r="J176" s="216"/>
      <c r="K176" s="224"/>
      <c r="L176" s="224"/>
      <c r="M176" s="224"/>
      <c r="N176" s="224"/>
      <c r="O176" s="224"/>
      <c r="P176" s="224"/>
      <c r="Q176" s="224"/>
      <c r="R176" s="224"/>
      <c r="S176" s="224"/>
      <c r="T176" s="224"/>
      <c r="U176" s="224"/>
      <c r="V176" s="224"/>
      <c r="W176" s="224"/>
      <c r="X176" s="224"/>
      <c r="Y176" s="224"/>
    </row>
    <row r="177" spans="1:25" ht="15.75" hidden="1" customHeight="1" x14ac:dyDescent="0.2">
      <c r="A177" s="224"/>
      <c r="B177" s="217"/>
      <c r="C177" s="218"/>
      <c r="D177" s="218"/>
      <c r="E177" s="218"/>
      <c r="F177" s="170"/>
      <c r="G177" s="170"/>
      <c r="H177" s="170"/>
      <c r="I177" s="170"/>
      <c r="J177" s="216"/>
      <c r="K177" s="224"/>
      <c r="L177" s="224"/>
      <c r="M177" s="224"/>
      <c r="N177" s="224"/>
      <c r="O177" s="224"/>
      <c r="P177" s="224"/>
      <c r="Q177" s="224"/>
      <c r="R177" s="224"/>
      <c r="S177" s="224"/>
      <c r="T177" s="224"/>
      <c r="U177" s="224"/>
      <c r="V177" s="224"/>
      <c r="W177" s="224"/>
      <c r="X177" s="224"/>
      <c r="Y177" s="224"/>
    </row>
    <row r="178" spans="1:25" ht="15.75" hidden="1" customHeight="1" x14ac:dyDescent="0.2">
      <c r="A178" s="224"/>
      <c r="B178" s="217"/>
      <c r="C178" s="218"/>
      <c r="D178" s="218"/>
      <c r="E178" s="218"/>
      <c r="F178" s="170"/>
      <c r="G178" s="170"/>
      <c r="H178" s="170"/>
      <c r="I178" s="170"/>
      <c r="J178" s="216"/>
      <c r="K178" s="224"/>
      <c r="L178" s="224"/>
      <c r="M178" s="224"/>
      <c r="N178" s="224"/>
      <c r="O178" s="224"/>
      <c r="P178" s="224"/>
      <c r="Q178" s="224"/>
      <c r="R178" s="224"/>
      <c r="S178" s="224"/>
      <c r="T178" s="224"/>
      <c r="U178" s="224"/>
      <c r="V178" s="224"/>
      <c r="W178" s="224"/>
      <c r="X178" s="224"/>
      <c r="Y178" s="224"/>
    </row>
    <row r="179" spans="1:25" ht="15.75" hidden="1" customHeight="1" x14ac:dyDescent="0.2">
      <c r="A179" s="224"/>
      <c r="B179" s="217"/>
      <c r="C179" s="218"/>
      <c r="D179" s="218"/>
      <c r="E179" s="218"/>
      <c r="F179" s="170"/>
      <c r="G179" s="170"/>
      <c r="H179" s="170"/>
      <c r="I179" s="170"/>
      <c r="J179" s="216"/>
      <c r="K179" s="224"/>
      <c r="L179" s="224"/>
      <c r="M179" s="224"/>
      <c r="N179" s="224"/>
      <c r="O179" s="224"/>
      <c r="P179" s="224"/>
      <c r="Q179" s="224"/>
      <c r="R179" s="224"/>
      <c r="S179" s="224"/>
      <c r="T179" s="224"/>
      <c r="U179" s="224"/>
      <c r="V179" s="224"/>
      <c r="W179" s="224"/>
      <c r="X179" s="224"/>
      <c r="Y179" s="224"/>
    </row>
    <row r="180" spans="1:25" ht="15.75" hidden="1" customHeight="1" x14ac:dyDescent="0.2">
      <c r="A180" s="224"/>
      <c r="B180" s="217"/>
      <c r="C180" s="218"/>
      <c r="D180" s="218"/>
      <c r="E180" s="218"/>
      <c r="F180" s="170"/>
      <c r="G180" s="170"/>
      <c r="H180" s="170"/>
      <c r="I180" s="170"/>
      <c r="J180" s="216"/>
      <c r="K180" s="224"/>
      <c r="L180" s="224"/>
      <c r="M180" s="224"/>
      <c r="N180" s="224"/>
      <c r="O180" s="224"/>
      <c r="P180" s="224"/>
      <c r="Q180" s="224"/>
      <c r="R180" s="224"/>
      <c r="S180" s="224"/>
      <c r="T180" s="224"/>
      <c r="U180" s="224"/>
      <c r="V180" s="224"/>
      <c r="W180" s="224"/>
      <c r="X180" s="224"/>
      <c r="Y180" s="224"/>
    </row>
    <row r="181" spans="1:25" ht="15.75" hidden="1" customHeight="1" x14ac:dyDescent="0.2">
      <c r="A181" s="224"/>
      <c r="B181" s="217"/>
      <c r="C181" s="218"/>
      <c r="D181" s="218"/>
      <c r="E181" s="218"/>
      <c r="F181" s="170"/>
      <c r="G181" s="170"/>
      <c r="H181" s="170"/>
      <c r="I181" s="170"/>
      <c r="J181" s="216"/>
      <c r="K181" s="224"/>
      <c r="L181" s="224"/>
      <c r="M181" s="224"/>
      <c r="N181" s="224"/>
      <c r="O181" s="224"/>
      <c r="P181" s="224"/>
      <c r="Q181" s="224"/>
      <c r="R181" s="224"/>
      <c r="S181" s="224"/>
      <c r="T181" s="224"/>
      <c r="U181" s="224"/>
      <c r="V181" s="224"/>
      <c r="W181" s="224"/>
      <c r="X181" s="224"/>
      <c r="Y181" s="224"/>
    </row>
    <row r="182" spans="1:25" ht="15.75" hidden="1" customHeight="1" x14ac:dyDescent="0.2">
      <c r="A182" s="224"/>
      <c r="B182" s="217"/>
      <c r="C182" s="218"/>
      <c r="D182" s="218"/>
      <c r="E182" s="218"/>
      <c r="F182" s="170"/>
      <c r="G182" s="170"/>
      <c r="H182" s="170"/>
      <c r="I182" s="170"/>
      <c r="J182" s="216"/>
      <c r="K182" s="224"/>
      <c r="L182" s="224"/>
      <c r="M182" s="224"/>
      <c r="N182" s="224"/>
      <c r="O182" s="224"/>
      <c r="P182" s="224"/>
      <c r="Q182" s="224"/>
      <c r="R182" s="224"/>
      <c r="S182" s="224"/>
      <c r="T182" s="224"/>
      <c r="U182" s="224"/>
      <c r="V182" s="224"/>
      <c r="W182" s="224"/>
      <c r="X182" s="224"/>
      <c r="Y182" s="224"/>
    </row>
    <row r="183" spans="1:25" ht="15.75" hidden="1" customHeight="1" x14ac:dyDescent="0.2">
      <c r="A183" s="224"/>
      <c r="B183" s="217"/>
      <c r="C183" s="218"/>
      <c r="D183" s="218"/>
      <c r="E183" s="218"/>
      <c r="F183" s="170"/>
      <c r="G183" s="170"/>
      <c r="H183" s="170"/>
      <c r="I183" s="170"/>
      <c r="J183" s="216"/>
      <c r="K183" s="224"/>
      <c r="L183" s="224"/>
      <c r="M183" s="224"/>
      <c r="N183" s="224"/>
      <c r="O183" s="224"/>
      <c r="P183" s="224"/>
      <c r="Q183" s="224"/>
      <c r="R183" s="224"/>
      <c r="S183" s="224"/>
      <c r="T183" s="224"/>
      <c r="U183" s="224"/>
      <c r="V183" s="224"/>
      <c r="W183" s="224"/>
      <c r="X183" s="224"/>
      <c r="Y183" s="224"/>
    </row>
    <row r="184" spans="1:25" ht="15.75" hidden="1" customHeight="1" x14ac:dyDescent="0.2">
      <c r="A184" s="224"/>
      <c r="B184" s="217"/>
      <c r="C184" s="218"/>
      <c r="D184" s="218"/>
      <c r="E184" s="218"/>
      <c r="F184" s="170"/>
      <c r="G184" s="170"/>
      <c r="H184" s="170"/>
      <c r="I184" s="170"/>
      <c r="J184" s="216"/>
      <c r="K184" s="224"/>
      <c r="L184" s="224"/>
      <c r="M184" s="224"/>
      <c r="N184" s="224"/>
      <c r="O184" s="224"/>
      <c r="P184" s="224"/>
      <c r="Q184" s="224"/>
      <c r="R184" s="224"/>
      <c r="S184" s="224"/>
      <c r="T184" s="224"/>
      <c r="U184" s="224"/>
      <c r="V184" s="224"/>
      <c r="W184" s="224"/>
      <c r="X184" s="224"/>
      <c r="Y184" s="224"/>
    </row>
    <row r="185" spans="1:25" ht="15.75" hidden="1" customHeight="1" x14ac:dyDescent="0.2">
      <c r="A185" s="224"/>
      <c r="B185" s="217"/>
      <c r="C185" s="218"/>
      <c r="D185" s="218"/>
      <c r="E185" s="218"/>
      <c r="F185" s="170"/>
      <c r="G185" s="170"/>
      <c r="H185" s="170"/>
      <c r="I185" s="170"/>
      <c r="J185" s="216"/>
      <c r="K185" s="224"/>
      <c r="L185" s="224"/>
      <c r="M185" s="224"/>
      <c r="N185" s="224"/>
      <c r="O185" s="224"/>
      <c r="P185" s="224"/>
      <c r="Q185" s="224"/>
      <c r="R185" s="224"/>
      <c r="S185" s="224"/>
      <c r="T185" s="224"/>
      <c r="U185" s="224"/>
      <c r="V185" s="224"/>
      <c r="W185" s="224"/>
      <c r="X185" s="224"/>
      <c r="Y185" s="224"/>
    </row>
    <row r="186" spans="1:25" ht="15.75" hidden="1" customHeight="1" x14ac:dyDescent="0.2">
      <c r="A186" s="224"/>
      <c r="B186" s="217"/>
      <c r="C186" s="218"/>
      <c r="D186" s="218"/>
      <c r="E186" s="218"/>
      <c r="F186" s="170"/>
      <c r="G186" s="170"/>
      <c r="H186" s="170"/>
      <c r="I186" s="170"/>
      <c r="J186" s="216"/>
      <c r="K186" s="224"/>
      <c r="L186" s="224"/>
      <c r="M186" s="224"/>
      <c r="N186" s="224"/>
      <c r="O186" s="224"/>
      <c r="P186" s="224"/>
      <c r="Q186" s="224"/>
      <c r="R186" s="224"/>
      <c r="S186" s="224"/>
      <c r="T186" s="224"/>
      <c r="U186" s="224"/>
      <c r="V186" s="224"/>
      <c r="W186" s="224"/>
      <c r="X186" s="224"/>
      <c r="Y186" s="224"/>
    </row>
    <row r="187" spans="1:25" ht="15.75" hidden="1" customHeight="1" x14ac:dyDescent="0.2">
      <c r="A187" s="224"/>
      <c r="B187" s="217"/>
      <c r="C187" s="218"/>
      <c r="D187" s="218"/>
      <c r="E187" s="218"/>
      <c r="F187" s="170"/>
      <c r="G187" s="170"/>
      <c r="H187" s="170"/>
      <c r="I187" s="170"/>
      <c r="J187" s="216"/>
      <c r="K187" s="224"/>
      <c r="L187" s="224"/>
      <c r="M187" s="224"/>
      <c r="N187" s="224"/>
      <c r="O187" s="224"/>
      <c r="P187" s="224"/>
      <c r="Q187" s="224"/>
      <c r="R187" s="224"/>
      <c r="S187" s="224"/>
      <c r="T187" s="224"/>
      <c r="U187" s="224"/>
      <c r="V187" s="224"/>
      <c r="W187" s="224"/>
      <c r="X187" s="224"/>
      <c r="Y187" s="224"/>
    </row>
    <row r="188" spans="1:25" ht="15.75" hidden="1" customHeight="1" x14ac:dyDescent="0.2">
      <c r="A188" s="224"/>
      <c r="B188" s="217"/>
      <c r="C188" s="218"/>
      <c r="D188" s="218"/>
      <c r="E188" s="218"/>
      <c r="F188" s="170"/>
      <c r="G188" s="170"/>
      <c r="H188" s="170"/>
      <c r="I188" s="170"/>
      <c r="J188" s="216"/>
      <c r="K188" s="224"/>
      <c r="L188" s="224"/>
      <c r="M188" s="224"/>
      <c r="N188" s="224"/>
      <c r="O188" s="224"/>
      <c r="P188" s="224"/>
      <c r="Q188" s="224"/>
      <c r="R188" s="224"/>
      <c r="S188" s="224"/>
      <c r="T188" s="224"/>
      <c r="U188" s="224"/>
      <c r="V188" s="224"/>
      <c r="W188" s="224"/>
      <c r="X188" s="224"/>
      <c r="Y188" s="224"/>
    </row>
    <row r="189" spans="1:25" ht="15.75" hidden="1" customHeight="1" x14ac:dyDescent="0.2">
      <c r="A189" s="224"/>
      <c r="B189" s="217"/>
      <c r="C189" s="218"/>
      <c r="D189" s="218"/>
      <c r="E189" s="218"/>
      <c r="F189" s="170"/>
      <c r="G189" s="170"/>
      <c r="H189" s="170"/>
      <c r="I189" s="170"/>
      <c r="J189" s="216"/>
      <c r="K189" s="224"/>
      <c r="L189" s="224"/>
      <c r="M189" s="224"/>
      <c r="N189" s="224"/>
      <c r="O189" s="224"/>
      <c r="P189" s="224"/>
      <c r="Q189" s="224"/>
      <c r="R189" s="224"/>
      <c r="S189" s="224"/>
      <c r="T189" s="224"/>
      <c r="U189" s="224"/>
      <c r="V189" s="224"/>
      <c r="W189" s="224"/>
      <c r="X189" s="224"/>
      <c r="Y189" s="224"/>
    </row>
    <row r="190" spans="1:25" ht="15.75" hidden="1" customHeight="1" x14ac:dyDescent="0.2">
      <c r="A190" s="224"/>
      <c r="B190" s="217"/>
      <c r="C190" s="218"/>
      <c r="D190" s="218"/>
      <c r="E190" s="218"/>
      <c r="F190" s="170"/>
      <c r="G190" s="170"/>
      <c r="H190" s="170"/>
      <c r="I190" s="170"/>
      <c r="J190" s="216"/>
      <c r="K190" s="224"/>
      <c r="L190" s="224"/>
      <c r="M190" s="224"/>
      <c r="N190" s="224"/>
      <c r="O190" s="224"/>
      <c r="P190" s="224"/>
      <c r="Q190" s="224"/>
      <c r="R190" s="224"/>
      <c r="S190" s="224"/>
      <c r="T190" s="224"/>
      <c r="U190" s="224"/>
      <c r="V190" s="224"/>
      <c r="W190" s="224"/>
      <c r="X190" s="224"/>
      <c r="Y190" s="224"/>
    </row>
    <row r="191" spans="1:25" ht="15.75" hidden="1" customHeight="1" x14ac:dyDescent="0.2">
      <c r="A191" s="224"/>
      <c r="B191" s="217"/>
      <c r="C191" s="218"/>
      <c r="D191" s="218"/>
      <c r="E191" s="218"/>
      <c r="F191" s="170"/>
      <c r="G191" s="170"/>
      <c r="H191" s="170"/>
      <c r="I191" s="170"/>
      <c r="J191" s="216"/>
      <c r="K191" s="224"/>
      <c r="L191" s="224"/>
      <c r="M191" s="224"/>
      <c r="N191" s="224"/>
      <c r="O191" s="224"/>
      <c r="P191" s="224"/>
      <c r="Q191" s="224"/>
      <c r="R191" s="224"/>
      <c r="S191" s="224"/>
      <c r="T191" s="224"/>
      <c r="U191" s="224"/>
      <c r="V191" s="224"/>
      <c r="W191" s="224"/>
      <c r="X191" s="224"/>
      <c r="Y191" s="224"/>
    </row>
    <row r="192" spans="1:25" ht="15.75" hidden="1" customHeight="1" x14ac:dyDescent="0.2">
      <c r="A192" s="224"/>
      <c r="B192" s="217"/>
      <c r="C192" s="218"/>
      <c r="D192" s="218"/>
      <c r="E192" s="218"/>
      <c r="F192" s="170"/>
      <c r="G192" s="170"/>
      <c r="H192" s="170"/>
      <c r="I192" s="170"/>
      <c r="J192" s="216"/>
      <c r="K192" s="224"/>
      <c r="L192" s="224"/>
      <c r="M192" s="224"/>
      <c r="N192" s="224"/>
      <c r="O192" s="224"/>
      <c r="P192" s="224"/>
      <c r="Q192" s="224"/>
      <c r="R192" s="224"/>
      <c r="S192" s="224"/>
      <c r="T192" s="224"/>
      <c r="U192" s="224"/>
      <c r="V192" s="224"/>
      <c r="W192" s="224"/>
      <c r="X192" s="224"/>
      <c r="Y192" s="224"/>
    </row>
    <row r="193" spans="1:25" ht="15.75" hidden="1" customHeight="1" x14ac:dyDescent="0.2">
      <c r="A193" s="224"/>
      <c r="B193" s="217"/>
      <c r="C193" s="218"/>
      <c r="D193" s="218"/>
      <c r="E193" s="218"/>
      <c r="F193" s="170"/>
      <c r="G193" s="170"/>
      <c r="H193" s="170"/>
      <c r="I193" s="170"/>
      <c r="J193" s="216"/>
      <c r="K193" s="224"/>
      <c r="L193" s="224"/>
      <c r="M193" s="224"/>
      <c r="N193" s="224"/>
      <c r="O193" s="224"/>
      <c r="P193" s="224"/>
      <c r="Q193" s="224"/>
      <c r="R193" s="224"/>
      <c r="S193" s="224"/>
      <c r="T193" s="224"/>
      <c r="U193" s="224"/>
      <c r="V193" s="224"/>
      <c r="W193" s="224"/>
      <c r="X193" s="224"/>
      <c r="Y193" s="224"/>
    </row>
    <row r="194" spans="1:25" ht="15.75" hidden="1" customHeight="1" x14ac:dyDescent="0.2">
      <c r="A194" s="224"/>
      <c r="B194" s="217"/>
      <c r="C194" s="218"/>
      <c r="D194" s="218"/>
      <c r="E194" s="218"/>
      <c r="F194" s="170"/>
      <c r="G194" s="170"/>
      <c r="H194" s="170"/>
      <c r="I194" s="170"/>
      <c r="J194" s="216"/>
      <c r="K194" s="224"/>
      <c r="L194" s="224"/>
      <c r="M194" s="224"/>
      <c r="N194" s="224"/>
      <c r="O194" s="224"/>
      <c r="P194" s="224"/>
      <c r="Q194" s="224"/>
      <c r="R194" s="224"/>
      <c r="S194" s="224"/>
      <c r="T194" s="224"/>
      <c r="U194" s="224"/>
      <c r="V194" s="224"/>
      <c r="W194" s="224"/>
      <c r="X194" s="224"/>
      <c r="Y194" s="224"/>
    </row>
    <row r="195" spans="1:25" ht="15.75" hidden="1" customHeight="1" x14ac:dyDescent="0.2">
      <c r="A195" s="224"/>
      <c r="B195" s="217"/>
      <c r="C195" s="218"/>
      <c r="D195" s="218"/>
      <c r="E195" s="218"/>
      <c r="F195" s="170"/>
      <c r="G195" s="170"/>
      <c r="H195" s="170"/>
      <c r="I195" s="170"/>
      <c r="J195" s="216"/>
      <c r="K195" s="224"/>
      <c r="L195" s="224"/>
      <c r="M195" s="224"/>
      <c r="N195" s="224"/>
      <c r="O195" s="224"/>
      <c r="P195" s="224"/>
      <c r="Q195" s="224"/>
      <c r="R195" s="224"/>
      <c r="S195" s="224"/>
      <c r="T195" s="224"/>
      <c r="U195" s="224"/>
      <c r="V195" s="224"/>
      <c r="W195" s="224"/>
      <c r="X195" s="224"/>
      <c r="Y195" s="224"/>
    </row>
    <row r="196" spans="1:25" ht="15.75" hidden="1" customHeight="1" x14ac:dyDescent="0.2">
      <c r="A196" s="224"/>
      <c r="B196" s="217"/>
      <c r="C196" s="218"/>
      <c r="D196" s="218"/>
      <c r="E196" s="218"/>
      <c r="F196" s="170"/>
      <c r="G196" s="170"/>
      <c r="H196" s="170"/>
      <c r="I196" s="170"/>
      <c r="J196" s="216"/>
      <c r="K196" s="224"/>
      <c r="L196" s="224"/>
      <c r="M196" s="224"/>
      <c r="N196" s="224"/>
      <c r="O196" s="224"/>
      <c r="P196" s="224"/>
      <c r="Q196" s="224"/>
      <c r="R196" s="224"/>
      <c r="S196" s="224"/>
      <c r="T196" s="224"/>
      <c r="U196" s="224"/>
      <c r="V196" s="224"/>
      <c r="W196" s="224"/>
      <c r="X196" s="224"/>
      <c r="Y196" s="224"/>
    </row>
    <row r="197" spans="1:25" ht="15.75" hidden="1" customHeight="1" x14ac:dyDescent="0.2">
      <c r="A197" s="224"/>
      <c r="B197" s="217"/>
      <c r="C197" s="218"/>
      <c r="D197" s="218"/>
      <c r="E197" s="218"/>
      <c r="F197" s="170"/>
      <c r="G197" s="170"/>
      <c r="H197" s="170"/>
      <c r="I197" s="170"/>
      <c r="J197" s="216"/>
      <c r="K197" s="224"/>
      <c r="L197" s="224"/>
      <c r="M197" s="224"/>
      <c r="N197" s="224"/>
      <c r="O197" s="224"/>
      <c r="P197" s="224"/>
      <c r="Q197" s="224"/>
      <c r="R197" s="224"/>
      <c r="S197" s="224"/>
      <c r="T197" s="224"/>
      <c r="U197" s="224"/>
      <c r="V197" s="224"/>
      <c r="W197" s="224"/>
      <c r="X197" s="224"/>
      <c r="Y197" s="224"/>
    </row>
    <row r="198" spans="1:25" ht="15.75" hidden="1" customHeight="1" x14ac:dyDescent="0.2">
      <c r="A198" s="224"/>
      <c r="B198" s="217"/>
      <c r="C198" s="218"/>
      <c r="D198" s="218"/>
      <c r="E198" s="218"/>
      <c r="F198" s="170"/>
      <c r="G198" s="170"/>
      <c r="H198" s="170"/>
      <c r="I198" s="170"/>
      <c r="J198" s="216"/>
      <c r="K198" s="224"/>
      <c r="L198" s="224"/>
      <c r="M198" s="224"/>
      <c r="N198" s="224"/>
      <c r="O198" s="224"/>
      <c r="P198" s="224"/>
      <c r="Q198" s="224"/>
      <c r="R198" s="224"/>
      <c r="S198" s="224"/>
      <c r="T198" s="224"/>
      <c r="U198" s="224"/>
      <c r="V198" s="224"/>
      <c r="W198" s="224"/>
      <c r="X198" s="224"/>
      <c r="Y198" s="224"/>
    </row>
    <row r="199" spans="1:25" ht="15.75" hidden="1" customHeight="1" x14ac:dyDescent="0.2">
      <c r="A199" s="224"/>
      <c r="B199" s="217"/>
      <c r="C199" s="218"/>
      <c r="D199" s="218"/>
      <c r="E199" s="218"/>
      <c r="F199" s="170"/>
      <c r="G199" s="170"/>
      <c r="H199" s="170"/>
      <c r="I199" s="170"/>
      <c r="J199" s="216"/>
      <c r="K199" s="224"/>
      <c r="L199" s="224"/>
      <c r="M199" s="224"/>
      <c r="N199" s="224"/>
      <c r="O199" s="224"/>
      <c r="P199" s="224"/>
      <c r="Q199" s="224"/>
      <c r="R199" s="224"/>
      <c r="S199" s="224"/>
      <c r="T199" s="224"/>
      <c r="U199" s="224"/>
      <c r="V199" s="224"/>
      <c r="W199" s="224"/>
      <c r="X199" s="224"/>
      <c r="Y199" s="224"/>
    </row>
    <row r="200" spans="1:25" ht="15.75" hidden="1" customHeight="1" x14ac:dyDescent="0.2">
      <c r="A200" s="224"/>
      <c r="B200" s="217"/>
      <c r="C200" s="218"/>
      <c r="D200" s="218"/>
      <c r="E200" s="218"/>
      <c r="F200" s="170"/>
      <c r="G200" s="170"/>
      <c r="H200" s="170"/>
      <c r="I200" s="170"/>
      <c r="J200" s="216"/>
      <c r="K200" s="224"/>
      <c r="L200" s="224"/>
      <c r="M200" s="224"/>
      <c r="N200" s="224"/>
      <c r="O200" s="224"/>
      <c r="P200" s="224"/>
      <c r="Q200" s="224"/>
      <c r="R200" s="224"/>
      <c r="S200" s="224"/>
      <c r="T200" s="224"/>
      <c r="U200" s="224"/>
      <c r="V200" s="224"/>
      <c r="W200" s="224"/>
      <c r="X200" s="224"/>
      <c r="Y200" s="224"/>
    </row>
    <row r="201" spans="1:25" ht="15.75" hidden="1" customHeight="1" x14ac:dyDescent="0.2">
      <c r="A201" s="224"/>
      <c r="B201" s="217"/>
      <c r="C201" s="218"/>
      <c r="D201" s="218"/>
      <c r="E201" s="218"/>
      <c r="F201" s="170"/>
      <c r="G201" s="170"/>
      <c r="H201" s="170"/>
      <c r="I201" s="170"/>
      <c r="J201" s="216"/>
      <c r="K201" s="224"/>
      <c r="L201" s="224"/>
      <c r="M201" s="224"/>
      <c r="N201" s="224"/>
      <c r="O201" s="224"/>
      <c r="P201" s="224"/>
      <c r="Q201" s="224"/>
      <c r="R201" s="224"/>
      <c r="S201" s="224"/>
      <c r="T201" s="224"/>
      <c r="U201" s="224"/>
      <c r="V201" s="224"/>
      <c r="W201" s="224"/>
      <c r="X201" s="224"/>
      <c r="Y201" s="224"/>
    </row>
    <row r="202" spans="1:25" ht="15.75" hidden="1" customHeight="1" x14ac:dyDescent="0.2">
      <c r="A202" s="224"/>
      <c r="B202" s="217"/>
      <c r="C202" s="218"/>
      <c r="D202" s="218"/>
      <c r="E202" s="218"/>
      <c r="F202" s="170"/>
      <c r="G202" s="170"/>
      <c r="H202" s="170"/>
      <c r="I202" s="170"/>
      <c r="J202" s="216"/>
      <c r="K202" s="224"/>
      <c r="L202" s="224"/>
      <c r="M202" s="224"/>
      <c r="N202" s="224"/>
      <c r="O202" s="224"/>
      <c r="P202" s="224"/>
      <c r="Q202" s="224"/>
      <c r="R202" s="224"/>
      <c r="S202" s="224"/>
      <c r="T202" s="224"/>
      <c r="U202" s="224"/>
      <c r="V202" s="224"/>
      <c r="W202" s="224"/>
      <c r="X202" s="224"/>
      <c r="Y202" s="224"/>
    </row>
    <row r="203" spans="1:25" ht="15.75" hidden="1" customHeight="1" x14ac:dyDescent="0.2">
      <c r="A203" s="224"/>
      <c r="B203" s="217"/>
      <c r="C203" s="218"/>
      <c r="D203" s="218"/>
      <c r="E203" s="218"/>
      <c r="F203" s="170"/>
      <c r="G203" s="170"/>
      <c r="H203" s="170"/>
      <c r="I203" s="170"/>
      <c r="J203" s="216"/>
      <c r="K203" s="224"/>
      <c r="L203" s="224"/>
      <c r="M203" s="224"/>
      <c r="N203" s="224"/>
      <c r="O203" s="224"/>
      <c r="P203" s="224"/>
      <c r="Q203" s="224"/>
      <c r="R203" s="224"/>
      <c r="S203" s="224"/>
      <c r="T203" s="224"/>
      <c r="U203" s="224"/>
      <c r="V203" s="224"/>
      <c r="W203" s="224"/>
      <c r="X203" s="224"/>
      <c r="Y203" s="224"/>
    </row>
    <row r="204" spans="1:25" ht="15.75" hidden="1" customHeight="1" x14ac:dyDescent="0.2">
      <c r="A204" s="224"/>
      <c r="B204" s="217"/>
      <c r="C204" s="218"/>
      <c r="D204" s="218"/>
      <c r="E204" s="218"/>
      <c r="F204" s="170"/>
      <c r="G204" s="170"/>
      <c r="H204" s="170"/>
      <c r="I204" s="170"/>
      <c r="J204" s="216"/>
      <c r="K204" s="224"/>
      <c r="L204" s="224"/>
      <c r="M204" s="224"/>
      <c r="N204" s="224"/>
      <c r="O204" s="224"/>
      <c r="P204" s="224"/>
      <c r="Q204" s="224"/>
      <c r="R204" s="224"/>
      <c r="S204" s="224"/>
      <c r="T204" s="224"/>
      <c r="U204" s="224"/>
      <c r="V204" s="224"/>
      <c r="W204" s="224"/>
      <c r="X204" s="224"/>
      <c r="Y204" s="224"/>
    </row>
    <row r="205" spans="1:25" ht="15.75" hidden="1" customHeight="1" x14ac:dyDescent="0.2">
      <c r="A205" s="224"/>
      <c r="B205" s="217"/>
      <c r="C205" s="218"/>
      <c r="D205" s="218"/>
      <c r="E205" s="218"/>
      <c r="F205" s="170"/>
      <c r="G205" s="170"/>
      <c r="H205" s="170"/>
      <c r="I205" s="170"/>
      <c r="J205" s="216"/>
      <c r="K205" s="224"/>
      <c r="L205" s="224"/>
      <c r="M205" s="224"/>
      <c r="N205" s="224"/>
      <c r="O205" s="224"/>
      <c r="P205" s="224"/>
      <c r="Q205" s="224"/>
      <c r="R205" s="224"/>
      <c r="S205" s="224"/>
      <c r="T205" s="224"/>
      <c r="U205" s="224"/>
      <c r="V205" s="224"/>
      <c r="W205" s="224"/>
      <c r="X205" s="224"/>
      <c r="Y205" s="224"/>
    </row>
    <row r="206" spans="1:25" ht="15.75" hidden="1" customHeight="1" x14ac:dyDescent="0.2">
      <c r="A206" s="224"/>
      <c r="B206" s="217"/>
      <c r="C206" s="218"/>
      <c r="D206" s="218"/>
      <c r="E206" s="218"/>
      <c r="F206" s="170"/>
      <c r="G206" s="170"/>
      <c r="H206" s="170"/>
      <c r="I206" s="170"/>
      <c r="J206" s="216"/>
      <c r="K206" s="224"/>
      <c r="L206" s="224"/>
      <c r="M206" s="224"/>
      <c r="N206" s="224"/>
      <c r="O206" s="224"/>
      <c r="P206" s="224"/>
      <c r="Q206" s="224"/>
      <c r="R206" s="224"/>
      <c r="S206" s="224"/>
      <c r="T206" s="224"/>
      <c r="U206" s="224"/>
      <c r="V206" s="224"/>
      <c r="W206" s="224"/>
      <c r="X206" s="224"/>
      <c r="Y206" s="224"/>
    </row>
    <row r="207" spans="1:25" ht="15.75" hidden="1" customHeight="1" x14ac:dyDescent="0.2">
      <c r="A207" s="224"/>
      <c r="B207" s="217"/>
      <c r="C207" s="218"/>
      <c r="D207" s="218"/>
      <c r="E207" s="218"/>
      <c r="F207" s="170"/>
      <c r="G207" s="170"/>
      <c r="H207" s="170"/>
      <c r="I207" s="170"/>
      <c r="J207" s="216"/>
      <c r="K207" s="224"/>
      <c r="L207" s="224"/>
      <c r="M207" s="224"/>
      <c r="N207" s="224"/>
      <c r="O207" s="224"/>
      <c r="P207" s="224"/>
      <c r="Q207" s="224"/>
      <c r="R207" s="224"/>
      <c r="S207" s="224"/>
      <c r="T207" s="224"/>
      <c r="U207" s="224"/>
      <c r="V207" s="224"/>
      <c r="W207" s="224"/>
      <c r="X207" s="224"/>
      <c r="Y207" s="224"/>
    </row>
    <row r="208" spans="1:25" ht="15.75" hidden="1" customHeight="1" x14ac:dyDescent="0.2">
      <c r="A208" s="224"/>
      <c r="B208" s="217"/>
      <c r="C208" s="218"/>
      <c r="D208" s="218"/>
      <c r="E208" s="218"/>
      <c r="F208" s="170"/>
      <c r="G208" s="170"/>
      <c r="H208" s="170"/>
      <c r="I208" s="170"/>
      <c r="J208" s="216"/>
      <c r="K208" s="224"/>
      <c r="L208" s="224"/>
      <c r="M208" s="224"/>
      <c r="N208" s="224"/>
      <c r="O208" s="224"/>
      <c r="P208" s="224"/>
      <c r="Q208" s="224"/>
      <c r="R208" s="224"/>
      <c r="S208" s="224"/>
      <c r="T208" s="224"/>
      <c r="U208" s="224"/>
      <c r="V208" s="224"/>
      <c r="W208" s="224"/>
      <c r="X208" s="224"/>
      <c r="Y208" s="224"/>
    </row>
    <row r="209" spans="1:25" ht="15.75" hidden="1" customHeight="1" x14ac:dyDescent="0.2">
      <c r="A209" s="224"/>
      <c r="B209" s="217"/>
      <c r="C209" s="218"/>
      <c r="D209" s="218"/>
      <c r="E209" s="218"/>
      <c r="F209" s="170"/>
      <c r="G209" s="170"/>
      <c r="H209" s="170"/>
      <c r="I209" s="170"/>
      <c r="J209" s="216"/>
      <c r="K209" s="224"/>
      <c r="L209" s="224"/>
      <c r="M209" s="224"/>
      <c r="N209" s="224"/>
      <c r="O209" s="224"/>
      <c r="P209" s="224"/>
      <c r="Q209" s="224"/>
      <c r="R209" s="224"/>
      <c r="S209" s="224"/>
      <c r="T209" s="224"/>
      <c r="U209" s="224"/>
      <c r="V209" s="224"/>
      <c r="W209" s="224"/>
      <c r="X209" s="224"/>
      <c r="Y209" s="224"/>
    </row>
    <row r="210" spans="1:25" ht="15.75" hidden="1" customHeight="1" x14ac:dyDescent="0.2">
      <c r="A210" s="224"/>
      <c r="B210" s="217"/>
      <c r="C210" s="218"/>
      <c r="D210" s="218"/>
      <c r="E210" s="218"/>
      <c r="F210" s="170"/>
      <c r="G210" s="170"/>
      <c r="H210" s="170"/>
      <c r="I210" s="170"/>
      <c r="J210" s="216"/>
      <c r="K210" s="224"/>
      <c r="L210" s="224"/>
      <c r="M210" s="224"/>
      <c r="N210" s="224"/>
      <c r="O210" s="224"/>
      <c r="P210" s="224"/>
      <c r="Q210" s="224"/>
      <c r="R210" s="224"/>
      <c r="S210" s="224"/>
      <c r="T210" s="224"/>
      <c r="U210" s="224"/>
      <c r="V210" s="224"/>
      <c r="W210" s="224"/>
      <c r="X210" s="224"/>
      <c r="Y210" s="224"/>
    </row>
    <row r="211" spans="1:25" ht="15.75" hidden="1" customHeight="1" x14ac:dyDescent="0.2">
      <c r="A211" s="224"/>
      <c r="B211" s="217"/>
      <c r="C211" s="218"/>
      <c r="D211" s="218"/>
      <c r="E211" s="218"/>
      <c r="F211" s="170"/>
      <c r="G211" s="170"/>
      <c r="H211" s="170"/>
      <c r="I211" s="170"/>
      <c r="J211" s="216"/>
      <c r="K211" s="224"/>
      <c r="L211" s="224"/>
      <c r="M211" s="224"/>
      <c r="N211" s="224"/>
      <c r="O211" s="224"/>
      <c r="P211" s="224"/>
      <c r="Q211" s="224"/>
      <c r="R211" s="224"/>
      <c r="S211" s="224"/>
      <c r="T211" s="224"/>
      <c r="U211" s="224"/>
      <c r="V211" s="224"/>
      <c r="W211" s="224"/>
      <c r="X211" s="224"/>
      <c r="Y211" s="224"/>
    </row>
    <row r="212" spans="1:25" ht="15.75" hidden="1" customHeight="1" x14ac:dyDescent="0.2">
      <c r="A212" s="224"/>
      <c r="B212" s="217"/>
      <c r="C212" s="218"/>
      <c r="D212" s="218"/>
      <c r="E212" s="218"/>
      <c r="F212" s="170"/>
      <c r="G212" s="170"/>
      <c r="H212" s="170"/>
      <c r="I212" s="170"/>
      <c r="J212" s="216"/>
      <c r="K212" s="224"/>
      <c r="L212" s="224"/>
      <c r="M212" s="224"/>
      <c r="N212" s="224"/>
      <c r="O212" s="224"/>
      <c r="P212" s="224"/>
      <c r="Q212" s="224"/>
      <c r="R212" s="224"/>
      <c r="S212" s="224"/>
      <c r="T212" s="224"/>
      <c r="U212" s="224"/>
      <c r="V212" s="224"/>
      <c r="W212" s="224"/>
      <c r="X212" s="224"/>
      <c r="Y212" s="224"/>
    </row>
    <row r="213" spans="1:25" ht="15.75" hidden="1" customHeight="1" x14ac:dyDescent="0.2">
      <c r="A213" s="224"/>
      <c r="B213" s="217"/>
      <c r="C213" s="218"/>
      <c r="D213" s="218"/>
      <c r="E213" s="218"/>
      <c r="F213" s="170"/>
      <c r="G213" s="170"/>
      <c r="H213" s="170"/>
      <c r="I213" s="170"/>
      <c r="J213" s="216"/>
      <c r="K213" s="224"/>
      <c r="L213" s="224"/>
      <c r="M213" s="224"/>
      <c r="N213" s="224"/>
      <c r="O213" s="224"/>
      <c r="P213" s="224"/>
      <c r="Q213" s="224"/>
      <c r="R213" s="224"/>
      <c r="S213" s="224"/>
      <c r="T213" s="224"/>
      <c r="U213" s="224"/>
      <c r="V213" s="224"/>
      <c r="W213" s="224"/>
      <c r="X213" s="224"/>
      <c r="Y213" s="224"/>
    </row>
    <row r="214" spans="1:25" ht="15.75" hidden="1" customHeight="1" x14ac:dyDescent="0.2">
      <c r="A214" s="224"/>
      <c r="B214" s="217"/>
      <c r="C214" s="218"/>
      <c r="D214" s="218"/>
      <c r="E214" s="218"/>
      <c r="F214" s="170"/>
      <c r="G214" s="170"/>
      <c r="H214" s="170"/>
      <c r="I214" s="170"/>
      <c r="J214" s="216"/>
      <c r="K214" s="224"/>
      <c r="L214" s="224"/>
      <c r="M214" s="224"/>
      <c r="N214" s="224"/>
      <c r="O214" s="224"/>
      <c r="P214" s="224"/>
      <c r="Q214" s="224"/>
      <c r="R214" s="224"/>
      <c r="S214" s="224"/>
      <c r="T214" s="224"/>
      <c r="U214" s="224"/>
      <c r="V214" s="224"/>
      <c r="W214" s="224"/>
      <c r="X214" s="224"/>
      <c r="Y214" s="224"/>
    </row>
    <row r="215" spans="1:25" ht="15.75" hidden="1" customHeight="1" x14ac:dyDescent="0.2">
      <c r="A215" s="224"/>
      <c r="B215" s="217"/>
      <c r="C215" s="218"/>
      <c r="D215" s="218"/>
      <c r="E215" s="218"/>
      <c r="F215" s="170"/>
      <c r="G215" s="170"/>
      <c r="H215" s="170"/>
      <c r="I215" s="170"/>
      <c r="J215" s="216"/>
      <c r="K215" s="224"/>
      <c r="L215" s="224"/>
      <c r="M215" s="224"/>
      <c r="N215" s="224"/>
      <c r="O215" s="224"/>
      <c r="P215" s="224"/>
      <c r="Q215" s="224"/>
      <c r="R215" s="224"/>
      <c r="S215" s="224"/>
      <c r="T215" s="224"/>
      <c r="U215" s="224"/>
      <c r="V215" s="224"/>
      <c r="W215" s="224"/>
      <c r="X215" s="224"/>
      <c r="Y215" s="224"/>
    </row>
    <row r="216" spans="1:25" ht="15.75" hidden="1" customHeight="1" x14ac:dyDescent="0.2">
      <c r="A216" s="224"/>
      <c r="B216" s="217"/>
      <c r="C216" s="218"/>
      <c r="D216" s="218"/>
      <c r="E216" s="218"/>
      <c r="F216" s="170"/>
      <c r="G216" s="170"/>
      <c r="H216" s="170"/>
      <c r="I216" s="170"/>
      <c r="J216" s="216"/>
      <c r="K216" s="224"/>
      <c r="L216" s="224"/>
      <c r="M216" s="224"/>
      <c r="N216" s="224"/>
      <c r="O216" s="224"/>
      <c r="P216" s="224"/>
      <c r="Q216" s="224"/>
      <c r="R216" s="224"/>
      <c r="S216" s="224"/>
      <c r="T216" s="224"/>
      <c r="U216" s="224"/>
      <c r="V216" s="224"/>
      <c r="W216" s="224"/>
      <c r="X216" s="224"/>
      <c r="Y216" s="224"/>
    </row>
    <row r="217" spans="1:25" ht="15.75" hidden="1" customHeight="1" x14ac:dyDescent="0.2">
      <c r="A217" s="224"/>
      <c r="B217" s="217"/>
      <c r="C217" s="218"/>
      <c r="D217" s="218"/>
      <c r="E217" s="218"/>
      <c r="F217" s="170"/>
      <c r="G217" s="170"/>
      <c r="H217" s="170"/>
      <c r="I217" s="170"/>
      <c r="J217" s="216"/>
      <c r="K217" s="224"/>
      <c r="L217" s="224"/>
      <c r="M217" s="224"/>
      <c r="N217" s="224"/>
      <c r="O217" s="224"/>
      <c r="P217" s="224"/>
      <c r="Q217" s="224"/>
      <c r="R217" s="224"/>
      <c r="S217" s="224"/>
      <c r="T217" s="224"/>
      <c r="U217" s="224"/>
      <c r="V217" s="224"/>
      <c r="W217" s="224"/>
      <c r="X217" s="224"/>
      <c r="Y217" s="224"/>
    </row>
    <row r="218" spans="1:25" ht="15.75" hidden="1" customHeight="1" x14ac:dyDescent="0.2">
      <c r="A218" s="224"/>
      <c r="B218" s="217"/>
      <c r="C218" s="218"/>
      <c r="D218" s="218"/>
      <c r="E218" s="218"/>
      <c r="F218" s="170"/>
      <c r="G218" s="170"/>
      <c r="H218" s="170"/>
      <c r="I218" s="170"/>
      <c r="J218" s="216"/>
      <c r="K218" s="224"/>
      <c r="L218" s="224"/>
      <c r="M218" s="224"/>
      <c r="N218" s="224"/>
      <c r="O218" s="224"/>
      <c r="P218" s="224"/>
      <c r="Q218" s="224"/>
      <c r="R218" s="224"/>
      <c r="S218" s="224"/>
      <c r="T218" s="224"/>
      <c r="U218" s="224"/>
      <c r="V218" s="224"/>
      <c r="W218" s="224"/>
      <c r="X218" s="224"/>
      <c r="Y218" s="224"/>
    </row>
    <row r="219" spans="1:25" ht="15.75" hidden="1" customHeight="1" x14ac:dyDescent="0.2">
      <c r="A219" s="224"/>
      <c r="B219" s="217"/>
      <c r="C219" s="218"/>
      <c r="D219" s="218"/>
      <c r="E219" s="218"/>
      <c r="F219" s="170"/>
      <c r="G219" s="170"/>
      <c r="H219" s="170"/>
      <c r="I219" s="170"/>
      <c r="J219" s="216"/>
      <c r="K219" s="224"/>
      <c r="L219" s="224"/>
      <c r="M219" s="224"/>
      <c r="N219" s="224"/>
      <c r="O219" s="224"/>
      <c r="P219" s="224"/>
      <c r="Q219" s="224"/>
      <c r="R219" s="224"/>
      <c r="S219" s="224"/>
      <c r="T219" s="224"/>
      <c r="U219" s="224"/>
      <c r="V219" s="224"/>
      <c r="W219" s="224"/>
      <c r="X219" s="224"/>
      <c r="Y219" s="224"/>
    </row>
    <row r="220" spans="1:25" ht="15.75" hidden="1" customHeight="1" x14ac:dyDescent="0.2">
      <c r="A220" s="224"/>
      <c r="B220" s="217"/>
      <c r="C220" s="218"/>
      <c r="D220" s="218"/>
      <c r="E220" s="218"/>
      <c r="F220" s="170"/>
      <c r="G220" s="170"/>
      <c r="H220" s="170"/>
      <c r="I220" s="170"/>
      <c r="J220" s="216"/>
      <c r="K220" s="224"/>
      <c r="L220" s="224"/>
      <c r="M220" s="224"/>
      <c r="N220" s="224"/>
      <c r="O220" s="224"/>
      <c r="P220" s="224"/>
      <c r="Q220" s="224"/>
      <c r="R220" s="224"/>
      <c r="S220" s="224"/>
      <c r="T220" s="224"/>
      <c r="U220" s="224"/>
      <c r="V220" s="224"/>
      <c r="W220" s="224"/>
      <c r="X220" s="224"/>
      <c r="Y220" s="224"/>
    </row>
    <row r="221" spans="1:25" ht="15.75" hidden="1" customHeight="1" x14ac:dyDescent="0.2">
      <c r="A221" s="224"/>
      <c r="B221" s="217"/>
      <c r="C221" s="218"/>
      <c r="D221" s="218"/>
      <c r="E221" s="218"/>
      <c r="F221" s="170"/>
      <c r="G221" s="170"/>
      <c r="H221" s="170"/>
      <c r="I221" s="170"/>
      <c r="J221" s="216"/>
      <c r="K221" s="224"/>
      <c r="L221" s="224"/>
      <c r="M221" s="224"/>
      <c r="N221" s="224"/>
      <c r="O221" s="224"/>
      <c r="P221" s="224"/>
      <c r="Q221" s="224"/>
      <c r="R221" s="224"/>
      <c r="S221" s="224"/>
      <c r="T221" s="224"/>
      <c r="U221" s="224"/>
      <c r="V221" s="224"/>
      <c r="W221" s="224"/>
      <c r="X221" s="224"/>
      <c r="Y221" s="224"/>
    </row>
    <row r="222" spans="1:25" ht="15.75" hidden="1" customHeight="1" x14ac:dyDescent="0.2">
      <c r="A222" s="224"/>
      <c r="B222" s="217"/>
      <c r="C222" s="218"/>
      <c r="D222" s="218"/>
      <c r="E222" s="218"/>
      <c r="F222" s="170"/>
      <c r="G222" s="170"/>
      <c r="H222" s="170"/>
      <c r="I222" s="170"/>
      <c r="J222" s="216"/>
      <c r="K222" s="224"/>
      <c r="L222" s="224"/>
      <c r="M222" s="224"/>
      <c r="N222" s="224"/>
      <c r="O222" s="224"/>
      <c r="P222" s="224"/>
      <c r="Q222" s="224"/>
      <c r="R222" s="224"/>
      <c r="S222" s="224"/>
      <c r="T222" s="224"/>
      <c r="U222" s="224"/>
      <c r="V222" s="224"/>
      <c r="W222" s="224"/>
      <c r="X222" s="224"/>
      <c r="Y222" s="224"/>
    </row>
    <row r="223" spans="1:25" ht="15.75" hidden="1" customHeight="1" x14ac:dyDescent="0.2">
      <c r="A223" s="224"/>
      <c r="B223" s="217"/>
      <c r="C223" s="218"/>
      <c r="D223" s="218"/>
      <c r="E223" s="218"/>
      <c r="F223" s="170"/>
      <c r="G223" s="170"/>
      <c r="H223" s="170"/>
      <c r="I223" s="170"/>
      <c r="J223" s="216"/>
      <c r="K223" s="224"/>
      <c r="L223" s="224"/>
      <c r="M223" s="224"/>
      <c r="N223" s="224"/>
      <c r="O223" s="224"/>
      <c r="P223" s="224"/>
      <c r="Q223" s="224"/>
      <c r="R223" s="224"/>
      <c r="S223" s="224"/>
      <c r="T223" s="224"/>
      <c r="U223" s="224"/>
      <c r="V223" s="224"/>
      <c r="W223" s="224"/>
      <c r="X223" s="224"/>
      <c r="Y223" s="224"/>
    </row>
    <row r="224" spans="1:25" ht="15.75" hidden="1" customHeight="1" x14ac:dyDescent="0.2">
      <c r="A224" s="224"/>
      <c r="B224" s="217"/>
      <c r="C224" s="218"/>
      <c r="D224" s="218"/>
      <c r="E224" s="218"/>
      <c r="F224" s="170"/>
      <c r="G224" s="170"/>
      <c r="H224" s="170"/>
      <c r="I224" s="170"/>
      <c r="J224" s="216"/>
      <c r="K224" s="224"/>
      <c r="L224" s="224"/>
      <c r="M224" s="224"/>
      <c r="N224" s="224"/>
      <c r="O224" s="224"/>
      <c r="P224" s="224"/>
      <c r="Q224" s="224"/>
      <c r="R224" s="224"/>
      <c r="S224" s="224"/>
      <c r="T224" s="224"/>
      <c r="U224" s="224"/>
      <c r="V224" s="224"/>
      <c r="W224" s="224"/>
      <c r="X224" s="224"/>
      <c r="Y224" s="224"/>
    </row>
    <row r="225" spans="1:25" ht="15.75" hidden="1" customHeight="1" x14ac:dyDescent="0.2">
      <c r="A225" s="224"/>
      <c r="B225" s="217"/>
      <c r="C225" s="218"/>
      <c r="D225" s="218"/>
      <c r="E225" s="218"/>
      <c r="F225" s="170"/>
      <c r="G225" s="170"/>
      <c r="H225" s="170"/>
      <c r="I225" s="170"/>
      <c r="J225" s="216"/>
      <c r="K225" s="224"/>
      <c r="L225" s="224"/>
      <c r="M225" s="224"/>
      <c r="N225" s="224"/>
      <c r="O225" s="224"/>
      <c r="P225" s="224"/>
      <c r="Q225" s="224"/>
      <c r="R225" s="224"/>
      <c r="S225" s="224"/>
      <c r="T225" s="224"/>
      <c r="U225" s="224"/>
      <c r="V225" s="224"/>
      <c r="W225" s="224"/>
      <c r="X225" s="224"/>
      <c r="Y225" s="224"/>
    </row>
    <row r="226" spans="1:25" ht="15.75" hidden="1" customHeight="1" x14ac:dyDescent="0.2">
      <c r="A226" s="224"/>
      <c r="B226" s="217"/>
      <c r="C226" s="218"/>
      <c r="D226" s="218"/>
      <c r="E226" s="218"/>
      <c r="F226" s="170"/>
      <c r="G226" s="170"/>
      <c r="H226" s="170"/>
      <c r="I226" s="170"/>
      <c r="J226" s="216"/>
      <c r="K226" s="224"/>
      <c r="L226" s="224"/>
      <c r="M226" s="224"/>
      <c r="N226" s="224"/>
      <c r="O226" s="224"/>
      <c r="P226" s="224"/>
      <c r="Q226" s="224"/>
      <c r="R226" s="224"/>
      <c r="S226" s="224"/>
      <c r="T226" s="224"/>
      <c r="U226" s="224"/>
      <c r="V226" s="224"/>
      <c r="W226" s="224"/>
      <c r="X226" s="224"/>
      <c r="Y226" s="224"/>
    </row>
    <row r="227" spans="1:25" ht="15.75" hidden="1" customHeight="1" x14ac:dyDescent="0.2">
      <c r="A227" s="224"/>
      <c r="B227" s="217"/>
      <c r="C227" s="218"/>
      <c r="D227" s="218"/>
      <c r="E227" s="218"/>
      <c r="F227" s="170"/>
      <c r="G227" s="170"/>
      <c r="H227" s="170"/>
      <c r="I227" s="170"/>
      <c r="J227" s="216"/>
      <c r="K227" s="224"/>
      <c r="L227" s="224"/>
      <c r="M227" s="224"/>
      <c r="N227" s="224"/>
      <c r="O227" s="224"/>
      <c r="P227" s="224"/>
      <c r="Q227" s="224"/>
      <c r="R227" s="224"/>
      <c r="S227" s="224"/>
      <c r="T227" s="224"/>
      <c r="U227" s="224"/>
      <c r="V227" s="224"/>
      <c r="W227" s="224"/>
      <c r="X227" s="224"/>
      <c r="Y227" s="224"/>
    </row>
    <row r="228" spans="1:25" ht="15.75" hidden="1" customHeight="1" x14ac:dyDescent="0.2">
      <c r="A228" s="224"/>
      <c r="B228" s="217"/>
      <c r="C228" s="218"/>
      <c r="D228" s="218"/>
      <c r="E228" s="218"/>
      <c r="F228" s="170"/>
      <c r="G228" s="170"/>
      <c r="H228" s="170"/>
      <c r="I228" s="170"/>
      <c r="J228" s="216"/>
      <c r="K228" s="224"/>
      <c r="L228" s="224"/>
      <c r="M228" s="224"/>
      <c r="N228" s="224"/>
      <c r="O228" s="224"/>
      <c r="P228" s="224"/>
      <c r="Q228" s="224"/>
      <c r="R228" s="224"/>
      <c r="S228" s="224"/>
      <c r="T228" s="224"/>
      <c r="U228" s="224"/>
      <c r="V228" s="224"/>
      <c r="W228" s="224"/>
      <c r="X228" s="224"/>
      <c r="Y228" s="224"/>
    </row>
    <row r="229" spans="1:25" ht="15.75" hidden="1" customHeight="1" x14ac:dyDescent="0.2">
      <c r="A229" s="224"/>
      <c r="B229" s="217"/>
      <c r="C229" s="218"/>
      <c r="D229" s="218"/>
      <c r="E229" s="218"/>
      <c r="F229" s="170"/>
      <c r="G229" s="170"/>
      <c r="H229" s="170"/>
      <c r="I229" s="170"/>
      <c r="J229" s="216"/>
      <c r="K229" s="224"/>
      <c r="L229" s="224"/>
      <c r="M229" s="224"/>
      <c r="N229" s="224"/>
      <c r="O229" s="224"/>
      <c r="P229" s="224"/>
      <c r="Q229" s="224"/>
      <c r="R229" s="224"/>
      <c r="S229" s="224"/>
      <c r="T229" s="224"/>
      <c r="U229" s="224"/>
      <c r="V229" s="224"/>
      <c r="W229" s="224"/>
      <c r="X229" s="224"/>
      <c r="Y229" s="224"/>
    </row>
    <row r="230" spans="1:25" ht="15.75" hidden="1" customHeight="1" x14ac:dyDescent="0.2">
      <c r="A230" s="224"/>
      <c r="B230" s="217"/>
      <c r="C230" s="218"/>
      <c r="D230" s="218"/>
      <c r="E230" s="218"/>
      <c r="F230" s="170"/>
      <c r="G230" s="170"/>
      <c r="H230" s="170"/>
      <c r="I230" s="170"/>
      <c r="J230" s="216"/>
      <c r="K230" s="224"/>
      <c r="L230" s="224"/>
      <c r="M230" s="224"/>
      <c r="N230" s="224"/>
      <c r="O230" s="224"/>
      <c r="P230" s="224"/>
      <c r="Q230" s="224"/>
      <c r="R230" s="224"/>
      <c r="S230" s="224"/>
      <c r="T230" s="224"/>
      <c r="U230" s="224"/>
      <c r="V230" s="224"/>
      <c r="W230" s="224"/>
      <c r="X230" s="224"/>
      <c r="Y230" s="224"/>
    </row>
    <row r="231" spans="1:25" ht="15.75" hidden="1" customHeight="1" x14ac:dyDescent="0.2">
      <c r="A231" s="224"/>
      <c r="B231" s="217"/>
      <c r="C231" s="218"/>
      <c r="D231" s="218"/>
      <c r="E231" s="218"/>
      <c r="F231" s="170"/>
      <c r="G231" s="170"/>
      <c r="H231" s="170"/>
      <c r="I231" s="170"/>
      <c r="J231" s="216"/>
      <c r="K231" s="224"/>
      <c r="L231" s="224"/>
      <c r="M231" s="224"/>
      <c r="N231" s="224"/>
      <c r="O231" s="224"/>
      <c r="P231" s="224"/>
      <c r="Q231" s="224"/>
      <c r="R231" s="224"/>
      <c r="S231" s="224"/>
      <c r="T231" s="224"/>
      <c r="U231" s="224"/>
      <c r="V231" s="224"/>
      <c r="W231" s="224"/>
      <c r="X231" s="224"/>
      <c r="Y231" s="224"/>
    </row>
    <row r="232" spans="1:25" ht="15.75" hidden="1" customHeight="1" x14ac:dyDescent="0.2">
      <c r="A232" s="224"/>
      <c r="B232" s="217"/>
      <c r="C232" s="218"/>
      <c r="D232" s="218"/>
      <c r="E232" s="218"/>
      <c r="F232" s="170"/>
      <c r="G232" s="170"/>
      <c r="H232" s="170"/>
      <c r="I232" s="170"/>
      <c r="J232" s="216"/>
      <c r="K232" s="224"/>
      <c r="L232" s="224"/>
      <c r="M232" s="224"/>
      <c r="N232" s="224"/>
      <c r="O232" s="224"/>
      <c r="P232" s="224"/>
      <c r="Q232" s="224"/>
      <c r="R232" s="224"/>
      <c r="S232" s="224"/>
      <c r="T232" s="224"/>
      <c r="U232" s="224"/>
      <c r="V232" s="224"/>
      <c r="W232" s="224"/>
      <c r="X232" s="224"/>
      <c r="Y232" s="224"/>
    </row>
    <row r="233" spans="1:25" ht="15.75" hidden="1" customHeight="1" x14ac:dyDescent="0.2">
      <c r="A233" s="224"/>
      <c r="B233" s="217"/>
      <c r="C233" s="218"/>
      <c r="D233" s="218"/>
      <c r="E233" s="218"/>
      <c r="F233" s="170"/>
      <c r="G233" s="170"/>
      <c r="H233" s="170"/>
      <c r="I233" s="170"/>
      <c r="J233" s="216"/>
      <c r="K233" s="224"/>
      <c r="L233" s="224"/>
      <c r="M233" s="224"/>
      <c r="N233" s="224"/>
      <c r="O233" s="224"/>
      <c r="P233" s="224"/>
      <c r="Q233" s="224"/>
      <c r="R233" s="224"/>
      <c r="S233" s="224"/>
      <c r="T233" s="224"/>
      <c r="U233" s="224"/>
      <c r="V233" s="224"/>
      <c r="W233" s="224"/>
      <c r="X233" s="224"/>
      <c r="Y233" s="224"/>
    </row>
    <row r="234" spans="1:25" ht="15.75" hidden="1" customHeight="1" x14ac:dyDescent="0.2">
      <c r="A234" s="224"/>
      <c r="B234" s="217"/>
      <c r="C234" s="218"/>
      <c r="D234" s="218"/>
      <c r="E234" s="218"/>
      <c r="F234" s="170"/>
      <c r="G234" s="170"/>
      <c r="H234" s="170"/>
      <c r="I234" s="170"/>
      <c r="J234" s="216"/>
      <c r="K234" s="224"/>
      <c r="L234" s="224"/>
      <c r="M234" s="224"/>
      <c r="N234" s="224"/>
      <c r="O234" s="224"/>
      <c r="P234" s="224"/>
      <c r="Q234" s="224"/>
      <c r="R234" s="224"/>
      <c r="S234" s="224"/>
      <c r="T234" s="224"/>
      <c r="U234" s="224"/>
      <c r="V234" s="224"/>
      <c r="W234" s="224"/>
      <c r="X234" s="224"/>
      <c r="Y234" s="224"/>
    </row>
    <row r="235" spans="1:25" ht="15.75" hidden="1" customHeight="1" x14ac:dyDescent="0.2">
      <c r="A235" s="224"/>
      <c r="B235" s="217"/>
      <c r="C235" s="218"/>
      <c r="D235" s="218"/>
      <c r="E235" s="218"/>
      <c r="F235" s="170"/>
      <c r="G235" s="170"/>
      <c r="H235" s="170"/>
      <c r="I235" s="170"/>
      <c r="J235" s="216"/>
      <c r="K235" s="224"/>
      <c r="L235" s="224"/>
      <c r="M235" s="224"/>
      <c r="N235" s="224"/>
      <c r="O235" s="224"/>
      <c r="P235" s="224"/>
      <c r="Q235" s="224"/>
      <c r="R235" s="224"/>
      <c r="S235" s="224"/>
      <c r="T235" s="224"/>
      <c r="U235" s="224"/>
      <c r="V235" s="224"/>
      <c r="W235" s="224"/>
      <c r="X235" s="224"/>
      <c r="Y235" s="224"/>
    </row>
    <row r="236" spans="1:25" ht="15.75" hidden="1" customHeight="1" x14ac:dyDescent="0.2">
      <c r="A236" s="224"/>
      <c r="B236" s="217"/>
      <c r="C236" s="218"/>
      <c r="D236" s="218"/>
      <c r="E236" s="218"/>
      <c r="F236" s="170"/>
      <c r="G236" s="170"/>
      <c r="H236" s="170"/>
      <c r="I236" s="170"/>
      <c r="J236" s="216"/>
      <c r="K236" s="224"/>
      <c r="L236" s="224"/>
      <c r="M236" s="224"/>
      <c r="N236" s="224"/>
      <c r="O236" s="224"/>
      <c r="P236" s="224"/>
      <c r="Q236" s="224"/>
      <c r="R236" s="224"/>
      <c r="S236" s="224"/>
      <c r="T236" s="224"/>
      <c r="U236" s="224"/>
      <c r="V236" s="224"/>
      <c r="W236" s="224"/>
      <c r="X236" s="224"/>
      <c r="Y236" s="224"/>
    </row>
    <row r="237" spans="1:25" ht="15.75" hidden="1" customHeight="1" x14ac:dyDescent="0.2">
      <c r="A237" s="224"/>
      <c r="B237" s="217"/>
      <c r="C237" s="218"/>
      <c r="D237" s="218"/>
      <c r="E237" s="218"/>
      <c r="F237" s="170"/>
      <c r="G237" s="170"/>
      <c r="H237" s="170"/>
      <c r="I237" s="170"/>
      <c r="J237" s="216"/>
      <c r="K237" s="224"/>
      <c r="L237" s="224"/>
      <c r="M237" s="224"/>
      <c r="N237" s="224"/>
      <c r="O237" s="224"/>
      <c r="P237" s="224"/>
      <c r="Q237" s="224"/>
      <c r="R237" s="224"/>
      <c r="S237" s="224"/>
      <c r="T237" s="224"/>
      <c r="U237" s="224"/>
      <c r="V237" s="224"/>
      <c r="W237" s="224"/>
      <c r="X237" s="224"/>
      <c r="Y237" s="224"/>
    </row>
    <row r="238" spans="1:25" ht="15.75" hidden="1" customHeight="1" x14ac:dyDescent="0.2">
      <c r="A238" s="224"/>
      <c r="B238" s="217"/>
      <c r="C238" s="218"/>
      <c r="D238" s="218"/>
      <c r="E238" s="218"/>
      <c r="F238" s="170"/>
      <c r="G238" s="170"/>
      <c r="H238" s="170"/>
      <c r="I238" s="170"/>
      <c r="J238" s="216"/>
      <c r="K238" s="224"/>
      <c r="L238" s="224"/>
      <c r="M238" s="224"/>
      <c r="N238" s="224"/>
      <c r="O238" s="224"/>
      <c r="P238" s="224"/>
      <c r="Q238" s="224"/>
      <c r="R238" s="224"/>
      <c r="S238" s="224"/>
      <c r="T238" s="224"/>
      <c r="U238" s="224"/>
      <c r="V238" s="224"/>
      <c r="W238" s="224"/>
      <c r="X238" s="224"/>
      <c r="Y238" s="224"/>
    </row>
    <row r="239" spans="1:25" ht="15.75" hidden="1" customHeight="1" x14ac:dyDescent="0.2">
      <c r="A239" s="224"/>
      <c r="B239" s="217"/>
      <c r="C239" s="218"/>
      <c r="D239" s="218"/>
      <c r="E239" s="218"/>
      <c r="F239" s="170"/>
      <c r="G239" s="170"/>
      <c r="H239" s="170"/>
      <c r="I239" s="170"/>
      <c r="J239" s="216"/>
      <c r="K239" s="224"/>
      <c r="L239" s="224"/>
      <c r="M239" s="224"/>
      <c r="N239" s="224"/>
      <c r="O239" s="224"/>
      <c r="P239" s="224"/>
      <c r="Q239" s="224"/>
      <c r="R239" s="224"/>
      <c r="S239" s="224"/>
      <c r="T239" s="224"/>
      <c r="U239" s="224"/>
      <c r="V239" s="224"/>
      <c r="W239" s="224"/>
      <c r="X239" s="224"/>
      <c r="Y239" s="224"/>
    </row>
    <row r="240" spans="1:25" ht="15.75" hidden="1" customHeight="1" x14ac:dyDescent="0.2">
      <c r="A240" s="224"/>
      <c r="B240" s="217"/>
      <c r="C240" s="218"/>
      <c r="D240" s="218"/>
      <c r="E240" s="218"/>
      <c r="F240" s="170"/>
      <c r="G240" s="170"/>
      <c r="H240" s="170"/>
      <c r="I240" s="170"/>
      <c r="J240" s="216"/>
      <c r="K240" s="224"/>
      <c r="L240" s="224"/>
      <c r="M240" s="224"/>
      <c r="N240" s="224"/>
      <c r="O240" s="224"/>
      <c r="P240" s="224"/>
      <c r="Q240" s="224"/>
      <c r="R240" s="224"/>
      <c r="S240" s="224"/>
      <c r="T240" s="224"/>
      <c r="U240" s="224"/>
      <c r="V240" s="224"/>
      <c r="W240" s="224"/>
      <c r="X240" s="224"/>
      <c r="Y240" s="224"/>
    </row>
    <row r="241" spans="1:25" ht="15.75" hidden="1" customHeight="1" x14ac:dyDescent="0.2">
      <c r="A241" s="224"/>
      <c r="B241" s="217"/>
      <c r="C241" s="218"/>
      <c r="D241" s="218"/>
      <c r="E241" s="218"/>
      <c r="F241" s="170"/>
      <c r="G241" s="170"/>
      <c r="H241" s="170"/>
      <c r="I241" s="170"/>
      <c r="J241" s="216"/>
      <c r="K241" s="224"/>
      <c r="L241" s="224"/>
      <c r="M241" s="224"/>
      <c r="N241" s="224"/>
      <c r="O241" s="224"/>
      <c r="P241" s="224"/>
      <c r="Q241" s="224"/>
      <c r="R241" s="224"/>
      <c r="S241" s="224"/>
      <c r="T241" s="224"/>
      <c r="U241" s="224"/>
      <c r="V241" s="224"/>
      <c r="W241" s="224"/>
      <c r="X241" s="224"/>
      <c r="Y241" s="224"/>
    </row>
    <row r="242" spans="1:25" ht="15.75" hidden="1" customHeight="1" x14ac:dyDescent="0.2">
      <c r="A242" s="224"/>
      <c r="B242" s="217"/>
      <c r="C242" s="218"/>
      <c r="D242" s="218"/>
      <c r="E242" s="218"/>
      <c r="F242" s="170"/>
      <c r="G242" s="170"/>
      <c r="H242" s="170"/>
      <c r="I242" s="170"/>
      <c r="J242" s="216"/>
      <c r="K242" s="224"/>
      <c r="L242" s="224"/>
      <c r="M242" s="224"/>
      <c r="N242" s="224"/>
      <c r="O242" s="224"/>
      <c r="P242" s="224"/>
      <c r="Q242" s="224"/>
      <c r="R242" s="224"/>
      <c r="S242" s="224"/>
      <c r="T242" s="224"/>
      <c r="U242" s="224"/>
      <c r="V242" s="224"/>
      <c r="W242" s="224"/>
      <c r="X242" s="224"/>
      <c r="Y242" s="224"/>
    </row>
    <row r="243" spans="1:25" ht="15.75" hidden="1" customHeight="1" x14ac:dyDescent="0.2">
      <c r="A243" s="224"/>
      <c r="B243" s="217"/>
      <c r="C243" s="218"/>
      <c r="D243" s="218"/>
      <c r="E243" s="218"/>
      <c r="F243" s="170"/>
      <c r="G243" s="170"/>
      <c r="H243" s="170"/>
      <c r="I243" s="170"/>
      <c r="J243" s="216"/>
      <c r="K243" s="224"/>
      <c r="L243" s="224"/>
      <c r="M243" s="224"/>
      <c r="N243" s="224"/>
      <c r="O243" s="224"/>
      <c r="P243" s="224"/>
      <c r="Q243" s="224"/>
      <c r="R243" s="224"/>
      <c r="S243" s="224"/>
      <c r="T243" s="224"/>
      <c r="U243" s="224"/>
      <c r="V243" s="224"/>
      <c r="W243" s="224"/>
      <c r="X243" s="224"/>
      <c r="Y243" s="224"/>
    </row>
    <row r="244" spans="1:25" ht="15.75" hidden="1" customHeight="1" x14ac:dyDescent="0.2">
      <c r="A244" s="224"/>
      <c r="B244" s="217"/>
      <c r="C244" s="218"/>
      <c r="D244" s="218"/>
      <c r="E244" s="218"/>
      <c r="F244" s="170"/>
      <c r="G244" s="170"/>
      <c r="H244" s="170"/>
      <c r="I244" s="170"/>
      <c r="J244" s="216"/>
      <c r="K244" s="224"/>
      <c r="L244" s="224"/>
      <c r="M244" s="224"/>
      <c r="N244" s="224"/>
      <c r="O244" s="224"/>
      <c r="P244" s="224"/>
      <c r="Q244" s="224"/>
      <c r="R244" s="224"/>
      <c r="S244" s="224"/>
      <c r="T244" s="224"/>
      <c r="U244" s="224"/>
      <c r="V244" s="224"/>
      <c r="W244" s="224"/>
      <c r="X244" s="224"/>
      <c r="Y244" s="224"/>
    </row>
    <row r="245" spans="1:25" ht="15.75" hidden="1" customHeight="1" x14ac:dyDescent="0.2">
      <c r="A245" s="224"/>
      <c r="B245" s="217"/>
      <c r="C245" s="218"/>
      <c r="D245" s="218"/>
      <c r="E245" s="218"/>
      <c r="F245" s="170"/>
      <c r="G245" s="170"/>
      <c r="H245" s="170"/>
      <c r="I245" s="170"/>
      <c r="J245" s="216"/>
      <c r="K245" s="224"/>
      <c r="L245" s="224"/>
      <c r="M245" s="224"/>
      <c r="N245" s="224"/>
      <c r="O245" s="224"/>
      <c r="P245" s="224"/>
      <c r="Q245" s="224"/>
      <c r="R245" s="224"/>
      <c r="S245" s="224"/>
      <c r="T245" s="224"/>
      <c r="U245" s="224"/>
      <c r="V245" s="224"/>
      <c r="W245" s="224"/>
      <c r="X245" s="224"/>
      <c r="Y245" s="224"/>
    </row>
    <row r="246" spans="1:25" ht="15.75" hidden="1" customHeight="1" x14ac:dyDescent="0.2">
      <c r="A246" s="224"/>
      <c r="B246" s="217"/>
      <c r="C246" s="218"/>
      <c r="D246" s="218"/>
      <c r="E246" s="218"/>
      <c r="F246" s="170"/>
      <c r="G246" s="170"/>
      <c r="H246" s="170"/>
      <c r="I246" s="170"/>
      <c r="J246" s="216"/>
      <c r="K246" s="224"/>
      <c r="L246" s="224"/>
      <c r="M246" s="224"/>
      <c r="N246" s="224"/>
      <c r="O246" s="224"/>
      <c r="P246" s="224"/>
      <c r="Q246" s="224"/>
      <c r="R246" s="224"/>
      <c r="S246" s="224"/>
      <c r="T246" s="224"/>
      <c r="U246" s="224"/>
      <c r="V246" s="224"/>
      <c r="W246" s="224"/>
      <c r="X246" s="224"/>
      <c r="Y246" s="224"/>
    </row>
    <row r="247" spans="1:25" ht="15.75" hidden="1" customHeight="1" x14ac:dyDescent="0.2">
      <c r="A247" s="224"/>
      <c r="B247" s="217"/>
      <c r="C247" s="218"/>
      <c r="D247" s="218"/>
      <c r="E247" s="218"/>
      <c r="F247" s="170"/>
      <c r="G247" s="170"/>
      <c r="H247" s="170"/>
      <c r="I247" s="170"/>
      <c r="J247" s="216"/>
      <c r="K247" s="224"/>
      <c r="L247" s="224"/>
      <c r="M247" s="224"/>
      <c r="N247" s="224"/>
      <c r="O247" s="224"/>
      <c r="P247" s="224"/>
      <c r="Q247" s="224"/>
      <c r="R247" s="224"/>
      <c r="S247" s="224"/>
      <c r="T247" s="224"/>
      <c r="U247" s="224"/>
      <c r="V247" s="224"/>
      <c r="W247" s="224"/>
      <c r="X247" s="224"/>
      <c r="Y247" s="224"/>
    </row>
    <row r="248" spans="1:25" ht="15.75" hidden="1" customHeight="1" x14ac:dyDescent="0.2">
      <c r="A248" s="224"/>
      <c r="B248" s="217"/>
      <c r="C248" s="218"/>
      <c r="D248" s="218"/>
      <c r="E248" s="218"/>
      <c r="F248" s="170"/>
      <c r="G248" s="170"/>
      <c r="H248" s="170"/>
      <c r="I248" s="170"/>
      <c r="J248" s="216"/>
      <c r="K248" s="224"/>
      <c r="L248" s="224"/>
      <c r="M248" s="224"/>
      <c r="N248" s="224"/>
      <c r="O248" s="224"/>
      <c r="P248" s="224"/>
      <c r="Q248" s="224"/>
      <c r="R248" s="224"/>
      <c r="S248" s="224"/>
      <c r="T248" s="224"/>
      <c r="U248" s="224"/>
      <c r="V248" s="224"/>
      <c r="W248" s="224"/>
      <c r="X248" s="224"/>
      <c r="Y248" s="224"/>
    </row>
    <row r="249" spans="1:25" ht="15.75" hidden="1" customHeight="1" x14ac:dyDescent="0.2">
      <c r="A249" s="224"/>
      <c r="B249" s="217"/>
      <c r="C249" s="218"/>
      <c r="D249" s="218"/>
      <c r="E249" s="218"/>
      <c r="F249" s="170"/>
      <c r="G249" s="170"/>
      <c r="H249" s="170"/>
      <c r="I249" s="170"/>
      <c r="J249" s="216"/>
      <c r="K249" s="224"/>
      <c r="L249" s="224"/>
      <c r="M249" s="224"/>
      <c r="N249" s="224"/>
      <c r="O249" s="224"/>
      <c r="P249" s="224"/>
      <c r="Q249" s="224"/>
      <c r="R249" s="224"/>
      <c r="S249" s="224"/>
      <c r="T249" s="224"/>
      <c r="U249" s="224"/>
      <c r="V249" s="224"/>
      <c r="W249" s="224"/>
      <c r="X249" s="224"/>
      <c r="Y249" s="224"/>
    </row>
    <row r="250" spans="1:25" ht="15.75" hidden="1" customHeight="1" x14ac:dyDescent="0.2">
      <c r="A250" s="224"/>
      <c r="B250" s="217"/>
      <c r="C250" s="218"/>
      <c r="D250" s="218"/>
      <c r="E250" s="218"/>
      <c r="F250" s="170"/>
      <c r="G250" s="170"/>
      <c r="H250" s="170"/>
      <c r="I250" s="170"/>
      <c r="J250" s="216"/>
      <c r="K250" s="224"/>
      <c r="L250" s="224"/>
      <c r="M250" s="224"/>
      <c r="N250" s="224"/>
      <c r="O250" s="224"/>
      <c r="P250" s="224"/>
      <c r="Q250" s="224"/>
      <c r="R250" s="224"/>
      <c r="S250" s="224"/>
      <c r="T250" s="224"/>
      <c r="U250" s="224"/>
      <c r="V250" s="224"/>
      <c r="W250" s="224"/>
      <c r="X250" s="224"/>
      <c r="Y250" s="224"/>
    </row>
    <row r="251" spans="1:25" ht="15.75" hidden="1" customHeight="1" x14ac:dyDescent="0.2">
      <c r="A251" s="224"/>
      <c r="B251" s="217"/>
      <c r="C251" s="218"/>
      <c r="D251" s="218"/>
      <c r="E251" s="218"/>
      <c r="F251" s="170"/>
      <c r="G251" s="170"/>
      <c r="H251" s="170"/>
      <c r="I251" s="170"/>
      <c r="J251" s="216"/>
      <c r="K251" s="224"/>
      <c r="L251" s="224"/>
      <c r="M251" s="224"/>
      <c r="N251" s="224"/>
      <c r="O251" s="224"/>
      <c r="P251" s="224"/>
      <c r="Q251" s="224"/>
      <c r="R251" s="224"/>
      <c r="S251" s="224"/>
      <c r="T251" s="224"/>
      <c r="U251" s="224"/>
      <c r="V251" s="224"/>
      <c r="W251" s="224"/>
      <c r="X251" s="224"/>
      <c r="Y251" s="224"/>
    </row>
    <row r="252" spans="1:25" ht="15.75" hidden="1" customHeight="1" x14ac:dyDescent="0.2">
      <c r="A252" s="224"/>
      <c r="B252" s="217"/>
      <c r="C252" s="218"/>
      <c r="D252" s="218"/>
      <c r="E252" s="218"/>
      <c r="F252" s="170"/>
      <c r="G252" s="170"/>
      <c r="H252" s="170"/>
      <c r="I252" s="170"/>
      <c r="J252" s="216"/>
      <c r="K252" s="224"/>
      <c r="L252" s="224"/>
      <c r="M252" s="224"/>
      <c r="N252" s="224"/>
      <c r="O252" s="224"/>
      <c r="P252" s="224"/>
      <c r="Q252" s="224"/>
      <c r="R252" s="224"/>
      <c r="S252" s="224"/>
      <c r="T252" s="224"/>
      <c r="U252" s="224"/>
      <c r="V252" s="224"/>
      <c r="W252" s="224"/>
      <c r="X252" s="224"/>
      <c r="Y252" s="224"/>
    </row>
    <row r="253" spans="1:25" ht="15.75" hidden="1" customHeight="1" x14ac:dyDescent="0.2">
      <c r="A253" s="224"/>
      <c r="B253" s="217"/>
      <c r="C253" s="218"/>
      <c r="D253" s="218"/>
      <c r="E253" s="218"/>
      <c r="F253" s="170"/>
      <c r="G253" s="170"/>
      <c r="H253" s="170"/>
      <c r="I253" s="170"/>
      <c r="J253" s="216"/>
      <c r="K253" s="224"/>
      <c r="L253" s="224"/>
      <c r="M253" s="224"/>
      <c r="N253" s="224"/>
      <c r="O253" s="224"/>
      <c r="P253" s="224"/>
      <c r="Q253" s="224"/>
      <c r="R253" s="224"/>
      <c r="S253" s="224"/>
      <c r="T253" s="224"/>
      <c r="U253" s="224"/>
      <c r="V253" s="224"/>
      <c r="W253" s="224"/>
      <c r="X253" s="224"/>
      <c r="Y253" s="224"/>
    </row>
    <row r="254" spans="1:25" ht="15.75" hidden="1" customHeight="1" x14ac:dyDescent="0.2">
      <c r="A254" s="224"/>
      <c r="B254" s="217"/>
      <c r="C254" s="218"/>
      <c r="D254" s="218"/>
      <c r="E254" s="218"/>
      <c r="F254" s="170"/>
      <c r="G254" s="170"/>
      <c r="H254" s="170"/>
      <c r="I254" s="170"/>
      <c r="J254" s="216"/>
      <c r="K254" s="224"/>
      <c r="L254" s="224"/>
      <c r="M254" s="224"/>
      <c r="N254" s="224"/>
      <c r="O254" s="224"/>
      <c r="P254" s="224"/>
      <c r="Q254" s="224"/>
      <c r="R254" s="224"/>
      <c r="S254" s="224"/>
      <c r="T254" s="224"/>
      <c r="U254" s="224"/>
      <c r="V254" s="224"/>
      <c r="W254" s="224"/>
      <c r="X254" s="224"/>
      <c r="Y254" s="224"/>
    </row>
    <row r="255" spans="1:25" ht="15.75" hidden="1" customHeight="1" x14ac:dyDescent="0.2">
      <c r="A255" s="224"/>
      <c r="B255" s="217"/>
      <c r="C255" s="218"/>
      <c r="D255" s="218"/>
      <c r="E255" s="218"/>
      <c r="F255" s="170"/>
      <c r="G255" s="170"/>
      <c r="H255" s="170"/>
      <c r="I255" s="170"/>
      <c r="J255" s="216"/>
      <c r="K255" s="224"/>
      <c r="L255" s="224"/>
      <c r="M255" s="224"/>
      <c r="N255" s="224"/>
      <c r="O255" s="224"/>
      <c r="P255" s="224"/>
      <c r="Q255" s="224"/>
      <c r="R255" s="224"/>
      <c r="S255" s="224"/>
      <c r="T255" s="224"/>
      <c r="U255" s="224"/>
      <c r="V255" s="224"/>
      <c r="W255" s="224"/>
      <c r="X255" s="224"/>
      <c r="Y255" s="224"/>
    </row>
    <row r="256" spans="1:25" ht="15.75" hidden="1" customHeight="1" x14ac:dyDescent="0.2">
      <c r="A256" s="224"/>
      <c r="B256" s="217"/>
      <c r="C256" s="218"/>
      <c r="D256" s="218"/>
      <c r="E256" s="218"/>
      <c r="F256" s="170"/>
      <c r="G256" s="170"/>
      <c r="H256" s="170"/>
      <c r="I256" s="170"/>
      <c r="J256" s="216"/>
      <c r="K256" s="224"/>
      <c r="L256" s="224"/>
      <c r="M256" s="224"/>
      <c r="N256" s="224"/>
      <c r="O256" s="224"/>
      <c r="P256" s="224"/>
      <c r="Q256" s="224"/>
      <c r="R256" s="224"/>
      <c r="S256" s="224"/>
      <c r="T256" s="224"/>
      <c r="U256" s="224"/>
      <c r="V256" s="224"/>
      <c r="W256" s="224"/>
      <c r="X256" s="224"/>
      <c r="Y256" s="224"/>
    </row>
    <row r="257" spans="1:25" ht="15.75" hidden="1" customHeight="1" x14ac:dyDescent="0.2">
      <c r="A257" s="224"/>
      <c r="B257" s="217"/>
      <c r="C257" s="218"/>
      <c r="D257" s="218"/>
      <c r="E257" s="218"/>
      <c r="F257" s="170"/>
      <c r="G257" s="170"/>
      <c r="H257" s="170"/>
      <c r="I257" s="170"/>
      <c r="J257" s="216"/>
      <c r="K257" s="224"/>
      <c r="L257" s="224"/>
      <c r="M257" s="224"/>
      <c r="N257" s="224"/>
      <c r="O257" s="224"/>
      <c r="P257" s="224"/>
      <c r="Q257" s="224"/>
      <c r="R257" s="224"/>
      <c r="S257" s="224"/>
      <c r="T257" s="224"/>
      <c r="U257" s="224"/>
      <c r="V257" s="224"/>
      <c r="W257" s="224"/>
      <c r="X257" s="224"/>
      <c r="Y257" s="224"/>
    </row>
    <row r="258" spans="1:25" ht="15.75" hidden="1" customHeight="1" x14ac:dyDescent="0.2">
      <c r="A258" s="224"/>
      <c r="B258" s="217"/>
      <c r="C258" s="218"/>
      <c r="D258" s="218"/>
      <c r="E258" s="218"/>
      <c r="F258" s="170"/>
      <c r="G258" s="170"/>
      <c r="H258" s="170"/>
      <c r="I258" s="170"/>
      <c r="J258" s="216"/>
      <c r="K258" s="224"/>
      <c r="L258" s="224"/>
      <c r="M258" s="224"/>
      <c r="N258" s="224"/>
      <c r="O258" s="224"/>
      <c r="P258" s="224"/>
      <c r="Q258" s="224"/>
      <c r="R258" s="224"/>
      <c r="S258" s="224"/>
      <c r="T258" s="224"/>
      <c r="U258" s="224"/>
      <c r="V258" s="224"/>
      <c r="W258" s="224"/>
      <c r="X258" s="224"/>
      <c r="Y258" s="224"/>
    </row>
    <row r="259" spans="1:25" ht="15.75" hidden="1" customHeight="1" x14ac:dyDescent="0.2">
      <c r="A259" s="224"/>
      <c r="B259" s="217"/>
      <c r="C259" s="218"/>
      <c r="D259" s="218"/>
      <c r="E259" s="218"/>
      <c r="F259" s="170"/>
      <c r="G259" s="170"/>
      <c r="H259" s="170"/>
      <c r="I259" s="170"/>
      <c r="J259" s="216"/>
      <c r="K259" s="224"/>
      <c r="L259" s="224"/>
      <c r="M259" s="224"/>
      <c r="N259" s="224"/>
      <c r="O259" s="224"/>
      <c r="P259" s="224"/>
      <c r="Q259" s="224"/>
      <c r="R259" s="224"/>
      <c r="S259" s="224"/>
      <c r="T259" s="224"/>
      <c r="U259" s="224"/>
      <c r="V259" s="224"/>
      <c r="W259" s="224"/>
      <c r="X259" s="224"/>
      <c r="Y259" s="224"/>
    </row>
    <row r="260" spans="1:25" ht="15.75" hidden="1" customHeight="1" x14ac:dyDescent="0.2">
      <c r="A260" s="224"/>
      <c r="B260" s="217"/>
      <c r="C260" s="218"/>
      <c r="D260" s="218"/>
      <c r="E260" s="218"/>
      <c r="F260" s="170"/>
      <c r="G260" s="170"/>
      <c r="H260" s="170"/>
      <c r="I260" s="170"/>
      <c r="J260" s="216"/>
      <c r="K260" s="224"/>
      <c r="L260" s="224"/>
      <c r="M260" s="224"/>
      <c r="N260" s="224"/>
      <c r="O260" s="224"/>
      <c r="P260" s="224"/>
      <c r="Q260" s="224"/>
      <c r="R260" s="224"/>
      <c r="S260" s="224"/>
      <c r="T260" s="224"/>
      <c r="U260" s="224"/>
      <c r="V260" s="224"/>
      <c r="W260" s="224"/>
      <c r="X260" s="224"/>
      <c r="Y260" s="224"/>
    </row>
    <row r="261" spans="1:25" ht="15.75" hidden="1" customHeight="1" x14ac:dyDescent="0.2">
      <c r="A261" s="224"/>
      <c r="B261" s="217"/>
      <c r="C261" s="218"/>
      <c r="D261" s="218"/>
      <c r="E261" s="218"/>
      <c r="F261" s="170"/>
      <c r="G261" s="170"/>
      <c r="H261" s="170"/>
      <c r="I261" s="170"/>
      <c r="J261" s="216"/>
      <c r="K261" s="224"/>
      <c r="L261" s="224"/>
      <c r="M261" s="224"/>
      <c r="N261" s="224"/>
      <c r="O261" s="224"/>
      <c r="P261" s="224"/>
      <c r="Q261" s="224"/>
      <c r="R261" s="224"/>
      <c r="S261" s="224"/>
      <c r="T261" s="224"/>
      <c r="U261" s="224"/>
      <c r="V261" s="224"/>
      <c r="W261" s="224"/>
      <c r="X261" s="224"/>
      <c r="Y261" s="224"/>
    </row>
    <row r="262" spans="1:25" ht="15.75" hidden="1" customHeight="1" x14ac:dyDescent="0.2">
      <c r="A262" s="224"/>
      <c r="B262" s="217"/>
      <c r="C262" s="218"/>
      <c r="D262" s="218"/>
      <c r="E262" s="218"/>
      <c r="F262" s="170"/>
      <c r="G262" s="170"/>
      <c r="H262" s="170"/>
      <c r="I262" s="170"/>
      <c r="J262" s="216"/>
      <c r="K262" s="224"/>
      <c r="L262" s="224"/>
      <c r="M262" s="224"/>
      <c r="N262" s="224"/>
      <c r="O262" s="224"/>
      <c r="P262" s="224"/>
      <c r="Q262" s="224"/>
      <c r="R262" s="224"/>
      <c r="S262" s="224"/>
      <c r="T262" s="224"/>
      <c r="U262" s="224"/>
      <c r="V262" s="224"/>
      <c r="W262" s="224"/>
      <c r="X262" s="224"/>
      <c r="Y262" s="224"/>
    </row>
    <row r="263" spans="1:25" ht="15.75" hidden="1" customHeight="1" x14ac:dyDescent="0.2">
      <c r="A263" s="224"/>
      <c r="B263" s="217"/>
      <c r="C263" s="218"/>
      <c r="D263" s="218"/>
      <c r="E263" s="218"/>
      <c r="F263" s="170"/>
      <c r="G263" s="170"/>
      <c r="H263" s="170"/>
      <c r="I263" s="170"/>
      <c r="J263" s="216"/>
      <c r="K263" s="224"/>
      <c r="L263" s="224"/>
      <c r="M263" s="224"/>
      <c r="N263" s="224"/>
      <c r="O263" s="224"/>
      <c r="P263" s="224"/>
      <c r="Q263" s="224"/>
      <c r="R263" s="224"/>
      <c r="S263" s="224"/>
      <c r="T263" s="224"/>
      <c r="U263" s="224"/>
      <c r="V263" s="224"/>
      <c r="W263" s="224"/>
      <c r="X263" s="224"/>
      <c r="Y263" s="224"/>
    </row>
    <row r="264" spans="1:25" ht="15.75" hidden="1" customHeight="1" x14ac:dyDescent="0.2">
      <c r="A264" s="224"/>
      <c r="B264" s="217"/>
      <c r="C264" s="218"/>
      <c r="D264" s="218"/>
      <c r="E264" s="218"/>
      <c r="F264" s="170"/>
      <c r="G264" s="170"/>
      <c r="H264" s="170"/>
      <c r="I264" s="170"/>
      <c r="J264" s="216"/>
      <c r="K264" s="224"/>
      <c r="L264" s="224"/>
      <c r="M264" s="224"/>
      <c r="N264" s="224"/>
      <c r="O264" s="224"/>
      <c r="P264" s="224"/>
      <c r="Q264" s="224"/>
      <c r="R264" s="224"/>
      <c r="S264" s="224"/>
      <c r="T264" s="224"/>
      <c r="U264" s="224"/>
      <c r="V264" s="224"/>
      <c r="W264" s="224"/>
      <c r="X264" s="224"/>
      <c r="Y264" s="224"/>
    </row>
    <row r="265" spans="1:25" ht="15.75" hidden="1" customHeight="1" x14ac:dyDescent="0.2">
      <c r="A265" s="224"/>
      <c r="B265" s="217"/>
      <c r="C265" s="218"/>
      <c r="D265" s="218"/>
      <c r="E265" s="218"/>
      <c r="F265" s="170"/>
      <c r="G265" s="170"/>
      <c r="H265" s="170"/>
      <c r="I265" s="170"/>
      <c r="J265" s="216"/>
      <c r="K265" s="224"/>
      <c r="L265" s="224"/>
      <c r="M265" s="224"/>
      <c r="N265" s="224"/>
      <c r="O265" s="224"/>
      <c r="P265" s="224"/>
      <c r="Q265" s="224"/>
      <c r="R265" s="224"/>
      <c r="S265" s="224"/>
      <c r="T265" s="224"/>
      <c r="U265" s="224"/>
      <c r="V265" s="224"/>
      <c r="W265" s="224"/>
      <c r="X265" s="224"/>
      <c r="Y265" s="224"/>
    </row>
    <row r="266" spans="1:25" ht="15.75" hidden="1" customHeight="1" x14ac:dyDescent="0.2">
      <c r="A266" s="224"/>
      <c r="B266" s="217"/>
      <c r="C266" s="218"/>
      <c r="D266" s="218"/>
      <c r="E266" s="218"/>
      <c r="F266" s="170"/>
      <c r="G266" s="170"/>
      <c r="H266" s="170"/>
      <c r="I266" s="170"/>
      <c r="J266" s="216"/>
      <c r="K266" s="224"/>
      <c r="L266" s="224"/>
      <c r="M266" s="224"/>
      <c r="N266" s="224"/>
      <c r="O266" s="224"/>
      <c r="P266" s="224"/>
      <c r="Q266" s="224"/>
      <c r="R266" s="224"/>
      <c r="S266" s="224"/>
      <c r="T266" s="224"/>
      <c r="U266" s="224"/>
      <c r="V266" s="224"/>
      <c r="W266" s="224"/>
      <c r="X266" s="224"/>
      <c r="Y266" s="224"/>
    </row>
    <row r="267" spans="1:25" ht="15.75" hidden="1" customHeight="1" x14ac:dyDescent="0.2">
      <c r="A267" s="224"/>
      <c r="B267" s="217"/>
      <c r="C267" s="218"/>
      <c r="D267" s="218"/>
      <c r="E267" s="218"/>
      <c r="F267" s="170"/>
      <c r="G267" s="170"/>
      <c r="H267" s="170"/>
      <c r="I267" s="170"/>
      <c r="J267" s="216"/>
      <c r="K267" s="224"/>
      <c r="L267" s="224"/>
      <c r="M267" s="224"/>
      <c r="N267" s="224"/>
      <c r="O267" s="224"/>
      <c r="P267" s="224"/>
      <c r="Q267" s="224"/>
      <c r="R267" s="224"/>
      <c r="S267" s="224"/>
      <c r="T267" s="224"/>
      <c r="U267" s="224"/>
      <c r="V267" s="224"/>
      <c r="W267" s="224"/>
      <c r="X267" s="224"/>
      <c r="Y267" s="224"/>
    </row>
    <row r="268" spans="1:25" ht="15.75" hidden="1" customHeight="1" x14ac:dyDescent="0.2">
      <c r="A268" s="224"/>
      <c r="B268" s="217"/>
      <c r="C268" s="218"/>
      <c r="D268" s="218"/>
      <c r="E268" s="218"/>
      <c r="F268" s="170"/>
      <c r="G268" s="170"/>
      <c r="H268" s="170"/>
      <c r="I268" s="170"/>
      <c r="J268" s="216"/>
      <c r="K268" s="224"/>
      <c r="L268" s="224"/>
      <c r="M268" s="224"/>
      <c r="N268" s="224"/>
      <c r="O268" s="224"/>
      <c r="P268" s="224"/>
      <c r="Q268" s="224"/>
      <c r="R268" s="224"/>
      <c r="S268" s="224"/>
      <c r="T268" s="224"/>
      <c r="U268" s="224"/>
      <c r="V268" s="224"/>
      <c r="W268" s="224"/>
      <c r="X268" s="224"/>
      <c r="Y268" s="224"/>
    </row>
    <row r="269" spans="1:25" ht="15.75" hidden="1" customHeight="1" x14ac:dyDescent="0.2">
      <c r="A269" s="224"/>
      <c r="B269" s="217"/>
      <c r="C269" s="218"/>
      <c r="D269" s="218"/>
      <c r="E269" s="218"/>
      <c r="F269" s="170"/>
      <c r="G269" s="170"/>
      <c r="H269" s="170"/>
      <c r="I269" s="170"/>
      <c r="J269" s="216"/>
      <c r="K269" s="224"/>
      <c r="L269" s="224"/>
      <c r="M269" s="224"/>
      <c r="N269" s="224"/>
      <c r="O269" s="224"/>
      <c r="P269" s="224"/>
      <c r="Q269" s="224"/>
      <c r="R269" s="224"/>
      <c r="S269" s="224"/>
      <c r="T269" s="224"/>
      <c r="U269" s="224"/>
      <c r="V269" s="224"/>
      <c r="W269" s="224"/>
      <c r="X269" s="224"/>
      <c r="Y269" s="224"/>
    </row>
    <row r="270" spans="1:25" ht="15.75" hidden="1" customHeight="1" x14ac:dyDescent="0.2">
      <c r="A270" s="224"/>
      <c r="B270" s="217"/>
      <c r="C270" s="218"/>
      <c r="D270" s="218"/>
      <c r="E270" s="218"/>
      <c r="F270" s="170"/>
      <c r="G270" s="170"/>
      <c r="H270" s="170"/>
      <c r="I270" s="170"/>
      <c r="J270" s="216"/>
      <c r="K270" s="224"/>
      <c r="L270" s="224"/>
      <c r="M270" s="224"/>
      <c r="N270" s="224"/>
      <c r="O270" s="224"/>
      <c r="P270" s="224"/>
      <c r="Q270" s="224"/>
      <c r="R270" s="224"/>
      <c r="S270" s="224"/>
      <c r="T270" s="224"/>
      <c r="U270" s="224"/>
      <c r="V270" s="224"/>
      <c r="W270" s="224"/>
      <c r="X270" s="224"/>
      <c r="Y270" s="224"/>
    </row>
    <row r="271" spans="1:25" ht="15.75" hidden="1" customHeight="1" x14ac:dyDescent="0.2">
      <c r="A271" s="224"/>
      <c r="B271" s="217"/>
      <c r="C271" s="218"/>
      <c r="D271" s="218"/>
      <c r="E271" s="218"/>
      <c r="F271" s="170"/>
      <c r="G271" s="170"/>
      <c r="H271" s="170"/>
      <c r="I271" s="170"/>
      <c r="J271" s="216"/>
      <c r="K271" s="224"/>
      <c r="L271" s="224"/>
      <c r="M271" s="224"/>
      <c r="N271" s="224"/>
      <c r="O271" s="224"/>
      <c r="P271" s="224"/>
      <c r="Q271" s="224"/>
      <c r="R271" s="224"/>
      <c r="S271" s="224"/>
      <c r="T271" s="224"/>
      <c r="U271" s="224"/>
      <c r="V271" s="224"/>
      <c r="W271" s="224"/>
      <c r="X271" s="224"/>
      <c r="Y271" s="224"/>
    </row>
    <row r="272" spans="1:25" ht="15.75" hidden="1" customHeight="1" x14ac:dyDescent="0.2">
      <c r="A272" s="224"/>
      <c r="B272" s="217"/>
      <c r="C272" s="218"/>
      <c r="D272" s="218"/>
      <c r="E272" s="218"/>
      <c r="F272" s="170"/>
      <c r="G272" s="170"/>
      <c r="H272" s="170"/>
      <c r="I272" s="170"/>
      <c r="J272" s="216"/>
      <c r="K272" s="224"/>
      <c r="L272" s="224"/>
      <c r="M272" s="224"/>
      <c r="N272" s="224"/>
      <c r="O272" s="224"/>
      <c r="P272" s="224"/>
      <c r="Q272" s="224"/>
      <c r="R272" s="224"/>
      <c r="S272" s="224"/>
      <c r="T272" s="224"/>
      <c r="U272" s="224"/>
      <c r="V272" s="224"/>
      <c r="W272" s="224"/>
      <c r="X272" s="224"/>
      <c r="Y272" s="224"/>
    </row>
    <row r="273" spans="1:25" ht="15.75" hidden="1" customHeight="1" x14ac:dyDescent="0.2">
      <c r="A273" s="224"/>
      <c r="B273" s="217"/>
      <c r="C273" s="218"/>
      <c r="D273" s="218"/>
      <c r="E273" s="218"/>
      <c r="F273" s="170"/>
      <c r="G273" s="170"/>
      <c r="H273" s="170"/>
      <c r="I273" s="170"/>
      <c r="J273" s="216"/>
      <c r="K273" s="224"/>
      <c r="L273" s="224"/>
      <c r="M273" s="224"/>
      <c r="N273" s="224"/>
      <c r="O273" s="224"/>
      <c r="P273" s="224"/>
      <c r="Q273" s="224"/>
      <c r="R273" s="224"/>
      <c r="S273" s="224"/>
      <c r="T273" s="224"/>
      <c r="U273" s="224"/>
      <c r="V273" s="224"/>
      <c r="W273" s="224"/>
      <c r="X273" s="224"/>
      <c r="Y273" s="224"/>
    </row>
    <row r="274" spans="1:25" ht="15.75" hidden="1" customHeight="1" x14ac:dyDescent="0.2">
      <c r="A274" s="224"/>
      <c r="B274" s="217"/>
      <c r="C274" s="218"/>
      <c r="D274" s="218"/>
      <c r="E274" s="218"/>
      <c r="F274" s="170"/>
      <c r="G274" s="170"/>
      <c r="H274" s="170"/>
      <c r="I274" s="170"/>
      <c r="J274" s="216"/>
      <c r="K274" s="224"/>
      <c r="L274" s="224"/>
      <c r="M274" s="224"/>
      <c r="N274" s="224"/>
      <c r="O274" s="224"/>
      <c r="P274" s="224"/>
      <c r="Q274" s="224"/>
      <c r="R274" s="224"/>
      <c r="S274" s="224"/>
      <c r="T274" s="224"/>
      <c r="U274" s="224"/>
      <c r="V274" s="224"/>
      <c r="W274" s="224"/>
      <c r="X274" s="224"/>
      <c r="Y274" s="224"/>
    </row>
    <row r="275" spans="1:25" ht="15.75" hidden="1" customHeight="1" x14ac:dyDescent="0.2">
      <c r="A275" s="224"/>
      <c r="B275" s="217"/>
      <c r="C275" s="218"/>
      <c r="D275" s="218"/>
      <c r="E275" s="218"/>
      <c r="F275" s="170"/>
      <c r="G275" s="170"/>
      <c r="H275" s="170"/>
      <c r="I275" s="170"/>
      <c r="J275" s="216"/>
      <c r="K275" s="224"/>
      <c r="L275" s="224"/>
      <c r="M275" s="224"/>
      <c r="N275" s="224"/>
      <c r="O275" s="224"/>
      <c r="P275" s="224"/>
      <c r="Q275" s="224"/>
      <c r="R275" s="224"/>
      <c r="S275" s="224"/>
      <c r="T275" s="224"/>
      <c r="U275" s="224"/>
      <c r="V275" s="224"/>
      <c r="W275" s="224"/>
      <c r="X275" s="224"/>
      <c r="Y275" s="224"/>
    </row>
    <row r="276" spans="1:25" ht="15.75" hidden="1" customHeight="1" x14ac:dyDescent="0.2">
      <c r="A276" s="224"/>
      <c r="B276" s="217"/>
      <c r="C276" s="218"/>
      <c r="D276" s="218"/>
      <c r="E276" s="218"/>
      <c r="F276" s="170"/>
      <c r="G276" s="170"/>
      <c r="H276" s="170"/>
      <c r="I276" s="170"/>
      <c r="J276" s="216"/>
      <c r="K276" s="224"/>
      <c r="L276" s="224"/>
      <c r="M276" s="224"/>
      <c r="N276" s="224"/>
      <c r="O276" s="224"/>
      <c r="P276" s="224"/>
      <c r="Q276" s="224"/>
      <c r="R276" s="224"/>
      <c r="S276" s="224"/>
      <c r="T276" s="224"/>
      <c r="U276" s="224"/>
      <c r="V276" s="224"/>
      <c r="W276" s="224"/>
      <c r="X276" s="224"/>
      <c r="Y276" s="224"/>
    </row>
    <row r="277" spans="1:25" ht="15.75" hidden="1" customHeight="1" x14ac:dyDescent="0.2">
      <c r="A277" s="224"/>
      <c r="B277" s="217"/>
      <c r="C277" s="218"/>
      <c r="D277" s="218"/>
      <c r="E277" s="218"/>
      <c r="F277" s="170"/>
      <c r="G277" s="170"/>
      <c r="H277" s="170"/>
      <c r="I277" s="170"/>
      <c r="J277" s="216"/>
      <c r="K277" s="224"/>
      <c r="L277" s="224"/>
      <c r="M277" s="224"/>
      <c r="N277" s="224"/>
      <c r="O277" s="224"/>
      <c r="P277" s="224"/>
      <c r="Q277" s="224"/>
      <c r="R277" s="224"/>
      <c r="S277" s="224"/>
      <c r="T277" s="224"/>
      <c r="U277" s="224"/>
      <c r="V277" s="224"/>
      <c r="W277" s="224"/>
      <c r="X277" s="224"/>
      <c r="Y277" s="224"/>
    </row>
    <row r="278" spans="1:25" ht="15.75" hidden="1" customHeight="1" x14ac:dyDescent="0.2">
      <c r="A278" s="224"/>
      <c r="B278" s="217"/>
      <c r="C278" s="218"/>
      <c r="D278" s="218"/>
      <c r="E278" s="218"/>
      <c r="F278" s="170"/>
      <c r="G278" s="170"/>
      <c r="H278" s="170"/>
      <c r="I278" s="170"/>
      <c r="J278" s="216"/>
      <c r="K278" s="224"/>
      <c r="L278" s="224"/>
      <c r="M278" s="224"/>
      <c r="N278" s="224"/>
      <c r="O278" s="224"/>
      <c r="P278" s="224"/>
      <c r="Q278" s="224"/>
      <c r="R278" s="224"/>
      <c r="S278" s="224"/>
      <c r="T278" s="224"/>
      <c r="U278" s="224"/>
      <c r="V278" s="224"/>
      <c r="W278" s="224"/>
      <c r="X278" s="224"/>
      <c r="Y278" s="224"/>
    </row>
    <row r="279" spans="1:25" ht="15.75" hidden="1" customHeight="1" x14ac:dyDescent="0.2">
      <c r="A279" s="224"/>
      <c r="B279" s="217"/>
      <c r="C279" s="218"/>
      <c r="D279" s="218"/>
      <c r="E279" s="218"/>
      <c r="F279" s="170"/>
      <c r="G279" s="170"/>
      <c r="H279" s="170"/>
      <c r="I279" s="170"/>
      <c r="J279" s="216"/>
      <c r="K279" s="224"/>
      <c r="L279" s="224"/>
      <c r="M279" s="224"/>
      <c r="N279" s="224"/>
      <c r="O279" s="224"/>
      <c r="P279" s="224"/>
      <c r="Q279" s="224"/>
      <c r="R279" s="224"/>
      <c r="S279" s="224"/>
      <c r="T279" s="224"/>
      <c r="U279" s="224"/>
      <c r="V279" s="224"/>
      <c r="W279" s="224"/>
      <c r="X279" s="224"/>
      <c r="Y279" s="224"/>
    </row>
    <row r="280" spans="1:25" ht="15.75" hidden="1" customHeight="1" x14ac:dyDescent="0.2">
      <c r="A280" s="224"/>
      <c r="B280" s="217"/>
      <c r="C280" s="218"/>
      <c r="D280" s="218"/>
      <c r="E280" s="218"/>
      <c r="F280" s="170"/>
      <c r="G280" s="170"/>
      <c r="H280" s="170"/>
      <c r="I280" s="170"/>
      <c r="J280" s="216"/>
      <c r="K280" s="224"/>
      <c r="L280" s="224"/>
      <c r="M280" s="224"/>
      <c r="N280" s="224"/>
      <c r="O280" s="224"/>
      <c r="P280" s="224"/>
      <c r="Q280" s="224"/>
      <c r="R280" s="224"/>
      <c r="S280" s="224"/>
      <c r="T280" s="224"/>
      <c r="U280" s="224"/>
      <c r="V280" s="224"/>
      <c r="W280" s="224"/>
      <c r="X280" s="224"/>
      <c r="Y280" s="224"/>
    </row>
    <row r="281" spans="1:25" ht="15.75" hidden="1" customHeight="1" x14ac:dyDescent="0.2">
      <c r="A281" s="224"/>
      <c r="B281" s="217"/>
      <c r="C281" s="218"/>
      <c r="D281" s="218"/>
      <c r="E281" s="218"/>
      <c r="F281" s="170"/>
      <c r="G281" s="170"/>
      <c r="H281" s="170"/>
      <c r="I281" s="170"/>
      <c r="J281" s="216"/>
      <c r="K281" s="224"/>
      <c r="L281" s="224"/>
      <c r="M281" s="224"/>
      <c r="N281" s="224"/>
      <c r="O281" s="224"/>
      <c r="P281" s="224"/>
      <c r="Q281" s="224"/>
      <c r="R281" s="224"/>
      <c r="S281" s="224"/>
      <c r="T281" s="224"/>
      <c r="U281" s="224"/>
      <c r="V281" s="224"/>
      <c r="W281" s="224"/>
      <c r="X281" s="224"/>
      <c r="Y281" s="224"/>
    </row>
    <row r="282" spans="1:25" ht="15.75" hidden="1" customHeight="1" x14ac:dyDescent="0.2">
      <c r="A282" s="224"/>
      <c r="B282" s="217"/>
      <c r="C282" s="218"/>
      <c r="D282" s="218"/>
      <c r="E282" s="218"/>
      <c r="F282" s="170"/>
      <c r="G282" s="170"/>
      <c r="H282" s="170"/>
      <c r="I282" s="170"/>
      <c r="J282" s="216"/>
      <c r="K282" s="224"/>
      <c r="L282" s="224"/>
      <c r="M282" s="224"/>
      <c r="N282" s="224"/>
      <c r="O282" s="224"/>
      <c r="P282" s="224"/>
      <c r="Q282" s="224"/>
      <c r="R282" s="224"/>
      <c r="S282" s="224"/>
      <c r="T282" s="224"/>
      <c r="U282" s="224"/>
      <c r="V282" s="224"/>
      <c r="W282" s="224"/>
      <c r="X282" s="224"/>
      <c r="Y282" s="224"/>
    </row>
    <row r="283" spans="1:25" ht="15.75" hidden="1" customHeight="1" x14ac:dyDescent="0.2">
      <c r="A283" s="224"/>
      <c r="B283" s="217"/>
      <c r="C283" s="218"/>
      <c r="D283" s="218"/>
      <c r="E283" s="218"/>
      <c r="F283" s="170"/>
      <c r="G283" s="170"/>
      <c r="H283" s="170"/>
      <c r="I283" s="170"/>
      <c r="J283" s="216"/>
      <c r="K283" s="224"/>
      <c r="L283" s="224"/>
      <c r="M283" s="224"/>
      <c r="N283" s="224"/>
      <c r="O283" s="224"/>
      <c r="P283" s="224"/>
      <c r="Q283" s="224"/>
      <c r="R283" s="224"/>
      <c r="S283" s="224"/>
      <c r="T283" s="224"/>
      <c r="U283" s="224"/>
      <c r="V283" s="224"/>
      <c r="W283" s="224"/>
      <c r="X283" s="224"/>
      <c r="Y283" s="224"/>
    </row>
    <row r="284" spans="1:25" ht="15.75" hidden="1" customHeight="1" x14ac:dyDescent="0.2">
      <c r="A284" s="224"/>
      <c r="B284" s="217"/>
      <c r="C284" s="218"/>
      <c r="D284" s="218"/>
      <c r="E284" s="218"/>
      <c r="F284" s="170"/>
      <c r="G284" s="170"/>
      <c r="H284" s="170"/>
      <c r="I284" s="170"/>
      <c r="J284" s="216"/>
      <c r="K284" s="224"/>
      <c r="L284" s="224"/>
      <c r="M284" s="224"/>
      <c r="N284" s="224"/>
      <c r="O284" s="224"/>
      <c r="P284" s="224"/>
      <c r="Q284" s="224"/>
      <c r="R284" s="224"/>
      <c r="S284" s="224"/>
      <c r="T284" s="224"/>
      <c r="U284" s="224"/>
      <c r="V284" s="224"/>
      <c r="W284" s="224"/>
      <c r="X284" s="224"/>
      <c r="Y284" s="224"/>
    </row>
    <row r="285" spans="1:25" ht="15.75" hidden="1" customHeight="1" x14ac:dyDescent="0.2">
      <c r="A285" s="224"/>
      <c r="B285" s="217"/>
      <c r="C285" s="218"/>
      <c r="D285" s="218"/>
      <c r="E285" s="218"/>
      <c r="F285" s="170"/>
      <c r="G285" s="170"/>
      <c r="H285" s="170"/>
      <c r="I285" s="170"/>
      <c r="J285" s="216"/>
      <c r="K285" s="224"/>
      <c r="L285" s="224"/>
      <c r="M285" s="224"/>
      <c r="N285" s="224"/>
      <c r="O285" s="224"/>
      <c r="P285" s="224"/>
      <c r="Q285" s="224"/>
      <c r="R285" s="224"/>
      <c r="S285" s="224"/>
      <c r="T285" s="224"/>
      <c r="U285" s="224"/>
      <c r="V285" s="224"/>
      <c r="W285" s="224"/>
      <c r="X285" s="224"/>
      <c r="Y285" s="224"/>
    </row>
    <row r="286" spans="1:25" ht="15.75" hidden="1" customHeight="1" x14ac:dyDescent="0.2">
      <c r="A286" s="224"/>
      <c r="B286" s="217"/>
      <c r="C286" s="218"/>
      <c r="D286" s="218"/>
      <c r="E286" s="218"/>
      <c r="F286" s="170"/>
      <c r="G286" s="170"/>
      <c r="H286" s="170"/>
      <c r="I286" s="170"/>
      <c r="J286" s="216"/>
      <c r="K286" s="224"/>
      <c r="L286" s="224"/>
      <c r="M286" s="224"/>
      <c r="N286" s="224"/>
      <c r="O286" s="224"/>
      <c r="P286" s="224"/>
      <c r="Q286" s="224"/>
      <c r="R286" s="224"/>
      <c r="S286" s="224"/>
      <c r="T286" s="224"/>
      <c r="U286" s="224"/>
      <c r="V286" s="224"/>
      <c r="W286" s="224"/>
      <c r="X286" s="224"/>
      <c r="Y286" s="224"/>
    </row>
    <row r="287" spans="1:25" ht="15.75" hidden="1" customHeight="1" x14ac:dyDescent="0.2">
      <c r="A287" s="224"/>
      <c r="B287" s="217"/>
      <c r="C287" s="218"/>
      <c r="D287" s="218"/>
      <c r="E287" s="218"/>
      <c r="F287" s="170"/>
      <c r="G287" s="170"/>
      <c r="H287" s="170"/>
      <c r="I287" s="170"/>
      <c r="J287" s="216"/>
      <c r="K287" s="224"/>
      <c r="L287" s="224"/>
      <c r="M287" s="224"/>
      <c r="N287" s="224"/>
      <c r="O287" s="224"/>
      <c r="P287" s="224"/>
      <c r="Q287" s="224"/>
      <c r="R287" s="224"/>
      <c r="S287" s="224"/>
      <c r="T287" s="224"/>
      <c r="U287" s="224"/>
      <c r="V287" s="224"/>
      <c r="W287" s="224"/>
      <c r="X287" s="224"/>
      <c r="Y287" s="224"/>
    </row>
    <row r="288" spans="1:25" ht="15.75" hidden="1" customHeight="1" x14ac:dyDescent="0.2">
      <c r="A288" s="224"/>
      <c r="B288" s="217"/>
      <c r="C288" s="218"/>
      <c r="D288" s="218"/>
      <c r="E288" s="218"/>
      <c r="F288" s="170"/>
      <c r="G288" s="170"/>
      <c r="H288" s="170"/>
      <c r="I288" s="170"/>
      <c r="J288" s="216"/>
      <c r="K288" s="224"/>
      <c r="L288" s="224"/>
      <c r="M288" s="224"/>
      <c r="N288" s="224"/>
      <c r="O288" s="224"/>
      <c r="P288" s="224"/>
      <c r="Q288" s="224"/>
      <c r="R288" s="224"/>
      <c r="S288" s="224"/>
      <c r="T288" s="224"/>
      <c r="U288" s="224"/>
      <c r="V288" s="224"/>
      <c r="W288" s="224"/>
      <c r="X288" s="224"/>
      <c r="Y288" s="224"/>
    </row>
    <row r="289" spans="1:25" ht="15.75" hidden="1" customHeight="1" x14ac:dyDescent="0.2">
      <c r="A289" s="224"/>
      <c r="B289" s="217"/>
      <c r="C289" s="218"/>
      <c r="D289" s="218"/>
      <c r="E289" s="218"/>
      <c r="F289" s="170"/>
      <c r="G289" s="170"/>
      <c r="H289" s="170"/>
      <c r="I289" s="170"/>
      <c r="J289" s="216"/>
      <c r="K289" s="224"/>
      <c r="L289" s="224"/>
      <c r="M289" s="224"/>
      <c r="N289" s="224"/>
      <c r="O289" s="224"/>
      <c r="P289" s="224"/>
      <c r="Q289" s="224"/>
      <c r="R289" s="224"/>
      <c r="S289" s="224"/>
      <c r="T289" s="224"/>
      <c r="U289" s="224"/>
      <c r="V289" s="224"/>
      <c r="W289" s="224"/>
      <c r="X289" s="224"/>
      <c r="Y289" s="224"/>
    </row>
    <row r="290" spans="1:25" ht="15.75" hidden="1" customHeight="1" x14ac:dyDescent="0.2">
      <c r="A290" s="224"/>
      <c r="B290" s="217"/>
      <c r="C290" s="218"/>
      <c r="D290" s="218"/>
      <c r="E290" s="218"/>
      <c r="F290" s="170"/>
      <c r="G290" s="170"/>
      <c r="H290" s="170"/>
      <c r="I290" s="170"/>
      <c r="J290" s="216"/>
      <c r="K290" s="224"/>
      <c r="L290" s="224"/>
      <c r="M290" s="224"/>
      <c r="N290" s="224"/>
      <c r="O290" s="224"/>
      <c r="P290" s="224"/>
      <c r="Q290" s="224"/>
      <c r="R290" s="224"/>
      <c r="S290" s="224"/>
      <c r="T290" s="224"/>
      <c r="U290" s="224"/>
      <c r="V290" s="224"/>
      <c r="W290" s="224"/>
      <c r="X290" s="224"/>
      <c r="Y290" s="224"/>
    </row>
    <row r="291" spans="1:25" ht="15.75" hidden="1" customHeight="1" x14ac:dyDescent="0.2">
      <c r="A291" s="224"/>
      <c r="B291" s="217"/>
      <c r="C291" s="218"/>
      <c r="D291" s="218"/>
      <c r="E291" s="218"/>
      <c r="F291" s="170"/>
      <c r="G291" s="170"/>
      <c r="H291" s="170"/>
      <c r="I291" s="170"/>
      <c r="J291" s="216"/>
      <c r="K291" s="224"/>
      <c r="L291" s="224"/>
      <c r="M291" s="224"/>
      <c r="N291" s="224"/>
      <c r="O291" s="224"/>
      <c r="P291" s="224"/>
      <c r="Q291" s="224"/>
      <c r="R291" s="224"/>
      <c r="S291" s="224"/>
      <c r="T291" s="224"/>
      <c r="U291" s="224"/>
      <c r="V291" s="224"/>
      <c r="W291" s="224"/>
      <c r="X291" s="224"/>
      <c r="Y291" s="224"/>
    </row>
    <row r="292" spans="1:25" ht="15.75" hidden="1" customHeight="1" x14ac:dyDescent="0.2">
      <c r="A292" s="224"/>
      <c r="B292" s="217"/>
      <c r="C292" s="218"/>
      <c r="D292" s="218"/>
      <c r="E292" s="218"/>
      <c r="F292" s="170"/>
      <c r="G292" s="170"/>
      <c r="H292" s="170"/>
      <c r="I292" s="170"/>
      <c r="J292" s="216"/>
      <c r="K292" s="224"/>
      <c r="L292" s="224"/>
      <c r="M292" s="224"/>
      <c r="N292" s="224"/>
      <c r="O292" s="224"/>
      <c r="P292" s="224"/>
      <c r="Q292" s="224"/>
      <c r="R292" s="224"/>
      <c r="S292" s="224"/>
      <c r="T292" s="224"/>
      <c r="U292" s="224"/>
      <c r="V292" s="224"/>
      <c r="W292" s="224"/>
      <c r="X292" s="224"/>
      <c r="Y292" s="224"/>
    </row>
    <row r="293" spans="1:25" ht="15.75" hidden="1" customHeight="1" x14ac:dyDescent="0.2">
      <c r="A293" s="224"/>
      <c r="B293" s="217"/>
      <c r="C293" s="218"/>
      <c r="D293" s="218"/>
      <c r="E293" s="218"/>
      <c r="F293" s="170"/>
      <c r="G293" s="170"/>
      <c r="H293" s="170"/>
      <c r="I293" s="170"/>
      <c r="J293" s="216"/>
      <c r="K293" s="224"/>
      <c r="L293" s="224"/>
      <c r="M293" s="224"/>
      <c r="N293" s="224"/>
      <c r="O293" s="224"/>
      <c r="P293" s="224"/>
      <c r="Q293" s="224"/>
      <c r="R293" s="224"/>
      <c r="S293" s="224"/>
      <c r="T293" s="224"/>
      <c r="U293" s="224"/>
      <c r="V293" s="224"/>
      <c r="W293" s="224"/>
      <c r="X293" s="224"/>
      <c r="Y293" s="224"/>
    </row>
    <row r="294" spans="1:25" ht="15.75" hidden="1" customHeight="1" x14ac:dyDescent="0.2">
      <c r="A294" s="224"/>
      <c r="B294" s="217"/>
      <c r="C294" s="218"/>
      <c r="D294" s="218"/>
      <c r="E294" s="218"/>
      <c r="F294" s="170"/>
      <c r="G294" s="170"/>
      <c r="H294" s="170"/>
      <c r="I294" s="170"/>
      <c r="J294" s="216"/>
      <c r="K294" s="224"/>
      <c r="L294" s="224"/>
      <c r="M294" s="224"/>
      <c r="N294" s="224"/>
      <c r="O294" s="224"/>
      <c r="P294" s="224"/>
      <c r="Q294" s="224"/>
      <c r="R294" s="224"/>
      <c r="S294" s="224"/>
      <c r="T294" s="224"/>
      <c r="U294" s="224"/>
      <c r="V294" s="224"/>
      <c r="W294" s="224"/>
      <c r="X294" s="224"/>
      <c r="Y294" s="224"/>
    </row>
    <row r="295" spans="1:25" ht="15.75" hidden="1" customHeight="1" x14ac:dyDescent="0.2">
      <c r="A295" s="224"/>
      <c r="B295" s="217"/>
      <c r="C295" s="218"/>
      <c r="D295" s="218"/>
      <c r="E295" s="218"/>
      <c r="F295" s="170"/>
      <c r="G295" s="170"/>
      <c r="H295" s="170"/>
      <c r="I295" s="170"/>
      <c r="J295" s="216"/>
      <c r="K295" s="224"/>
      <c r="L295" s="224"/>
      <c r="M295" s="224"/>
      <c r="N295" s="224"/>
      <c r="O295" s="224"/>
      <c r="P295" s="224"/>
      <c r="Q295" s="224"/>
      <c r="R295" s="224"/>
      <c r="S295" s="224"/>
      <c r="T295" s="224"/>
      <c r="U295" s="224"/>
      <c r="V295" s="224"/>
      <c r="W295" s="224"/>
      <c r="X295" s="224"/>
      <c r="Y295" s="224"/>
    </row>
    <row r="296" spans="1:25" ht="15.75" hidden="1" customHeight="1" x14ac:dyDescent="0.2">
      <c r="A296" s="224"/>
      <c r="B296" s="217"/>
      <c r="C296" s="218"/>
      <c r="D296" s="218"/>
      <c r="E296" s="218"/>
      <c r="F296" s="170"/>
      <c r="G296" s="170"/>
      <c r="H296" s="170"/>
      <c r="I296" s="170"/>
      <c r="J296" s="216"/>
      <c r="K296" s="224"/>
      <c r="L296" s="224"/>
      <c r="M296" s="224"/>
      <c r="N296" s="224"/>
      <c r="O296" s="224"/>
      <c r="P296" s="224"/>
      <c r="Q296" s="224"/>
      <c r="R296" s="224"/>
      <c r="S296" s="224"/>
      <c r="T296" s="224"/>
      <c r="U296" s="224"/>
      <c r="V296" s="224"/>
      <c r="W296" s="224"/>
      <c r="X296" s="224"/>
      <c r="Y296" s="224"/>
    </row>
    <row r="297" spans="1:25" ht="15.75" hidden="1" customHeight="1" x14ac:dyDescent="0.2">
      <c r="A297" s="224"/>
      <c r="B297" s="217"/>
      <c r="C297" s="218"/>
      <c r="D297" s="218"/>
      <c r="E297" s="218"/>
      <c r="F297" s="170"/>
      <c r="G297" s="170"/>
      <c r="H297" s="170"/>
      <c r="I297" s="170"/>
      <c r="J297" s="216"/>
      <c r="K297" s="224"/>
      <c r="L297" s="224"/>
      <c r="M297" s="224"/>
      <c r="N297" s="224"/>
      <c r="O297" s="224"/>
      <c r="P297" s="224"/>
      <c r="Q297" s="224"/>
      <c r="R297" s="224"/>
      <c r="S297" s="224"/>
      <c r="T297" s="224"/>
      <c r="U297" s="224"/>
      <c r="V297" s="224"/>
      <c r="W297" s="224"/>
      <c r="X297" s="224"/>
      <c r="Y297" s="224"/>
    </row>
    <row r="298" spans="1:25" ht="15.75" hidden="1" customHeight="1" x14ac:dyDescent="0.2">
      <c r="A298" s="224"/>
      <c r="B298" s="217"/>
      <c r="C298" s="218"/>
      <c r="D298" s="218"/>
      <c r="E298" s="218"/>
      <c r="F298" s="170"/>
      <c r="G298" s="170"/>
      <c r="H298" s="170"/>
      <c r="I298" s="170"/>
      <c r="J298" s="216"/>
      <c r="K298" s="224"/>
      <c r="L298" s="224"/>
      <c r="M298" s="224"/>
      <c r="N298" s="224"/>
      <c r="O298" s="224"/>
      <c r="P298" s="224"/>
      <c r="Q298" s="224"/>
      <c r="R298" s="224"/>
      <c r="S298" s="224"/>
      <c r="T298" s="224"/>
      <c r="U298" s="224"/>
      <c r="V298" s="224"/>
      <c r="W298" s="224"/>
      <c r="X298" s="224"/>
      <c r="Y298" s="224"/>
    </row>
    <row r="299" spans="1:25" ht="15.75" hidden="1" customHeight="1" x14ac:dyDescent="0.2">
      <c r="A299" s="224"/>
      <c r="B299" s="217"/>
      <c r="C299" s="218"/>
      <c r="D299" s="218"/>
      <c r="E299" s="218"/>
      <c r="F299" s="170"/>
      <c r="G299" s="170"/>
      <c r="H299" s="170"/>
      <c r="I299" s="170"/>
      <c r="J299" s="216"/>
      <c r="K299" s="224"/>
      <c r="L299" s="224"/>
      <c r="M299" s="224"/>
      <c r="N299" s="224"/>
      <c r="O299" s="224"/>
      <c r="P299" s="224"/>
      <c r="Q299" s="224"/>
      <c r="R299" s="224"/>
      <c r="S299" s="224"/>
      <c r="T299" s="224"/>
      <c r="U299" s="224"/>
      <c r="V299" s="224"/>
      <c r="W299" s="224"/>
      <c r="X299" s="224"/>
      <c r="Y299" s="224"/>
    </row>
    <row r="300" spans="1:25" ht="15.75" hidden="1" customHeight="1" x14ac:dyDescent="0.2">
      <c r="A300" s="224"/>
      <c r="B300" s="217"/>
      <c r="C300" s="218"/>
      <c r="D300" s="218"/>
      <c r="E300" s="218"/>
      <c r="F300" s="170"/>
      <c r="G300" s="170"/>
      <c r="H300" s="170"/>
      <c r="I300" s="170"/>
      <c r="J300" s="216"/>
      <c r="K300" s="224"/>
      <c r="L300" s="224"/>
      <c r="M300" s="224"/>
      <c r="N300" s="224"/>
      <c r="O300" s="224"/>
      <c r="P300" s="224"/>
      <c r="Q300" s="224"/>
      <c r="R300" s="224"/>
      <c r="S300" s="224"/>
      <c r="T300" s="224"/>
      <c r="U300" s="224"/>
      <c r="V300" s="224"/>
      <c r="W300" s="224"/>
      <c r="X300" s="224"/>
      <c r="Y300" s="224"/>
    </row>
    <row r="301" spans="1:25" ht="15.75" hidden="1" customHeight="1" x14ac:dyDescent="0.2">
      <c r="A301" s="224"/>
      <c r="B301" s="217"/>
      <c r="C301" s="218"/>
      <c r="D301" s="218"/>
      <c r="E301" s="218"/>
      <c r="F301" s="170"/>
      <c r="G301" s="170"/>
      <c r="H301" s="170"/>
      <c r="I301" s="170"/>
      <c r="J301" s="216"/>
      <c r="K301" s="224"/>
      <c r="L301" s="224"/>
      <c r="M301" s="224"/>
      <c r="N301" s="224"/>
      <c r="O301" s="224"/>
      <c r="P301" s="224"/>
      <c r="Q301" s="224"/>
      <c r="R301" s="224"/>
      <c r="S301" s="224"/>
      <c r="T301" s="224"/>
      <c r="U301" s="224"/>
      <c r="V301" s="224"/>
      <c r="W301" s="224"/>
      <c r="X301" s="224"/>
      <c r="Y301" s="224"/>
    </row>
    <row r="302" spans="1:25" ht="15.75" hidden="1" customHeight="1" x14ac:dyDescent="0.2">
      <c r="A302" s="224"/>
      <c r="B302" s="217"/>
      <c r="C302" s="218"/>
      <c r="D302" s="218"/>
      <c r="E302" s="218"/>
      <c r="F302" s="170"/>
      <c r="G302" s="170"/>
      <c r="H302" s="170"/>
      <c r="I302" s="170"/>
      <c r="J302" s="216"/>
      <c r="K302" s="224"/>
      <c r="L302" s="224"/>
      <c r="M302" s="224"/>
      <c r="N302" s="224"/>
      <c r="O302" s="224"/>
      <c r="P302" s="224"/>
      <c r="Q302" s="224"/>
      <c r="R302" s="224"/>
      <c r="S302" s="224"/>
      <c r="T302" s="224"/>
      <c r="U302" s="224"/>
      <c r="V302" s="224"/>
      <c r="W302" s="224"/>
      <c r="X302" s="224"/>
      <c r="Y302" s="224"/>
    </row>
    <row r="303" spans="1:25" ht="15.75" hidden="1" customHeight="1" x14ac:dyDescent="0.2">
      <c r="A303" s="224"/>
      <c r="B303" s="217"/>
      <c r="C303" s="218"/>
      <c r="D303" s="218"/>
      <c r="E303" s="218"/>
      <c r="F303" s="170"/>
      <c r="G303" s="170"/>
      <c r="H303" s="170"/>
      <c r="I303" s="170"/>
      <c r="J303" s="216"/>
      <c r="K303" s="224"/>
      <c r="L303" s="224"/>
      <c r="M303" s="224"/>
      <c r="N303" s="224"/>
      <c r="O303" s="224"/>
      <c r="P303" s="224"/>
      <c r="Q303" s="224"/>
      <c r="R303" s="224"/>
      <c r="S303" s="224"/>
      <c r="T303" s="224"/>
      <c r="U303" s="224"/>
      <c r="V303" s="224"/>
      <c r="W303" s="224"/>
      <c r="X303" s="224"/>
      <c r="Y303" s="224"/>
    </row>
    <row r="304" spans="1:25" ht="15.75" hidden="1" customHeight="1" x14ac:dyDescent="0.2">
      <c r="A304" s="224"/>
      <c r="B304" s="217"/>
      <c r="C304" s="218"/>
      <c r="D304" s="218"/>
      <c r="E304" s="218"/>
      <c r="F304" s="170"/>
      <c r="G304" s="170"/>
      <c r="H304" s="170"/>
      <c r="I304" s="170"/>
      <c r="J304" s="216"/>
      <c r="K304" s="224"/>
      <c r="L304" s="224"/>
      <c r="M304" s="224"/>
      <c r="N304" s="224"/>
      <c r="O304" s="224"/>
      <c r="P304" s="224"/>
      <c r="Q304" s="224"/>
      <c r="R304" s="224"/>
      <c r="S304" s="224"/>
      <c r="T304" s="224"/>
      <c r="U304" s="224"/>
      <c r="V304" s="224"/>
      <c r="W304" s="224"/>
      <c r="X304" s="224"/>
      <c r="Y304" s="224"/>
    </row>
    <row r="305" spans="1:25" ht="15.75" hidden="1" customHeight="1" x14ac:dyDescent="0.2">
      <c r="A305" s="224"/>
      <c r="B305" s="217"/>
      <c r="C305" s="218"/>
      <c r="D305" s="218"/>
      <c r="E305" s="218"/>
      <c r="F305" s="170"/>
      <c r="G305" s="170"/>
      <c r="H305" s="170"/>
      <c r="I305" s="170"/>
      <c r="J305" s="216"/>
      <c r="K305" s="224"/>
      <c r="L305" s="224"/>
      <c r="M305" s="224"/>
      <c r="N305" s="224"/>
      <c r="O305" s="224"/>
      <c r="P305" s="224"/>
      <c r="Q305" s="224"/>
      <c r="R305" s="224"/>
      <c r="S305" s="224"/>
      <c r="T305" s="224"/>
      <c r="U305" s="224"/>
      <c r="V305" s="224"/>
      <c r="W305" s="224"/>
      <c r="X305" s="224"/>
      <c r="Y305" s="224"/>
    </row>
    <row r="306" spans="1:25" ht="15.75" hidden="1" customHeight="1" x14ac:dyDescent="0.2">
      <c r="A306" s="224"/>
      <c r="B306" s="217"/>
      <c r="C306" s="218"/>
      <c r="D306" s="218"/>
      <c r="E306" s="218"/>
      <c r="F306" s="170"/>
      <c r="G306" s="170"/>
      <c r="H306" s="170"/>
      <c r="I306" s="170"/>
      <c r="J306" s="216"/>
      <c r="K306" s="224"/>
      <c r="L306" s="224"/>
      <c r="M306" s="224"/>
      <c r="N306" s="224"/>
      <c r="O306" s="224"/>
      <c r="P306" s="224"/>
      <c r="Q306" s="224"/>
      <c r="R306" s="224"/>
      <c r="S306" s="224"/>
      <c r="T306" s="224"/>
      <c r="U306" s="224"/>
      <c r="V306" s="224"/>
      <c r="W306" s="224"/>
      <c r="X306" s="224"/>
      <c r="Y306" s="224"/>
    </row>
    <row r="307" spans="1:25" ht="15.75" hidden="1" customHeight="1" x14ac:dyDescent="0.2">
      <c r="A307" s="224"/>
      <c r="B307" s="217"/>
      <c r="C307" s="218"/>
      <c r="D307" s="218"/>
      <c r="E307" s="218"/>
      <c r="F307" s="170"/>
      <c r="G307" s="170"/>
      <c r="H307" s="170"/>
      <c r="I307" s="170"/>
      <c r="J307" s="216"/>
      <c r="K307" s="224"/>
      <c r="L307" s="224"/>
      <c r="M307" s="224"/>
      <c r="N307" s="224"/>
      <c r="O307" s="224"/>
      <c r="P307" s="224"/>
      <c r="Q307" s="224"/>
      <c r="R307" s="224"/>
      <c r="S307" s="224"/>
      <c r="T307" s="224"/>
      <c r="U307" s="224"/>
      <c r="V307" s="224"/>
      <c r="W307" s="224"/>
      <c r="X307" s="224"/>
      <c r="Y307" s="224"/>
    </row>
    <row r="308" spans="1:25" ht="15.75" hidden="1" customHeight="1" x14ac:dyDescent="0.2">
      <c r="A308" s="224"/>
      <c r="B308" s="217"/>
      <c r="C308" s="218"/>
      <c r="D308" s="218"/>
      <c r="E308" s="218"/>
      <c r="F308" s="170"/>
      <c r="G308" s="170"/>
      <c r="H308" s="170"/>
      <c r="I308" s="170"/>
      <c r="J308" s="216"/>
      <c r="K308" s="224"/>
      <c r="L308" s="224"/>
      <c r="M308" s="224"/>
      <c r="N308" s="224"/>
      <c r="O308" s="224"/>
      <c r="P308" s="224"/>
      <c r="Q308" s="224"/>
      <c r="R308" s="224"/>
      <c r="S308" s="224"/>
      <c r="T308" s="224"/>
      <c r="U308" s="224"/>
      <c r="V308" s="224"/>
      <c r="W308" s="224"/>
      <c r="X308" s="224"/>
      <c r="Y308" s="224"/>
    </row>
    <row r="309" spans="1:25" ht="15.75" hidden="1" customHeight="1" x14ac:dyDescent="0.2">
      <c r="A309" s="224"/>
      <c r="B309" s="217"/>
      <c r="C309" s="218"/>
      <c r="D309" s="218"/>
      <c r="E309" s="218"/>
      <c r="F309" s="170"/>
      <c r="G309" s="170"/>
      <c r="H309" s="170"/>
      <c r="I309" s="170"/>
      <c r="J309" s="216"/>
      <c r="K309" s="224"/>
      <c r="L309" s="224"/>
      <c r="M309" s="224"/>
      <c r="N309" s="224"/>
      <c r="O309" s="224"/>
      <c r="P309" s="224"/>
      <c r="Q309" s="224"/>
      <c r="R309" s="224"/>
      <c r="S309" s="224"/>
      <c r="T309" s="224"/>
      <c r="U309" s="224"/>
      <c r="V309" s="224"/>
      <c r="W309" s="224"/>
      <c r="X309" s="224"/>
      <c r="Y309" s="224"/>
    </row>
    <row r="310" spans="1:25" ht="15.75" hidden="1" customHeight="1" x14ac:dyDescent="0.2">
      <c r="A310" s="224"/>
      <c r="B310" s="217"/>
      <c r="C310" s="218"/>
      <c r="D310" s="218"/>
      <c r="E310" s="218"/>
      <c r="F310" s="170"/>
      <c r="G310" s="170"/>
      <c r="H310" s="170"/>
      <c r="I310" s="170"/>
      <c r="J310" s="216"/>
      <c r="K310" s="224"/>
      <c r="L310" s="224"/>
      <c r="M310" s="224"/>
      <c r="N310" s="224"/>
      <c r="O310" s="224"/>
      <c r="P310" s="224"/>
      <c r="Q310" s="224"/>
      <c r="R310" s="224"/>
      <c r="S310" s="224"/>
      <c r="T310" s="224"/>
      <c r="U310" s="224"/>
      <c r="V310" s="224"/>
      <c r="W310" s="224"/>
      <c r="X310" s="224"/>
      <c r="Y310" s="224"/>
    </row>
    <row r="311" spans="1:25" ht="15.75" hidden="1" customHeight="1" x14ac:dyDescent="0.2">
      <c r="A311" s="224"/>
      <c r="B311" s="217"/>
      <c r="C311" s="218"/>
      <c r="D311" s="218"/>
      <c r="E311" s="218"/>
      <c r="F311" s="170"/>
      <c r="G311" s="170"/>
      <c r="H311" s="170"/>
      <c r="I311" s="170"/>
      <c r="J311" s="216"/>
      <c r="K311" s="224"/>
      <c r="L311" s="224"/>
      <c r="M311" s="224"/>
      <c r="N311" s="224"/>
      <c r="O311" s="224"/>
      <c r="P311" s="224"/>
      <c r="Q311" s="224"/>
      <c r="R311" s="224"/>
      <c r="S311" s="224"/>
      <c r="T311" s="224"/>
      <c r="U311" s="224"/>
      <c r="V311" s="224"/>
      <c r="W311" s="224"/>
      <c r="X311" s="224"/>
      <c r="Y311" s="224"/>
    </row>
    <row r="312" spans="1:25" ht="15.75" hidden="1" customHeight="1" x14ac:dyDescent="0.2">
      <c r="A312" s="224"/>
      <c r="B312" s="217"/>
      <c r="C312" s="218"/>
      <c r="D312" s="218"/>
      <c r="E312" s="218"/>
      <c r="F312" s="170"/>
      <c r="G312" s="170"/>
      <c r="H312" s="170"/>
      <c r="I312" s="170"/>
      <c r="J312" s="216"/>
      <c r="K312" s="224"/>
      <c r="L312" s="224"/>
      <c r="M312" s="224"/>
      <c r="N312" s="224"/>
      <c r="O312" s="224"/>
      <c r="P312" s="224"/>
      <c r="Q312" s="224"/>
      <c r="R312" s="224"/>
      <c r="S312" s="224"/>
      <c r="T312" s="224"/>
      <c r="U312" s="224"/>
      <c r="V312" s="224"/>
      <c r="W312" s="224"/>
      <c r="X312" s="224"/>
      <c r="Y312" s="224"/>
    </row>
    <row r="313" spans="1:25" ht="15.75" hidden="1" customHeight="1" x14ac:dyDescent="0.2">
      <c r="A313" s="224"/>
      <c r="B313" s="217"/>
      <c r="C313" s="218"/>
      <c r="D313" s="218"/>
      <c r="E313" s="218"/>
      <c r="F313" s="170"/>
      <c r="G313" s="170"/>
      <c r="H313" s="170"/>
      <c r="I313" s="170"/>
      <c r="J313" s="216"/>
      <c r="K313" s="224"/>
      <c r="L313" s="224"/>
      <c r="M313" s="224"/>
      <c r="N313" s="224"/>
      <c r="O313" s="224"/>
      <c r="P313" s="224"/>
      <c r="Q313" s="224"/>
      <c r="R313" s="224"/>
      <c r="S313" s="224"/>
      <c r="T313" s="224"/>
      <c r="U313" s="224"/>
      <c r="V313" s="224"/>
      <c r="W313" s="224"/>
      <c r="X313" s="224"/>
      <c r="Y313" s="224"/>
    </row>
    <row r="314" spans="1:25" ht="15.75" hidden="1" customHeight="1" x14ac:dyDescent="0.2">
      <c r="A314" s="224"/>
      <c r="B314" s="217"/>
      <c r="C314" s="218"/>
      <c r="D314" s="218"/>
      <c r="E314" s="218"/>
      <c r="F314" s="170"/>
      <c r="G314" s="170"/>
      <c r="H314" s="170"/>
      <c r="I314" s="170"/>
      <c r="J314" s="216"/>
      <c r="K314" s="224"/>
      <c r="L314" s="224"/>
      <c r="M314" s="224"/>
      <c r="N314" s="224"/>
      <c r="O314" s="224"/>
      <c r="P314" s="224"/>
      <c r="Q314" s="224"/>
      <c r="R314" s="224"/>
      <c r="S314" s="224"/>
      <c r="T314" s="224"/>
      <c r="U314" s="224"/>
      <c r="V314" s="224"/>
      <c r="W314" s="224"/>
      <c r="X314" s="224"/>
      <c r="Y314" s="224"/>
    </row>
    <row r="315" spans="1:25" ht="15.75" hidden="1" customHeight="1" x14ac:dyDescent="0.2">
      <c r="A315" s="224"/>
      <c r="B315" s="217"/>
      <c r="C315" s="218"/>
      <c r="D315" s="218"/>
      <c r="E315" s="218"/>
      <c r="F315" s="170"/>
      <c r="G315" s="170"/>
      <c r="H315" s="170"/>
      <c r="I315" s="170"/>
      <c r="J315" s="216"/>
      <c r="K315" s="224"/>
      <c r="L315" s="224"/>
      <c r="M315" s="224"/>
      <c r="N315" s="224"/>
      <c r="O315" s="224"/>
      <c r="P315" s="224"/>
      <c r="Q315" s="224"/>
      <c r="R315" s="224"/>
      <c r="S315" s="224"/>
      <c r="T315" s="224"/>
      <c r="U315" s="224"/>
      <c r="V315" s="224"/>
      <c r="W315" s="224"/>
      <c r="X315" s="224"/>
      <c r="Y315" s="224"/>
    </row>
    <row r="316" spans="1:25" ht="15.75" hidden="1" customHeight="1" x14ac:dyDescent="0.2">
      <c r="A316" s="224"/>
      <c r="B316" s="217"/>
      <c r="C316" s="218"/>
      <c r="D316" s="218"/>
      <c r="E316" s="218"/>
      <c r="F316" s="170"/>
      <c r="G316" s="170"/>
      <c r="H316" s="170"/>
      <c r="I316" s="170"/>
      <c r="J316" s="216"/>
      <c r="K316" s="224"/>
      <c r="L316" s="224"/>
      <c r="M316" s="224"/>
      <c r="N316" s="224"/>
      <c r="O316" s="224"/>
      <c r="P316" s="224"/>
      <c r="Q316" s="224"/>
      <c r="R316" s="224"/>
      <c r="S316" s="224"/>
      <c r="T316" s="224"/>
      <c r="U316" s="224"/>
      <c r="V316" s="224"/>
      <c r="W316" s="224"/>
      <c r="X316" s="224"/>
      <c r="Y316" s="224"/>
    </row>
    <row r="317" spans="1:25" ht="15.75" hidden="1" customHeight="1" x14ac:dyDescent="0.2">
      <c r="A317" s="224"/>
      <c r="B317" s="217"/>
      <c r="C317" s="218"/>
      <c r="D317" s="218"/>
      <c r="E317" s="218"/>
      <c r="F317" s="170"/>
      <c r="G317" s="170"/>
      <c r="H317" s="170"/>
      <c r="I317" s="170"/>
      <c r="J317" s="216"/>
      <c r="K317" s="224"/>
      <c r="L317" s="224"/>
      <c r="M317" s="224"/>
      <c r="N317" s="224"/>
      <c r="O317" s="224"/>
      <c r="P317" s="224"/>
      <c r="Q317" s="224"/>
      <c r="R317" s="224"/>
      <c r="S317" s="224"/>
      <c r="T317" s="224"/>
      <c r="U317" s="224"/>
      <c r="V317" s="224"/>
      <c r="W317" s="224"/>
      <c r="X317" s="224"/>
      <c r="Y317" s="224"/>
    </row>
    <row r="318" spans="1:25" ht="15.75" hidden="1" customHeight="1" x14ac:dyDescent="0.2">
      <c r="A318" s="224"/>
      <c r="B318" s="217"/>
      <c r="C318" s="218"/>
      <c r="D318" s="218"/>
      <c r="E318" s="218"/>
      <c r="F318" s="170"/>
      <c r="G318" s="170"/>
      <c r="H318" s="170"/>
      <c r="I318" s="170"/>
      <c r="J318" s="216"/>
      <c r="K318" s="224"/>
      <c r="L318" s="224"/>
      <c r="M318" s="224"/>
      <c r="N318" s="224"/>
      <c r="O318" s="224"/>
      <c r="P318" s="224"/>
      <c r="Q318" s="224"/>
      <c r="R318" s="224"/>
      <c r="S318" s="224"/>
      <c r="T318" s="224"/>
      <c r="U318" s="224"/>
      <c r="V318" s="224"/>
      <c r="W318" s="224"/>
      <c r="X318" s="224"/>
      <c r="Y318" s="224"/>
    </row>
    <row r="319" spans="1:25" ht="15.75" hidden="1" customHeight="1" x14ac:dyDescent="0.2">
      <c r="A319" s="224"/>
      <c r="B319" s="217"/>
      <c r="C319" s="218"/>
      <c r="D319" s="218"/>
      <c r="E319" s="218"/>
      <c r="F319" s="170"/>
      <c r="G319" s="170"/>
      <c r="H319" s="170"/>
      <c r="I319" s="170"/>
      <c r="J319" s="216"/>
      <c r="K319" s="224"/>
      <c r="L319" s="224"/>
      <c r="M319" s="224"/>
      <c r="N319" s="224"/>
      <c r="O319" s="224"/>
      <c r="P319" s="224"/>
      <c r="Q319" s="224"/>
      <c r="R319" s="224"/>
      <c r="S319" s="224"/>
      <c r="T319" s="224"/>
      <c r="U319" s="224"/>
      <c r="V319" s="224"/>
      <c r="W319" s="224"/>
      <c r="X319" s="224"/>
      <c r="Y319" s="224"/>
    </row>
    <row r="320" spans="1:25" ht="15.75" hidden="1" customHeight="1" x14ac:dyDescent="0.2">
      <c r="A320" s="224"/>
      <c r="B320" s="217"/>
      <c r="C320" s="218"/>
      <c r="D320" s="218"/>
      <c r="E320" s="218"/>
      <c r="F320" s="170"/>
      <c r="G320" s="170"/>
      <c r="H320" s="170"/>
      <c r="I320" s="170"/>
      <c r="J320" s="216"/>
      <c r="K320" s="224"/>
      <c r="L320" s="224"/>
      <c r="M320" s="224"/>
      <c r="N320" s="224"/>
      <c r="O320" s="224"/>
      <c r="P320" s="224"/>
      <c r="Q320" s="224"/>
      <c r="R320" s="224"/>
      <c r="S320" s="224"/>
      <c r="T320" s="224"/>
      <c r="U320" s="224"/>
      <c r="V320" s="224"/>
      <c r="W320" s="224"/>
      <c r="X320" s="224"/>
      <c r="Y320" s="224"/>
    </row>
    <row r="321" spans="1:25" ht="15.75" hidden="1" customHeight="1" x14ac:dyDescent="0.2">
      <c r="A321" s="224"/>
      <c r="B321" s="217"/>
      <c r="C321" s="218"/>
      <c r="D321" s="218"/>
      <c r="E321" s="218"/>
      <c r="F321" s="170"/>
      <c r="G321" s="170"/>
      <c r="H321" s="170"/>
      <c r="I321" s="170"/>
      <c r="J321" s="216"/>
      <c r="K321" s="224"/>
      <c r="L321" s="224"/>
      <c r="M321" s="224"/>
      <c r="N321" s="224"/>
      <c r="O321" s="224"/>
      <c r="P321" s="224"/>
      <c r="Q321" s="224"/>
      <c r="R321" s="224"/>
      <c r="S321" s="224"/>
      <c r="T321" s="224"/>
      <c r="U321" s="224"/>
      <c r="V321" s="224"/>
      <c r="W321" s="224"/>
      <c r="X321" s="224"/>
      <c r="Y321" s="224"/>
    </row>
    <row r="322" spans="1:25" ht="15.75" hidden="1" customHeight="1" x14ac:dyDescent="0.2">
      <c r="A322" s="224"/>
      <c r="B322" s="217"/>
      <c r="C322" s="218"/>
      <c r="D322" s="218"/>
      <c r="E322" s="218"/>
      <c r="F322" s="170"/>
      <c r="G322" s="170"/>
      <c r="H322" s="170"/>
      <c r="I322" s="170"/>
      <c r="J322" s="216"/>
      <c r="K322" s="224"/>
      <c r="L322" s="224"/>
      <c r="M322" s="224"/>
      <c r="N322" s="224"/>
      <c r="O322" s="224"/>
      <c r="P322" s="224"/>
      <c r="Q322" s="224"/>
      <c r="R322" s="224"/>
      <c r="S322" s="224"/>
      <c r="T322" s="224"/>
      <c r="U322" s="224"/>
      <c r="V322" s="224"/>
      <c r="W322" s="224"/>
      <c r="X322" s="224"/>
      <c r="Y322" s="224"/>
    </row>
    <row r="323" spans="1:25" ht="15.75" hidden="1" customHeight="1" x14ac:dyDescent="0.2">
      <c r="A323" s="224"/>
      <c r="B323" s="217"/>
      <c r="C323" s="218"/>
      <c r="D323" s="218"/>
      <c r="E323" s="218"/>
      <c r="F323" s="170"/>
      <c r="G323" s="170"/>
      <c r="H323" s="170"/>
      <c r="I323" s="170"/>
      <c r="J323" s="216"/>
      <c r="K323" s="224"/>
      <c r="L323" s="224"/>
      <c r="M323" s="224"/>
      <c r="N323" s="224"/>
      <c r="O323" s="224"/>
      <c r="P323" s="224"/>
      <c r="Q323" s="224"/>
      <c r="R323" s="224"/>
      <c r="S323" s="224"/>
      <c r="T323" s="224"/>
      <c r="U323" s="224"/>
      <c r="V323" s="224"/>
      <c r="W323" s="224"/>
      <c r="X323" s="224"/>
      <c r="Y323" s="224"/>
    </row>
    <row r="324" spans="1:25" ht="15.75" hidden="1" customHeight="1" x14ac:dyDescent="0.2">
      <c r="A324" s="224"/>
      <c r="B324" s="217"/>
      <c r="C324" s="218"/>
      <c r="D324" s="218"/>
      <c r="E324" s="218"/>
      <c r="F324" s="170"/>
      <c r="G324" s="170"/>
      <c r="H324" s="170"/>
      <c r="I324" s="170"/>
      <c r="J324" s="216"/>
      <c r="K324" s="224"/>
      <c r="L324" s="224"/>
      <c r="M324" s="224"/>
      <c r="N324" s="224"/>
      <c r="O324" s="224"/>
      <c r="P324" s="224"/>
      <c r="Q324" s="224"/>
      <c r="R324" s="224"/>
      <c r="S324" s="224"/>
      <c r="T324" s="224"/>
      <c r="U324" s="224"/>
      <c r="V324" s="224"/>
      <c r="W324" s="224"/>
      <c r="X324" s="224"/>
      <c r="Y324" s="224"/>
    </row>
    <row r="325" spans="1:25" ht="15.75" hidden="1" customHeight="1" x14ac:dyDescent="0.2">
      <c r="A325" s="224"/>
      <c r="B325" s="217"/>
      <c r="C325" s="218"/>
      <c r="D325" s="218"/>
      <c r="E325" s="218"/>
      <c r="F325" s="170"/>
      <c r="G325" s="170"/>
      <c r="H325" s="170"/>
      <c r="I325" s="170"/>
      <c r="J325" s="216"/>
      <c r="K325" s="224"/>
      <c r="L325" s="224"/>
      <c r="M325" s="224"/>
      <c r="N325" s="224"/>
      <c r="O325" s="224"/>
      <c r="P325" s="224"/>
      <c r="Q325" s="224"/>
      <c r="R325" s="224"/>
      <c r="S325" s="224"/>
      <c r="T325" s="224"/>
      <c r="U325" s="224"/>
      <c r="V325" s="224"/>
      <c r="W325" s="224"/>
      <c r="X325" s="224"/>
      <c r="Y325" s="224"/>
    </row>
    <row r="326" spans="1:25" ht="15.75" hidden="1" customHeight="1" x14ac:dyDescent="0.2">
      <c r="A326" s="224"/>
      <c r="B326" s="217"/>
      <c r="C326" s="218"/>
      <c r="D326" s="218"/>
      <c r="E326" s="218"/>
      <c r="F326" s="170"/>
      <c r="G326" s="170"/>
      <c r="H326" s="170"/>
      <c r="I326" s="170"/>
      <c r="J326" s="216"/>
      <c r="K326" s="224"/>
      <c r="L326" s="224"/>
      <c r="M326" s="224"/>
      <c r="N326" s="224"/>
      <c r="O326" s="224"/>
      <c r="P326" s="224"/>
      <c r="Q326" s="224"/>
      <c r="R326" s="224"/>
      <c r="S326" s="224"/>
      <c r="T326" s="224"/>
      <c r="U326" s="224"/>
      <c r="V326" s="224"/>
      <c r="W326" s="224"/>
      <c r="X326" s="224"/>
      <c r="Y326" s="224"/>
    </row>
    <row r="327" spans="1:25" ht="15.75" hidden="1" customHeight="1" x14ac:dyDescent="0.2">
      <c r="A327" s="224"/>
      <c r="B327" s="217"/>
      <c r="C327" s="218"/>
      <c r="D327" s="218"/>
      <c r="E327" s="218"/>
      <c r="F327" s="170"/>
      <c r="G327" s="170"/>
      <c r="H327" s="170"/>
      <c r="I327" s="170"/>
      <c r="J327" s="216"/>
      <c r="K327" s="224"/>
      <c r="L327" s="224"/>
      <c r="M327" s="224"/>
      <c r="N327" s="224"/>
      <c r="O327" s="224"/>
      <c r="P327" s="224"/>
      <c r="Q327" s="224"/>
      <c r="R327" s="224"/>
      <c r="S327" s="224"/>
      <c r="T327" s="224"/>
      <c r="U327" s="224"/>
      <c r="V327" s="224"/>
      <c r="W327" s="224"/>
      <c r="X327" s="224"/>
      <c r="Y327" s="224"/>
    </row>
    <row r="328" spans="1:25" ht="15.75" hidden="1" customHeight="1" x14ac:dyDescent="0.2">
      <c r="A328" s="224"/>
      <c r="B328" s="217"/>
      <c r="C328" s="218"/>
      <c r="D328" s="218"/>
      <c r="E328" s="218"/>
      <c r="F328" s="170"/>
      <c r="G328" s="170"/>
      <c r="H328" s="170"/>
      <c r="I328" s="170"/>
      <c r="J328" s="216"/>
      <c r="K328" s="224"/>
      <c r="L328" s="224"/>
      <c r="M328" s="224"/>
      <c r="N328" s="224"/>
      <c r="O328" s="224"/>
      <c r="P328" s="224"/>
      <c r="Q328" s="224"/>
      <c r="R328" s="224"/>
      <c r="S328" s="224"/>
      <c r="T328" s="224"/>
      <c r="U328" s="224"/>
      <c r="V328" s="224"/>
      <c r="W328" s="224"/>
      <c r="X328" s="224"/>
      <c r="Y328" s="224"/>
    </row>
    <row r="329" spans="1:25" ht="15.75" hidden="1" customHeight="1" x14ac:dyDescent="0.2">
      <c r="A329" s="224"/>
      <c r="B329" s="217"/>
      <c r="C329" s="218"/>
      <c r="D329" s="218"/>
      <c r="E329" s="218"/>
      <c r="F329" s="170"/>
      <c r="G329" s="170"/>
      <c r="H329" s="170"/>
      <c r="I329" s="170"/>
      <c r="J329" s="216"/>
      <c r="K329" s="224"/>
      <c r="L329" s="224"/>
      <c r="M329" s="224"/>
      <c r="N329" s="224"/>
      <c r="O329" s="224"/>
      <c r="P329" s="224"/>
      <c r="Q329" s="224"/>
      <c r="R329" s="224"/>
      <c r="S329" s="224"/>
      <c r="T329" s="224"/>
      <c r="U329" s="224"/>
      <c r="V329" s="224"/>
      <c r="W329" s="224"/>
      <c r="X329" s="224"/>
      <c r="Y329" s="224"/>
    </row>
    <row r="330" spans="1:25" ht="15.75" hidden="1" customHeight="1" x14ac:dyDescent="0.2">
      <c r="A330" s="224"/>
      <c r="B330" s="217"/>
      <c r="C330" s="218"/>
      <c r="D330" s="218"/>
      <c r="E330" s="218"/>
      <c r="F330" s="170"/>
      <c r="G330" s="170"/>
      <c r="H330" s="170"/>
      <c r="I330" s="170"/>
      <c r="J330" s="216"/>
      <c r="K330" s="224"/>
      <c r="L330" s="224"/>
      <c r="M330" s="224"/>
      <c r="N330" s="224"/>
      <c r="O330" s="224"/>
      <c r="P330" s="224"/>
      <c r="Q330" s="224"/>
      <c r="R330" s="224"/>
      <c r="S330" s="224"/>
      <c r="T330" s="224"/>
      <c r="U330" s="224"/>
      <c r="V330" s="224"/>
      <c r="W330" s="224"/>
      <c r="X330" s="224"/>
      <c r="Y330" s="224"/>
    </row>
    <row r="331" spans="1:25" ht="15.75" hidden="1" customHeight="1" x14ac:dyDescent="0.2">
      <c r="A331" s="224"/>
      <c r="B331" s="217"/>
      <c r="C331" s="218"/>
      <c r="D331" s="218"/>
      <c r="E331" s="218"/>
      <c r="F331" s="170"/>
      <c r="G331" s="170"/>
      <c r="H331" s="170"/>
      <c r="I331" s="170"/>
      <c r="J331" s="216"/>
      <c r="K331" s="224"/>
      <c r="L331" s="224"/>
      <c r="M331" s="224"/>
      <c r="N331" s="224"/>
      <c r="O331" s="224"/>
      <c r="P331" s="224"/>
      <c r="Q331" s="224"/>
      <c r="R331" s="224"/>
      <c r="S331" s="224"/>
      <c r="T331" s="224"/>
      <c r="U331" s="224"/>
      <c r="V331" s="224"/>
      <c r="W331" s="224"/>
      <c r="X331" s="224"/>
      <c r="Y331" s="224"/>
    </row>
    <row r="332" spans="1:25" ht="15.75" hidden="1" customHeight="1" x14ac:dyDescent="0.2">
      <c r="A332" s="224"/>
      <c r="B332" s="217"/>
      <c r="C332" s="218"/>
      <c r="D332" s="218"/>
      <c r="E332" s="218"/>
      <c r="F332" s="170"/>
      <c r="G332" s="170"/>
      <c r="H332" s="170"/>
      <c r="I332" s="170"/>
      <c r="J332" s="216"/>
      <c r="K332" s="224"/>
      <c r="L332" s="224"/>
      <c r="M332" s="224"/>
      <c r="N332" s="224"/>
      <c r="O332" s="224"/>
      <c r="P332" s="224"/>
      <c r="Q332" s="224"/>
      <c r="R332" s="224"/>
      <c r="S332" s="224"/>
      <c r="T332" s="224"/>
      <c r="U332" s="224"/>
      <c r="V332" s="224"/>
      <c r="W332" s="224"/>
      <c r="X332" s="224"/>
      <c r="Y332" s="224"/>
    </row>
    <row r="333" spans="1:25" ht="15.75" hidden="1" customHeight="1" x14ac:dyDescent="0.2">
      <c r="A333" s="224"/>
      <c r="B333" s="217"/>
      <c r="C333" s="218"/>
      <c r="D333" s="218"/>
      <c r="E333" s="218"/>
      <c r="F333" s="170"/>
      <c r="G333" s="170"/>
      <c r="H333" s="170"/>
      <c r="I333" s="170"/>
      <c r="J333" s="216"/>
      <c r="K333" s="224"/>
      <c r="L333" s="224"/>
      <c r="M333" s="224"/>
      <c r="N333" s="224"/>
      <c r="O333" s="224"/>
      <c r="P333" s="224"/>
      <c r="Q333" s="224"/>
      <c r="R333" s="224"/>
      <c r="S333" s="224"/>
      <c r="T333" s="224"/>
      <c r="U333" s="224"/>
      <c r="V333" s="224"/>
      <c r="W333" s="224"/>
      <c r="X333" s="224"/>
      <c r="Y333" s="224"/>
    </row>
    <row r="334" spans="1:25" ht="15.75" hidden="1" customHeight="1" x14ac:dyDescent="0.2">
      <c r="A334" s="224"/>
      <c r="B334" s="217"/>
      <c r="C334" s="218"/>
      <c r="D334" s="218"/>
      <c r="E334" s="218"/>
      <c r="F334" s="170"/>
      <c r="G334" s="170"/>
      <c r="H334" s="170"/>
      <c r="I334" s="170"/>
      <c r="J334" s="216"/>
      <c r="K334" s="224"/>
      <c r="L334" s="224"/>
      <c r="M334" s="224"/>
      <c r="N334" s="224"/>
      <c r="O334" s="224"/>
      <c r="P334" s="224"/>
      <c r="Q334" s="224"/>
      <c r="R334" s="224"/>
      <c r="S334" s="224"/>
      <c r="T334" s="224"/>
      <c r="U334" s="224"/>
      <c r="V334" s="224"/>
      <c r="W334" s="224"/>
      <c r="X334" s="224"/>
      <c r="Y334" s="224"/>
    </row>
    <row r="335" spans="1:25" ht="15.75" hidden="1" customHeight="1" x14ac:dyDescent="0.2">
      <c r="A335" s="224"/>
      <c r="B335" s="217"/>
      <c r="C335" s="218"/>
      <c r="D335" s="218"/>
      <c r="E335" s="218"/>
      <c r="F335" s="170"/>
      <c r="G335" s="170"/>
      <c r="H335" s="170"/>
      <c r="I335" s="170"/>
      <c r="J335" s="216"/>
      <c r="K335" s="224"/>
      <c r="L335" s="224"/>
      <c r="M335" s="224"/>
      <c r="N335" s="224"/>
      <c r="O335" s="224"/>
      <c r="P335" s="224"/>
      <c r="Q335" s="224"/>
      <c r="R335" s="224"/>
      <c r="S335" s="224"/>
      <c r="T335" s="224"/>
      <c r="U335" s="224"/>
      <c r="V335" s="224"/>
      <c r="W335" s="224"/>
      <c r="X335" s="224"/>
      <c r="Y335" s="224"/>
    </row>
    <row r="336" spans="1:25" ht="15.75" hidden="1" customHeight="1" x14ac:dyDescent="0.2">
      <c r="A336" s="224"/>
      <c r="B336" s="217"/>
      <c r="C336" s="218"/>
      <c r="D336" s="218"/>
      <c r="E336" s="218"/>
      <c r="F336" s="170"/>
      <c r="G336" s="170"/>
      <c r="H336" s="170"/>
      <c r="I336" s="170"/>
      <c r="J336" s="216"/>
      <c r="K336" s="224"/>
      <c r="L336" s="224"/>
      <c r="M336" s="224"/>
      <c r="N336" s="224"/>
      <c r="O336" s="224"/>
      <c r="P336" s="224"/>
      <c r="Q336" s="224"/>
      <c r="R336" s="224"/>
      <c r="S336" s="224"/>
      <c r="T336" s="224"/>
      <c r="U336" s="224"/>
      <c r="V336" s="224"/>
      <c r="W336" s="224"/>
      <c r="X336" s="224"/>
      <c r="Y336" s="224"/>
    </row>
    <row r="337" spans="1:25" ht="15.75" hidden="1" customHeight="1" x14ac:dyDescent="0.2">
      <c r="A337" s="224"/>
      <c r="B337" s="217"/>
      <c r="C337" s="218"/>
      <c r="D337" s="218"/>
      <c r="E337" s="218"/>
      <c r="F337" s="170"/>
      <c r="G337" s="170"/>
      <c r="H337" s="170"/>
      <c r="I337" s="170"/>
      <c r="J337" s="216"/>
      <c r="K337" s="224"/>
      <c r="L337" s="224"/>
      <c r="M337" s="224"/>
      <c r="N337" s="224"/>
      <c r="O337" s="224"/>
      <c r="P337" s="224"/>
      <c r="Q337" s="224"/>
      <c r="R337" s="224"/>
      <c r="S337" s="224"/>
      <c r="T337" s="224"/>
      <c r="U337" s="224"/>
      <c r="V337" s="224"/>
      <c r="W337" s="224"/>
      <c r="X337" s="224"/>
      <c r="Y337" s="224"/>
    </row>
    <row r="338" spans="1:25" ht="15.75" hidden="1" customHeight="1" x14ac:dyDescent="0.2">
      <c r="A338" s="224"/>
      <c r="B338" s="217"/>
      <c r="C338" s="218"/>
      <c r="D338" s="218"/>
      <c r="E338" s="218"/>
      <c r="F338" s="170"/>
      <c r="G338" s="170"/>
      <c r="H338" s="170"/>
      <c r="I338" s="170"/>
      <c r="J338" s="216"/>
      <c r="K338" s="224"/>
      <c r="L338" s="224"/>
      <c r="M338" s="224"/>
      <c r="N338" s="224"/>
      <c r="O338" s="224"/>
      <c r="P338" s="224"/>
      <c r="Q338" s="224"/>
      <c r="R338" s="224"/>
      <c r="S338" s="224"/>
      <c r="T338" s="224"/>
      <c r="U338" s="224"/>
      <c r="V338" s="224"/>
      <c r="W338" s="224"/>
      <c r="X338" s="224"/>
      <c r="Y338" s="224"/>
    </row>
    <row r="339" spans="1:25" ht="15.75" hidden="1" customHeight="1" x14ac:dyDescent="0.2">
      <c r="A339" s="224"/>
      <c r="B339" s="217"/>
      <c r="C339" s="218"/>
      <c r="D339" s="218"/>
      <c r="E339" s="218"/>
      <c r="F339" s="170"/>
      <c r="G339" s="170"/>
      <c r="H339" s="170"/>
      <c r="I339" s="170"/>
      <c r="J339" s="216"/>
      <c r="K339" s="224"/>
      <c r="L339" s="224"/>
      <c r="M339" s="224"/>
      <c r="N339" s="224"/>
      <c r="O339" s="224"/>
      <c r="P339" s="224"/>
      <c r="Q339" s="224"/>
      <c r="R339" s="224"/>
      <c r="S339" s="224"/>
      <c r="T339" s="224"/>
      <c r="U339" s="224"/>
      <c r="V339" s="224"/>
      <c r="W339" s="224"/>
      <c r="X339" s="224"/>
      <c r="Y339" s="224"/>
    </row>
    <row r="340" spans="1:25" ht="15.75" hidden="1" customHeight="1" x14ac:dyDescent="0.2">
      <c r="A340" s="224"/>
      <c r="B340" s="217"/>
      <c r="C340" s="218"/>
      <c r="D340" s="218"/>
      <c r="E340" s="218"/>
      <c r="F340" s="170"/>
      <c r="G340" s="170"/>
      <c r="H340" s="170"/>
      <c r="I340" s="170"/>
      <c r="J340" s="216"/>
      <c r="K340" s="224"/>
      <c r="L340" s="224"/>
      <c r="M340" s="224"/>
      <c r="N340" s="224"/>
      <c r="O340" s="224"/>
      <c r="P340" s="224"/>
      <c r="Q340" s="224"/>
      <c r="R340" s="224"/>
      <c r="S340" s="224"/>
      <c r="T340" s="224"/>
      <c r="U340" s="224"/>
      <c r="V340" s="224"/>
      <c r="W340" s="224"/>
      <c r="X340" s="224"/>
      <c r="Y340" s="224"/>
    </row>
    <row r="341" spans="1:25" ht="15.75" hidden="1" customHeight="1" x14ac:dyDescent="0.2">
      <c r="A341" s="224"/>
      <c r="B341" s="217"/>
      <c r="C341" s="218"/>
      <c r="D341" s="218"/>
      <c r="E341" s="218"/>
      <c r="F341" s="170"/>
      <c r="G341" s="170"/>
      <c r="H341" s="170"/>
      <c r="I341" s="170"/>
      <c r="J341" s="216"/>
      <c r="K341" s="224"/>
      <c r="L341" s="224"/>
      <c r="M341" s="224"/>
      <c r="N341" s="224"/>
      <c r="O341" s="224"/>
      <c r="P341" s="224"/>
      <c r="Q341" s="224"/>
      <c r="R341" s="224"/>
      <c r="S341" s="224"/>
      <c r="T341" s="224"/>
      <c r="U341" s="224"/>
      <c r="V341" s="224"/>
      <c r="W341" s="224"/>
      <c r="X341" s="224"/>
      <c r="Y341" s="224"/>
    </row>
    <row r="342" spans="1:25" ht="15.75" hidden="1" customHeight="1" x14ac:dyDescent="0.2">
      <c r="A342" s="224"/>
      <c r="B342" s="217"/>
      <c r="C342" s="218"/>
      <c r="D342" s="218"/>
      <c r="E342" s="218"/>
      <c r="F342" s="170"/>
      <c r="G342" s="170"/>
      <c r="H342" s="170"/>
      <c r="I342" s="170"/>
      <c r="J342" s="216"/>
      <c r="K342" s="224"/>
      <c r="L342" s="224"/>
      <c r="M342" s="224"/>
      <c r="N342" s="224"/>
      <c r="O342" s="224"/>
      <c r="P342" s="224"/>
      <c r="Q342" s="224"/>
      <c r="R342" s="224"/>
      <c r="S342" s="224"/>
      <c r="T342" s="224"/>
      <c r="U342" s="224"/>
      <c r="V342" s="224"/>
      <c r="W342" s="224"/>
      <c r="X342" s="224"/>
      <c r="Y342" s="224"/>
    </row>
    <row r="343" spans="1:25" ht="15.75" hidden="1" customHeight="1" x14ac:dyDescent="0.2">
      <c r="A343" s="224"/>
      <c r="B343" s="217"/>
      <c r="C343" s="218"/>
      <c r="D343" s="218"/>
      <c r="E343" s="218"/>
      <c r="F343" s="170"/>
      <c r="G343" s="170"/>
      <c r="H343" s="170"/>
      <c r="I343" s="170"/>
      <c r="J343" s="216"/>
      <c r="K343" s="224"/>
      <c r="L343" s="224"/>
      <c r="M343" s="224"/>
      <c r="N343" s="224"/>
      <c r="O343" s="224"/>
      <c r="P343" s="224"/>
      <c r="Q343" s="224"/>
      <c r="R343" s="224"/>
      <c r="S343" s="224"/>
      <c r="T343" s="224"/>
      <c r="U343" s="224"/>
      <c r="V343" s="224"/>
      <c r="W343" s="224"/>
      <c r="X343" s="224"/>
      <c r="Y343" s="224"/>
    </row>
    <row r="344" spans="1:25" ht="15.75" hidden="1" customHeight="1" x14ac:dyDescent="0.2">
      <c r="A344" s="224"/>
      <c r="B344" s="217"/>
      <c r="C344" s="218"/>
      <c r="D344" s="218"/>
      <c r="E344" s="218"/>
      <c r="F344" s="170"/>
      <c r="G344" s="170"/>
      <c r="H344" s="170"/>
      <c r="I344" s="170"/>
      <c r="J344" s="216"/>
      <c r="K344" s="224"/>
      <c r="L344" s="224"/>
      <c r="M344" s="224"/>
      <c r="N344" s="224"/>
      <c r="O344" s="224"/>
      <c r="P344" s="224"/>
      <c r="Q344" s="224"/>
      <c r="R344" s="224"/>
      <c r="S344" s="224"/>
      <c r="T344" s="224"/>
      <c r="U344" s="224"/>
      <c r="V344" s="224"/>
      <c r="W344" s="224"/>
      <c r="X344" s="224"/>
      <c r="Y344" s="224"/>
    </row>
    <row r="345" spans="1:25" ht="15.75" hidden="1" customHeight="1" x14ac:dyDescent="0.2">
      <c r="A345" s="224"/>
      <c r="B345" s="217"/>
      <c r="C345" s="218"/>
      <c r="D345" s="218"/>
      <c r="E345" s="218"/>
      <c r="F345" s="170"/>
      <c r="G345" s="170"/>
      <c r="H345" s="170"/>
      <c r="I345" s="170"/>
      <c r="J345" s="216"/>
      <c r="K345" s="224"/>
      <c r="L345" s="224"/>
      <c r="M345" s="224"/>
      <c r="N345" s="224"/>
      <c r="O345" s="224"/>
      <c r="P345" s="224"/>
      <c r="Q345" s="224"/>
      <c r="R345" s="224"/>
      <c r="S345" s="224"/>
      <c r="T345" s="224"/>
      <c r="U345" s="224"/>
      <c r="V345" s="224"/>
      <c r="W345" s="224"/>
      <c r="X345" s="224"/>
      <c r="Y345" s="224"/>
    </row>
    <row r="346" spans="1:25" ht="15.75" hidden="1" customHeight="1" x14ac:dyDescent="0.2">
      <c r="A346" s="224"/>
      <c r="B346" s="217"/>
      <c r="C346" s="218"/>
      <c r="D346" s="218"/>
      <c r="E346" s="218"/>
      <c r="F346" s="170"/>
      <c r="G346" s="170"/>
      <c r="H346" s="170"/>
      <c r="I346" s="170"/>
      <c r="J346" s="216"/>
      <c r="K346" s="224"/>
      <c r="L346" s="224"/>
      <c r="M346" s="224"/>
      <c r="N346" s="224"/>
      <c r="O346" s="224"/>
      <c r="P346" s="224"/>
      <c r="Q346" s="224"/>
      <c r="R346" s="224"/>
      <c r="S346" s="224"/>
      <c r="T346" s="224"/>
      <c r="U346" s="224"/>
      <c r="V346" s="224"/>
      <c r="W346" s="224"/>
      <c r="X346" s="224"/>
      <c r="Y346" s="224"/>
    </row>
    <row r="347" spans="1:25" ht="15.75" hidden="1" customHeight="1" x14ac:dyDescent="0.2">
      <c r="A347" s="224"/>
      <c r="B347" s="217"/>
      <c r="C347" s="218"/>
      <c r="D347" s="218"/>
      <c r="E347" s="218"/>
      <c r="F347" s="170"/>
      <c r="G347" s="170"/>
      <c r="H347" s="170"/>
      <c r="I347" s="170"/>
      <c r="J347" s="216"/>
      <c r="K347" s="224"/>
      <c r="L347" s="224"/>
      <c r="M347" s="224"/>
      <c r="N347" s="224"/>
      <c r="O347" s="224"/>
      <c r="P347" s="224"/>
      <c r="Q347" s="224"/>
      <c r="R347" s="224"/>
      <c r="S347" s="224"/>
      <c r="T347" s="224"/>
      <c r="U347" s="224"/>
      <c r="V347" s="224"/>
      <c r="W347" s="224"/>
      <c r="X347" s="224"/>
      <c r="Y347" s="224"/>
    </row>
    <row r="348" spans="1:25" ht="15.75" hidden="1" customHeight="1" x14ac:dyDescent="0.2">
      <c r="A348" s="224"/>
      <c r="B348" s="217"/>
      <c r="C348" s="218"/>
      <c r="D348" s="218"/>
      <c r="E348" s="218"/>
      <c r="F348" s="170"/>
      <c r="G348" s="170"/>
      <c r="H348" s="170"/>
      <c r="I348" s="170"/>
      <c r="J348" s="216"/>
      <c r="K348" s="224"/>
      <c r="L348" s="224"/>
      <c r="M348" s="224"/>
      <c r="N348" s="224"/>
      <c r="O348" s="224"/>
      <c r="P348" s="224"/>
      <c r="Q348" s="224"/>
      <c r="R348" s="224"/>
      <c r="S348" s="224"/>
      <c r="T348" s="224"/>
      <c r="U348" s="224"/>
      <c r="V348" s="224"/>
      <c r="W348" s="224"/>
      <c r="X348" s="224"/>
      <c r="Y348" s="224"/>
    </row>
    <row r="349" spans="1:25" ht="15.75" hidden="1" customHeight="1" x14ac:dyDescent="0.2">
      <c r="A349" s="224"/>
      <c r="B349" s="217"/>
      <c r="C349" s="218"/>
      <c r="D349" s="218"/>
      <c r="E349" s="218"/>
      <c r="F349" s="170"/>
      <c r="G349" s="170"/>
      <c r="H349" s="170"/>
      <c r="I349" s="170"/>
      <c r="J349" s="216"/>
      <c r="K349" s="224"/>
      <c r="L349" s="224"/>
      <c r="M349" s="224"/>
      <c r="N349" s="224"/>
      <c r="O349" s="224"/>
      <c r="P349" s="224"/>
      <c r="Q349" s="224"/>
      <c r="R349" s="224"/>
      <c r="S349" s="224"/>
      <c r="T349" s="224"/>
      <c r="U349" s="224"/>
      <c r="V349" s="224"/>
      <c r="W349" s="224"/>
      <c r="X349" s="224"/>
      <c r="Y349" s="224"/>
    </row>
    <row r="350" spans="1:25" ht="15.75" hidden="1" customHeight="1" x14ac:dyDescent="0.2">
      <c r="A350" s="224"/>
      <c r="B350" s="217"/>
      <c r="C350" s="218"/>
      <c r="D350" s="218"/>
      <c r="E350" s="218"/>
      <c r="F350" s="170"/>
      <c r="G350" s="170"/>
      <c r="H350" s="170"/>
      <c r="I350" s="170"/>
      <c r="J350" s="216"/>
      <c r="K350" s="224"/>
      <c r="L350" s="224"/>
      <c r="M350" s="224"/>
      <c r="N350" s="224"/>
      <c r="O350" s="224"/>
      <c r="P350" s="224"/>
      <c r="Q350" s="224"/>
      <c r="R350" s="224"/>
      <c r="S350" s="224"/>
      <c r="T350" s="224"/>
      <c r="U350" s="224"/>
      <c r="V350" s="224"/>
      <c r="W350" s="224"/>
      <c r="X350" s="224"/>
      <c r="Y350" s="224"/>
    </row>
    <row r="351" spans="1:25" ht="15.75" hidden="1" customHeight="1" x14ac:dyDescent="0.2">
      <c r="A351" s="224"/>
      <c r="B351" s="217"/>
      <c r="C351" s="218"/>
      <c r="D351" s="218"/>
      <c r="E351" s="218"/>
      <c r="F351" s="170"/>
      <c r="G351" s="170"/>
      <c r="H351" s="170"/>
      <c r="I351" s="170"/>
      <c r="J351" s="216"/>
      <c r="K351" s="224"/>
      <c r="L351" s="224"/>
      <c r="M351" s="224"/>
      <c r="N351" s="224"/>
      <c r="O351" s="224"/>
      <c r="P351" s="224"/>
      <c r="Q351" s="224"/>
      <c r="R351" s="224"/>
      <c r="S351" s="224"/>
      <c r="T351" s="224"/>
      <c r="U351" s="224"/>
      <c r="V351" s="224"/>
      <c r="W351" s="224"/>
      <c r="X351" s="224"/>
      <c r="Y351" s="224"/>
    </row>
    <row r="352" spans="1:25" ht="15.75" hidden="1" customHeight="1" x14ac:dyDescent="0.2">
      <c r="A352" s="224"/>
      <c r="B352" s="217"/>
      <c r="C352" s="218"/>
      <c r="D352" s="218"/>
      <c r="E352" s="218"/>
      <c r="F352" s="170"/>
      <c r="G352" s="170"/>
      <c r="H352" s="170"/>
      <c r="I352" s="170"/>
      <c r="J352" s="216"/>
      <c r="K352" s="224"/>
      <c r="L352" s="224"/>
      <c r="M352" s="224"/>
      <c r="N352" s="224"/>
      <c r="O352" s="224"/>
      <c r="P352" s="224"/>
      <c r="Q352" s="224"/>
      <c r="R352" s="224"/>
      <c r="S352" s="224"/>
      <c r="T352" s="224"/>
      <c r="U352" s="224"/>
      <c r="V352" s="224"/>
      <c r="W352" s="224"/>
      <c r="X352" s="224"/>
      <c r="Y352" s="224"/>
    </row>
    <row r="353" spans="1:25" ht="15.75" hidden="1" customHeight="1" x14ac:dyDescent="0.2">
      <c r="A353" s="224"/>
      <c r="B353" s="217"/>
      <c r="C353" s="218"/>
      <c r="D353" s="218"/>
      <c r="E353" s="218"/>
      <c r="F353" s="170"/>
      <c r="G353" s="170"/>
      <c r="H353" s="170"/>
      <c r="I353" s="170"/>
      <c r="J353" s="216"/>
      <c r="K353" s="224"/>
      <c r="L353" s="224"/>
      <c r="M353" s="224"/>
      <c r="N353" s="224"/>
      <c r="O353" s="224"/>
      <c r="P353" s="224"/>
      <c r="Q353" s="224"/>
      <c r="R353" s="224"/>
      <c r="S353" s="224"/>
      <c r="T353" s="224"/>
      <c r="U353" s="224"/>
      <c r="V353" s="224"/>
      <c r="W353" s="224"/>
      <c r="X353" s="224"/>
      <c r="Y353" s="224"/>
    </row>
    <row r="354" spans="1:25" ht="15.75" hidden="1" customHeight="1" x14ac:dyDescent="0.2">
      <c r="A354" s="224"/>
      <c r="B354" s="217"/>
      <c r="C354" s="218"/>
      <c r="D354" s="218"/>
      <c r="E354" s="218"/>
      <c r="F354" s="170"/>
      <c r="G354" s="170"/>
      <c r="H354" s="170"/>
      <c r="I354" s="170"/>
      <c r="J354" s="216"/>
      <c r="K354" s="224"/>
      <c r="L354" s="224"/>
      <c r="M354" s="224"/>
      <c r="N354" s="224"/>
      <c r="O354" s="224"/>
      <c r="P354" s="224"/>
      <c r="Q354" s="224"/>
      <c r="R354" s="224"/>
      <c r="S354" s="224"/>
      <c r="T354" s="224"/>
      <c r="U354" s="224"/>
      <c r="V354" s="224"/>
      <c r="W354" s="224"/>
      <c r="X354" s="224"/>
      <c r="Y354" s="224"/>
    </row>
    <row r="355" spans="1:25" ht="15.75" hidden="1" customHeight="1" x14ac:dyDescent="0.2">
      <c r="A355" s="224"/>
      <c r="B355" s="217"/>
      <c r="C355" s="218"/>
      <c r="D355" s="218"/>
      <c r="E355" s="218"/>
      <c r="F355" s="170"/>
      <c r="G355" s="170"/>
      <c r="H355" s="170"/>
      <c r="I355" s="170"/>
      <c r="J355" s="216"/>
      <c r="K355" s="224"/>
      <c r="L355" s="224"/>
      <c r="M355" s="224"/>
      <c r="N355" s="224"/>
      <c r="O355" s="224"/>
      <c r="P355" s="224"/>
      <c r="Q355" s="224"/>
      <c r="R355" s="224"/>
      <c r="S355" s="224"/>
      <c r="T355" s="224"/>
      <c r="U355" s="224"/>
      <c r="V355" s="224"/>
      <c r="W355" s="224"/>
      <c r="X355" s="224"/>
      <c r="Y355" s="224"/>
    </row>
    <row r="356" spans="1:25" ht="15.75" hidden="1" customHeight="1" x14ac:dyDescent="0.2">
      <c r="A356" s="224"/>
      <c r="B356" s="217"/>
      <c r="C356" s="218"/>
      <c r="D356" s="218"/>
      <c r="E356" s="218"/>
      <c r="F356" s="170"/>
      <c r="G356" s="170"/>
      <c r="H356" s="170"/>
      <c r="I356" s="170"/>
      <c r="J356" s="216"/>
      <c r="K356" s="224"/>
      <c r="L356" s="224"/>
      <c r="M356" s="224"/>
      <c r="N356" s="224"/>
      <c r="O356" s="224"/>
      <c r="P356" s="224"/>
      <c r="Q356" s="224"/>
      <c r="R356" s="224"/>
      <c r="S356" s="224"/>
      <c r="T356" s="224"/>
      <c r="U356" s="224"/>
      <c r="V356" s="224"/>
      <c r="W356" s="224"/>
      <c r="X356" s="224"/>
      <c r="Y356" s="224"/>
    </row>
    <row r="357" spans="1:25" ht="15.75" hidden="1" customHeight="1" x14ac:dyDescent="0.2">
      <c r="A357" s="224"/>
      <c r="B357" s="217"/>
      <c r="C357" s="218"/>
      <c r="D357" s="218"/>
      <c r="E357" s="218"/>
      <c r="F357" s="170"/>
      <c r="G357" s="170"/>
      <c r="H357" s="170"/>
      <c r="I357" s="170"/>
      <c r="J357" s="216"/>
      <c r="K357" s="224"/>
      <c r="L357" s="224"/>
      <c r="M357" s="224"/>
      <c r="N357" s="224"/>
      <c r="O357" s="224"/>
      <c r="P357" s="224"/>
      <c r="Q357" s="224"/>
      <c r="R357" s="224"/>
      <c r="S357" s="224"/>
      <c r="T357" s="224"/>
      <c r="U357" s="224"/>
      <c r="V357" s="224"/>
      <c r="W357" s="224"/>
      <c r="X357" s="224"/>
      <c r="Y357" s="224"/>
    </row>
    <row r="358" spans="1:25" ht="15.75" hidden="1" customHeight="1" x14ac:dyDescent="0.2">
      <c r="A358" s="224"/>
      <c r="B358" s="217"/>
      <c r="C358" s="218"/>
      <c r="D358" s="218"/>
      <c r="E358" s="218"/>
      <c r="F358" s="170"/>
      <c r="G358" s="170"/>
      <c r="H358" s="170"/>
      <c r="I358" s="170"/>
      <c r="J358" s="216"/>
      <c r="K358" s="224"/>
      <c r="L358" s="224"/>
      <c r="M358" s="224"/>
      <c r="N358" s="224"/>
      <c r="O358" s="224"/>
      <c r="P358" s="224"/>
      <c r="Q358" s="224"/>
      <c r="R358" s="224"/>
      <c r="S358" s="224"/>
      <c r="T358" s="224"/>
      <c r="U358" s="224"/>
      <c r="V358" s="224"/>
      <c r="W358" s="224"/>
      <c r="X358" s="224"/>
      <c r="Y358" s="224"/>
    </row>
    <row r="359" spans="1:25" ht="15.75" hidden="1" customHeight="1" x14ac:dyDescent="0.2">
      <c r="A359" s="224"/>
      <c r="B359" s="217"/>
      <c r="C359" s="218"/>
      <c r="D359" s="218"/>
      <c r="E359" s="218"/>
      <c r="F359" s="170"/>
      <c r="G359" s="170"/>
      <c r="H359" s="170"/>
      <c r="I359" s="170"/>
      <c r="J359" s="216"/>
      <c r="K359" s="224"/>
      <c r="L359" s="224"/>
      <c r="M359" s="224"/>
      <c r="N359" s="224"/>
      <c r="O359" s="224"/>
      <c r="P359" s="224"/>
      <c r="Q359" s="224"/>
      <c r="R359" s="224"/>
      <c r="S359" s="224"/>
      <c r="T359" s="224"/>
      <c r="U359" s="224"/>
      <c r="V359" s="224"/>
      <c r="W359" s="224"/>
      <c r="X359" s="224"/>
      <c r="Y359" s="224"/>
    </row>
    <row r="360" spans="1:25" ht="15.75" hidden="1" customHeight="1" x14ac:dyDescent="0.2">
      <c r="A360" s="224"/>
      <c r="B360" s="217"/>
      <c r="C360" s="218"/>
      <c r="D360" s="218"/>
      <c r="E360" s="218"/>
      <c r="F360" s="170"/>
      <c r="G360" s="170"/>
      <c r="H360" s="170"/>
      <c r="I360" s="170"/>
      <c r="J360" s="216"/>
      <c r="K360" s="224"/>
      <c r="L360" s="224"/>
      <c r="M360" s="224"/>
      <c r="N360" s="224"/>
      <c r="O360" s="224"/>
      <c r="P360" s="224"/>
      <c r="Q360" s="224"/>
      <c r="R360" s="224"/>
      <c r="S360" s="224"/>
      <c r="T360" s="224"/>
      <c r="U360" s="224"/>
      <c r="V360" s="224"/>
      <c r="W360" s="224"/>
      <c r="X360" s="224"/>
      <c r="Y360" s="224"/>
    </row>
    <row r="361" spans="1:25" ht="15.75" hidden="1" customHeight="1" x14ac:dyDescent="0.2">
      <c r="A361" s="224"/>
      <c r="B361" s="217"/>
      <c r="C361" s="218"/>
      <c r="D361" s="218"/>
      <c r="E361" s="218"/>
      <c r="F361" s="170"/>
      <c r="G361" s="170"/>
      <c r="H361" s="170"/>
      <c r="I361" s="170"/>
      <c r="J361" s="216"/>
      <c r="K361" s="224"/>
      <c r="L361" s="224"/>
      <c r="M361" s="224"/>
      <c r="N361" s="224"/>
      <c r="O361" s="224"/>
      <c r="P361" s="224"/>
      <c r="Q361" s="224"/>
      <c r="R361" s="224"/>
      <c r="S361" s="224"/>
      <c r="T361" s="224"/>
      <c r="U361" s="224"/>
      <c r="V361" s="224"/>
      <c r="W361" s="224"/>
      <c r="X361" s="224"/>
      <c r="Y361" s="224"/>
    </row>
    <row r="362" spans="1:25" ht="15.75" hidden="1" customHeight="1" x14ac:dyDescent="0.2">
      <c r="A362" s="224"/>
      <c r="B362" s="217"/>
      <c r="C362" s="218"/>
      <c r="D362" s="218"/>
      <c r="E362" s="218"/>
      <c r="F362" s="170"/>
      <c r="G362" s="170"/>
      <c r="H362" s="170"/>
      <c r="I362" s="170"/>
      <c r="J362" s="216"/>
      <c r="K362" s="224"/>
      <c r="L362" s="224"/>
      <c r="M362" s="224"/>
      <c r="N362" s="224"/>
      <c r="O362" s="224"/>
      <c r="P362" s="224"/>
      <c r="Q362" s="224"/>
      <c r="R362" s="224"/>
      <c r="S362" s="224"/>
      <c r="T362" s="224"/>
      <c r="U362" s="224"/>
      <c r="V362" s="224"/>
      <c r="W362" s="224"/>
      <c r="X362" s="224"/>
      <c r="Y362" s="224"/>
    </row>
    <row r="363" spans="1:25" ht="15.75" hidden="1" customHeight="1" x14ac:dyDescent="0.2">
      <c r="A363" s="224"/>
      <c r="B363" s="217"/>
      <c r="C363" s="218"/>
      <c r="D363" s="218"/>
      <c r="E363" s="218"/>
      <c r="F363" s="170"/>
      <c r="G363" s="170"/>
      <c r="H363" s="170"/>
      <c r="I363" s="170"/>
      <c r="J363" s="216"/>
      <c r="K363" s="224"/>
      <c r="L363" s="224"/>
      <c r="M363" s="224"/>
      <c r="N363" s="224"/>
      <c r="O363" s="224"/>
      <c r="P363" s="224"/>
      <c r="Q363" s="224"/>
      <c r="R363" s="224"/>
      <c r="S363" s="224"/>
      <c r="T363" s="224"/>
      <c r="U363" s="224"/>
      <c r="V363" s="224"/>
      <c r="W363" s="224"/>
      <c r="X363" s="224"/>
      <c r="Y363" s="224"/>
    </row>
    <row r="364" spans="1:25" ht="15.75" hidden="1" customHeight="1" x14ac:dyDescent="0.2">
      <c r="A364" s="224"/>
      <c r="B364" s="217"/>
      <c r="C364" s="218"/>
      <c r="D364" s="218"/>
      <c r="E364" s="218"/>
      <c r="F364" s="170"/>
      <c r="G364" s="170"/>
      <c r="H364" s="170"/>
      <c r="I364" s="170"/>
      <c r="J364" s="216"/>
      <c r="K364" s="224"/>
      <c r="L364" s="224"/>
      <c r="M364" s="224"/>
      <c r="N364" s="224"/>
      <c r="O364" s="224"/>
      <c r="P364" s="224"/>
      <c r="Q364" s="224"/>
      <c r="R364" s="224"/>
      <c r="S364" s="224"/>
      <c r="T364" s="224"/>
      <c r="U364" s="224"/>
      <c r="V364" s="224"/>
      <c r="W364" s="224"/>
      <c r="X364" s="224"/>
      <c r="Y364" s="224"/>
    </row>
    <row r="365" spans="1:25" ht="15.75" hidden="1" customHeight="1" x14ac:dyDescent="0.2">
      <c r="A365" s="224"/>
      <c r="B365" s="217"/>
      <c r="C365" s="218"/>
      <c r="D365" s="218"/>
      <c r="E365" s="218"/>
      <c r="F365" s="170"/>
      <c r="G365" s="170"/>
      <c r="H365" s="170"/>
      <c r="I365" s="170"/>
      <c r="J365" s="216"/>
      <c r="K365" s="224"/>
      <c r="L365" s="224"/>
      <c r="M365" s="224"/>
      <c r="N365" s="224"/>
      <c r="O365" s="224"/>
      <c r="P365" s="224"/>
      <c r="Q365" s="224"/>
      <c r="R365" s="224"/>
      <c r="S365" s="224"/>
      <c r="T365" s="224"/>
      <c r="U365" s="224"/>
      <c r="V365" s="224"/>
      <c r="W365" s="224"/>
      <c r="X365" s="224"/>
      <c r="Y365" s="224"/>
    </row>
    <row r="366" spans="1:25" ht="15.75" hidden="1" customHeight="1" x14ac:dyDescent="0.2">
      <c r="A366" s="224"/>
      <c r="B366" s="217"/>
      <c r="C366" s="218"/>
      <c r="D366" s="218"/>
      <c r="E366" s="218"/>
      <c r="F366" s="170"/>
      <c r="G366" s="170"/>
      <c r="H366" s="170"/>
      <c r="I366" s="170"/>
      <c r="J366" s="216"/>
      <c r="K366" s="224"/>
      <c r="L366" s="224"/>
      <c r="M366" s="224"/>
      <c r="N366" s="224"/>
      <c r="O366" s="224"/>
      <c r="P366" s="224"/>
      <c r="Q366" s="224"/>
      <c r="R366" s="224"/>
      <c r="S366" s="224"/>
      <c r="T366" s="224"/>
      <c r="U366" s="224"/>
      <c r="V366" s="224"/>
      <c r="W366" s="224"/>
      <c r="X366" s="224"/>
      <c r="Y366" s="224"/>
    </row>
    <row r="367" spans="1:25" ht="15.75" hidden="1" customHeight="1" x14ac:dyDescent="0.2">
      <c r="A367" s="224"/>
      <c r="B367" s="217"/>
      <c r="C367" s="218"/>
      <c r="D367" s="218"/>
      <c r="E367" s="218"/>
      <c r="F367" s="170"/>
      <c r="G367" s="170"/>
      <c r="H367" s="170"/>
      <c r="I367" s="170"/>
      <c r="J367" s="216"/>
      <c r="K367" s="224"/>
      <c r="L367" s="224"/>
      <c r="M367" s="224"/>
      <c r="N367" s="224"/>
      <c r="O367" s="224"/>
      <c r="P367" s="224"/>
      <c r="Q367" s="224"/>
      <c r="R367" s="224"/>
      <c r="S367" s="224"/>
      <c r="T367" s="224"/>
      <c r="U367" s="224"/>
      <c r="V367" s="224"/>
      <c r="W367" s="224"/>
      <c r="X367" s="224"/>
      <c r="Y367" s="224"/>
    </row>
    <row r="368" spans="1:25" ht="15.75" hidden="1" customHeight="1" x14ac:dyDescent="0.2">
      <c r="A368" s="224"/>
      <c r="B368" s="217"/>
      <c r="C368" s="218"/>
      <c r="D368" s="218"/>
      <c r="E368" s="218"/>
      <c r="F368" s="170"/>
      <c r="G368" s="170"/>
      <c r="H368" s="170"/>
      <c r="I368" s="170"/>
      <c r="J368" s="216"/>
      <c r="K368" s="224"/>
      <c r="L368" s="224"/>
      <c r="M368" s="224"/>
      <c r="N368" s="224"/>
      <c r="O368" s="224"/>
      <c r="P368" s="224"/>
      <c r="Q368" s="224"/>
      <c r="R368" s="224"/>
      <c r="S368" s="224"/>
      <c r="T368" s="224"/>
      <c r="U368" s="224"/>
      <c r="V368" s="224"/>
      <c r="W368" s="224"/>
      <c r="X368" s="224"/>
      <c r="Y368" s="224"/>
    </row>
    <row r="369" spans="1:25" ht="15.75" hidden="1" customHeight="1" x14ac:dyDescent="0.2">
      <c r="A369" s="224"/>
      <c r="B369" s="217"/>
      <c r="C369" s="218"/>
      <c r="D369" s="218"/>
      <c r="E369" s="218"/>
      <c r="F369" s="170"/>
      <c r="G369" s="170"/>
      <c r="H369" s="170"/>
      <c r="I369" s="170"/>
      <c r="J369" s="216"/>
      <c r="K369" s="224"/>
      <c r="L369" s="224"/>
      <c r="M369" s="224"/>
      <c r="N369" s="224"/>
      <c r="O369" s="224"/>
      <c r="P369" s="224"/>
      <c r="Q369" s="224"/>
      <c r="R369" s="224"/>
      <c r="S369" s="224"/>
      <c r="T369" s="224"/>
      <c r="U369" s="224"/>
      <c r="V369" s="224"/>
      <c r="W369" s="224"/>
      <c r="X369" s="224"/>
      <c r="Y369" s="224"/>
    </row>
    <row r="370" spans="1:25" ht="15.75" hidden="1" customHeight="1" x14ac:dyDescent="0.2">
      <c r="A370" s="224"/>
      <c r="B370" s="217"/>
      <c r="C370" s="218"/>
      <c r="D370" s="218"/>
      <c r="E370" s="218"/>
      <c r="F370" s="170"/>
      <c r="G370" s="170"/>
      <c r="H370" s="170"/>
      <c r="I370" s="170"/>
      <c r="J370" s="216"/>
      <c r="K370" s="224"/>
      <c r="L370" s="224"/>
      <c r="M370" s="224"/>
      <c r="N370" s="224"/>
      <c r="O370" s="224"/>
      <c r="P370" s="224"/>
      <c r="Q370" s="224"/>
      <c r="R370" s="224"/>
      <c r="S370" s="224"/>
      <c r="T370" s="224"/>
      <c r="U370" s="224"/>
      <c r="V370" s="224"/>
      <c r="W370" s="224"/>
      <c r="X370" s="224"/>
      <c r="Y370" s="224"/>
    </row>
    <row r="371" spans="1:25" ht="15.75" hidden="1" customHeight="1" x14ac:dyDescent="0.2">
      <c r="A371" s="224"/>
      <c r="B371" s="217"/>
      <c r="C371" s="218"/>
      <c r="D371" s="218"/>
      <c r="E371" s="218"/>
      <c r="F371" s="170"/>
      <c r="G371" s="170"/>
      <c r="H371" s="170"/>
      <c r="I371" s="170"/>
      <c r="J371" s="216"/>
      <c r="K371" s="224"/>
      <c r="L371" s="224"/>
      <c r="M371" s="224"/>
      <c r="N371" s="224"/>
      <c r="O371" s="224"/>
      <c r="P371" s="224"/>
      <c r="Q371" s="224"/>
      <c r="R371" s="224"/>
      <c r="S371" s="224"/>
      <c r="T371" s="224"/>
      <c r="U371" s="224"/>
      <c r="V371" s="224"/>
      <c r="W371" s="224"/>
      <c r="X371" s="224"/>
      <c r="Y371" s="224"/>
    </row>
    <row r="372" spans="1:25" ht="15.75" hidden="1" customHeight="1" x14ac:dyDescent="0.2">
      <c r="A372" s="224"/>
      <c r="B372" s="217"/>
      <c r="C372" s="218"/>
      <c r="D372" s="218"/>
      <c r="E372" s="218"/>
      <c r="F372" s="170"/>
      <c r="G372" s="170"/>
      <c r="H372" s="170"/>
      <c r="I372" s="170"/>
      <c r="J372" s="216"/>
      <c r="K372" s="224"/>
      <c r="L372" s="224"/>
      <c r="M372" s="224"/>
      <c r="N372" s="224"/>
      <c r="O372" s="224"/>
      <c r="P372" s="224"/>
      <c r="Q372" s="224"/>
      <c r="R372" s="224"/>
      <c r="S372" s="224"/>
      <c r="T372" s="224"/>
      <c r="U372" s="224"/>
      <c r="V372" s="224"/>
      <c r="W372" s="224"/>
      <c r="X372" s="224"/>
      <c r="Y372" s="224"/>
    </row>
    <row r="373" spans="1:25" ht="15.75" hidden="1" customHeight="1" x14ac:dyDescent="0.2">
      <c r="A373" s="224"/>
      <c r="B373" s="217"/>
      <c r="C373" s="218"/>
      <c r="D373" s="218"/>
      <c r="E373" s="218"/>
      <c r="F373" s="170"/>
      <c r="G373" s="170"/>
      <c r="H373" s="170"/>
      <c r="I373" s="170"/>
      <c r="J373" s="216"/>
      <c r="K373" s="224"/>
      <c r="L373" s="224"/>
      <c r="M373" s="224"/>
      <c r="N373" s="224"/>
      <c r="O373" s="224"/>
      <c r="P373" s="224"/>
      <c r="Q373" s="224"/>
      <c r="R373" s="224"/>
      <c r="S373" s="224"/>
      <c r="T373" s="224"/>
      <c r="U373" s="224"/>
      <c r="V373" s="224"/>
      <c r="W373" s="224"/>
      <c r="X373" s="224"/>
      <c r="Y373" s="224"/>
    </row>
    <row r="374" spans="1:25" ht="15.75" hidden="1" customHeight="1" x14ac:dyDescent="0.2">
      <c r="A374" s="224"/>
      <c r="B374" s="217"/>
      <c r="C374" s="218"/>
      <c r="D374" s="218"/>
      <c r="E374" s="218"/>
      <c r="F374" s="170"/>
      <c r="G374" s="170"/>
      <c r="H374" s="170"/>
      <c r="I374" s="170"/>
      <c r="J374" s="216"/>
      <c r="K374" s="224"/>
      <c r="L374" s="224"/>
      <c r="M374" s="224"/>
      <c r="N374" s="224"/>
      <c r="O374" s="224"/>
      <c r="P374" s="224"/>
      <c r="Q374" s="224"/>
      <c r="R374" s="224"/>
      <c r="S374" s="224"/>
      <c r="T374" s="224"/>
      <c r="U374" s="224"/>
      <c r="V374" s="224"/>
      <c r="W374" s="224"/>
      <c r="X374" s="224"/>
      <c r="Y374" s="224"/>
    </row>
    <row r="375" spans="1:25" ht="15.75" hidden="1" customHeight="1" x14ac:dyDescent="0.2">
      <c r="A375" s="224"/>
      <c r="B375" s="217"/>
      <c r="C375" s="218"/>
      <c r="D375" s="218"/>
      <c r="E375" s="218"/>
      <c r="F375" s="170"/>
      <c r="G375" s="170"/>
      <c r="H375" s="170"/>
      <c r="I375" s="170"/>
      <c r="J375" s="216"/>
      <c r="K375" s="224"/>
      <c r="L375" s="224"/>
      <c r="M375" s="224"/>
      <c r="N375" s="224"/>
      <c r="O375" s="224"/>
      <c r="P375" s="224"/>
      <c r="Q375" s="224"/>
      <c r="R375" s="224"/>
      <c r="S375" s="224"/>
      <c r="T375" s="224"/>
      <c r="U375" s="224"/>
      <c r="V375" s="224"/>
      <c r="W375" s="224"/>
      <c r="X375" s="224"/>
      <c r="Y375" s="224"/>
    </row>
    <row r="376" spans="1:25" ht="15.75" hidden="1" customHeight="1" x14ac:dyDescent="0.2">
      <c r="A376" s="224"/>
      <c r="B376" s="217"/>
      <c r="C376" s="218"/>
      <c r="D376" s="218"/>
      <c r="E376" s="218"/>
      <c r="F376" s="170"/>
      <c r="G376" s="170"/>
      <c r="H376" s="170"/>
      <c r="I376" s="170"/>
      <c r="J376" s="216"/>
      <c r="K376" s="224"/>
      <c r="L376" s="224"/>
      <c r="M376" s="224"/>
      <c r="N376" s="224"/>
      <c r="O376" s="224"/>
      <c r="P376" s="224"/>
      <c r="Q376" s="224"/>
      <c r="R376" s="224"/>
      <c r="S376" s="224"/>
      <c r="T376" s="224"/>
      <c r="U376" s="224"/>
      <c r="V376" s="224"/>
      <c r="W376" s="224"/>
      <c r="X376" s="224"/>
      <c r="Y376" s="224"/>
    </row>
    <row r="377" spans="1:25" ht="15.75" hidden="1" customHeight="1" x14ac:dyDescent="0.2">
      <c r="A377" s="224"/>
      <c r="B377" s="217"/>
      <c r="C377" s="218"/>
      <c r="D377" s="218"/>
      <c r="E377" s="218"/>
      <c r="F377" s="170"/>
      <c r="G377" s="170"/>
      <c r="H377" s="170"/>
      <c r="I377" s="170"/>
      <c r="J377" s="216"/>
      <c r="K377" s="224"/>
      <c r="L377" s="224"/>
      <c r="M377" s="224"/>
      <c r="N377" s="224"/>
      <c r="O377" s="224"/>
      <c r="P377" s="224"/>
      <c r="Q377" s="224"/>
      <c r="R377" s="224"/>
      <c r="S377" s="224"/>
      <c r="T377" s="224"/>
      <c r="U377" s="224"/>
      <c r="V377" s="224"/>
      <c r="W377" s="224"/>
      <c r="X377" s="224"/>
      <c r="Y377" s="224"/>
    </row>
    <row r="378" spans="1:25" ht="15.75" hidden="1" customHeight="1" x14ac:dyDescent="0.2">
      <c r="A378" s="224"/>
      <c r="B378" s="217"/>
      <c r="C378" s="218"/>
      <c r="D378" s="218"/>
      <c r="E378" s="218"/>
      <c r="F378" s="170"/>
      <c r="G378" s="170"/>
      <c r="H378" s="170"/>
      <c r="I378" s="170"/>
      <c r="J378" s="216"/>
      <c r="K378" s="224"/>
      <c r="L378" s="224"/>
      <c r="M378" s="224"/>
      <c r="N378" s="224"/>
      <c r="O378" s="224"/>
      <c r="P378" s="224"/>
      <c r="Q378" s="224"/>
      <c r="R378" s="224"/>
      <c r="S378" s="224"/>
      <c r="T378" s="224"/>
      <c r="U378" s="224"/>
      <c r="V378" s="224"/>
      <c r="W378" s="224"/>
      <c r="X378" s="224"/>
      <c r="Y378" s="224"/>
    </row>
    <row r="379" spans="1:25" ht="15.75" hidden="1" customHeight="1" x14ac:dyDescent="0.2">
      <c r="A379" s="224"/>
      <c r="B379" s="217"/>
      <c r="C379" s="218"/>
      <c r="D379" s="218"/>
      <c r="E379" s="218"/>
      <c r="F379" s="170"/>
      <c r="G379" s="170"/>
      <c r="H379" s="170"/>
      <c r="I379" s="170"/>
      <c r="J379" s="216"/>
      <c r="K379" s="224"/>
      <c r="L379" s="224"/>
      <c r="M379" s="224"/>
      <c r="N379" s="224"/>
      <c r="O379" s="224"/>
      <c r="P379" s="224"/>
      <c r="Q379" s="224"/>
      <c r="R379" s="224"/>
      <c r="S379" s="224"/>
      <c r="T379" s="224"/>
      <c r="U379" s="224"/>
      <c r="V379" s="224"/>
      <c r="W379" s="224"/>
      <c r="X379" s="224"/>
      <c r="Y379" s="224"/>
    </row>
    <row r="380" spans="1:25" ht="15.75" hidden="1" customHeight="1" x14ac:dyDescent="0.2">
      <c r="A380" s="224"/>
      <c r="B380" s="217"/>
      <c r="C380" s="218"/>
      <c r="D380" s="218"/>
      <c r="E380" s="218"/>
      <c r="F380" s="170"/>
      <c r="G380" s="170"/>
      <c r="H380" s="170"/>
      <c r="I380" s="170"/>
      <c r="J380" s="216"/>
      <c r="K380" s="224"/>
      <c r="L380" s="224"/>
      <c r="M380" s="224"/>
      <c r="N380" s="224"/>
      <c r="O380" s="224"/>
      <c r="P380" s="224"/>
      <c r="Q380" s="224"/>
      <c r="R380" s="224"/>
      <c r="S380" s="224"/>
      <c r="T380" s="224"/>
      <c r="U380" s="224"/>
      <c r="V380" s="224"/>
      <c r="W380" s="224"/>
      <c r="X380" s="224"/>
      <c r="Y380" s="224"/>
    </row>
    <row r="381" spans="1:25" ht="15.75" hidden="1" customHeight="1" x14ac:dyDescent="0.2">
      <c r="A381" s="224"/>
      <c r="B381" s="217"/>
      <c r="C381" s="218"/>
      <c r="D381" s="218"/>
      <c r="E381" s="218"/>
      <c r="F381" s="170"/>
      <c r="G381" s="170"/>
      <c r="H381" s="170"/>
      <c r="I381" s="170"/>
      <c r="J381" s="216"/>
      <c r="K381" s="224"/>
      <c r="L381" s="224"/>
      <c r="M381" s="224"/>
      <c r="N381" s="224"/>
      <c r="O381" s="224"/>
      <c r="P381" s="224"/>
      <c r="Q381" s="224"/>
      <c r="R381" s="224"/>
      <c r="S381" s="224"/>
      <c r="T381" s="224"/>
      <c r="U381" s="224"/>
      <c r="V381" s="224"/>
      <c r="W381" s="224"/>
      <c r="X381" s="224"/>
      <c r="Y381" s="224"/>
    </row>
    <row r="382" spans="1:25" ht="15.75" hidden="1" customHeight="1" x14ac:dyDescent="0.2">
      <c r="A382" s="224"/>
      <c r="B382" s="217"/>
      <c r="C382" s="218"/>
      <c r="D382" s="218"/>
      <c r="E382" s="218"/>
      <c r="F382" s="170"/>
      <c r="G382" s="170"/>
      <c r="H382" s="170"/>
      <c r="I382" s="170"/>
      <c r="J382" s="216"/>
      <c r="K382" s="224"/>
      <c r="L382" s="224"/>
      <c r="M382" s="224"/>
      <c r="N382" s="224"/>
      <c r="O382" s="224"/>
      <c r="P382" s="224"/>
      <c r="Q382" s="224"/>
      <c r="R382" s="224"/>
      <c r="S382" s="224"/>
      <c r="T382" s="224"/>
      <c r="U382" s="224"/>
      <c r="V382" s="224"/>
      <c r="W382" s="224"/>
      <c r="X382" s="224"/>
      <c r="Y382" s="224"/>
    </row>
    <row r="383" spans="1:25" ht="15.75" hidden="1" customHeight="1" x14ac:dyDescent="0.2">
      <c r="A383" s="224"/>
      <c r="B383" s="217"/>
      <c r="C383" s="218"/>
      <c r="D383" s="218"/>
      <c r="E383" s="218"/>
      <c r="F383" s="170"/>
      <c r="G383" s="170"/>
      <c r="H383" s="170"/>
      <c r="I383" s="170"/>
      <c r="J383" s="216"/>
      <c r="K383" s="224"/>
      <c r="L383" s="224"/>
      <c r="M383" s="224"/>
      <c r="N383" s="224"/>
      <c r="O383" s="224"/>
      <c r="P383" s="224"/>
      <c r="Q383" s="224"/>
      <c r="R383" s="224"/>
      <c r="S383" s="224"/>
      <c r="T383" s="224"/>
      <c r="U383" s="224"/>
      <c r="V383" s="224"/>
      <c r="W383" s="224"/>
      <c r="X383" s="224"/>
      <c r="Y383" s="224"/>
    </row>
    <row r="384" spans="1:25" ht="15.75" hidden="1" customHeight="1" x14ac:dyDescent="0.2">
      <c r="A384" s="224"/>
      <c r="B384" s="217"/>
      <c r="C384" s="218"/>
      <c r="D384" s="218"/>
      <c r="E384" s="218"/>
      <c r="F384" s="170"/>
      <c r="G384" s="170"/>
      <c r="H384" s="170"/>
      <c r="I384" s="170"/>
      <c r="J384" s="216"/>
      <c r="K384" s="224"/>
      <c r="L384" s="224"/>
      <c r="M384" s="224"/>
      <c r="N384" s="224"/>
      <c r="O384" s="224"/>
      <c r="P384" s="224"/>
      <c r="Q384" s="224"/>
      <c r="R384" s="224"/>
      <c r="S384" s="224"/>
      <c r="T384" s="224"/>
      <c r="U384" s="224"/>
      <c r="V384" s="224"/>
      <c r="W384" s="224"/>
      <c r="X384" s="224"/>
      <c r="Y384" s="224"/>
    </row>
    <row r="385" spans="1:25" ht="15.75" hidden="1" customHeight="1" x14ac:dyDescent="0.2">
      <c r="A385" s="224"/>
      <c r="B385" s="217"/>
      <c r="C385" s="218"/>
      <c r="D385" s="218"/>
      <c r="E385" s="218"/>
      <c r="F385" s="170"/>
      <c r="G385" s="170"/>
      <c r="H385" s="170"/>
      <c r="I385" s="170"/>
      <c r="J385" s="216"/>
      <c r="K385" s="224"/>
      <c r="L385" s="224"/>
      <c r="M385" s="224"/>
      <c r="N385" s="224"/>
      <c r="O385" s="224"/>
      <c r="P385" s="224"/>
      <c r="Q385" s="224"/>
      <c r="R385" s="224"/>
      <c r="S385" s="224"/>
      <c r="T385" s="224"/>
      <c r="U385" s="224"/>
      <c r="V385" s="224"/>
      <c r="W385" s="224"/>
      <c r="X385" s="224"/>
      <c r="Y385" s="224"/>
    </row>
    <row r="386" spans="1:25" ht="15.75" hidden="1" customHeight="1" x14ac:dyDescent="0.2">
      <c r="A386" s="224"/>
      <c r="B386" s="217"/>
      <c r="C386" s="218"/>
      <c r="D386" s="218"/>
      <c r="E386" s="218"/>
      <c r="F386" s="170"/>
      <c r="G386" s="170"/>
      <c r="H386" s="170"/>
      <c r="I386" s="170"/>
      <c r="J386" s="216"/>
      <c r="K386" s="224"/>
      <c r="L386" s="224"/>
      <c r="M386" s="224"/>
      <c r="N386" s="224"/>
      <c r="O386" s="224"/>
      <c r="P386" s="224"/>
      <c r="Q386" s="224"/>
      <c r="R386" s="224"/>
      <c r="S386" s="224"/>
      <c r="T386" s="224"/>
      <c r="U386" s="224"/>
      <c r="V386" s="224"/>
      <c r="W386" s="224"/>
      <c r="X386" s="224"/>
      <c r="Y386" s="224"/>
    </row>
    <row r="387" spans="1:25" ht="15.75" hidden="1" customHeight="1" x14ac:dyDescent="0.2">
      <c r="A387" s="224"/>
      <c r="B387" s="217"/>
      <c r="C387" s="218"/>
      <c r="D387" s="218"/>
      <c r="E387" s="218"/>
      <c r="F387" s="170"/>
      <c r="G387" s="170"/>
      <c r="H387" s="170"/>
      <c r="I387" s="170"/>
      <c r="J387" s="216"/>
      <c r="K387" s="224"/>
      <c r="L387" s="224"/>
      <c r="M387" s="224"/>
      <c r="N387" s="224"/>
      <c r="O387" s="224"/>
      <c r="P387" s="224"/>
      <c r="Q387" s="224"/>
      <c r="R387" s="224"/>
      <c r="S387" s="224"/>
      <c r="T387" s="224"/>
      <c r="U387" s="224"/>
      <c r="V387" s="224"/>
      <c r="W387" s="224"/>
      <c r="X387" s="224"/>
      <c r="Y387" s="224"/>
    </row>
    <row r="388" spans="1:25" ht="15.75" hidden="1" customHeight="1" x14ac:dyDescent="0.2">
      <c r="A388" s="224"/>
      <c r="B388" s="217"/>
      <c r="C388" s="218"/>
      <c r="D388" s="218"/>
      <c r="E388" s="218"/>
      <c r="F388" s="170"/>
      <c r="G388" s="170"/>
      <c r="H388" s="170"/>
      <c r="I388" s="170"/>
      <c r="J388" s="216"/>
      <c r="K388" s="224"/>
      <c r="L388" s="224"/>
      <c r="M388" s="224"/>
      <c r="N388" s="224"/>
      <c r="O388" s="224"/>
      <c r="P388" s="224"/>
      <c r="Q388" s="224"/>
      <c r="R388" s="224"/>
      <c r="S388" s="224"/>
      <c r="T388" s="224"/>
      <c r="U388" s="224"/>
      <c r="V388" s="224"/>
      <c r="W388" s="224"/>
      <c r="X388" s="224"/>
      <c r="Y388" s="224"/>
    </row>
    <row r="389" spans="1:25" ht="15.75" hidden="1" customHeight="1" x14ac:dyDescent="0.2">
      <c r="A389" s="224"/>
      <c r="B389" s="217"/>
      <c r="C389" s="218"/>
      <c r="D389" s="218"/>
      <c r="E389" s="218"/>
      <c r="F389" s="170"/>
      <c r="G389" s="170"/>
      <c r="H389" s="170"/>
      <c r="I389" s="170"/>
      <c r="J389" s="216"/>
      <c r="K389" s="224"/>
      <c r="L389" s="224"/>
      <c r="M389" s="224"/>
      <c r="N389" s="224"/>
      <c r="O389" s="224"/>
      <c r="P389" s="224"/>
      <c r="Q389" s="224"/>
      <c r="R389" s="224"/>
      <c r="S389" s="224"/>
      <c r="T389" s="224"/>
      <c r="U389" s="224"/>
      <c r="V389" s="224"/>
      <c r="W389" s="224"/>
      <c r="X389" s="224"/>
      <c r="Y389" s="224"/>
    </row>
    <row r="390" spans="1:25" ht="15.75" hidden="1" customHeight="1" x14ac:dyDescent="0.2">
      <c r="A390" s="224"/>
      <c r="B390" s="217"/>
      <c r="C390" s="218"/>
      <c r="D390" s="218"/>
      <c r="E390" s="218"/>
      <c r="F390" s="170"/>
      <c r="G390" s="170"/>
      <c r="H390" s="170"/>
      <c r="I390" s="170"/>
      <c r="J390" s="216"/>
      <c r="K390" s="224"/>
      <c r="L390" s="224"/>
      <c r="M390" s="224"/>
      <c r="N390" s="224"/>
      <c r="O390" s="224"/>
      <c r="P390" s="224"/>
      <c r="Q390" s="224"/>
      <c r="R390" s="224"/>
      <c r="S390" s="224"/>
      <c r="T390" s="224"/>
      <c r="U390" s="224"/>
      <c r="V390" s="224"/>
      <c r="W390" s="224"/>
      <c r="X390" s="224"/>
      <c r="Y390" s="224"/>
    </row>
    <row r="391" spans="1:25" ht="15.75" hidden="1" customHeight="1" x14ac:dyDescent="0.2">
      <c r="A391" s="224"/>
      <c r="B391" s="217"/>
      <c r="C391" s="218"/>
      <c r="D391" s="218"/>
      <c r="E391" s="218"/>
      <c r="F391" s="170"/>
      <c r="G391" s="170"/>
      <c r="H391" s="170"/>
      <c r="I391" s="170"/>
      <c r="J391" s="216"/>
      <c r="K391" s="224"/>
      <c r="L391" s="224"/>
      <c r="M391" s="224"/>
      <c r="N391" s="224"/>
      <c r="O391" s="224"/>
      <c r="P391" s="224"/>
      <c r="Q391" s="224"/>
      <c r="R391" s="224"/>
      <c r="S391" s="224"/>
      <c r="T391" s="224"/>
      <c r="U391" s="224"/>
      <c r="V391" s="224"/>
      <c r="W391" s="224"/>
      <c r="X391" s="224"/>
      <c r="Y391" s="224"/>
    </row>
    <row r="392" spans="1:25" ht="15.75" hidden="1" customHeight="1" x14ac:dyDescent="0.2">
      <c r="A392" s="224"/>
      <c r="B392" s="217"/>
      <c r="C392" s="218"/>
      <c r="D392" s="218"/>
      <c r="E392" s="218"/>
      <c r="F392" s="170"/>
      <c r="G392" s="170"/>
      <c r="H392" s="170"/>
      <c r="I392" s="170"/>
      <c r="J392" s="216"/>
      <c r="K392" s="224"/>
      <c r="L392" s="224"/>
      <c r="M392" s="224"/>
      <c r="N392" s="224"/>
      <c r="O392" s="224"/>
      <c r="P392" s="224"/>
      <c r="Q392" s="224"/>
      <c r="R392" s="224"/>
      <c r="S392" s="224"/>
      <c r="T392" s="224"/>
      <c r="U392" s="224"/>
      <c r="V392" s="224"/>
      <c r="W392" s="224"/>
      <c r="X392" s="224"/>
      <c r="Y392" s="224"/>
    </row>
    <row r="393" spans="1:25" ht="15.75" hidden="1" customHeight="1" x14ac:dyDescent="0.2">
      <c r="A393" s="224"/>
      <c r="B393" s="217"/>
      <c r="C393" s="218"/>
      <c r="D393" s="218"/>
      <c r="E393" s="218"/>
      <c r="F393" s="170"/>
      <c r="G393" s="170"/>
      <c r="H393" s="170"/>
      <c r="I393" s="170"/>
      <c r="J393" s="216"/>
      <c r="K393" s="224"/>
      <c r="L393" s="224"/>
      <c r="M393" s="224"/>
      <c r="N393" s="224"/>
      <c r="O393" s="224"/>
      <c r="P393" s="224"/>
      <c r="Q393" s="224"/>
      <c r="R393" s="224"/>
      <c r="S393" s="224"/>
      <c r="T393" s="224"/>
      <c r="U393" s="224"/>
      <c r="V393" s="224"/>
      <c r="W393" s="224"/>
      <c r="X393" s="224"/>
      <c r="Y393" s="224"/>
    </row>
    <row r="394" spans="1:25" ht="15.75" hidden="1" customHeight="1" x14ac:dyDescent="0.2">
      <c r="A394" s="224"/>
      <c r="B394" s="217"/>
      <c r="C394" s="218"/>
      <c r="D394" s="218"/>
      <c r="E394" s="218"/>
      <c r="F394" s="170"/>
      <c r="G394" s="170"/>
      <c r="H394" s="170"/>
      <c r="I394" s="170"/>
      <c r="J394" s="216"/>
      <c r="K394" s="224"/>
      <c r="L394" s="224"/>
      <c r="M394" s="224"/>
      <c r="N394" s="224"/>
      <c r="O394" s="224"/>
      <c r="P394" s="224"/>
      <c r="Q394" s="224"/>
      <c r="R394" s="224"/>
      <c r="S394" s="224"/>
      <c r="T394" s="224"/>
      <c r="U394" s="224"/>
      <c r="V394" s="224"/>
      <c r="W394" s="224"/>
      <c r="X394" s="224"/>
      <c r="Y394" s="224"/>
    </row>
    <row r="395" spans="1:25" ht="15.75" hidden="1" customHeight="1" x14ac:dyDescent="0.2">
      <c r="A395" s="224"/>
      <c r="B395" s="217"/>
      <c r="C395" s="218"/>
      <c r="D395" s="218"/>
      <c r="E395" s="218"/>
      <c r="F395" s="170"/>
      <c r="G395" s="170"/>
      <c r="H395" s="170"/>
      <c r="I395" s="170"/>
      <c r="J395" s="216"/>
      <c r="K395" s="224"/>
      <c r="L395" s="224"/>
      <c r="M395" s="224"/>
      <c r="N395" s="224"/>
      <c r="O395" s="224"/>
      <c r="P395" s="224"/>
      <c r="Q395" s="224"/>
      <c r="R395" s="224"/>
      <c r="S395" s="224"/>
      <c r="T395" s="224"/>
      <c r="U395" s="224"/>
      <c r="V395" s="224"/>
      <c r="W395" s="224"/>
      <c r="X395" s="224"/>
      <c r="Y395" s="224"/>
    </row>
    <row r="396" spans="1:25" ht="15.75" hidden="1" customHeight="1" x14ac:dyDescent="0.2">
      <c r="A396" s="224"/>
      <c r="B396" s="217"/>
      <c r="C396" s="218"/>
      <c r="D396" s="218"/>
      <c r="E396" s="218"/>
      <c r="F396" s="170"/>
      <c r="G396" s="170"/>
      <c r="H396" s="170"/>
      <c r="I396" s="170"/>
      <c r="J396" s="216"/>
      <c r="K396" s="224"/>
      <c r="L396" s="224"/>
      <c r="M396" s="224"/>
      <c r="N396" s="224"/>
      <c r="O396" s="224"/>
      <c r="P396" s="224"/>
      <c r="Q396" s="224"/>
      <c r="R396" s="224"/>
      <c r="S396" s="224"/>
      <c r="T396" s="224"/>
      <c r="U396" s="224"/>
      <c r="V396" s="224"/>
      <c r="W396" s="224"/>
      <c r="X396" s="224"/>
      <c r="Y396" s="224"/>
    </row>
    <row r="397" spans="1:25" ht="15.75" hidden="1" customHeight="1" x14ac:dyDescent="0.2">
      <c r="A397" s="224"/>
      <c r="B397" s="217"/>
      <c r="C397" s="218"/>
      <c r="D397" s="218"/>
      <c r="E397" s="218"/>
      <c r="F397" s="170"/>
      <c r="G397" s="170"/>
      <c r="H397" s="170"/>
      <c r="I397" s="170"/>
      <c r="J397" s="216"/>
      <c r="K397" s="224"/>
      <c r="L397" s="224"/>
      <c r="M397" s="224"/>
      <c r="N397" s="224"/>
      <c r="O397" s="224"/>
      <c r="P397" s="224"/>
      <c r="Q397" s="224"/>
      <c r="R397" s="224"/>
      <c r="S397" s="224"/>
      <c r="T397" s="224"/>
      <c r="U397" s="224"/>
      <c r="V397" s="224"/>
      <c r="W397" s="224"/>
      <c r="X397" s="224"/>
      <c r="Y397" s="224"/>
    </row>
    <row r="398" spans="1:25" ht="15.75" hidden="1" customHeight="1" x14ac:dyDescent="0.2">
      <c r="A398" s="224"/>
      <c r="B398" s="217"/>
      <c r="C398" s="218"/>
      <c r="D398" s="218"/>
      <c r="E398" s="218"/>
      <c r="F398" s="170"/>
      <c r="G398" s="170"/>
      <c r="H398" s="170"/>
      <c r="I398" s="170"/>
      <c r="J398" s="216"/>
      <c r="K398" s="224"/>
      <c r="L398" s="224"/>
      <c r="M398" s="224"/>
      <c r="N398" s="224"/>
      <c r="O398" s="224"/>
      <c r="P398" s="224"/>
      <c r="Q398" s="224"/>
      <c r="R398" s="224"/>
      <c r="S398" s="224"/>
      <c r="T398" s="224"/>
      <c r="U398" s="224"/>
      <c r="V398" s="224"/>
      <c r="W398" s="224"/>
      <c r="X398" s="224"/>
      <c r="Y398" s="224"/>
    </row>
    <row r="399" spans="1:25" ht="15.75" hidden="1" customHeight="1" x14ac:dyDescent="0.2">
      <c r="A399" s="224"/>
      <c r="B399" s="217"/>
      <c r="C399" s="218"/>
      <c r="D399" s="218"/>
      <c r="E399" s="218"/>
      <c r="F399" s="170"/>
      <c r="G399" s="170"/>
      <c r="H399" s="170"/>
      <c r="I399" s="170"/>
      <c r="J399" s="216"/>
      <c r="K399" s="224"/>
      <c r="L399" s="224"/>
      <c r="M399" s="224"/>
      <c r="N399" s="224"/>
      <c r="O399" s="224"/>
      <c r="P399" s="224"/>
      <c r="Q399" s="224"/>
      <c r="R399" s="224"/>
      <c r="S399" s="224"/>
      <c r="T399" s="224"/>
      <c r="U399" s="224"/>
      <c r="V399" s="224"/>
      <c r="W399" s="224"/>
      <c r="X399" s="224"/>
      <c r="Y399" s="224"/>
    </row>
    <row r="400" spans="1:25" ht="15.75" hidden="1" customHeight="1" x14ac:dyDescent="0.2">
      <c r="A400" s="224"/>
      <c r="B400" s="217"/>
      <c r="C400" s="218"/>
      <c r="D400" s="218"/>
      <c r="E400" s="218"/>
      <c r="F400" s="170"/>
      <c r="G400" s="170"/>
      <c r="H400" s="170"/>
      <c r="I400" s="170"/>
      <c r="J400" s="216"/>
      <c r="K400" s="224"/>
      <c r="L400" s="224"/>
      <c r="M400" s="224"/>
      <c r="N400" s="224"/>
      <c r="O400" s="224"/>
      <c r="P400" s="224"/>
      <c r="Q400" s="224"/>
      <c r="R400" s="224"/>
      <c r="S400" s="224"/>
      <c r="T400" s="224"/>
      <c r="U400" s="224"/>
      <c r="V400" s="224"/>
      <c r="W400" s="224"/>
      <c r="X400" s="224"/>
      <c r="Y400" s="224"/>
    </row>
    <row r="401" spans="1:25" ht="15.75" hidden="1" customHeight="1" x14ac:dyDescent="0.2">
      <c r="A401" s="224"/>
      <c r="B401" s="217"/>
      <c r="C401" s="218"/>
      <c r="D401" s="218"/>
      <c r="E401" s="218"/>
      <c r="F401" s="170"/>
      <c r="G401" s="170"/>
      <c r="H401" s="170"/>
      <c r="I401" s="170"/>
      <c r="J401" s="216"/>
      <c r="K401" s="224"/>
      <c r="L401" s="224"/>
      <c r="M401" s="224"/>
      <c r="N401" s="224"/>
      <c r="O401" s="224"/>
      <c r="P401" s="224"/>
      <c r="Q401" s="224"/>
      <c r="R401" s="224"/>
      <c r="S401" s="224"/>
      <c r="T401" s="224"/>
      <c r="U401" s="224"/>
      <c r="V401" s="224"/>
      <c r="W401" s="224"/>
      <c r="X401" s="224"/>
      <c r="Y401" s="224"/>
    </row>
    <row r="402" spans="1:25" ht="15.75" hidden="1" customHeight="1" x14ac:dyDescent="0.2">
      <c r="A402" s="224"/>
      <c r="B402" s="217"/>
      <c r="C402" s="218"/>
      <c r="D402" s="218"/>
      <c r="E402" s="218"/>
      <c r="F402" s="170"/>
      <c r="G402" s="170"/>
      <c r="H402" s="170"/>
      <c r="I402" s="170"/>
      <c r="J402" s="216"/>
      <c r="K402" s="224"/>
      <c r="L402" s="224"/>
      <c r="M402" s="224"/>
      <c r="N402" s="224"/>
      <c r="O402" s="224"/>
      <c r="P402" s="224"/>
      <c r="Q402" s="224"/>
      <c r="R402" s="224"/>
      <c r="S402" s="224"/>
      <c r="T402" s="224"/>
      <c r="U402" s="224"/>
      <c r="V402" s="224"/>
      <c r="W402" s="224"/>
      <c r="X402" s="224"/>
      <c r="Y402" s="224"/>
    </row>
    <row r="403" spans="1:25" ht="15.75" hidden="1" customHeight="1" x14ac:dyDescent="0.2">
      <c r="A403" s="224"/>
      <c r="B403" s="217"/>
      <c r="C403" s="218"/>
      <c r="D403" s="218"/>
      <c r="E403" s="218"/>
      <c r="F403" s="170"/>
      <c r="G403" s="170"/>
      <c r="H403" s="170"/>
      <c r="I403" s="170"/>
      <c r="J403" s="216"/>
      <c r="K403" s="224"/>
      <c r="L403" s="224"/>
      <c r="M403" s="224"/>
      <c r="N403" s="224"/>
      <c r="O403" s="224"/>
      <c r="P403" s="224"/>
      <c r="Q403" s="224"/>
      <c r="R403" s="224"/>
      <c r="S403" s="224"/>
      <c r="T403" s="224"/>
      <c r="U403" s="224"/>
      <c r="V403" s="224"/>
      <c r="W403" s="224"/>
      <c r="X403" s="224"/>
      <c r="Y403" s="224"/>
    </row>
    <row r="404" spans="1:25" ht="15.75" hidden="1" customHeight="1" x14ac:dyDescent="0.2">
      <c r="A404" s="224"/>
      <c r="B404" s="217"/>
      <c r="C404" s="218"/>
      <c r="D404" s="218"/>
      <c r="E404" s="218"/>
      <c r="F404" s="170"/>
      <c r="G404" s="170"/>
      <c r="H404" s="170"/>
      <c r="I404" s="170"/>
      <c r="J404" s="216"/>
      <c r="K404" s="224"/>
      <c r="L404" s="224"/>
      <c r="M404" s="224"/>
      <c r="N404" s="224"/>
      <c r="O404" s="224"/>
      <c r="P404" s="224"/>
      <c r="Q404" s="224"/>
      <c r="R404" s="224"/>
      <c r="S404" s="224"/>
      <c r="T404" s="224"/>
      <c r="U404" s="224"/>
      <c r="V404" s="224"/>
      <c r="W404" s="224"/>
      <c r="X404" s="224"/>
      <c r="Y404" s="224"/>
    </row>
    <row r="405" spans="1:25" ht="15.75" hidden="1" customHeight="1" x14ac:dyDescent="0.2">
      <c r="A405" s="224"/>
      <c r="B405" s="217"/>
      <c r="C405" s="218"/>
      <c r="D405" s="218"/>
      <c r="E405" s="218"/>
      <c r="F405" s="170"/>
      <c r="G405" s="170"/>
      <c r="H405" s="170"/>
      <c r="I405" s="170"/>
      <c r="J405" s="216"/>
      <c r="K405" s="224"/>
      <c r="L405" s="224"/>
      <c r="M405" s="224"/>
      <c r="N405" s="224"/>
      <c r="O405" s="224"/>
      <c r="P405" s="224"/>
      <c r="Q405" s="224"/>
      <c r="R405" s="224"/>
      <c r="S405" s="224"/>
      <c r="T405" s="224"/>
      <c r="U405" s="224"/>
      <c r="V405" s="224"/>
      <c r="W405" s="224"/>
      <c r="X405" s="224"/>
      <c r="Y405" s="224"/>
    </row>
    <row r="406" spans="1:25" ht="15.75" hidden="1" customHeight="1" x14ac:dyDescent="0.2">
      <c r="A406" s="224"/>
      <c r="B406" s="217"/>
      <c r="C406" s="218"/>
      <c r="D406" s="218"/>
      <c r="E406" s="218"/>
      <c r="F406" s="170"/>
      <c r="G406" s="170"/>
      <c r="H406" s="170"/>
      <c r="I406" s="170"/>
      <c r="J406" s="216"/>
      <c r="K406" s="224"/>
      <c r="L406" s="224"/>
      <c r="M406" s="224"/>
      <c r="N406" s="224"/>
      <c r="O406" s="224"/>
      <c r="P406" s="224"/>
      <c r="Q406" s="224"/>
      <c r="R406" s="224"/>
      <c r="S406" s="224"/>
      <c r="T406" s="224"/>
      <c r="U406" s="224"/>
      <c r="V406" s="224"/>
      <c r="W406" s="224"/>
      <c r="X406" s="224"/>
      <c r="Y406" s="224"/>
    </row>
    <row r="407" spans="1:25" ht="15.75" hidden="1" customHeight="1" x14ac:dyDescent="0.2">
      <c r="A407" s="224"/>
      <c r="B407" s="217"/>
      <c r="C407" s="218"/>
      <c r="D407" s="218"/>
      <c r="E407" s="218"/>
      <c r="F407" s="170"/>
      <c r="G407" s="170"/>
      <c r="H407" s="170"/>
      <c r="I407" s="170"/>
      <c r="J407" s="216"/>
      <c r="K407" s="224"/>
      <c r="L407" s="224"/>
      <c r="M407" s="224"/>
      <c r="N407" s="224"/>
      <c r="O407" s="224"/>
      <c r="P407" s="224"/>
      <c r="Q407" s="224"/>
      <c r="R407" s="224"/>
      <c r="S407" s="224"/>
      <c r="T407" s="224"/>
      <c r="U407" s="224"/>
      <c r="V407" s="224"/>
      <c r="W407" s="224"/>
      <c r="X407" s="224"/>
      <c r="Y407" s="224"/>
    </row>
    <row r="408" spans="1:25" ht="15.75" hidden="1" customHeight="1" x14ac:dyDescent="0.2">
      <c r="A408" s="224"/>
      <c r="B408" s="217"/>
      <c r="C408" s="218"/>
      <c r="D408" s="218"/>
      <c r="E408" s="218"/>
      <c r="F408" s="170"/>
      <c r="G408" s="170"/>
      <c r="H408" s="170"/>
      <c r="I408" s="170"/>
      <c r="J408" s="216"/>
      <c r="K408" s="224"/>
      <c r="L408" s="224"/>
      <c r="M408" s="224"/>
      <c r="N408" s="224"/>
      <c r="O408" s="224"/>
      <c r="P408" s="224"/>
      <c r="Q408" s="224"/>
      <c r="R408" s="224"/>
      <c r="S408" s="224"/>
      <c r="T408" s="224"/>
      <c r="U408" s="224"/>
      <c r="V408" s="224"/>
      <c r="W408" s="224"/>
      <c r="X408" s="224"/>
      <c r="Y408" s="224"/>
    </row>
    <row r="409" spans="1:25" ht="15.75" hidden="1" customHeight="1" x14ac:dyDescent="0.2">
      <c r="A409" s="224"/>
      <c r="B409" s="217"/>
      <c r="C409" s="218"/>
      <c r="D409" s="218"/>
      <c r="E409" s="218"/>
      <c r="F409" s="170"/>
      <c r="G409" s="170"/>
      <c r="H409" s="170"/>
      <c r="I409" s="170"/>
      <c r="J409" s="216"/>
      <c r="K409" s="224"/>
      <c r="L409" s="224"/>
      <c r="M409" s="224"/>
      <c r="N409" s="224"/>
      <c r="O409" s="224"/>
      <c r="P409" s="224"/>
      <c r="Q409" s="224"/>
      <c r="R409" s="224"/>
      <c r="S409" s="224"/>
      <c r="T409" s="224"/>
      <c r="U409" s="224"/>
      <c r="V409" s="224"/>
      <c r="W409" s="224"/>
      <c r="X409" s="224"/>
      <c r="Y409" s="224"/>
    </row>
    <row r="410" spans="1:25" ht="15.75" hidden="1" customHeight="1" x14ac:dyDescent="0.2">
      <c r="A410" s="224"/>
      <c r="B410" s="217"/>
      <c r="C410" s="218"/>
      <c r="D410" s="218"/>
      <c r="E410" s="218"/>
      <c r="F410" s="170"/>
      <c r="G410" s="170"/>
      <c r="H410" s="170"/>
      <c r="I410" s="170"/>
      <c r="J410" s="216"/>
      <c r="K410" s="224"/>
      <c r="L410" s="224"/>
      <c r="M410" s="224"/>
      <c r="N410" s="224"/>
      <c r="O410" s="224"/>
      <c r="P410" s="224"/>
      <c r="Q410" s="224"/>
      <c r="R410" s="224"/>
      <c r="S410" s="224"/>
      <c r="T410" s="224"/>
      <c r="U410" s="224"/>
      <c r="V410" s="224"/>
      <c r="W410" s="224"/>
      <c r="X410" s="224"/>
      <c r="Y410" s="224"/>
    </row>
    <row r="411" spans="1:25" ht="15.75" hidden="1" customHeight="1" x14ac:dyDescent="0.2">
      <c r="A411" s="224"/>
      <c r="B411" s="217"/>
      <c r="C411" s="218"/>
      <c r="D411" s="218"/>
      <c r="E411" s="218"/>
      <c r="F411" s="170"/>
      <c r="G411" s="170"/>
      <c r="H411" s="170"/>
      <c r="I411" s="170"/>
      <c r="J411" s="216"/>
      <c r="K411" s="224"/>
      <c r="L411" s="224"/>
      <c r="M411" s="224"/>
      <c r="N411" s="224"/>
      <c r="O411" s="224"/>
      <c r="P411" s="224"/>
      <c r="Q411" s="224"/>
      <c r="R411" s="224"/>
      <c r="S411" s="224"/>
      <c r="T411" s="224"/>
      <c r="U411" s="224"/>
      <c r="V411" s="224"/>
      <c r="W411" s="224"/>
      <c r="X411" s="224"/>
      <c r="Y411" s="224"/>
    </row>
    <row r="412" spans="1:25" ht="15.75" hidden="1" customHeight="1" x14ac:dyDescent="0.2">
      <c r="A412" s="224"/>
      <c r="B412" s="217"/>
      <c r="C412" s="218"/>
      <c r="D412" s="218"/>
      <c r="E412" s="218"/>
      <c r="F412" s="170"/>
      <c r="G412" s="170"/>
      <c r="H412" s="170"/>
      <c r="I412" s="170"/>
      <c r="J412" s="216"/>
      <c r="K412" s="224"/>
      <c r="L412" s="224"/>
      <c r="M412" s="224"/>
      <c r="N412" s="224"/>
      <c r="O412" s="224"/>
      <c r="P412" s="224"/>
      <c r="Q412" s="224"/>
      <c r="R412" s="224"/>
      <c r="S412" s="224"/>
      <c r="T412" s="224"/>
      <c r="U412" s="224"/>
      <c r="V412" s="224"/>
      <c r="W412" s="224"/>
      <c r="X412" s="224"/>
      <c r="Y412" s="224"/>
    </row>
    <row r="413" spans="1:25" ht="15.75" hidden="1" customHeight="1" x14ac:dyDescent="0.2">
      <c r="A413" s="224"/>
      <c r="B413" s="217"/>
      <c r="C413" s="218"/>
      <c r="D413" s="218"/>
      <c r="E413" s="218"/>
      <c r="F413" s="170"/>
      <c r="G413" s="170"/>
      <c r="H413" s="170"/>
      <c r="I413" s="170"/>
      <c r="J413" s="216"/>
      <c r="K413" s="224"/>
      <c r="L413" s="224"/>
      <c r="M413" s="224"/>
      <c r="N413" s="224"/>
      <c r="O413" s="224"/>
      <c r="P413" s="224"/>
      <c r="Q413" s="224"/>
      <c r="R413" s="224"/>
      <c r="S413" s="224"/>
      <c r="T413" s="224"/>
      <c r="U413" s="224"/>
      <c r="V413" s="224"/>
      <c r="W413" s="224"/>
      <c r="X413" s="224"/>
      <c r="Y413" s="224"/>
    </row>
    <row r="414" spans="1:25" ht="15.75" hidden="1" customHeight="1" x14ac:dyDescent="0.2">
      <c r="A414" s="224"/>
      <c r="B414" s="217"/>
      <c r="C414" s="218"/>
      <c r="D414" s="218"/>
      <c r="E414" s="218"/>
      <c r="F414" s="170"/>
      <c r="G414" s="170"/>
      <c r="H414" s="170"/>
      <c r="I414" s="170"/>
      <c r="J414" s="216"/>
      <c r="K414" s="224"/>
      <c r="L414" s="224"/>
      <c r="M414" s="224"/>
      <c r="N414" s="224"/>
      <c r="O414" s="224"/>
      <c r="P414" s="224"/>
      <c r="Q414" s="224"/>
      <c r="R414" s="224"/>
      <c r="S414" s="224"/>
      <c r="T414" s="224"/>
      <c r="U414" s="224"/>
      <c r="V414" s="224"/>
      <c r="W414" s="224"/>
      <c r="X414" s="224"/>
      <c r="Y414" s="224"/>
    </row>
    <row r="415" spans="1:25" ht="15.75" hidden="1" customHeight="1" x14ac:dyDescent="0.2">
      <c r="A415" s="224"/>
      <c r="B415" s="217"/>
      <c r="C415" s="218"/>
      <c r="D415" s="218"/>
      <c r="E415" s="218"/>
      <c r="F415" s="170"/>
      <c r="G415" s="170"/>
      <c r="H415" s="170"/>
      <c r="I415" s="170"/>
      <c r="J415" s="216"/>
      <c r="K415" s="224"/>
      <c r="L415" s="224"/>
      <c r="M415" s="224"/>
      <c r="N415" s="224"/>
      <c r="O415" s="224"/>
      <c r="P415" s="224"/>
      <c r="Q415" s="224"/>
      <c r="R415" s="224"/>
      <c r="S415" s="224"/>
      <c r="T415" s="224"/>
      <c r="U415" s="224"/>
      <c r="V415" s="224"/>
      <c r="W415" s="224"/>
      <c r="X415" s="224"/>
      <c r="Y415" s="224"/>
    </row>
    <row r="416" spans="1:25" ht="15.75" hidden="1" customHeight="1" x14ac:dyDescent="0.2">
      <c r="A416" s="224"/>
      <c r="B416" s="217"/>
      <c r="C416" s="218"/>
      <c r="D416" s="218"/>
      <c r="E416" s="218"/>
      <c r="F416" s="170"/>
      <c r="G416" s="170"/>
      <c r="H416" s="170"/>
      <c r="I416" s="170"/>
      <c r="J416" s="216"/>
      <c r="K416" s="224"/>
      <c r="L416" s="224"/>
      <c r="M416" s="224"/>
      <c r="N416" s="224"/>
      <c r="O416" s="224"/>
      <c r="P416" s="224"/>
      <c r="Q416" s="224"/>
      <c r="R416" s="224"/>
      <c r="S416" s="224"/>
      <c r="T416" s="224"/>
      <c r="U416" s="224"/>
      <c r="V416" s="224"/>
      <c r="W416" s="224"/>
      <c r="X416" s="224"/>
      <c r="Y416" s="224"/>
    </row>
    <row r="417" spans="1:25" ht="15.75" hidden="1" customHeight="1" x14ac:dyDescent="0.2">
      <c r="A417" s="224"/>
      <c r="B417" s="217"/>
      <c r="C417" s="218"/>
      <c r="D417" s="218"/>
      <c r="E417" s="218"/>
      <c r="F417" s="170"/>
      <c r="G417" s="170"/>
      <c r="H417" s="170"/>
      <c r="I417" s="170"/>
      <c r="J417" s="216"/>
      <c r="K417" s="224"/>
      <c r="L417" s="224"/>
      <c r="M417" s="224"/>
      <c r="N417" s="224"/>
      <c r="O417" s="224"/>
      <c r="P417" s="224"/>
      <c r="Q417" s="224"/>
      <c r="R417" s="224"/>
      <c r="S417" s="224"/>
      <c r="T417" s="224"/>
      <c r="U417" s="224"/>
      <c r="V417" s="224"/>
      <c r="W417" s="224"/>
      <c r="X417" s="224"/>
      <c r="Y417" s="224"/>
    </row>
    <row r="418" spans="1:25" ht="15.75" hidden="1" customHeight="1" x14ac:dyDescent="0.2">
      <c r="A418" s="224"/>
      <c r="B418" s="217"/>
      <c r="C418" s="218"/>
      <c r="D418" s="218"/>
      <c r="E418" s="218"/>
      <c r="F418" s="170"/>
      <c r="G418" s="170"/>
      <c r="H418" s="170"/>
      <c r="I418" s="170"/>
      <c r="J418" s="216"/>
      <c r="K418" s="224"/>
      <c r="L418" s="224"/>
      <c r="M418" s="224"/>
      <c r="N418" s="224"/>
      <c r="O418" s="224"/>
      <c r="P418" s="224"/>
      <c r="Q418" s="224"/>
      <c r="R418" s="224"/>
      <c r="S418" s="224"/>
      <c r="T418" s="224"/>
      <c r="U418" s="224"/>
      <c r="V418" s="224"/>
      <c r="W418" s="224"/>
      <c r="X418" s="224"/>
      <c r="Y418" s="224"/>
    </row>
    <row r="419" spans="1:25" ht="15.75" hidden="1" customHeight="1" x14ac:dyDescent="0.2">
      <c r="A419" s="224"/>
      <c r="B419" s="217"/>
      <c r="C419" s="218"/>
      <c r="D419" s="218"/>
      <c r="E419" s="218"/>
      <c r="F419" s="170"/>
      <c r="G419" s="170"/>
      <c r="H419" s="170"/>
      <c r="I419" s="170"/>
      <c r="J419" s="216"/>
      <c r="K419" s="224"/>
      <c r="L419" s="224"/>
      <c r="M419" s="224"/>
      <c r="N419" s="224"/>
      <c r="O419" s="224"/>
      <c r="P419" s="224"/>
      <c r="Q419" s="224"/>
      <c r="R419" s="224"/>
      <c r="S419" s="224"/>
      <c r="T419" s="224"/>
      <c r="U419" s="224"/>
      <c r="V419" s="224"/>
      <c r="W419" s="224"/>
      <c r="X419" s="224"/>
      <c r="Y419" s="224"/>
    </row>
    <row r="420" spans="1:25" ht="15.75" hidden="1" customHeight="1" x14ac:dyDescent="0.2">
      <c r="A420" s="224"/>
      <c r="B420" s="217"/>
      <c r="C420" s="218"/>
      <c r="D420" s="218"/>
      <c r="E420" s="218"/>
      <c r="F420" s="170"/>
      <c r="G420" s="170"/>
      <c r="H420" s="170"/>
      <c r="I420" s="170"/>
      <c r="J420" s="216"/>
      <c r="K420" s="224"/>
      <c r="L420" s="224"/>
      <c r="M420" s="224"/>
      <c r="N420" s="224"/>
      <c r="O420" s="224"/>
      <c r="P420" s="224"/>
      <c r="Q420" s="224"/>
      <c r="R420" s="224"/>
      <c r="S420" s="224"/>
      <c r="T420" s="224"/>
      <c r="U420" s="224"/>
      <c r="V420" s="224"/>
      <c r="W420" s="224"/>
      <c r="X420" s="224"/>
      <c r="Y420" s="224"/>
    </row>
    <row r="421" spans="1:25" ht="15.75" hidden="1" customHeight="1" x14ac:dyDescent="0.2">
      <c r="A421" s="224"/>
      <c r="B421" s="217"/>
      <c r="C421" s="218"/>
      <c r="D421" s="218"/>
      <c r="E421" s="218"/>
      <c r="F421" s="170"/>
      <c r="G421" s="170"/>
      <c r="H421" s="170"/>
      <c r="I421" s="170"/>
      <c r="J421" s="216"/>
      <c r="K421" s="224"/>
      <c r="L421" s="224"/>
      <c r="M421" s="224"/>
      <c r="N421" s="224"/>
      <c r="O421" s="224"/>
      <c r="P421" s="224"/>
      <c r="Q421" s="224"/>
      <c r="R421" s="224"/>
      <c r="S421" s="224"/>
      <c r="T421" s="224"/>
      <c r="U421" s="224"/>
      <c r="V421" s="224"/>
      <c r="W421" s="224"/>
      <c r="X421" s="224"/>
      <c r="Y421" s="224"/>
    </row>
    <row r="422" spans="1:25" ht="15.75" hidden="1" customHeight="1" x14ac:dyDescent="0.2">
      <c r="A422" s="224"/>
      <c r="B422" s="217"/>
      <c r="C422" s="218"/>
      <c r="D422" s="218"/>
      <c r="E422" s="218"/>
      <c r="F422" s="170"/>
      <c r="G422" s="170"/>
      <c r="H422" s="170"/>
      <c r="I422" s="170"/>
      <c r="J422" s="216"/>
      <c r="K422" s="224"/>
      <c r="L422" s="224"/>
      <c r="M422" s="224"/>
      <c r="N422" s="224"/>
      <c r="O422" s="224"/>
      <c r="P422" s="224"/>
      <c r="Q422" s="224"/>
      <c r="R422" s="224"/>
      <c r="S422" s="224"/>
      <c r="T422" s="224"/>
      <c r="U422" s="224"/>
      <c r="V422" s="224"/>
      <c r="W422" s="224"/>
      <c r="X422" s="224"/>
      <c r="Y422" s="224"/>
    </row>
    <row r="423" spans="1:25" ht="15.75" hidden="1" customHeight="1" x14ac:dyDescent="0.2">
      <c r="A423" s="224"/>
      <c r="B423" s="217"/>
      <c r="C423" s="218"/>
      <c r="D423" s="218"/>
      <c r="E423" s="218"/>
      <c r="F423" s="170"/>
      <c r="G423" s="170"/>
      <c r="H423" s="170"/>
      <c r="I423" s="170"/>
      <c r="J423" s="216"/>
      <c r="K423" s="224"/>
      <c r="L423" s="224"/>
      <c r="M423" s="224"/>
      <c r="N423" s="224"/>
      <c r="O423" s="224"/>
      <c r="P423" s="224"/>
      <c r="Q423" s="224"/>
      <c r="R423" s="224"/>
      <c r="S423" s="224"/>
      <c r="T423" s="224"/>
      <c r="U423" s="224"/>
      <c r="V423" s="224"/>
      <c r="W423" s="224"/>
      <c r="X423" s="224"/>
      <c r="Y423" s="224"/>
    </row>
    <row r="424" spans="1:25" ht="15.75" hidden="1" customHeight="1" x14ac:dyDescent="0.2">
      <c r="A424" s="224"/>
      <c r="B424" s="217"/>
      <c r="C424" s="218"/>
      <c r="D424" s="218"/>
      <c r="E424" s="218"/>
      <c r="F424" s="170"/>
      <c r="G424" s="170"/>
      <c r="H424" s="170"/>
      <c r="I424" s="170"/>
      <c r="J424" s="216"/>
      <c r="K424" s="224"/>
      <c r="L424" s="224"/>
      <c r="M424" s="224"/>
      <c r="N424" s="224"/>
      <c r="O424" s="224"/>
      <c r="P424" s="224"/>
      <c r="Q424" s="224"/>
      <c r="R424" s="224"/>
      <c r="S424" s="224"/>
      <c r="T424" s="224"/>
      <c r="U424" s="224"/>
      <c r="V424" s="224"/>
      <c r="W424" s="224"/>
      <c r="X424" s="224"/>
      <c r="Y424" s="224"/>
    </row>
    <row r="425" spans="1:25" ht="15.75" hidden="1" customHeight="1" x14ac:dyDescent="0.2">
      <c r="A425" s="224"/>
      <c r="B425" s="217"/>
      <c r="C425" s="218"/>
      <c r="D425" s="218"/>
      <c r="E425" s="218"/>
      <c r="F425" s="170"/>
      <c r="G425" s="170"/>
      <c r="H425" s="170"/>
      <c r="I425" s="170"/>
      <c r="J425" s="216"/>
      <c r="K425" s="224"/>
      <c r="L425" s="224"/>
      <c r="M425" s="224"/>
      <c r="N425" s="224"/>
      <c r="O425" s="224"/>
      <c r="P425" s="224"/>
      <c r="Q425" s="224"/>
      <c r="R425" s="224"/>
      <c r="S425" s="224"/>
      <c r="T425" s="224"/>
      <c r="U425" s="224"/>
      <c r="V425" s="224"/>
      <c r="W425" s="224"/>
      <c r="X425" s="224"/>
      <c r="Y425" s="224"/>
    </row>
    <row r="426" spans="1:25" ht="15.75" hidden="1" customHeight="1" x14ac:dyDescent="0.2">
      <c r="A426" s="224"/>
      <c r="B426" s="217"/>
      <c r="C426" s="218"/>
      <c r="D426" s="218"/>
      <c r="E426" s="218"/>
      <c r="F426" s="170"/>
      <c r="G426" s="170"/>
      <c r="H426" s="170"/>
      <c r="I426" s="170"/>
      <c r="J426" s="216"/>
      <c r="K426" s="224"/>
      <c r="L426" s="224"/>
      <c r="M426" s="224"/>
      <c r="N426" s="224"/>
      <c r="O426" s="224"/>
      <c r="P426" s="224"/>
      <c r="Q426" s="224"/>
      <c r="R426" s="224"/>
      <c r="S426" s="224"/>
      <c r="T426" s="224"/>
      <c r="U426" s="224"/>
      <c r="V426" s="224"/>
      <c r="W426" s="224"/>
      <c r="X426" s="224"/>
      <c r="Y426" s="224"/>
    </row>
    <row r="427" spans="1:25" ht="15.75" hidden="1" customHeight="1" x14ac:dyDescent="0.2">
      <c r="A427" s="224"/>
      <c r="B427" s="217"/>
      <c r="C427" s="218"/>
      <c r="D427" s="218"/>
      <c r="E427" s="218"/>
      <c r="F427" s="170"/>
      <c r="G427" s="170"/>
      <c r="H427" s="170"/>
      <c r="I427" s="170"/>
      <c r="J427" s="216"/>
      <c r="K427" s="224"/>
      <c r="L427" s="224"/>
      <c r="M427" s="224"/>
      <c r="N427" s="224"/>
      <c r="O427" s="224"/>
      <c r="P427" s="224"/>
      <c r="Q427" s="224"/>
      <c r="R427" s="224"/>
      <c r="S427" s="224"/>
      <c r="T427" s="224"/>
      <c r="U427" s="224"/>
      <c r="V427" s="224"/>
      <c r="W427" s="224"/>
      <c r="X427" s="224"/>
      <c r="Y427" s="224"/>
    </row>
    <row r="428" spans="1:25" ht="15.75" hidden="1" customHeight="1" x14ac:dyDescent="0.2">
      <c r="A428" s="224"/>
      <c r="B428" s="217"/>
      <c r="C428" s="218"/>
      <c r="D428" s="218"/>
      <c r="E428" s="218"/>
      <c r="F428" s="170"/>
      <c r="G428" s="170"/>
      <c r="H428" s="170"/>
      <c r="I428" s="170"/>
      <c r="J428" s="216"/>
      <c r="K428" s="224"/>
      <c r="L428" s="224"/>
      <c r="M428" s="224"/>
      <c r="N428" s="224"/>
      <c r="O428" s="224"/>
      <c r="P428" s="224"/>
      <c r="Q428" s="224"/>
      <c r="R428" s="224"/>
      <c r="S428" s="224"/>
      <c r="T428" s="224"/>
      <c r="U428" s="224"/>
      <c r="V428" s="224"/>
      <c r="W428" s="224"/>
      <c r="X428" s="224"/>
      <c r="Y428" s="224"/>
    </row>
    <row r="429" spans="1:25" ht="15.75" hidden="1" customHeight="1" x14ac:dyDescent="0.2">
      <c r="A429" s="224"/>
      <c r="B429" s="217"/>
      <c r="C429" s="218"/>
      <c r="D429" s="218"/>
      <c r="E429" s="218"/>
      <c r="F429" s="170"/>
      <c r="G429" s="170"/>
      <c r="H429" s="170"/>
      <c r="I429" s="170"/>
      <c r="J429" s="216"/>
      <c r="K429" s="224"/>
      <c r="L429" s="224"/>
      <c r="M429" s="224"/>
      <c r="N429" s="224"/>
      <c r="O429" s="224"/>
      <c r="P429" s="224"/>
      <c r="Q429" s="224"/>
      <c r="R429" s="224"/>
      <c r="S429" s="224"/>
      <c r="T429" s="224"/>
      <c r="U429" s="224"/>
      <c r="V429" s="224"/>
      <c r="W429" s="224"/>
      <c r="X429" s="224"/>
      <c r="Y429" s="224"/>
    </row>
    <row r="430" spans="1:25" ht="15.75" hidden="1" customHeight="1" x14ac:dyDescent="0.2">
      <c r="A430" s="224"/>
      <c r="B430" s="217"/>
      <c r="C430" s="218"/>
      <c r="D430" s="218"/>
      <c r="E430" s="218"/>
      <c r="F430" s="170"/>
      <c r="G430" s="170"/>
      <c r="H430" s="170"/>
      <c r="I430" s="170"/>
      <c r="J430" s="216"/>
      <c r="K430" s="224"/>
      <c r="L430" s="224"/>
      <c r="M430" s="224"/>
      <c r="N430" s="224"/>
      <c r="O430" s="224"/>
      <c r="P430" s="224"/>
      <c r="Q430" s="224"/>
      <c r="R430" s="224"/>
      <c r="S430" s="224"/>
      <c r="T430" s="224"/>
      <c r="U430" s="224"/>
      <c r="V430" s="224"/>
      <c r="W430" s="224"/>
      <c r="X430" s="224"/>
      <c r="Y430" s="224"/>
    </row>
    <row r="431" spans="1:25" ht="15.75" hidden="1" customHeight="1" x14ac:dyDescent="0.2">
      <c r="A431" s="224"/>
      <c r="B431" s="217"/>
      <c r="C431" s="218"/>
      <c r="D431" s="218"/>
      <c r="E431" s="218"/>
      <c r="F431" s="170"/>
      <c r="G431" s="170"/>
      <c r="H431" s="170"/>
      <c r="I431" s="170"/>
      <c r="J431" s="216"/>
      <c r="K431" s="224"/>
      <c r="L431" s="224"/>
      <c r="M431" s="224"/>
      <c r="N431" s="224"/>
      <c r="O431" s="224"/>
      <c r="P431" s="224"/>
      <c r="Q431" s="224"/>
      <c r="R431" s="224"/>
      <c r="S431" s="224"/>
      <c r="T431" s="224"/>
      <c r="U431" s="224"/>
      <c r="V431" s="224"/>
      <c r="W431" s="224"/>
      <c r="X431" s="224"/>
      <c r="Y431" s="224"/>
    </row>
    <row r="432" spans="1:25" ht="15.75" hidden="1" customHeight="1" x14ac:dyDescent="0.2">
      <c r="A432" s="224"/>
      <c r="B432" s="217"/>
      <c r="C432" s="218"/>
      <c r="D432" s="218"/>
      <c r="E432" s="218"/>
      <c r="F432" s="170"/>
      <c r="G432" s="170"/>
      <c r="H432" s="170"/>
      <c r="I432" s="170"/>
      <c r="J432" s="216"/>
      <c r="K432" s="224"/>
      <c r="L432" s="224"/>
      <c r="M432" s="224"/>
      <c r="N432" s="224"/>
      <c r="O432" s="224"/>
      <c r="P432" s="224"/>
      <c r="Q432" s="224"/>
      <c r="R432" s="224"/>
      <c r="S432" s="224"/>
      <c r="T432" s="224"/>
      <c r="U432" s="224"/>
      <c r="V432" s="224"/>
      <c r="W432" s="224"/>
      <c r="X432" s="224"/>
      <c r="Y432" s="224"/>
    </row>
    <row r="433" spans="1:25" ht="15.75" hidden="1" customHeight="1" x14ac:dyDescent="0.2">
      <c r="A433" s="224"/>
      <c r="B433" s="217"/>
      <c r="C433" s="218"/>
      <c r="D433" s="218"/>
      <c r="E433" s="218"/>
      <c r="F433" s="170"/>
      <c r="G433" s="170"/>
      <c r="H433" s="170"/>
      <c r="I433" s="170"/>
      <c r="J433" s="216"/>
      <c r="K433" s="224"/>
      <c r="L433" s="224"/>
      <c r="M433" s="224"/>
      <c r="N433" s="224"/>
      <c r="O433" s="224"/>
      <c r="P433" s="224"/>
      <c r="Q433" s="224"/>
      <c r="R433" s="224"/>
      <c r="S433" s="224"/>
      <c r="T433" s="224"/>
      <c r="U433" s="224"/>
      <c r="V433" s="224"/>
      <c r="W433" s="224"/>
      <c r="X433" s="224"/>
      <c r="Y433" s="224"/>
    </row>
    <row r="434" spans="1:25" ht="15.75" hidden="1" customHeight="1" x14ac:dyDescent="0.2">
      <c r="A434" s="224"/>
      <c r="B434" s="217"/>
      <c r="C434" s="218"/>
      <c r="D434" s="218"/>
      <c r="E434" s="218"/>
      <c r="F434" s="170"/>
      <c r="G434" s="170"/>
      <c r="H434" s="170"/>
      <c r="I434" s="170"/>
      <c r="J434" s="216"/>
      <c r="K434" s="224"/>
      <c r="L434" s="224"/>
      <c r="M434" s="224"/>
      <c r="N434" s="224"/>
      <c r="O434" s="224"/>
      <c r="P434" s="224"/>
      <c r="Q434" s="224"/>
      <c r="R434" s="224"/>
      <c r="S434" s="224"/>
      <c r="T434" s="224"/>
      <c r="U434" s="224"/>
      <c r="V434" s="224"/>
      <c r="W434" s="224"/>
      <c r="X434" s="224"/>
      <c r="Y434" s="224"/>
    </row>
    <row r="435" spans="1:25" ht="15.75" hidden="1" customHeight="1" x14ac:dyDescent="0.2">
      <c r="A435" s="224"/>
      <c r="B435" s="217"/>
      <c r="C435" s="218"/>
      <c r="D435" s="218"/>
      <c r="E435" s="218"/>
      <c r="F435" s="170"/>
      <c r="G435" s="170"/>
      <c r="H435" s="170"/>
      <c r="I435" s="170"/>
      <c r="J435" s="216"/>
      <c r="K435" s="224"/>
      <c r="L435" s="224"/>
      <c r="M435" s="224"/>
      <c r="N435" s="224"/>
      <c r="O435" s="224"/>
      <c r="P435" s="224"/>
      <c r="Q435" s="224"/>
      <c r="R435" s="224"/>
      <c r="S435" s="224"/>
      <c r="T435" s="224"/>
      <c r="U435" s="224"/>
      <c r="V435" s="224"/>
      <c r="W435" s="224"/>
      <c r="X435" s="224"/>
      <c r="Y435" s="224"/>
    </row>
    <row r="436" spans="1:25" ht="15.75" hidden="1" customHeight="1" x14ac:dyDescent="0.2">
      <c r="A436" s="224"/>
      <c r="B436" s="217"/>
      <c r="C436" s="218"/>
      <c r="D436" s="218"/>
      <c r="E436" s="218"/>
      <c r="F436" s="170"/>
      <c r="G436" s="170"/>
      <c r="H436" s="170"/>
      <c r="I436" s="170"/>
      <c r="J436" s="216"/>
      <c r="K436" s="224"/>
      <c r="L436" s="224"/>
      <c r="M436" s="224"/>
      <c r="N436" s="224"/>
      <c r="O436" s="224"/>
      <c r="P436" s="224"/>
      <c r="Q436" s="224"/>
      <c r="R436" s="224"/>
      <c r="S436" s="224"/>
      <c r="T436" s="224"/>
      <c r="U436" s="224"/>
      <c r="V436" s="224"/>
      <c r="W436" s="224"/>
      <c r="X436" s="224"/>
      <c r="Y436" s="224"/>
    </row>
    <row r="437" spans="1:25" ht="15.75" hidden="1" customHeight="1" x14ac:dyDescent="0.2">
      <c r="A437" s="224"/>
      <c r="B437" s="217"/>
      <c r="C437" s="218"/>
      <c r="D437" s="218"/>
      <c r="E437" s="218"/>
      <c r="F437" s="170"/>
      <c r="G437" s="170"/>
      <c r="H437" s="170"/>
      <c r="I437" s="170"/>
      <c r="J437" s="216"/>
      <c r="K437" s="224"/>
      <c r="L437" s="224"/>
      <c r="M437" s="224"/>
      <c r="N437" s="224"/>
      <c r="O437" s="224"/>
      <c r="P437" s="224"/>
      <c r="Q437" s="224"/>
      <c r="R437" s="224"/>
      <c r="S437" s="224"/>
      <c r="T437" s="224"/>
      <c r="U437" s="224"/>
      <c r="V437" s="224"/>
      <c r="W437" s="224"/>
      <c r="X437" s="224"/>
      <c r="Y437" s="224"/>
    </row>
    <row r="438" spans="1:25" ht="15.75" hidden="1" customHeight="1" x14ac:dyDescent="0.2">
      <c r="A438" s="224"/>
      <c r="B438" s="217"/>
      <c r="C438" s="218"/>
      <c r="D438" s="218"/>
      <c r="E438" s="218"/>
      <c r="F438" s="170"/>
      <c r="G438" s="170"/>
      <c r="H438" s="170"/>
      <c r="I438" s="170"/>
      <c r="J438" s="216"/>
      <c r="K438" s="224"/>
      <c r="L438" s="224"/>
      <c r="M438" s="224"/>
      <c r="N438" s="224"/>
      <c r="O438" s="224"/>
      <c r="P438" s="224"/>
      <c r="Q438" s="224"/>
      <c r="R438" s="224"/>
      <c r="S438" s="224"/>
      <c r="T438" s="224"/>
      <c r="U438" s="224"/>
      <c r="V438" s="224"/>
      <c r="W438" s="224"/>
      <c r="X438" s="224"/>
      <c r="Y438" s="224"/>
    </row>
    <row r="439" spans="1:25" ht="15.75" hidden="1" customHeight="1" x14ac:dyDescent="0.2">
      <c r="A439" s="224"/>
      <c r="B439" s="217"/>
      <c r="C439" s="218"/>
      <c r="D439" s="218"/>
      <c r="E439" s="218"/>
      <c r="F439" s="170"/>
      <c r="G439" s="170"/>
      <c r="H439" s="170"/>
      <c r="I439" s="170"/>
      <c r="J439" s="216"/>
      <c r="K439" s="224"/>
      <c r="L439" s="224"/>
      <c r="M439" s="224"/>
      <c r="N439" s="224"/>
      <c r="O439" s="224"/>
      <c r="P439" s="224"/>
      <c r="Q439" s="224"/>
      <c r="R439" s="224"/>
      <c r="S439" s="224"/>
      <c r="T439" s="224"/>
      <c r="U439" s="224"/>
      <c r="V439" s="224"/>
      <c r="W439" s="224"/>
      <c r="X439" s="224"/>
      <c r="Y439" s="224"/>
    </row>
    <row r="440" spans="1:25" ht="15.75" hidden="1" customHeight="1" x14ac:dyDescent="0.2">
      <c r="A440" s="224"/>
      <c r="B440" s="217"/>
      <c r="C440" s="218"/>
      <c r="D440" s="218"/>
      <c r="E440" s="218"/>
      <c r="F440" s="170"/>
      <c r="G440" s="170"/>
      <c r="H440" s="170"/>
      <c r="I440" s="170"/>
      <c r="J440" s="216"/>
      <c r="K440" s="224"/>
      <c r="L440" s="224"/>
      <c r="M440" s="224"/>
      <c r="N440" s="224"/>
      <c r="O440" s="224"/>
      <c r="P440" s="224"/>
      <c r="Q440" s="224"/>
      <c r="R440" s="224"/>
      <c r="S440" s="224"/>
      <c r="T440" s="224"/>
      <c r="U440" s="224"/>
      <c r="V440" s="224"/>
      <c r="W440" s="224"/>
      <c r="X440" s="224"/>
      <c r="Y440" s="224"/>
    </row>
    <row r="441" spans="1:25" ht="15.75" hidden="1" customHeight="1" x14ac:dyDescent="0.2">
      <c r="A441" s="224"/>
      <c r="B441" s="217"/>
      <c r="C441" s="218"/>
      <c r="D441" s="218"/>
      <c r="E441" s="218"/>
      <c r="F441" s="170"/>
      <c r="G441" s="170"/>
      <c r="H441" s="170"/>
      <c r="I441" s="170"/>
      <c r="J441" s="216"/>
      <c r="K441" s="224"/>
      <c r="L441" s="224"/>
      <c r="M441" s="224"/>
      <c r="N441" s="224"/>
      <c r="O441" s="224"/>
      <c r="P441" s="224"/>
      <c r="Q441" s="224"/>
      <c r="R441" s="224"/>
      <c r="S441" s="224"/>
      <c r="T441" s="224"/>
      <c r="U441" s="224"/>
      <c r="V441" s="224"/>
      <c r="W441" s="224"/>
      <c r="X441" s="224"/>
      <c r="Y441" s="224"/>
    </row>
    <row r="442" spans="1:25" ht="15.75" hidden="1" customHeight="1" x14ac:dyDescent="0.2">
      <c r="A442" s="224"/>
      <c r="B442" s="217"/>
      <c r="C442" s="218"/>
      <c r="D442" s="218"/>
      <c r="E442" s="218"/>
      <c r="F442" s="170"/>
      <c r="G442" s="170"/>
      <c r="H442" s="170"/>
      <c r="I442" s="170"/>
      <c r="J442" s="216"/>
      <c r="K442" s="224"/>
      <c r="L442" s="224"/>
      <c r="M442" s="224"/>
      <c r="N442" s="224"/>
      <c r="O442" s="224"/>
      <c r="P442" s="224"/>
      <c r="Q442" s="224"/>
      <c r="R442" s="224"/>
      <c r="S442" s="224"/>
      <c r="T442" s="224"/>
      <c r="U442" s="224"/>
      <c r="V442" s="224"/>
      <c r="W442" s="224"/>
      <c r="X442" s="224"/>
      <c r="Y442" s="224"/>
    </row>
    <row r="443" spans="1:25" ht="15.75" hidden="1" customHeight="1" x14ac:dyDescent="0.2">
      <c r="A443" s="224"/>
      <c r="B443" s="217"/>
      <c r="C443" s="218"/>
      <c r="D443" s="218"/>
      <c r="E443" s="218"/>
      <c r="F443" s="170"/>
      <c r="G443" s="170"/>
      <c r="H443" s="170"/>
      <c r="I443" s="170"/>
      <c r="J443" s="216"/>
      <c r="K443" s="224"/>
      <c r="L443" s="224"/>
      <c r="M443" s="224"/>
      <c r="N443" s="224"/>
      <c r="O443" s="224"/>
      <c r="P443" s="224"/>
      <c r="Q443" s="224"/>
      <c r="R443" s="224"/>
      <c r="S443" s="224"/>
      <c r="T443" s="224"/>
      <c r="U443" s="224"/>
      <c r="V443" s="224"/>
      <c r="W443" s="224"/>
      <c r="X443" s="224"/>
      <c r="Y443" s="224"/>
    </row>
    <row r="444" spans="1:25" ht="15.75" hidden="1" customHeight="1" x14ac:dyDescent="0.2">
      <c r="A444" s="224"/>
      <c r="B444" s="217"/>
      <c r="C444" s="218"/>
      <c r="D444" s="218"/>
      <c r="E444" s="218"/>
      <c r="F444" s="170"/>
      <c r="G444" s="170"/>
      <c r="H444" s="170"/>
      <c r="I444" s="170"/>
      <c r="J444" s="216"/>
      <c r="K444" s="224"/>
      <c r="L444" s="224"/>
      <c r="M444" s="224"/>
      <c r="N444" s="224"/>
      <c r="O444" s="224"/>
      <c r="P444" s="224"/>
      <c r="Q444" s="224"/>
      <c r="R444" s="224"/>
      <c r="S444" s="224"/>
      <c r="T444" s="224"/>
      <c r="U444" s="224"/>
      <c r="V444" s="224"/>
      <c r="W444" s="224"/>
      <c r="X444" s="224"/>
      <c r="Y444" s="224"/>
    </row>
    <row r="445" spans="1:25" ht="15.75" hidden="1" customHeight="1" x14ac:dyDescent="0.2">
      <c r="A445" s="224"/>
      <c r="B445" s="217"/>
      <c r="C445" s="218"/>
      <c r="D445" s="218"/>
      <c r="E445" s="218"/>
      <c r="F445" s="170"/>
      <c r="G445" s="170"/>
      <c r="H445" s="170"/>
      <c r="I445" s="170"/>
      <c r="J445" s="216"/>
      <c r="K445" s="224"/>
      <c r="L445" s="224"/>
      <c r="M445" s="224"/>
      <c r="N445" s="224"/>
      <c r="O445" s="224"/>
      <c r="P445" s="224"/>
      <c r="Q445" s="224"/>
      <c r="R445" s="224"/>
      <c r="S445" s="224"/>
      <c r="T445" s="224"/>
      <c r="U445" s="224"/>
      <c r="V445" s="224"/>
      <c r="W445" s="224"/>
      <c r="X445" s="224"/>
      <c r="Y445" s="224"/>
    </row>
    <row r="446" spans="1:25" ht="15.75" hidden="1" customHeight="1" x14ac:dyDescent="0.2">
      <c r="A446" s="224"/>
      <c r="B446" s="217"/>
      <c r="C446" s="218"/>
      <c r="D446" s="218"/>
      <c r="E446" s="218"/>
      <c r="F446" s="170"/>
      <c r="G446" s="170"/>
      <c r="H446" s="170"/>
      <c r="I446" s="170"/>
      <c r="J446" s="216"/>
      <c r="K446" s="224"/>
      <c r="L446" s="224"/>
      <c r="M446" s="224"/>
      <c r="N446" s="224"/>
      <c r="O446" s="224"/>
      <c r="P446" s="224"/>
      <c r="Q446" s="224"/>
      <c r="R446" s="224"/>
      <c r="S446" s="224"/>
      <c r="T446" s="224"/>
      <c r="U446" s="224"/>
      <c r="V446" s="224"/>
      <c r="W446" s="224"/>
      <c r="X446" s="224"/>
      <c r="Y446" s="224"/>
    </row>
    <row r="447" spans="1:25" ht="15.75" hidden="1" customHeight="1" x14ac:dyDescent="0.2">
      <c r="A447" s="224"/>
      <c r="B447" s="217"/>
      <c r="C447" s="218"/>
      <c r="D447" s="218"/>
      <c r="E447" s="218"/>
      <c r="F447" s="170"/>
      <c r="G447" s="170"/>
      <c r="H447" s="170"/>
      <c r="I447" s="170"/>
      <c r="J447" s="216"/>
      <c r="K447" s="224"/>
      <c r="L447" s="224"/>
      <c r="M447" s="224"/>
      <c r="N447" s="224"/>
      <c r="O447" s="224"/>
      <c r="P447" s="224"/>
      <c r="Q447" s="224"/>
      <c r="R447" s="224"/>
      <c r="S447" s="224"/>
      <c r="T447" s="224"/>
      <c r="U447" s="224"/>
      <c r="V447" s="224"/>
      <c r="W447" s="224"/>
      <c r="X447" s="224"/>
      <c r="Y447" s="224"/>
    </row>
    <row r="448" spans="1:25" ht="15.75" hidden="1" customHeight="1" x14ac:dyDescent="0.2">
      <c r="A448" s="224"/>
      <c r="B448" s="217"/>
      <c r="C448" s="218"/>
      <c r="D448" s="218"/>
      <c r="E448" s="218"/>
      <c r="F448" s="170"/>
      <c r="G448" s="170"/>
      <c r="H448" s="170"/>
      <c r="I448" s="170"/>
      <c r="J448" s="216"/>
      <c r="K448" s="224"/>
      <c r="L448" s="224"/>
      <c r="M448" s="224"/>
      <c r="N448" s="224"/>
      <c r="O448" s="224"/>
      <c r="P448" s="224"/>
      <c r="Q448" s="224"/>
      <c r="R448" s="224"/>
      <c r="S448" s="224"/>
      <c r="T448" s="224"/>
      <c r="U448" s="224"/>
      <c r="V448" s="224"/>
      <c r="W448" s="224"/>
      <c r="X448" s="224"/>
      <c r="Y448" s="224"/>
    </row>
    <row r="449" spans="1:25" ht="15.75" hidden="1" customHeight="1" x14ac:dyDescent="0.2">
      <c r="A449" s="224"/>
      <c r="B449" s="217"/>
      <c r="C449" s="218"/>
      <c r="D449" s="218"/>
      <c r="E449" s="218"/>
      <c r="F449" s="170"/>
      <c r="G449" s="170"/>
      <c r="H449" s="170"/>
      <c r="I449" s="170"/>
      <c r="J449" s="216"/>
      <c r="K449" s="224"/>
      <c r="L449" s="224"/>
      <c r="M449" s="224"/>
      <c r="N449" s="224"/>
      <c r="O449" s="224"/>
      <c r="P449" s="224"/>
      <c r="Q449" s="224"/>
      <c r="R449" s="224"/>
      <c r="S449" s="224"/>
      <c r="T449" s="224"/>
      <c r="U449" s="224"/>
      <c r="V449" s="224"/>
      <c r="W449" s="224"/>
      <c r="X449" s="224"/>
      <c r="Y449" s="224"/>
    </row>
    <row r="450" spans="1:25" ht="15.75" hidden="1" customHeight="1" x14ac:dyDescent="0.2">
      <c r="A450" s="224"/>
      <c r="B450" s="217"/>
      <c r="C450" s="218"/>
      <c r="D450" s="218"/>
      <c r="E450" s="218"/>
      <c r="F450" s="170"/>
      <c r="G450" s="170"/>
      <c r="H450" s="170"/>
      <c r="I450" s="170"/>
      <c r="J450" s="216"/>
      <c r="K450" s="224"/>
      <c r="L450" s="224"/>
      <c r="M450" s="224"/>
      <c r="N450" s="224"/>
      <c r="O450" s="224"/>
      <c r="P450" s="224"/>
      <c r="Q450" s="224"/>
      <c r="R450" s="224"/>
      <c r="S450" s="224"/>
      <c r="T450" s="224"/>
      <c r="U450" s="224"/>
      <c r="V450" s="224"/>
      <c r="W450" s="224"/>
      <c r="X450" s="224"/>
      <c r="Y450" s="224"/>
    </row>
    <row r="451" spans="1:25" ht="15.75" hidden="1" customHeight="1" x14ac:dyDescent="0.2">
      <c r="A451" s="224"/>
      <c r="B451" s="217"/>
      <c r="C451" s="218"/>
      <c r="D451" s="218"/>
      <c r="E451" s="218"/>
      <c r="F451" s="170"/>
      <c r="G451" s="170"/>
      <c r="H451" s="170"/>
      <c r="I451" s="170"/>
      <c r="J451" s="216"/>
      <c r="K451" s="224"/>
      <c r="L451" s="224"/>
      <c r="M451" s="224"/>
      <c r="N451" s="224"/>
      <c r="O451" s="224"/>
      <c r="P451" s="224"/>
      <c r="Q451" s="224"/>
      <c r="R451" s="224"/>
      <c r="S451" s="224"/>
      <c r="T451" s="224"/>
      <c r="U451" s="224"/>
      <c r="V451" s="224"/>
      <c r="W451" s="224"/>
      <c r="X451" s="224"/>
      <c r="Y451" s="224"/>
    </row>
    <row r="452" spans="1:25" ht="15.75" hidden="1" customHeight="1" x14ac:dyDescent="0.2">
      <c r="A452" s="224"/>
      <c r="B452" s="217"/>
      <c r="C452" s="218"/>
      <c r="D452" s="218"/>
      <c r="E452" s="218"/>
      <c r="F452" s="170"/>
      <c r="G452" s="170"/>
      <c r="H452" s="170"/>
      <c r="I452" s="170"/>
      <c r="J452" s="216"/>
      <c r="K452" s="224"/>
      <c r="L452" s="224"/>
      <c r="M452" s="224"/>
      <c r="N452" s="224"/>
      <c r="O452" s="224"/>
      <c r="P452" s="224"/>
      <c r="Q452" s="224"/>
      <c r="R452" s="224"/>
      <c r="S452" s="224"/>
      <c r="T452" s="224"/>
      <c r="U452" s="224"/>
      <c r="V452" s="224"/>
      <c r="W452" s="224"/>
      <c r="X452" s="224"/>
      <c r="Y452" s="224"/>
    </row>
    <row r="453" spans="1:25" ht="15.75" hidden="1" customHeight="1" x14ac:dyDescent="0.2">
      <c r="A453" s="224"/>
      <c r="B453" s="217"/>
      <c r="C453" s="218"/>
      <c r="D453" s="218"/>
      <c r="E453" s="218"/>
      <c r="F453" s="170"/>
      <c r="G453" s="170"/>
      <c r="H453" s="170"/>
      <c r="I453" s="170"/>
      <c r="J453" s="216"/>
      <c r="K453" s="224"/>
      <c r="L453" s="224"/>
      <c r="M453" s="224"/>
      <c r="N453" s="224"/>
      <c r="O453" s="224"/>
      <c r="P453" s="224"/>
      <c r="Q453" s="224"/>
      <c r="R453" s="224"/>
      <c r="S453" s="224"/>
      <c r="T453" s="224"/>
      <c r="U453" s="224"/>
      <c r="V453" s="224"/>
      <c r="W453" s="224"/>
      <c r="X453" s="224"/>
      <c r="Y453" s="224"/>
    </row>
    <row r="454" spans="1:25" ht="15.75" hidden="1" customHeight="1" x14ac:dyDescent="0.2">
      <c r="A454" s="224"/>
      <c r="B454" s="217"/>
      <c r="C454" s="218"/>
      <c r="D454" s="218"/>
      <c r="E454" s="218"/>
      <c r="F454" s="170"/>
      <c r="G454" s="170"/>
      <c r="H454" s="170"/>
      <c r="I454" s="170"/>
      <c r="J454" s="216"/>
      <c r="K454" s="224"/>
      <c r="L454" s="224"/>
      <c r="M454" s="224"/>
      <c r="N454" s="224"/>
      <c r="O454" s="224"/>
      <c r="P454" s="224"/>
      <c r="Q454" s="224"/>
      <c r="R454" s="224"/>
      <c r="S454" s="224"/>
      <c r="T454" s="224"/>
      <c r="U454" s="224"/>
      <c r="V454" s="224"/>
      <c r="W454" s="224"/>
      <c r="X454" s="224"/>
      <c r="Y454" s="224"/>
    </row>
    <row r="455" spans="1:25" ht="15.75" hidden="1" customHeight="1" x14ac:dyDescent="0.2">
      <c r="A455" s="224"/>
      <c r="B455" s="217"/>
      <c r="C455" s="218"/>
      <c r="D455" s="218"/>
      <c r="E455" s="218"/>
      <c r="F455" s="170"/>
      <c r="G455" s="170"/>
      <c r="H455" s="170"/>
      <c r="I455" s="170"/>
      <c r="J455" s="216"/>
      <c r="K455" s="224"/>
      <c r="L455" s="224"/>
      <c r="M455" s="224"/>
      <c r="N455" s="224"/>
      <c r="O455" s="224"/>
      <c r="P455" s="224"/>
      <c r="Q455" s="224"/>
      <c r="R455" s="224"/>
      <c r="S455" s="224"/>
      <c r="T455" s="224"/>
      <c r="U455" s="224"/>
      <c r="V455" s="224"/>
      <c r="W455" s="224"/>
      <c r="X455" s="224"/>
      <c r="Y455" s="224"/>
    </row>
    <row r="456" spans="1:25" ht="15.75" hidden="1" customHeight="1" x14ac:dyDescent="0.2">
      <c r="A456" s="224"/>
      <c r="B456" s="217"/>
      <c r="C456" s="218"/>
      <c r="D456" s="218"/>
      <c r="E456" s="218"/>
      <c r="F456" s="170"/>
      <c r="G456" s="170"/>
      <c r="H456" s="170"/>
      <c r="I456" s="170"/>
      <c r="J456" s="216"/>
      <c r="K456" s="224"/>
      <c r="L456" s="224"/>
      <c r="M456" s="224"/>
      <c r="N456" s="224"/>
      <c r="O456" s="224"/>
      <c r="P456" s="224"/>
      <c r="Q456" s="224"/>
      <c r="R456" s="224"/>
      <c r="S456" s="224"/>
      <c r="T456" s="224"/>
      <c r="U456" s="224"/>
      <c r="V456" s="224"/>
      <c r="W456" s="224"/>
      <c r="X456" s="224"/>
      <c r="Y456" s="224"/>
    </row>
    <row r="457" spans="1:25" ht="15.75" hidden="1" customHeight="1" x14ac:dyDescent="0.2">
      <c r="A457" s="224"/>
      <c r="B457" s="217"/>
      <c r="C457" s="218"/>
      <c r="D457" s="218"/>
      <c r="E457" s="218"/>
      <c r="F457" s="170"/>
      <c r="G457" s="170"/>
      <c r="H457" s="170"/>
      <c r="I457" s="170"/>
      <c r="J457" s="216"/>
      <c r="K457" s="224"/>
      <c r="L457" s="224"/>
      <c r="M457" s="224"/>
      <c r="N457" s="224"/>
      <c r="O457" s="224"/>
      <c r="P457" s="224"/>
      <c r="Q457" s="224"/>
      <c r="R457" s="224"/>
      <c r="S457" s="224"/>
      <c r="T457" s="224"/>
      <c r="U457" s="224"/>
      <c r="V457" s="224"/>
      <c r="W457" s="224"/>
      <c r="X457" s="224"/>
      <c r="Y457" s="224"/>
    </row>
    <row r="458" spans="1:25" ht="15.75" hidden="1" customHeight="1" x14ac:dyDescent="0.2">
      <c r="A458" s="224"/>
      <c r="B458" s="217"/>
      <c r="C458" s="218"/>
      <c r="D458" s="218"/>
      <c r="E458" s="218"/>
      <c r="F458" s="170"/>
      <c r="G458" s="170"/>
      <c r="H458" s="170"/>
      <c r="I458" s="170"/>
      <c r="J458" s="216"/>
      <c r="K458" s="224"/>
      <c r="L458" s="224"/>
      <c r="M458" s="224"/>
      <c r="N458" s="224"/>
      <c r="O458" s="224"/>
      <c r="P458" s="224"/>
      <c r="Q458" s="224"/>
      <c r="R458" s="224"/>
      <c r="S458" s="224"/>
      <c r="T458" s="224"/>
      <c r="U458" s="224"/>
      <c r="V458" s="224"/>
      <c r="W458" s="224"/>
      <c r="X458" s="224"/>
      <c r="Y458" s="224"/>
    </row>
    <row r="459" spans="1:25" ht="15.75" hidden="1" customHeight="1" x14ac:dyDescent="0.2">
      <c r="A459" s="224"/>
      <c r="B459" s="217"/>
      <c r="C459" s="218"/>
      <c r="D459" s="218"/>
      <c r="E459" s="218"/>
      <c r="F459" s="170"/>
      <c r="G459" s="170"/>
      <c r="H459" s="170"/>
      <c r="I459" s="170"/>
      <c r="J459" s="216"/>
      <c r="K459" s="224"/>
      <c r="L459" s="224"/>
      <c r="M459" s="224"/>
      <c r="N459" s="224"/>
      <c r="O459" s="224"/>
      <c r="P459" s="224"/>
      <c r="Q459" s="224"/>
      <c r="R459" s="224"/>
      <c r="S459" s="224"/>
      <c r="T459" s="224"/>
      <c r="U459" s="224"/>
      <c r="V459" s="224"/>
      <c r="W459" s="224"/>
      <c r="X459" s="224"/>
      <c r="Y459" s="224"/>
    </row>
    <row r="460" spans="1:25" ht="15.75" hidden="1" customHeight="1" x14ac:dyDescent="0.2">
      <c r="A460" s="224"/>
      <c r="B460" s="217"/>
      <c r="C460" s="218"/>
      <c r="D460" s="218"/>
      <c r="E460" s="218"/>
      <c r="F460" s="170"/>
      <c r="G460" s="170"/>
      <c r="H460" s="170"/>
      <c r="I460" s="170"/>
      <c r="J460" s="216"/>
      <c r="K460" s="224"/>
      <c r="L460" s="224"/>
      <c r="M460" s="224"/>
      <c r="N460" s="224"/>
      <c r="O460" s="224"/>
      <c r="P460" s="224"/>
      <c r="Q460" s="224"/>
      <c r="R460" s="224"/>
      <c r="S460" s="224"/>
      <c r="T460" s="224"/>
      <c r="U460" s="224"/>
      <c r="V460" s="224"/>
      <c r="W460" s="224"/>
      <c r="X460" s="224"/>
      <c r="Y460" s="224"/>
    </row>
    <row r="461" spans="1:25" ht="15.75" hidden="1" customHeight="1" x14ac:dyDescent="0.2">
      <c r="A461" s="224"/>
      <c r="B461" s="217"/>
      <c r="C461" s="218"/>
      <c r="D461" s="218"/>
      <c r="E461" s="218"/>
      <c r="F461" s="170"/>
      <c r="G461" s="170"/>
      <c r="H461" s="170"/>
      <c r="I461" s="170"/>
      <c r="J461" s="216"/>
      <c r="K461" s="224"/>
      <c r="L461" s="224"/>
      <c r="M461" s="224"/>
      <c r="N461" s="224"/>
      <c r="O461" s="224"/>
      <c r="P461" s="224"/>
      <c r="Q461" s="224"/>
      <c r="R461" s="224"/>
      <c r="S461" s="224"/>
      <c r="T461" s="224"/>
      <c r="U461" s="224"/>
      <c r="V461" s="224"/>
      <c r="W461" s="224"/>
      <c r="X461" s="224"/>
      <c r="Y461" s="224"/>
    </row>
    <row r="462" spans="1:25" ht="15.75" hidden="1" customHeight="1" x14ac:dyDescent="0.2">
      <c r="A462" s="224"/>
      <c r="B462" s="217"/>
      <c r="C462" s="218"/>
      <c r="D462" s="218"/>
      <c r="E462" s="218"/>
      <c r="F462" s="170"/>
      <c r="G462" s="170"/>
      <c r="H462" s="170"/>
      <c r="I462" s="170"/>
      <c r="J462" s="216"/>
      <c r="K462" s="224"/>
      <c r="L462" s="224"/>
      <c r="M462" s="224"/>
      <c r="N462" s="224"/>
      <c r="O462" s="224"/>
      <c r="P462" s="224"/>
      <c r="Q462" s="224"/>
      <c r="R462" s="224"/>
      <c r="S462" s="224"/>
      <c r="T462" s="224"/>
      <c r="U462" s="224"/>
      <c r="V462" s="224"/>
      <c r="W462" s="224"/>
      <c r="X462" s="224"/>
      <c r="Y462" s="224"/>
    </row>
    <row r="463" spans="1:25" ht="15.75" hidden="1" customHeight="1" x14ac:dyDescent="0.2">
      <c r="A463" s="224"/>
      <c r="B463" s="217"/>
      <c r="C463" s="218"/>
      <c r="D463" s="218"/>
      <c r="E463" s="218"/>
      <c r="F463" s="170"/>
      <c r="G463" s="170"/>
      <c r="H463" s="170"/>
      <c r="I463" s="170"/>
      <c r="J463" s="216"/>
      <c r="K463" s="224"/>
      <c r="L463" s="224"/>
      <c r="M463" s="224"/>
      <c r="N463" s="224"/>
      <c r="O463" s="224"/>
      <c r="P463" s="224"/>
      <c r="Q463" s="224"/>
      <c r="R463" s="224"/>
      <c r="S463" s="224"/>
      <c r="T463" s="224"/>
      <c r="U463" s="224"/>
      <c r="V463" s="224"/>
      <c r="W463" s="224"/>
      <c r="X463" s="224"/>
      <c r="Y463" s="224"/>
    </row>
    <row r="464" spans="1:25" ht="15.75" hidden="1" customHeight="1" x14ac:dyDescent="0.2">
      <c r="A464" s="224"/>
      <c r="B464" s="217"/>
      <c r="C464" s="218"/>
      <c r="D464" s="218"/>
      <c r="E464" s="218"/>
      <c r="F464" s="170"/>
      <c r="G464" s="170"/>
      <c r="H464" s="170"/>
      <c r="I464" s="170"/>
      <c r="J464" s="216"/>
      <c r="K464" s="224"/>
      <c r="L464" s="224"/>
      <c r="M464" s="224"/>
      <c r="N464" s="224"/>
      <c r="O464" s="224"/>
      <c r="P464" s="224"/>
      <c r="Q464" s="224"/>
      <c r="R464" s="224"/>
      <c r="S464" s="224"/>
      <c r="T464" s="224"/>
      <c r="U464" s="224"/>
      <c r="V464" s="224"/>
      <c r="W464" s="224"/>
      <c r="X464" s="224"/>
      <c r="Y464" s="224"/>
    </row>
    <row r="465" spans="1:25" ht="15.75" hidden="1" customHeight="1" x14ac:dyDescent="0.2">
      <c r="A465" s="224"/>
      <c r="B465" s="217"/>
      <c r="C465" s="218"/>
      <c r="D465" s="218"/>
      <c r="E465" s="218"/>
      <c r="F465" s="170"/>
      <c r="G465" s="170"/>
      <c r="H465" s="170"/>
      <c r="I465" s="170"/>
      <c r="J465" s="216"/>
      <c r="K465" s="224"/>
      <c r="L465" s="224"/>
      <c r="M465" s="224"/>
      <c r="N465" s="224"/>
      <c r="O465" s="224"/>
      <c r="P465" s="224"/>
      <c r="Q465" s="224"/>
      <c r="R465" s="224"/>
      <c r="S465" s="224"/>
      <c r="T465" s="224"/>
      <c r="U465" s="224"/>
      <c r="V465" s="224"/>
      <c r="W465" s="224"/>
      <c r="X465" s="224"/>
      <c r="Y465" s="224"/>
    </row>
    <row r="466" spans="1:25" ht="15.75" hidden="1" customHeight="1" x14ac:dyDescent="0.2">
      <c r="A466" s="224"/>
      <c r="B466" s="217"/>
      <c r="C466" s="218"/>
      <c r="D466" s="218"/>
      <c r="E466" s="218"/>
      <c r="F466" s="170"/>
      <c r="G466" s="170"/>
      <c r="H466" s="170"/>
      <c r="I466" s="170"/>
      <c r="J466" s="216"/>
      <c r="K466" s="224"/>
      <c r="L466" s="224"/>
      <c r="M466" s="224"/>
      <c r="N466" s="224"/>
      <c r="O466" s="224"/>
      <c r="P466" s="224"/>
      <c r="Q466" s="224"/>
      <c r="R466" s="224"/>
      <c r="S466" s="224"/>
      <c r="T466" s="224"/>
      <c r="U466" s="224"/>
      <c r="V466" s="224"/>
      <c r="W466" s="224"/>
      <c r="X466" s="224"/>
      <c r="Y466" s="224"/>
    </row>
    <row r="467" spans="1:25" ht="15.75" hidden="1" customHeight="1" x14ac:dyDescent="0.2">
      <c r="A467" s="224"/>
      <c r="B467" s="217"/>
      <c r="C467" s="218"/>
      <c r="D467" s="218"/>
      <c r="E467" s="218"/>
      <c r="F467" s="170"/>
      <c r="G467" s="170"/>
      <c r="H467" s="170"/>
      <c r="I467" s="170"/>
      <c r="J467" s="216"/>
      <c r="K467" s="224"/>
      <c r="L467" s="224"/>
      <c r="M467" s="224"/>
      <c r="N467" s="224"/>
      <c r="O467" s="224"/>
      <c r="P467" s="224"/>
      <c r="Q467" s="224"/>
      <c r="R467" s="224"/>
      <c r="S467" s="224"/>
      <c r="T467" s="224"/>
      <c r="U467" s="224"/>
      <c r="V467" s="224"/>
      <c r="W467" s="224"/>
      <c r="X467" s="224"/>
      <c r="Y467" s="224"/>
    </row>
    <row r="468" spans="1:25" ht="15.75" hidden="1" customHeight="1" x14ac:dyDescent="0.2">
      <c r="A468" s="224"/>
      <c r="B468" s="217"/>
      <c r="C468" s="218"/>
      <c r="D468" s="218"/>
      <c r="E468" s="218"/>
      <c r="F468" s="170"/>
      <c r="G468" s="170"/>
      <c r="H468" s="170"/>
      <c r="I468" s="170"/>
      <c r="J468" s="216"/>
      <c r="K468" s="224"/>
      <c r="L468" s="224"/>
      <c r="M468" s="224"/>
      <c r="N468" s="224"/>
      <c r="O468" s="224"/>
      <c r="P468" s="224"/>
      <c r="Q468" s="224"/>
      <c r="R468" s="224"/>
      <c r="S468" s="224"/>
      <c r="T468" s="224"/>
      <c r="U468" s="224"/>
      <c r="V468" s="224"/>
      <c r="W468" s="224"/>
      <c r="X468" s="224"/>
      <c r="Y468" s="224"/>
    </row>
    <row r="469" spans="1:25" ht="15.75" hidden="1" customHeight="1" x14ac:dyDescent="0.2">
      <c r="A469" s="224"/>
      <c r="B469" s="217"/>
      <c r="C469" s="218"/>
      <c r="D469" s="218"/>
      <c r="E469" s="218"/>
      <c r="F469" s="170"/>
      <c r="G469" s="170"/>
      <c r="H469" s="170"/>
      <c r="I469" s="170"/>
      <c r="J469" s="216"/>
      <c r="K469" s="224"/>
      <c r="L469" s="224"/>
      <c r="M469" s="224"/>
      <c r="N469" s="224"/>
      <c r="O469" s="224"/>
      <c r="P469" s="224"/>
      <c r="Q469" s="224"/>
      <c r="R469" s="224"/>
      <c r="S469" s="224"/>
      <c r="T469" s="224"/>
      <c r="U469" s="224"/>
      <c r="V469" s="224"/>
      <c r="W469" s="224"/>
      <c r="X469" s="224"/>
      <c r="Y469" s="224"/>
    </row>
    <row r="470" spans="1:25" ht="15.75" hidden="1" customHeight="1" x14ac:dyDescent="0.2">
      <c r="A470" s="224"/>
      <c r="B470" s="217"/>
      <c r="C470" s="218"/>
      <c r="D470" s="218"/>
      <c r="E470" s="218"/>
      <c r="F470" s="170"/>
      <c r="G470" s="170"/>
      <c r="H470" s="170"/>
      <c r="I470" s="170"/>
      <c r="J470" s="216"/>
      <c r="K470" s="224"/>
      <c r="L470" s="224"/>
      <c r="M470" s="224"/>
      <c r="N470" s="224"/>
      <c r="O470" s="224"/>
      <c r="P470" s="224"/>
      <c r="Q470" s="224"/>
      <c r="R470" s="224"/>
      <c r="S470" s="224"/>
      <c r="T470" s="224"/>
      <c r="U470" s="224"/>
      <c r="V470" s="224"/>
      <c r="W470" s="224"/>
      <c r="X470" s="224"/>
      <c r="Y470" s="224"/>
    </row>
    <row r="471" spans="1:25" ht="15.75" hidden="1" customHeight="1" x14ac:dyDescent="0.2">
      <c r="A471" s="224"/>
      <c r="B471" s="217"/>
      <c r="C471" s="218"/>
      <c r="D471" s="218"/>
      <c r="E471" s="218"/>
      <c r="F471" s="170"/>
      <c r="G471" s="170"/>
      <c r="H471" s="170"/>
      <c r="I471" s="170"/>
      <c r="J471" s="216"/>
      <c r="K471" s="224"/>
      <c r="L471" s="224"/>
      <c r="M471" s="224"/>
      <c r="N471" s="224"/>
      <c r="O471" s="224"/>
      <c r="P471" s="224"/>
      <c r="Q471" s="224"/>
      <c r="R471" s="224"/>
      <c r="S471" s="224"/>
      <c r="T471" s="224"/>
      <c r="U471" s="224"/>
      <c r="V471" s="224"/>
      <c r="W471" s="224"/>
      <c r="X471" s="224"/>
      <c r="Y471" s="224"/>
    </row>
    <row r="472" spans="1:25" ht="15.75" hidden="1" customHeight="1" x14ac:dyDescent="0.2">
      <c r="A472" s="224"/>
      <c r="B472" s="217"/>
      <c r="C472" s="218"/>
      <c r="D472" s="218"/>
      <c r="E472" s="218"/>
      <c r="F472" s="170"/>
      <c r="G472" s="170"/>
      <c r="H472" s="170"/>
      <c r="I472" s="170"/>
      <c r="J472" s="216"/>
      <c r="K472" s="224"/>
      <c r="L472" s="224"/>
      <c r="M472" s="224"/>
      <c r="N472" s="224"/>
      <c r="O472" s="224"/>
      <c r="P472" s="224"/>
      <c r="Q472" s="224"/>
      <c r="R472" s="224"/>
      <c r="S472" s="224"/>
      <c r="T472" s="224"/>
      <c r="U472" s="224"/>
      <c r="V472" s="224"/>
      <c r="W472" s="224"/>
      <c r="X472" s="224"/>
      <c r="Y472" s="224"/>
    </row>
    <row r="473" spans="1:25" ht="15.75" hidden="1" customHeight="1" x14ac:dyDescent="0.2">
      <c r="A473" s="224"/>
      <c r="B473" s="217"/>
      <c r="C473" s="218"/>
      <c r="D473" s="218"/>
      <c r="E473" s="218"/>
      <c r="F473" s="170"/>
      <c r="G473" s="170"/>
      <c r="H473" s="170"/>
      <c r="I473" s="170"/>
      <c r="J473" s="216"/>
      <c r="K473" s="224"/>
      <c r="L473" s="224"/>
      <c r="M473" s="224"/>
      <c r="N473" s="224"/>
      <c r="O473" s="224"/>
      <c r="P473" s="224"/>
      <c r="Q473" s="224"/>
      <c r="R473" s="224"/>
      <c r="S473" s="224"/>
      <c r="T473" s="224"/>
      <c r="U473" s="224"/>
      <c r="V473" s="224"/>
      <c r="W473" s="224"/>
      <c r="X473" s="224"/>
      <c r="Y473" s="224"/>
    </row>
    <row r="474" spans="1:25" ht="15.75" hidden="1" customHeight="1" x14ac:dyDescent="0.2">
      <c r="A474" s="224"/>
      <c r="B474" s="217"/>
      <c r="C474" s="218"/>
      <c r="D474" s="218"/>
      <c r="E474" s="218"/>
      <c r="F474" s="170"/>
      <c r="G474" s="170"/>
      <c r="H474" s="170"/>
      <c r="I474" s="170"/>
      <c r="J474" s="216"/>
      <c r="K474" s="224"/>
      <c r="L474" s="224"/>
      <c r="M474" s="224"/>
      <c r="N474" s="224"/>
      <c r="O474" s="224"/>
      <c r="P474" s="224"/>
      <c r="Q474" s="224"/>
      <c r="R474" s="224"/>
      <c r="S474" s="224"/>
      <c r="T474" s="224"/>
      <c r="U474" s="224"/>
      <c r="V474" s="224"/>
      <c r="W474" s="224"/>
      <c r="X474" s="224"/>
      <c r="Y474" s="224"/>
    </row>
    <row r="475" spans="1:25" ht="15.75" hidden="1" customHeight="1" x14ac:dyDescent="0.2">
      <c r="A475" s="224"/>
      <c r="B475" s="217"/>
      <c r="C475" s="218"/>
      <c r="D475" s="218"/>
      <c r="E475" s="218"/>
      <c r="F475" s="170"/>
      <c r="G475" s="170"/>
      <c r="H475" s="170"/>
      <c r="I475" s="170"/>
      <c r="J475" s="216"/>
      <c r="K475" s="224"/>
      <c r="L475" s="224"/>
      <c r="M475" s="224"/>
      <c r="N475" s="224"/>
      <c r="O475" s="224"/>
      <c r="P475" s="224"/>
      <c r="Q475" s="224"/>
      <c r="R475" s="224"/>
      <c r="S475" s="224"/>
      <c r="T475" s="224"/>
      <c r="U475" s="224"/>
      <c r="V475" s="224"/>
      <c r="W475" s="224"/>
      <c r="X475" s="224"/>
      <c r="Y475" s="224"/>
    </row>
    <row r="476" spans="1:25" ht="15.75" hidden="1" customHeight="1" x14ac:dyDescent="0.2">
      <c r="A476" s="224"/>
      <c r="B476" s="217"/>
      <c r="C476" s="218"/>
      <c r="D476" s="218"/>
      <c r="E476" s="218"/>
      <c r="F476" s="170"/>
      <c r="G476" s="170"/>
      <c r="H476" s="170"/>
      <c r="I476" s="170"/>
      <c r="J476" s="216"/>
      <c r="K476" s="224"/>
      <c r="L476" s="224"/>
      <c r="M476" s="224"/>
      <c r="N476" s="224"/>
      <c r="O476" s="224"/>
      <c r="P476" s="224"/>
      <c r="Q476" s="224"/>
      <c r="R476" s="224"/>
      <c r="S476" s="224"/>
      <c r="T476" s="224"/>
      <c r="U476" s="224"/>
      <c r="V476" s="224"/>
      <c r="W476" s="224"/>
      <c r="X476" s="224"/>
      <c r="Y476" s="224"/>
    </row>
    <row r="477" spans="1:25" ht="15.75" hidden="1" customHeight="1" x14ac:dyDescent="0.2">
      <c r="A477" s="224"/>
      <c r="B477" s="217"/>
      <c r="C477" s="218"/>
      <c r="D477" s="218"/>
      <c r="E477" s="218"/>
      <c r="F477" s="170"/>
      <c r="G477" s="170"/>
      <c r="H477" s="170"/>
      <c r="I477" s="170"/>
      <c r="J477" s="216"/>
      <c r="K477" s="224"/>
      <c r="L477" s="224"/>
      <c r="M477" s="224"/>
      <c r="N477" s="224"/>
      <c r="O477" s="224"/>
      <c r="P477" s="224"/>
      <c r="Q477" s="224"/>
      <c r="R477" s="224"/>
      <c r="S477" s="224"/>
      <c r="T477" s="224"/>
      <c r="U477" s="224"/>
      <c r="V477" s="224"/>
      <c r="W477" s="224"/>
      <c r="X477" s="224"/>
      <c r="Y477" s="224"/>
    </row>
    <row r="478" spans="1:25" ht="15.75" hidden="1" customHeight="1" x14ac:dyDescent="0.2">
      <c r="A478" s="224"/>
      <c r="B478" s="217"/>
      <c r="C478" s="218"/>
      <c r="D478" s="218"/>
      <c r="E478" s="218"/>
      <c r="F478" s="170"/>
      <c r="G478" s="170"/>
      <c r="H478" s="170"/>
      <c r="I478" s="170"/>
      <c r="J478" s="216"/>
      <c r="K478" s="224"/>
      <c r="L478" s="224"/>
      <c r="M478" s="224"/>
      <c r="N478" s="224"/>
      <c r="O478" s="224"/>
      <c r="P478" s="224"/>
      <c r="Q478" s="224"/>
      <c r="R478" s="224"/>
      <c r="S478" s="224"/>
      <c r="T478" s="224"/>
      <c r="U478" s="224"/>
      <c r="V478" s="224"/>
      <c r="W478" s="224"/>
      <c r="X478" s="224"/>
      <c r="Y478" s="224"/>
    </row>
    <row r="479" spans="1:25" ht="15.75" hidden="1" customHeight="1" x14ac:dyDescent="0.2">
      <c r="A479" s="224"/>
      <c r="B479" s="217"/>
      <c r="C479" s="218"/>
      <c r="D479" s="218"/>
      <c r="E479" s="218"/>
      <c r="F479" s="170"/>
      <c r="G479" s="170"/>
      <c r="H479" s="170"/>
      <c r="I479" s="170"/>
      <c r="J479" s="216"/>
      <c r="K479" s="224"/>
      <c r="L479" s="224"/>
      <c r="M479" s="224"/>
      <c r="N479" s="224"/>
      <c r="O479" s="224"/>
      <c r="P479" s="224"/>
      <c r="Q479" s="224"/>
      <c r="R479" s="224"/>
      <c r="S479" s="224"/>
      <c r="T479" s="224"/>
      <c r="U479" s="224"/>
      <c r="V479" s="224"/>
      <c r="W479" s="224"/>
      <c r="X479" s="224"/>
      <c r="Y479" s="224"/>
    </row>
    <row r="480" spans="1:25" ht="15.75" hidden="1" customHeight="1" x14ac:dyDescent="0.2">
      <c r="A480" s="224"/>
      <c r="B480" s="217"/>
      <c r="C480" s="218"/>
      <c r="D480" s="218"/>
      <c r="E480" s="218"/>
      <c r="F480" s="170"/>
      <c r="G480" s="170"/>
      <c r="H480" s="170"/>
      <c r="I480" s="170"/>
      <c r="J480" s="216"/>
      <c r="K480" s="224"/>
      <c r="L480" s="224"/>
      <c r="M480" s="224"/>
      <c r="N480" s="224"/>
      <c r="O480" s="224"/>
      <c r="P480" s="224"/>
      <c r="Q480" s="224"/>
      <c r="R480" s="224"/>
      <c r="S480" s="224"/>
      <c r="T480" s="224"/>
      <c r="U480" s="224"/>
      <c r="V480" s="224"/>
      <c r="W480" s="224"/>
      <c r="X480" s="224"/>
      <c r="Y480" s="224"/>
    </row>
    <row r="481" spans="1:25" ht="15.75" hidden="1" customHeight="1" x14ac:dyDescent="0.2">
      <c r="A481" s="224"/>
      <c r="B481" s="217"/>
      <c r="C481" s="218"/>
      <c r="D481" s="218"/>
      <c r="E481" s="218"/>
      <c r="F481" s="170"/>
      <c r="G481" s="170"/>
      <c r="H481" s="170"/>
      <c r="I481" s="170"/>
      <c r="J481" s="216"/>
      <c r="K481" s="224"/>
      <c r="L481" s="224"/>
      <c r="M481" s="224"/>
      <c r="N481" s="224"/>
      <c r="O481" s="224"/>
      <c r="P481" s="224"/>
      <c r="Q481" s="224"/>
      <c r="R481" s="224"/>
      <c r="S481" s="224"/>
      <c r="T481" s="224"/>
      <c r="U481" s="224"/>
      <c r="V481" s="224"/>
      <c r="W481" s="224"/>
      <c r="X481" s="224"/>
      <c r="Y481" s="224"/>
    </row>
    <row r="482" spans="1:25" ht="15.75" hidden="1" customHeight="1" x14ac:dyDescent="0.2">
      <c r="A482" s="224"/>
      <c r="B482" s="217"/>
      <c r="C482" s="218"/>
      <c r="D482" s="218"/>
      <c r="E482" s="218"/>
      <c r="F482" s="170"/>
      <c r="G482" s="170"/>
      <c r="H482" s="170"/>
      <c r="I482" s="170"/>
      <c r="J482" s="216"/>
      <c r="K482" s="224"/>
      <c r="L482" s="224"/>
      <c r="M482" s="224"/>
      <c r="N482" s="224"/>
      <c r="O482" s="224"/>
      <c r="P482" s="224"/>
      <c r="Q482" s="224"/>
      <c r="R482" s="224"/>
      <c r="S482" s="224"/>
      <c r="T482" s="224"/>
      <c r="U482" s="224"/>
      <c r="V482" s="224"/>
      <c r="W482" s="224"/>
      <c r="X482" s="224"/>
      <c r="Y482" s="224"/>
    </row>
    <row r="483" spans="1:25" ht="15.75" hidden="1" customHeight="1" x14ac:dyDescent="0.2">
      <c r="A483" s="224"/>
      <c r="B483" s="217"/>
      <c r="C483" s="218"/>
      <c r="D483" s="218"/>
      <c r="E483" s="218"/>
      <c r="F483" s="170"/>
      <c r="G483" s="170"/>
      <c r="H483" s="170"/>
      <c r="I483" s="170"/>
      <c r="J483" s="216"/>
      <c r="K483" s="224"/>
      <c r="L483" s="224"/>
      <c r="M483" s="224"/>
      <c r="N483" s="224"/>
      <c r="O483" s="224"/>
      <c r="P483" s="224"/>
      <c r="Q483" s="224"/>
      <c r="R483" s="224"/>
      <c r="S483" s="224"/>
      <c r="T483" s="224"/>
      <c r="U483" s="224"/>
      <c r="V483" s="224"/>
      <c r="W483" s="224"/>
      <c r="X483" s="224"/>
      <c r="Y483" s="224"/>
    </row>
    <row r="484" spans="1:25" ht="15.75" hidden="1" customHeight="1" x14ac:dyDescent="0.2">
      <c r="A484" s="224"/>
      <c r="B484" s="217"/>
      <c r="C484" s="218"/>
      <c r="D484" s="218"/>
      <c r="E484" s="218"/>
      <c r="F484" s="170"/>
      <c r="G484" s="170"/>
      <c r="H484" s="170"/>
      <c r="I484" s="170"/>
      <c r="J484" s="216"/>
      <c r="K484" s="224"/>
      <c r="L484" s="224"/>
      <c r="M484" s="224"/>
      <c r="N484" s="224"/>
      <c r="O484" s="224"/>
      <c r="P484" s="224"/>
      <c r="Q484" s="224"/>
      <c r="R484" s="224"/>
      <c r="S484" s="224"/>
      <c r="T484" s="224"/>
      <c r="U484" s="224"/>
      <c r="V484" s="224"/>
      <c r="W484" s="224"/>
      <c r="X484" s="224"/>
      <c r="Y484" s="224"/>
    </row>
    <row r="485" spans="1:25" ht="15.75" hidden="1" customHeight="1" x14ac:dyDescent="0.2">
      <c r="A485" s="224"/>
      <c r="B485" s="217"/>
      <c r="C485" s="218"/>
      <c r="D485" s="218"/>
      <c r="E485" s="218"/>
      <c r="F485" s="170"/>
      <c r="G485" s="170"/>
      <c r="H485" s="170"/>
      <c r="I485" s="170"/>
      <c r="J485" s="216"/>
      <c r="K485" s="224"/>
      <c r="L485" s="224"/>
      <c r="M485" s="224"/>
      <c r="N485" s="224"/>
      <c r="O485" s="224"/>
      <c r="P485" s="224"/>
      <c r="Q485" s="224"/>
      <c r="R485" s="224"/>
      <c r="S485" s="224"/>
      <c r="T485" s="224"/>
      <c r="U485" s="224"/>
      <c r="V485" s="224"/>
      <c r="W485" s="224"/>
      <c r="X485" s="224"/>
      <c r="Y485" s="224"/>
    </row>
    <row r="486" spans="1:25" ht="15.75" hidden="1" customHeight="1" x14ac:dyDescent="0.2">
      <c r="A486" s="224"/>
      <c r="B486" s="217"/>
      <c r="C486" s="218"/>
      <c r="D486" s="218"/>
      <c r="E486" s="218"/>
      <c r="F486" s="170"/>
      <c r="G486" s="170"/>
      <c r="H486" s="170"/>
      <c r="I486" s="170"/>
      <c r="J486" s="216"/>
      <c r="K486" s="224"/>
      <c r="L486" s="224"/>
      <c r="M486" s="224"/>
      <c r="N486" s="224"/>
      <c r="O486" s="224"/>
      <c r="P486" s="224"/>
      <c r="Q486" s="224"/>
      <c r="R486" s="224"/>
      <c r="S486" s="224"/>
      <c r="T486" s="224"/>
      <c r="U486" s="224"/>
      <c r="V486" s="224"/>
      <c r="W486" s="224"/>
      <c r="X486" s="224"/>
      <c r="Y486" s="224"/>
    </row>
    <row r="487" spans="1:25" ht="15.75" hidden="1" customHeight="1" x14ac:dyDescent="0.2">
      <c r="A487" s="224"/>
      <c r="B487" s="217"/>
      <c r="C487" s="218"/>
      <c r="D487" s="218"/>
      <c r="E487" s="218"/>
      <c r="F487" s="170"/>
      <c r="G487" s="170"/>
      <c r="H487" s="170"/>
      <c r="I487" s="170"/>
      <c r="J487" s="216"/>
      <c r="K487" s="224"/>
      <c r="L487" s="224"/>
      <c r="M487" s="224"/>
      <c r="N487" s="224"/>
      <c r="O487" s="224"/>
      <c r="P487" s="224"/>
      <c r="Q487" s="224"/>
      <c r="R487" s="224"/>
      <c r="S487" s="224"/>
      <c r="T487" s="224"/>
      <c r="U487" s="224"/>
      <c r="V487" s="224"/>
      <c r="W487" s="224"/>
      <c r="X487" s="224"/>
      <c r="Y487" s="224"/>
    </row>
    <row r="488" spans="1:25" ht="15.75" hidden="1" customHeight="1" x14ac:dyDescent="0.2">
      <c r="A488" s="224"/>
      <c r="B488" s="217"/>
      <c r="C488" s="218"/>
      <c r="D488" s="218"/>
      <c r="E488" s="218"/>
      <c r="F488" s="170"/>
      <c r="G488" s="170"/>
      <c r="H488" s="170"/>
      <c r="I488" s="170"/>
      <c r="J488" s="216"/>
      <c r="K488" s="224"/>
      <c r="L488" s="224"/>
      <c r="M488" s="224"/>
      <c r="N488" s="224"/>
      <c r="O488" s="224"/>
      <c r="P488" s="224"/>
      <c r="Q488" s="224"/>
      <c r="R488" s="224"/>
      <c r="S488" s="224"/>
      <c r="T488" s="224"/>
      <c r="U488" s="224"/>
      <c r="V488" s="224"/>
      <c r="W488" s="224"/>
      <c r="X488" s="224"/>
      <c r="Y488" s="224"/>
    </row>
    <row r="489" spans="1:25" ht="15.75" hidden="1" customHeight="1" x14ac:dyDescent="0.2">
      <c r="A489" s="224"/>
      <c r="B489" s="217"/>
      <c r="C489" s="218"/>
      <c r="D489" s="218"/>
      <c r="E489" s="218"/>
      <c r="F489" s="170"/>
      <c r="G489" s="170"/>
      <c r="H489" s="170"/>
      <c r="I489" s="170"/>
      <c r="J489" s="216"/>
      <c r="K489" s="224"/>
      <c r="L489" s="224"/>
      <c r="M489" s="224"/>
      <c r="N489" s="224"/>
      <c r="O489" s="224"/>
      <c r="P489" s="224"/>
      <c r="Q489" s="224"/>
      <c r="R489" s="224"/>
      <c r="S489" s="224"/>
      <c r="T489" s="224"/>
      <c r="U489" s="224"/>
      <c r="V489" s="224"/>
      <c r="W489" s="224"/>
      <c r="X489" s="224"/>
      <c r="Y489" s="224"/>
    </row>
    <row r="490" spans="1:25" ht="15.75" hidden="1" customHeight="1" x14ac:dyDescent="0.2">
      <c r="A490" s="224"/>
      <c r="B490" s="217"/>
      <c r="C490" s="218"/>
      <c r="D490" s="218"/>
      <c r="E490" s="218"/>
      <c r="F490" s="170"/>
      <c r="G490" s="170"/>
      <c r="H490" s="170"/>
      <c r="I490" s="170"/>
      <c r="J490" s="216"/>
      <c r="K490" s="224"/>
      <c r="L490" s="224"/>
      <c r="M490" s="224"/>
      <c r="N490" s="224"/>
      <c r="O490" s="224"/>
      <c r="P490" s="224"/>
      <c r="Q490" s="224"/>
      <c r="R490" s="224"/>
      <c r="S490" s="224"/>
      <c r="T490" s="224"/>
      <c r="U490" s="224"/>
      <c r="V490" s="224"/>
      <c r="W490" s="224"/>
      <c r="X490" s="224"/>
      <c r="Y490" s="224"/>
    </row>
    <row r="491" spans="1:25" ht="15.75" hidden="1" customHeight="1" x14ac:dyDescent="0.2">
      <c r="A491" s="224"/>
      <c r="B491" s="217"/>
      <c r="C491" s="218"/>
      <c r="D491" s="218"/>
      <c r="E491" s="218"/>
      <c r="F491" s="170"/>
      <c r="G491" s="170"/>
      <c r="H491" s="170"/>
      <c r="I491" s="170"/>
      <c r="J491" s="216"/>
      <c r="K491" s="224"/>
      <c r="L491" s="224"/>
      <c r="M491" s="224"/>
      <c r="N491" s="224"/>
      <c r="O491" s="224"/>
      <c r="P491" s="224"/>
      <c r="Q491" s="224"/>
      <c r="R491" s="224"/>
      <c r="S491" s="224"/>
      <c r="T491" s="224"/>
      <c r="U491" s="224"/>
      <c r="V491" s="224"/>
      <c r="W491" s="224"/>
      <c r="X491" s="224"/>
      <c r="Y491" s="224"/>
    </row>
    <row r="492" spans="1:25" ht="15.75" hidden="1" customHeight="1" x14ac:dyDescent="0.2">
      <c r="A492" s="224"/>
      <c r="B492" s="217"/>
      <c r="C492" s="218"/>
      <c r="D492" s="218"/>
      <c r="E492" s="218"/>
      <c r="F492" s="170"/>
      <c r="G492" s="170"/>
      <c r="H492" s="170"/>
      <c r="I492" s="170"/>
      <c r="J492" s="216"/>
      <c r="K492" s="224"/>
      <c r="L492" s="224"/>
      <c r="M492" s="224"/>
      <c r="N492" s="224"/>
      <c r="O492" s="224"/>
      <c r="P492" s="224"/>
      <c r="Q492" s="224"/>
      <c r="R492" s="224"/>
      <c r="S492" s="224"/>
      <c r="T492" s="224"/>
      <c r="U492" s="224"/>
      <c r="V492" s="224"/>
      <c r="W492" s="224"/>
      <c r="X492" s="224"/>
      <c r="Y492" s="224"/>
    </row>
    <row r="493" spans="1:25" ht="15.75" hidden="1" customHeight="1" x14ac:dyDescent="0.2">
      <c r="A493" s="224"/>
      <c r="B493" s="217"/>
      <c r="C493" s="218"/>
      <c r="D493" s="218"/>
      <c r="E493" s="218"/>
      <c r="F493" s="170"/>
      <c r="G493" s="170"/>
      <c r="H493" s="170"/>
      <c r="I493" s="170"/>
      <c r="J493" s="216"/>
      <c r="K493" s="224"/>
      <c r="L493" s="224"/>
      <c r="M493" s="224"/>
      <c r="N493" s="224"/>
      <c r="O493" s="224"/>
      <c r="P493" s="224"/>
      <c r="Q493" s="224"/>
      <c r="R493" s="224"/>
      <c r="S493" s="224"/>
      <c r="T493" s="224"/>
      <c r="U493" s="224"/>
      <c r="V493" s="224"/>
      <c r="W493" s="224"/>
      <c r="X493" s="224"/>
      <c r="Y493" s="224"/>
    </row>
    <row r="494" spans="1:25" ht="15.75" hidden="1" customHeight="1" x14ac:dyDescent="0.2">
      <c r="A494" s="224"/>
      <c r="B494" s="217"/>
      <c r="C494" s="218"/>
      <c r="D494" s="218"/>
      <c r="E494" s="218"/>
      <c r="F494" s="170"/>
      <c r="G494" s="170"/>
      <c r="H494" s="170"/>
      <c r="I494" s="170"/>
      <c r="J494" s="216"/>
      <c r="K494" s="224"/>
      <c r="L494" s="224"/>
      <c r="M494" s="224"/>
      <c r="N494" s="224"/>
      <c r="O494" s="224"/>
      <c r="P494" s="224"/>
      <c r="Q494" s="224"/>
      <c r="R494" s="224"/>
      <c r="S494" s="224"/>
      <c r="T494" s="224"/>
      <c r="U494" s="224"/>
      <c r="V494" s="224"/>
      <c r="W494" s="224"/>
      <c r="X494" s="224"/>
      <c r="Y494" s="224"/>
    </row>
    <row r="495" spans="1:25" ht="15.75" hidden="1" customHeight="1" x14ac:dyDescent="0.2">
      <c r="A495" s="224"/>
      <c r="B495" s="217"/>
      <c r="C495" s="218"/>
      <c r="D495" s="218"/>
      <c r="E495" s="218"/>
      <c r="F495" s="170"/>
      <c r="G495" s="170"/>
      <c r="H495" s="170"/>
      <c r="I495" s="170"/>
      <c r="J495" s="216"/>
      <c r="K495" s="224"/>
      <c r="L495" s="224"/>
      <c r="M495" s="224"/>
      <c r="N495" s="224"/>
      <c r="O495" s="224"/>
      <c r="P495" s="224"/>
      <c r="Q495" s="224"/>
      <c r="R495" s="224"/>
      <c r="S495" s="224"/>
      <c r="T495" s="224"/>
      <c r="U495" s="224"/>
      <c r="V495" s="224"/>
      <c r="W495" s="224"/>
      <c r="X495" s="224"/>
      <c r="Y495" s="224"/>
    </row>
    <row r="496" spans="1:25" ht="15.75" hidden="1" customHeight="1" x14ac:dyDescent="0.2">
      <c r="A496" s="224"/>
      <c r="B496" s="217"/>
      <c r="C496" s="218"/>
      <c r="D496" s="218"/>
      <c r="E496" s="218"/>
      <c r="F496" s="170"/>
      <c r="G496" s="170"/>
      <c r="H496" s="170"/>
      <c r="I496" s="170"/>
      <c r="J496" s="216"/>
      <c r="K496" s="224"/>
      <c r="L496" s="224"/>
      <c r="M496" s="224"/>
      <c r="N496" s="224"/>
      <c r="O496" s="224"/>
      <c r="P496" s="224"/>
      <c r="Q496" s="224"/>
      <c r="R496" s="224"/>
      <c r="S496" s="224"/>
      <c r="T496" s="224"/>
      <c r="U496" s="224"/>
      <c r="V496" s="224"/>
      <c r="W496" s="224"/>
      <c r="X496" s="224"/>
      <c r="Y496" s="224"/>
    </row>
    <row r="497" spans="1:25" ht="15.75" hidden="1" customHeight="1" x14ac:dyDescent="0.2">
      <c r="A497" s="224"/>
      <c r="B497" s="217"/>
      <c r="C497" s="218"/>
      <c r="D497" s="218"/>
      <c r="E497" s="218"/>
      <c r="F497" s="170"/>
      <c r="G497" s="170"/>
      <c r="H497" s="170"/>
      <c r="I497" s="170"/>
      <c r="J497" s="216"/>
      <c r="K497" s="224"/>
      <c r="L497" s="224"/>
      <c r="M497" s="224"/>
      <c r="N497" s="224"/>
      <c r="O497" s="224"/>
      <c r="P497" s="224"/>
      <c r="Q497" s="224"/>
      <c r="R497" s="224"/>
      <c r="S497" s="224"/>
      <c r="T497" s="224"/>
      <c r="U497" s="224"/>
      <c r="V497" s="224"/>
      <c r="W497" s="224"/>
      <c r="X497" s="224"/>
      <c r="Y497" s="224"/>
    </row>
    <row r="498" spans="1:25" ht="15.75" hidden="1" customHeight="1" x14ac:dyDescent="0.2">
      <c r="A498" s="224"/>
      <c r="B498" s="217"/>
      <c r="C498" s="218"/>
      <c r="D498" s="218"/>
      <c r="E498" s="218"/>
      <c r="F498" s="170"/>
      <c r="G498" s="170"/>
      <c r="H498" s="170"/>
      <c r="I498" s="170"/>
      <c r="J498" s="216"/>
      <c r="K498" s="224"/>
      <c r="L498" s="224"/>
      <c r="M498" s="224"/>
      <c r="N498" s="224"/>
      <c r="O498" s="224"/>
      <c r="P498" s="224"/>
      <c r="Q498" s="224"/>
      <c r="R498" s="224"/>
      <c r="S498" s="224"/>
      <c r="T498" s="224"/>
      <c r="U498" s="224"/>
      <c r="V498" s="224"/>
      <c r="W498" s="224"/>
      <c r="X498" s="224"/>
      <c r="Y498" s="224"/>
    </row>
    <row r="499" spans="1:25" ht="15.75" hidden="1" customHeight="1" x14ac:dyDescent="0.2">
      <c r="A499" s="224"/>
      <c r="B499" s="217"/>
      <c r="C499" s="218"/>
      <c r="D499" s="218"/>
      <c r="E499" s="218"/>
      <c r="F499" s="170"/>
      <c r="G499" s="170"/>
      <c r="H499" s="170"/>
      <c r="I499" s="170"/>
      <c r="J499" s="216"/>
      <c r="K499" s="224"/>
      <c r="L499" s="224"/>
      <c r="M499" s="224"/>
      <c r="N499" s="224"/>
      <c r="O499" s="224"/>
      <c r="P499" s="224"/>
      <c r="Q499" s="224"/>
      <c r="R499" s="224"/>
      <c r="S499" s="224"/>
      <c r="T499" s="224"/>
      <c r="U499" s="224"/>
      <c r="V499" s="224"/>
      <c r="W499" s="224"/>
      <c r="X499" s="224"/>
      <c r="Y499" s="224"/>
    </row>
    <row r="500" spans="1:25" ht="15.75" hidden="1" customHeight="1" x14ac:dyDescent="0.2">
      <c r="A500" s="224"/>
      <c r="B500" s="217"/>
      <c r="C500" s="218"/>
      <c r="D500" s="218"/>
      <c r="E500" s="218"/>
      <c r="F500" s="170"/>
      <c r="G500" s="170"/>
      <c r="H500" s="170"/>
      <c r="I500" s="170"/>
      <c r="J500" s="216"/>
      <c r="K500" s="224"/>
      <c r="L500" s="224"/>
      <c r="M500" s="224"/>
      <c r="N500" s="224"/>
      <c r="O500" s="224"/>
      <c r="P500" s="224"/>
      <c r="Q500" s="224"/>
      <c r="R500" s="224"/>
      <c r="S500" s="224"/>
      <c r="T500" s="224"/>
      <c r="U500" s="224"/>
      <c r="V500" s="224"/>
      <c r="W500" s="224"/>
      <c r="X500" s="224"/>
      <c r="Y500" s="224"/>
    </row>
    <row r="501" spans="1:25" ht="15.75" hidden="1" customHeight="1" x14ac:dyDescent="0.2">
      <c r="A501" s="224"/>
      <c r="B501" s="217"/>
      <c r="C501" s="218"/>
      <c r="D501" s="218"/>
      <c r="E501" s="218"/>
      <c r="F501" s="170"/>
      <c r="G501" s="170"/>
      <c r="H501" s="170"/>
      <c r="I501" s="170"/>
      <c r="J501" s="216"/>
      <c r="K501" s="224"/>
      <c r="L501" s="224"/>
      <c r="M501" s="224"/>
      <c r="N501" s="224"/>
      <c r="O501" s="224"/>
      <c r="P501" s="224"/>
      <c r="Q501" s="224"/>
      <c r="R501" s="224"/>
      <c r="S501" s="224"/>
      <c r="T501" s="224"/>
      <c r="U501" s="224"/>
      <c r="V501" s="224"/>
      <c r="W501" s="224"/>
      <c r="X501" s="224"/>
      <c r="Y501" s="224"/>
    </row>
    <row r="502" spans="1:25" ht="15.75" hidden="1" customHeight="1" x14ac:dyDescent="0.2">
      <c r="A502" s="224"/>
      <c r="B502" s="217"/>
      <c r="C502" s="218"/>
      <c r="D502" s="218"/>
      <c r="E502" s="218"/>
      <c r="F502" s="170"/>
      <c r="G502" s="170"/>
      <c r="H502" s="170"/>
      <c r="I502" s="170"/>
      <c r="J502" s="216"/>
      <c r="K502" s="224"/>
      <c r="L502" s="224"/>
      <c r="M502" s="224"/>
      <c r="N502" s="224"/>
      <c r="O502" s="224"/>
      <c r="P502" s="224"/>
      <c r="Q502" s="224"/>
      <c r="R502" s="224"/>
      <c r="S502" s="224"/>
      <c r="T502" s="224"/>
      <c r="U502" s="224"/>
      <c r="V502" s="224"/>
      <c r="W502" s="224"/>
      <c r="X502" s="224"/>
      <c r="Y502" s="224"/>
    </row>
    <row r="503" spans="1:25" ht="15.75" hidden="1" customHeight="1" x14ac:dyDescent="0.2">
      <c r="A503" s="224"/>
      <c r="B503" s="217"/>
      <c r="C503" s="218"/>
      <c r="D503" s="218"/>
      <c r="E503" s="218"/>
      <c r="F503" s="170"/>
      <c r="G503" s="170"/>
      <c r="H503" s="170"/>
      <c r="I503" s="170"/>
      <c r="J503" s="216"/>
      <c r="K503" s="224"/>
      <c r="L503" s="224"/>
      <c r="M503" s="224"/>
      <c r="N503" s="224"/>
      <c r="O503" s="224"/>
      <c r="P503" s="224"/>
      <c r="Q503" s="224"/>
      <c r="R503" s="224"/>
      <c r="S503" s="224"/>
      <c r="T503" s="224"/>
      <c r="U503" s="224"/>
      <c r="V503" s="224"/>
      <c r="W503" s="224"/>
      <c r="X503" s="224"/>
      <c r="Y503" s="224"/>
    </row>
    <row r="504" spans="1:25" ht="15.75" hidden="1" customHeight="1" x14ac:dyDescent="0.2">
      <c r="A504" s="224"/>
      <c r="B504" s="217"/>
      <c r="C504" s="218"/>
      <c r="D504" s="218"/>
      <c r="E504" s="218"/>
      <c r="F504" s="170"/>
      <c r="G504" s="170"/>
      <c r="H504" s="170"/>
      <c r="I504" s="170"/>
      <c r="J504" s="216"/>
      <c r="K504" s="224"/>
      <c r="L504" s="224"/>
      <c r="M504" s="224"/>
      <c r="N504" s="224"/>
      <c r="O504" s="224"/>
      <c r="P504" s="224"/>
      <c r="Q504" s="224"/>
      <c r="R504" s="224"/>
      <c r="S504" s="224"/>
      <c r="T504" s="224"/>
      <c r="U504" s="224"/>
      <c r="V504" s="224"/>
      <c r="W504" s="224"/>
      <c r="X504" s="224"/>
      <c r="Y504" s="224"/>
    </row>
    <row r="505" spans="1:25" ht="15.75" hidden="1" customHeight="1" x14ac:dyDescent="0.2">
      <c r="A505" s="224"/>
      <c r="B505" s="217"/>
      <c r="C505" s="218"/>
      <c r="D505" s="218"/>
      <c r="E505" s="218"/>
      <c r="F505" s="170"/>
      <c r="G505" s="170"/>
      <c r="H505" s="170"/>
      <c r="I505" s="170"/>
      <c r="J505" s="216"/>
      <c r="K505" s="224"/>
      <c r="L505" s="224"/>
      <c r="M505" s="224"/>
      <c r="N505" s="224"/>
      <c r="O505" s="224"/>
      <c r="P505" s="224"/>
      <c r="Q505" s="224"/>
      <c r="R505" s="224"/>
      <c r="S505" s="224"/>
      <c r="T505" s="224"/>
      <c r="U505" s="224"/>
      <c r="V505" s="224"/>
      <c r="W505" s="224"/>
      <c r="X505" s="224"/>
      <c r="Y505" s="224"/>
    </row>
    <row r="506" spans="1:25" ht="15.75" hidden="1" customHeight="1" x14ac:dyDescent="0.2">
      <c r="A506" s="224"/>
      <c r="B506" s="217"/>
      <c r="C506" s="218"/>
      <c r="D506" s="218"/>
      <c r="E506" s="218"/>
      <c r="F506" s="170"/>
      <c r="G506" s="170"/>
      <c r="H506" s="170"/>
      <c r="I506" s="170"/>
      <c r="J506" s="216"/>
      <c r="K506" s="224"/>
      <c r="L506" s="224"/>
      <c r="M506" s="224"/>
      <c r="N506" s="224"/>
      <c r="O506" s="224"/>
      <c r="P506" s="224"/>
      <c r="Q506" s="224"/>
      <c r="R506" s="224"/>
      <c r="S506" s="224"/>
      <c r="T506" s="224"/>
      <c r="U506" s="224"/>
      <c r="V506" s="224"/>
      <c r="W506" s="224"/>
      <c r="X506" s="224"/>
      <c r="Y506" s="224"/>
    </row>
    <row r="507" spans="1:25" ht="15.75" hidden="1" customHeight="1" x14ac:dyDescent="0.2">
      <c r="A507" s="224"/>
      <c r="B507" s="217"/>
      <c r="C507" s="218"/>
      <c r="D507" s="218"/>
      <c r="E507" s="218"/>
      <c r="F507" s="170"/>
      <c r="G507" s="170"/>
      <c r="H507" s="170"/>
      <c r="I507" s="170"/>
      <c r="J507" s="216"/>
      <c r="K507" s="224"/>
      <c r="L507" s="224"/>
      <c r="M507" s="224"/>
      <c r="N507" s="224"/>
      <c r="O507" s="224"/>
      <c r="P507" s="224"/>
      <c r="Q507" s="224"/>
      <c r="R507" s="224"/>
      <c r="S507" s="224"/>
      <c r="T507" s="224"/>
      <c r="U507" s="224"/>
      <c r="V507" s="224"/>
      <c r="W507" s="224"/>
      <c r="X507" s="224"/>
      <c r="Y507" s="224"/>
    </row>
    <row r="508" spans="1:25" ht="15.75" hidden="1" customHeight="1" x14ac:dyDescent="0.2">
      <c r="A508" s="224"/>
      <c r="B508" s="217"/>
      <c r="C508" s="218"/>
      <c r="D508" s="218"/>
      <c r="E508" s="218"/>
      <c r="F508" s="170"/>
      <c r="G508" s="170"/>
      <c r="H508" s="170"/>
      <c r="I508" s="170"/>
      <c r="J508" s="216"/>
      <c r="K508" s="224"/>
      <c r="L508" s="224"/>
      <c r="M508" s="224"/>
      <c r="N508" s="224"/>
      <c r="O508" s="224"/>
      <c r="P508" s="224"/>
      <c r="Q508" s="224"/>
      <c r="R508" s="224"/>
      <c r="S508" s="224"/>
      <c r="T508" s="224"/>
      <c r="U508" s="224"/>
      <c r="V508" s="224"/>
      <c r="W508" s="224"/>
      <c r="X508" s="224"/>
      <c r="Y508" s="224"/>
    </row>
    <row r="509" spans="1:25" ht="15.75" hidden="1" customHeight="1" x14ac:dyDescent="0.2">
      <c r="A509" s="224"/>
      <c r="B509" s="217"/>
      <c r="C509" s="218"/>
      <c r="D509" s="218"/>
      <c r="E509" s="218"/>
      <c r="F509" s="170"/>
      <c r="G509" s="170"/>
      <c r="H509" s="170"/>
      <c r="I509" s="170"/>
      <c r="J509" s="216"/>
      <c r="K509" s="224"/>
      <c r="L509" s="224"/>
      <c r="M509" s="224"/>
      <c r="N509" s="224"/>
      <c r="O509" s="224"/>
      <c r="P509" s="224"/>
      <c r="Q509" s="224"/>
      <c r="R509" s="224"/>
      <c r="S509" s="224"/>
      <c r="T509" s="224"/>
      <c r="U509" s="224"/>
      <c r="V509" s="224"/>
      <c r="W509" s="224"/>
      <c r="X509" s="224"/>
      <c r="Y509" s="224"/>
    </row>
    <row r="510" spans="1:25" ht="15.75" hidden="1" customHeight="1" x14ac:dyDescent="0.2">
      <c r="A510" s="224"/>
      <c r="B510" s="217"/>
      <c r="C510" s="218"/>
      <c r="D510" s="218"/>
      <c r="E510" s="218"/>
      <c r="F510" s="170"/>
      <c r="G510" s="170"/>
      <c r="H510" s="170"/>
      <c r="I510" s="170"/>
      <c r="J510" s="216"/>
      <c r="K510" s="224"/>
      <c r="L510" s="224"/>
      <c r="M510" s="224"/>
      <c r="N510" s="224"/>
      <c r="O510" s="224"/>
      <c r="P510" s="224"/>
      <c r="Q510" s="224"/>
      <c r="R510" s="224"/>
      <c r="S510" s="224"/>
      <c r="T510" s="224"/>
      <c r="U510" s="224"/>
      <c r="V510" s="224"/>
      <c r="W510" s="224"/>
      <c r="X510" s="224"/>
      <c r="Y510" s="224"/>
    </row>
    <row r="511" spans="1:25" ht="15.75" hidden="1" customHeight="1" x14ac:dyDescent="0.2">
      <c r="A511" s="224"/>
      <c r="B511" s="217"/>
      <c r="C511" s="218"/>
      <c r="D511" s="218"/>
      <c r="E511" s="218"/>
      <c r="F511" s="170"/>
      <c r="G511" s="170"/>
      <c r="H511" s="170"/>
      <c r="I511" s="170"/>
      <c r="J511" s="216"/>
      <c r="K511" s="224"/>
      <c r="L511" s="224"/>
      <c r="M511" s="224"/>
      <c r="N511" s="224"/>
      <c r="O511" s="224"/>
      <c r="P511" s="224"/>
      <c r="Q511" s="224"/>
      <c r="R511" s="224"/>
      <c r="S511" s="224"/>
      <c r="T511" s="224"/>
      <c r="U511" s="224"/>
      <c r="V511" s="224"/>
      <c r="W511" s="224"/>
      <c r="X511" s="224"/>
      <c r="Y511" s="224"/>
    </row>
    <row r="512" spans="1:25" ht="15.75" hidden="1" customHeight="1" x14ac:dyDescent="0.2">
      <c r="A512" s="224"/>
      <c r="B512" s="217"/>
      <c r="C512" s="218"/>
      <c r="D512" s="218"/>
      <c r="E512" s="218"/>
      <c r="F512" s="170"/>
      <c r="G512" s="170"/>
      <c r="H512" s="170"/>
      <c r="I512" s="170"/>
      <c r="J512" s="216"/>
      <c r="K512" s="224"/>
      <c r="L512" s="224"/>
      <c r="M512" s="224"/>
      <c r="N512" s="224"/>
      <c r="O512" s="224"/>
      <c r="P512" s="224"/>
      <c r="Q512" s="224"/>
      <c r="R512" s="224"/>
      <c r="S512" s="224"/>
      <c r="T512" s="224"/>
      <c r="U512" s="224"/>
      <c r="V512" s="224"/>
      <c r="W512" s="224"/>
      <c r="X512" s="224"/>
      <c r="Y512" s="224"/>
    </row>
    <row r="513" spans="1:25" ht="15.75" hidden="1" customHeight="1" x14ac:dyDescent="0.2">
      <c r="A513" s="224"/>
      <c r="B513" s="217"/>
      <c r="C513" s="218"/>
      <c r="D513" s="218"/>
      <c r="E513" s="218"/>
      <c r="F513" s="170"/>
      <c r="G513" s="170"/>
      <c r="H513" s="170"/>
      <c r="I513" s="170"/>
      <c r="J513" s="216"/>
      <c r="K513" s="224"/>
      <c r="L513" s="224"/>
      <c r="M513" s="224"/>
      <c r="N513" s="224"/>
      <c r="O513" s="224"/>
      <c r="P513" s="224"/>
      <c r="Q513" s="224"/>
      <c r="R513" s="224"/>
      <c r="S513" s="224"/>
      <c r="T513" s="224"/>
      <c r="U513" s="224"/>
      <c r="V513" s="224"/>
      <c r="W513" s="224"/>
      <c r="X513" s="224"/>
      <c r="Y513" s="224"/>
    </row>
    <row r="514" spans="1:25" ht="15.75" hidden="1" customHeight="1" x14ac:dyDescent="0.2">
      <c r="A514" s="224"/>
      <c r="B514" s="217"/>
      <c r="C514" s="218"/>
      <c r="D514" s="218"/>
      <c r="E514" s="218"/>
      <c r="F514" s="170"/>
      <c r="G514" s="170"/>
      <c r="H514" s="170"/>
      <c r="I514" s="170"/>
      <c r="J514" s="216"/>
      <c r="K514" s="224"/>
      <c r="L514" s="224"/>
      <c r="M514" s="224"/>
      <c r="N514" s="224"/>
      <c r="O514" s="224"/>
      <c r="P514" s="224"/>
      <c r="Q514" s="224"/>
      <c r="R514" s="224"/>
      <c r="S514" s="224"/>
      <c r="T514" s="224"/>
      <c r="U514" s="224"/>
      <c r="V514" s="224"/>
      <c r="W514" s="224"/>
      <c r="X514" s="224"/>
      <c r="Y514" s="224"/>
    </row>
    <row r="515" spans="1:25" ht="15.75" hidden="1" customHeight="1" x14ac:dyDescent="0.2">
      <c r="A515" s="224"/>
      <c r="B515" s="217"/>
      <c r="C515" s="218"/>
      <c r="D515" s="218"/>
      <c r="E515" s="218"/>
      <c r="F515" s="170"/>
      <c r="G515" s="170"/>
      <c r="H515" s="170"/>
      <c r="I515" s="170"/>
      <c r="J515" s="216"/>
      <c r="K515" s="224"/>
      <c r="L515" s="224"/>
      <c r="M515" s="224"/>
      <c r="N515" s="224"/>
      <c r="O515" s="224"/>
      <c r="P515" s="224"/>
      <c r="Q515" s="224"/>
      <c r="R515" s="224"/>
      <c r="S515" s="224"/>
      <c r="T515" s="224"/>
      <c r="U515" s="224"/>
      <c r="V515" s="224"/>
      <c r="W515" s="224"/>
      <c r="X515" s="224"/>
      <c r="Y515" s="224"/>
    </row>
    <row r="516" spans="1:25" ht="15.75" hidden="1" customHeight="1" x14ac:dyDescent="0.2">
      <c r="A516" s="224"/>
      <c r="B516" s="217"/>
      <c r="C516" s="218"/>
      <c r="D516" s="218"/>
      <c r="E516" s="218"/>
      <c r="F516" s="170"/>
      <c r="G516" s="170"/>
      <c r="H516" s="170"/>
      <c r="I516" s="170"/>
      <c r="J516" s="216"/>
      <c r="K516" s="224"/>
      <c r="L516" s="224"/>
      <c r="M516" s="224"/>
      <c r="N516" s="224"/>
      <c r="O516" s="224"/>
      <c r="P516" s="224"/>
      <c r="Q516" s="224"/>
      <c r="R516" s="224"/>
      <c r="S516" s="224"/>
      <c r="T516" s="224"/>
      <c r="U516" s="224"/>
      <c r="V516" s="224"/>
      <c r="W516" s="224"/>
      <c r="X516" s="224"/>
      <c r="Y516" s="224"/>
    </row>
    <row r="517" spans="1:25" ht="15.75" hidden="1" customHeight="1" x14ac:dyDescent="0.2">
      <c r="A517" s="224"/>
      <c r="B517" s="217"/>
      <c r="C517" s="218"/>
      <c r="D517" s="218"/>
      <c r="E517" s="218"/>
      <c r="F517" s="170"/>
      <c r="G517" s="170"/>
      <c r="H517" s="170"/>
      <c r="I517" s="170"/>
      <c r="J517" s="216"/>
      <c r="K517" s="224"/>
      <c r="L517" s="224"/>
      <c r="M517" s="224"/>
      <c r="N517" s="224"/>
      <c r="O517" s="224"/>
      <c r="P517" s="224"/>
      <c r="Q517" s="224"/>
      <c r="R517" s="224"/>
      <c r="S517" s="224"/>
      <c r="T517" s="224"/>
      <c r="U517" s="224"/>
      <c r="V517" s="224"/>
      <c r="W517" s="224"/>
      <c r="X517" s="224"/>
      <c r="Y517" s="224"/>
    </row>
    <row r="518" spans="1:25" ht="15.75" hidden="1" customHeight="1" x14ac:dyDescent="0.2">
      <c r="A518" s="224"/>
      <c r="B518" s="217"/>
      <c r="C518" s="218"/>
      <c r="D518" s="218"/>
      <c r="E518" s="218"/>
      <c r="F518" s="170"/>
      <c r="G518" s="170"/>
      <c r="H518" s="170"/>
      <c r="I518" s="170"/>
      <c r="J518" s="216"/>
      <c r="K518" s="224"/>
      <c r="L518" s="224"/>
      <c r="M518" s="224"/>
      <c r="N518" s="224"/>
      <c r="O518" s="224"/>
      <c r="P518" s="224"/>
      <c r="Q518" s="224"/>
      <c r="R518" s="224"/>
      <c r="S518" s="224"/>
      <c r="T518" s="224"/>
      <c r="U518" s="224"/>
      <c r="V518" s="224"/>
      <c r="W518" s="224"/>
      <c r="X518" s="224"/>
      <c r="Y518" s="224"/>
    </row>
    <row r="519" spans="1:25" ht="15.75" hidden="1" customHeight="1" x14ac:dyDescent="0.2">
      <c r="A519" s="224"/>
      <c r="B519" s="217"/>
      <c r="C519" s="218"/>
      <c r="D519" s="218"/>
      <c r="E519" s="218"/>
      <c r="F519" s="170"/>
      <c r="G519" s="170"/>
      <c r="H519" s="170"/>
      <c r="I519" s="170"/>
      <c r="J519" s="216"/>
      <c r="K519" s="224"/>
      <c r="L519" s="224"/>
      <c r="M519" s="224"/>
      <c r="N519" s="224"/>
      <c r="O519" s="224"/>
      <c r="P519" s="224"/>
      <c r="Q519" s="224"/>
      <c r="R519" s="224"/>
      <c r="S519" s="224"/>
      <c r="T519" s="224"/>
      <c r="U519" s="224"/>
      <c r="V519" s="224"/>
      <c r="W519" s="224"/>
      <c r="X519" s="224"/>
      <c r="Y519" s="224"/>
    </row>
    <row r="520" spans="1:25" ht="15.75" hidden="1" customHeight="1" x14ac:dyDescent="0.2">
      <c r="A520" s="224"/>
      <c r="B520" s="217"/>
      <c r="C520" s="218"/>
      <c r="D520" s="218"/>
      <c r="E520" s="218"/>
      <c r="F520" s="170"/>
      <c r="G520" s="170"/>
      <c r="H520" s="170"/>
      <c r="I520" s="170"/>
      <c r="J520" s="216"/>
      <c r="K520" s="224"/>
      <c r="L520" s="224"/>
      <c r="M520" s="224"/>
      <c r="N520" s="224"/>
      <c r="O520" s="224"/>
      <c r="P520" s="224"/>
      <c r="Q520" s="224"/>
      <c r="R520" s="224"/>
      <c r="S520" s="224"/>
      <c r="T520" s="224"/>
      <c r="U520" s="224"/>
      <c r="V520" s="224"/>
      <c r="W520" s="224"/>
      <c r="X520" s="224"/>
      <c r="Y520" s="224"/>
    </row>
    <row r="521" spans="1:25" ht="15.75" hidden="1" customHeight="1" x14ac:dyDescent="0.2">
      <c r="A521" s="224"/>
      <c r="B521" s="217"/>
      <c r="C521" s="218"/>
      <c r="D521" s="218"/>
      <c r="E521" s="218"/>
      <c r="F521" s="170"/>
      <c r="G521" s="170"/>
      <c r="H521" s="170"/>
      <c r="I521" s="170"/>
      <c r="J521" s="216"/>
      <c r="K521" s="224"/>
      <c r="L521" s="224"/>
      <c r="M521" s="224"/>
      <c r="N521" s="224"/>
      <c r="O521" s="224"/>
      <c r="P521" s="224"/>
      <c r="Q521" s="224"/>
      <c r="R521" s="224"/>
      <c r="S521" s="224"/>
      <c r="T521" s="224"/>
      <c r="U521" s="224"/>
      <c r="V521" s="224"/>
      <c r="W521" s="224"/>
      <c r="X521" s="224"/>
      <c r="Y521" s="224"/>
    </row>
    <row r="522" spans="1:25" ht="15.75" hidden="1" customHeight="1" x14ac:dyDescent="0.2">
      <c r="A522" s="224"/>
      <c r="B522" s="217"/>
      <c r="C522" s="218"/>
      <c r="D522" s="218"/>
      <c r="E522" s="218"/>
      <c r="F522" s="170"/>
      <c r="G522" s="170"/>
      <c r="H522" s="170"/>
      <c r="I522" s="170"/>
      <c r="J522" s="216"/>
      <c r="K522" s="224"/>
      <c r="L522" s="224"/>
      <c r="M522" s="224"/>
      <c r="N522" s="224"/>
      <c r="O522" s="224"/>
      <c r="P522" s="224"/>
      <c r="Q522" s="224"/>
      <c r="R522" s="224"/>
      <c r="S522" s="224"/>
      <c r="T522" s="224"/>
      <c r="U522" s="224"/>
      <c r="V522" s="224"/>
      <c r="W522" s="224"/>
      <c r="X522" s="224"/>
      <c r="Y522" s="224"/>
    </row>
    <row r="523" spans="1:25" ht="15.75" hidden="1" customHeight="1" x14ac:dyDescent="0.2">
      <c r="A523" s="224"/>
      <c r="B523" s="217"/>
      <c r="C523" s="218"/>
      <c r="D523" s="218"/>
      <c r="E523" s="218"/>
      <c r="F523" s="170"/>
      <c r="G523" s="170"/>
      <c r="H523" s="170"/>
      <c r="I523" s="170"/>
      <c r="J523" s="216"/>
      <c r="K523" s="224"/>
      <c r="L523" s="224"/>
      <c r="M523" s="224"/>
      <c r="N523" s="224"/>
      <c r="O523" s="224"/>
      <c r="P523" s="224"/>
      <c r="Q523" s="224"/>
      <c r="R523" s="224"/>
      <c r="S523" s="224"/>
      <c r="T523" s="224"/>
      <c r="U523" s="224"/>
      <c r="V523" s="224"/>
      <c r="W523" s="224"/>
      <c r="X523" s="224"/>
      <c r="Y523" s="224"/>
    </row>
    <row r="524" spans="1:25" ht="15.75" hidden="1" customHeight="1" x14ac:dyDescent="0.2">
      <c r="A524" s="224"/>
      <c r="B524" s="217"/>
      <c r="C524" s="218"/>
      <c r="D524" s="218"/>
      <c r="E524" s="218"/>
      <c r="F524" s="170"/>
      <c r="G524" s="170"/>
      <c r="H524" s="170"/>
      <c r="I524" s="170"/>
      <c r="J524" s="216"/>
      <c r="K524" s="224"/>
      <c r="L524" s="224"/>
      <c r="M524" s="224"/>
      <c r="N524" s="224"/>
      <c r="O524" s="224"/>
      <c r="P524" s="224"/>
      <c r="Q524" s="224"/>
      <c r="R524" s="224"/>
      <c r="S524" s="224"/>
      <c r="T524" s="224"/>
      <c r="U524" s="224"/>
      <c r="V524" s="224"/>
      <c r="W524" s="224"/>
      <c r="X524" s="224"/>
      <c r="Y524" s="224"/>
    </row>
    <row r="525" spans="1:25" ht="15.75" hidden="1" customHeight="1" x14ac:dyDescent="0.2">
      <c r="A525" s="224"/>
      <c r="B525" s="217"/>
      <c r="C525" s="218"/>
      <c r="D525" s="218"/>
      <c r="E525" s="218"/>
      <c r="F525" s="170"/>
      <c r="G525" s="170"/>
      <c r="H525" s="170"/>
      <c r="I525" s="170"/>
      <c r="J525" s="216"/>
      <c r="K525" s="224"/>
      <c r="L525" s="224"/>
      <c r="M525" s="224"/>
      <c r="N525" s="224"/>
      <c r="O525" s="224"/>
      <c r="P525" s="224"/>
      <c r="Q525" s="224"/>
      <c r="R525" s="224"/>
      <c r="S525" s="224"/>
      <c r="T525" s="224"/>
      <c r="U525" s="224"/>
      <c r="V525" s="224"/>
      <c r="W525" s="224"/>
      <c r="X525" s="224"/>
      <c r="Y525" s="224"/>
    </row>
    <row r="526" spans="1:25" ht="15.75" hidden="1" customHeight="1" x14ac:dyDescent="0.2">
      <c r="A526" s="224"/>
      <c r="B526" s="217"/>
      <c r="C526" s="218"/>
      <c r="D526" s="218"/>
      <c r="E526" s="218"/>
      <c r="F526" s="170"/>
      <c r="G526" s="170"/>
      <c r="H526" s="170"/>
      <c r="I526" s="170"/>
      <c r="J526" s="216"/>
      <c r="K526" s="224"/>
      <c r="L526" s="224"/>
      <c r="M526" s="224"/>
      <c r="N526" s="224"/>
      <c r="O526" s="224"/>
      <c r="P526" s="224"/>
      <c r="Q526" s="224"/>
      <c r="R526" s="224"/>
      <c r="S526" s="224"/>
      <c r="T526" s="224"/>
      <c r="U526" s="224"/>
      <c r="V526" s="224"/>
      <c r="W526" s="224"/>
      <c r="X526" s="224"/>
      <c r="Y526" s="224"/>
    </row>
    <row r="527" spans="1:25" ht="15.75" hidden="1" customHeight="1" x14ac:dyDescent="0.2">
      <c r="A527" s="224"/>
      <c r="B527" s="217"/>
      <c r="C527" s="218"/>
      <c r="D527" s="218"/>
      <c r="E527" s="218"/>
      <c r="F527" s="170"/>
      <c r="G527" s="170"/>
      <c r="H527" s="170"/>
      <c r="I527" s="170"/>
      <c r="J527" s="216"/>
      <c r="K527" s="224"/>
      <c r="L527" s="224"/>
      <c r="M527" s="224"/>
      <c r="N527" s="224"/>
      <c r="O527" s="224"/>
      <c r="P527" s="224"/>
      <c r="Q527" s="224"/>
      <c r="R527" s="224"/>
      <c r="S527" s="224"/>
      <c r="T527" s="224"/>
      <c r="U527" s="224"/>
      <c r="V527" s="224"/>
      <c r="W527" s="224"/>
      <c r="X527" s="224"/>
      <c r="Y527" s="224"/>
    </row>
    <row r="528" spans="1:25" ht="15.75" hidden="1" customHeight="1" x14ac:dyDescent="0.2">
      <c r="A528" s="224"/>
      <c r="B528" s="217"/>
      <c r="C528" s="218"/>
      <c r="D528" s="218"/>
      <c r="E528" s="218"/>
      <c r="F528" s="170"/>
      <c r="G528" s="170"/>
      <c r="H528" s="170"/>
      <c r="I528" s="170"/>
      <c r="J528" s="216"/>
      <c r="K528" s="224"/>
      <c r="L528" s="224"/>
      <c r="M528" s="224"/>
      <c r="N528" s="224"/>
      <c r="O528" s="224"/>
      <c r="P528" s="224"/>
      <c r="Q528" s="224"/>
      <c r="R528" s="224"/>
      <c r="S528" s="224"/>
      <c r="T528" s="224"/>
      <c r="U528" s="224"/>
      <c r="V528" s="224"/>
      <c r="W528" s="224"/>
      <c r="X528" s="224"/>
      <c r="Y528" s="224"/>
    </row>
    <row r="529" spans="1:25" ht="15.75" hidden="1" customHeight="1" x14ac:dyDescent="0.2">
      <c r="A529" s="224"/>
      <c r="B529" s="217"/>
      <c r="C529" s="218"/>
      <c r="D529" s="218"/>
      <c r="E529" s="218"/>
      <c r="F529" s="170"/>
      <c r="G529" s="170"/>
      <c r="H529" s="170"/>
      <c r="I529" s="170"/>
      <c r="J529" s="216"/>
      <c r="K529" s="224"/>
      <c r="L529" s="224"/>
      <c r="M529" s="224"/>
      <c r="N529" s="224"/>
      <c r="O529" s="224"/>
      <c r="P529" s="224"/>
      <c r="Q529" s="224"/>
      <c r="R529" s="224"/>
      <c r="S529" s="224"/>
      <c r="T529" s="224"/>
      <c r="U529" s="224"/>
      <c r="V529" s="224"/>
      <c r="W529" s="224"/>
      <c r="X529" s="224"/>
      <c r="Y529" s="224"/>
    </row>
    <row r="530" spans="1:25" ht="15.75" hidden="1" customHeight="1" x14ac:dyDescent="0.2">
      <c r="A530" s="224"/>
      <c r="B530" s="217"/>
      <c r="C530" s="218"/>
      <c r="D530" s="218"/>
      <c r="E530" s="218"/>
      <c r="F530" s="170"/>
      <c r="G530" s="170"/>
      <c r="H530" s="170"/>
      <c r="I530" s="170"/>
      <c r="J530" s="216"/>
      <c r="K530" s="224"/>
      <c r="L530" s="224"/>
      <c r="M530" s="224"/>
      <c r="N530" s="224"/>
      <c r="O530" s="224"/>
      <c r="P530" s="224"/>
      <c r="Q530" s="224"/>
      <c r="R530" s="224"/>
      <c r="S530" s="224"/>
      <c r="T530" s="224"/>
      <c r="U530" s="224"/>
      <c r="V530" s="224"/>
      <c r="W530" s="224"/>
      <c r="X530" s="224"/>
      <c r="Y530" s="224"/>
    </row>
    <row r="531" spans="1:25" ht="15.75" hidden="1" customHeight="1" x14ac:dyDescent="0.2">
      <c r="A531" s="224"/>
      <c r="B531" s="217"/>
      <c r="C531" s="218"/>
      <c r="D531" s="218"/>
      <c r="E531" s="218"/>
      <c r="F531" s="170"/>
      <c r="G531" s="170"/>
      <c r="H531" s="170"/>
      <c r="I531" s="170"/>
      <c r="J531" s="216"/>
      <c r="K531" s="224"/>
      <c r="L531" s="224"/>
      <c r="M531" s="224"/>
      <c r="N531" s="224"/>
      <c r="O531" s="224"/>
      <c r="P531" s="224"/>
      <c r="Q531" s="224"/>
      <c r="R531" s="224"/>
      <c r="S531" s="224"/>
      <c r="T531" s="224"/>
      <c r="U531" s="224"/>
      <c r="V531" s="224"/>
      <c r="W531" s="224"/>
      <c r="X531" s="224"/>
      <c r="Y531" s="224"/>
    </row>
    <row r="532" spans="1:25" ht="15.75" hidden="1" customHeight="1" x14ac:dyDescent="0.2">
      <c r="A532" s="224"/>
      <c r="B532" s="217"/>
      <c r="C532" s="218"/>
      <c r="D532" s="218"/>
      <c r="E532" s="218"/>
      <c r="F532" s="170"/>
      <c r="G532" s="170"/>
      <c r="H532" s="170"/>
      <c r="I532" s="170"/>
      <c r="J532" s="216"/>
      <c r="K532" s="224"/>
      <c r="L532" s="224"/>
      <c r="M532" s="224"/>
      <c r="N532" s="224"/>
      <c r="O532" s="224"/>
      <c r="P532" s="224"/>
      <c r="Q532" s="224"/>
      <c r="R532" s="224"/>
      <c r="S532" s="224"/>
      <c r="T532" s="224"/>
      <c r="U532" s="224"/>
      <c r="V532" s="224"/>
      <c r="W532" s="224"/>
      <c r="X532" s="224"/>
      <c r="Y532" s="224"/>
    </row>
    <row r="533" spans="1:25" ht="15.75" hidden="1" customHeight="1" x14ac:dyDescent="0.2">
      <c r="A533" s="224"/>
      <c r="B533" s="217"/>
      <c r="C533" s="218"/>
      <c r="D533" s="218"/>
      <c r="E533" s="218"/>
      <c r="F533" s="170"/>
      <c r="G533" s="170"/>
      <c r="H533" s="170"/>
      <c r="I533" s="170"/>
      <c r="J533" s="216"/>
      <c r="K533" s="224"/>
      <c r="L533" s="224"/>
      <c r="M533" s="224"/>
      <c r="N533" s="224"/>
      <c r="O533" s="224"/>
      <c r="P533" s="224"/>
      <c r="Q533" s="224"/>
      <c r="R533" s="224"/>
      <c r="S533" s="224"/>
      <c r="T533" s="224"/>
      <c r="U533" s="224"/>
      <c r="V533" s="224"/>
      <c r="W533" s="224"/>
      <c r="X533" s="224"/>
      <c r="Y533" s="224"/>
    </row>
    <row r="534" spans="1:25" ht="15.75" hidden="1" customHeight="1" x14ac:dyDescent="0.2">
      <c r="A534" s="224"/>
      <c r="B534" s="217"/>
      <c r="C534" s="218"/>
      <c r="D534" s="218"/>
      <c r="E534" s="218"/>
      <c r="F534" s="170"/>
      <c r="G534" s="170"/>
      <c r="H534" s="170"/>
      <c r="I534" s="170"/>
      <c r="J534" s="216"/>
      <c r="K534" s="224"/>
      <c r="L534" s="224"/>
      <c r="M534" s="224"/>
      <c r="N534" s="224"/>
      <c r="O534" s="224"/>
      <c r="P534" s="224"/>
      <c r="Q534" s="224"/>
      <c r="R534" s="224"/>
      <c r="S534" s="224"/>
      <c r="T534" s="224"/>
      <c r="U534" s="224"/>
      <c r="V534" s="224"/>
      <c r="W534" s="224"/>
      <c r="X534" s="224"/>
      <c r="Y534" s="224"/>
    </row>
    <row r="535" spans="1:25" ht="15.75" hidden="1" customHeight="1" x14ac:dyDescent="0.2">
      <c r="A535" s="224"/>
      <c r="B535" s="217"/>
      <c r="C535" s="218"/>
      <c r="D535" s="218"/>
      <c r="E535" s="218"/>
      <c r="F535" s="170"/>
      <c r="G535" s="170"/>
      <c r="H535" s="170"/>
      <c r="I535" s="170"/>
      <c r="J535" s="216"/>
      <c r="K535" s="224"/>
      <c r="L535" s="224"/>
      <c r="M535" s="224"/>
      <c r="N535" s="224"/>
      <c r="O535" s="224"/>
      <c r="P535" s="224"/>
      <c r="Q535" s="224"/>
      <c r="R535" s="224"/>
      <c r="S535" s="224"/>
      <c r="T535" s="224"/>
      <c r="U535" s="224"/>
      <c r="V535" s="224"/>
      <c r="W535" s="224"/>
      <c r="X535" s="224"/>
      <c r="Y535" s="224"/>
    </row>
    <row r="536" spans="1:25" ht="15.75" hidden="1" customHeight="1" x14ac:dyDescent="0.2">
      <c r="A536" s="224"/>
      <c r="B536" s="217"/>
      <c r="C536" s="218"/>
      <c r="D536" s="218"/>
      <c r="E536" s="218"/>
      <c r="F536" s="170"/>
      <c r="G536" s="170"/>
      <c r="H536" s="170"/>
      <c r="I536" s="170"/>
      <c r="J536" s="216"/>
      <c r="K536" s="224"/>
      <c r="L536" s="224"/>
      <c r="M536" s="224"/>
      <c r="N536" s="224"/>
      <c r="O536" s="224"/>
      <c r="P536" s="224"/>
      <c r="Q536" s="224"/>
      <c r="R536" s="224"/>
      <c r="S536" s="224"/>
      <c r="T536" s="224"/>
      <c r="U536" s="224"/>
      <c r="V536" s="224"/>
      <c r="W536" s="224"/>
      <c r="X536" s="224"/>
      <c r="Y536" s="224"/>
    </row>
    <row r="537" spans="1:25" ht="15.75" hidden="1" customHeight="1" x14ac:dyDescent="0.2">
      <c r="A537" s="224"/>
      <c r="B537" s="217"/>
      <c r="C537" s="218"/>
      <c r="D537" s="218"/>
      <c r="E537" s="218"/>
      <c r="F537" s="170"/>
      <c r="G537" s="170"/>
      <c r="H537" s="170"/>
      <c r="I537" s="170"/>
      <c r="J537" s="216"/>
      <c r="K537" s="224"/>
      <c r="L537" s="224"/>
      <c r="M537" s="224"/>
      <c r="N537" s="224"/>
      <c r="O537" s="224"/>
      <c r="P537" s="224"/>
      <c r="Q537" s="224"/>
      <c r="R537" s="224"/>
      <c r="S537" s="224"/>
      <c r="T537" s="224"/>
      <c r="U537" s="224"/>
      <c r="V537" s="224"/>
      <c r="W537" s="224"/>
      <c r="X537" s="224"/>
      <c r="Y537" s="224"/>
    </row>
    <row r="538" spans="1:25" ht="15.75" hidden="1" customHeight="1" x14ac:dyDescent="0.2">
      <c r="A538" s="224"/>
      <c r="B538" s="217"/>
      <c r="C538" s="218"/>
      <c r="D538" s="218"/>
      <c r="E538" s="218"/>
      <c r="F538" s="170"/>
      <c r="G538" s="170"/>
      <c r="H538" s="170"/>
      <c r="I538" s="170"/>
      <c r="J538" s="216"/>
      <c r="K538" s="224"/>
      <c r="L538" s="224"/>
      <c r="M538" s="224"/>
      <c r="N538" s="224"/>
      <c r="O538" s="224"/>
      <c r="P538" s="224"/>
      <c r="Q538" s="224"/>
      <c r="R538" s="224"/>
      <c r="S538" s="224"/>
      <c r="T538" s="224"/>
      <c r="U538" s="224"/>
      <c r="V538" s="224"/>
      <c r="W538" s="224"/>
      <c r="X538" s="224"/>
      <c r="Y538" s="224"/>
    </row>
    <row r="539" spans="1:25" ht="15.75" hidden="1" customHeight="1" x14ac:dyDescent="0.2">
      <c r="A539" s="224"/>
      <c r="B539" s="217"/>
      <c r="C539" s="218"/>
      <c r="D539" s="218"/>
      <c r="E539" s="218"/>
      <c r="F539" s="170"/>
      <c r="G539" s="170"/>
      <c r="H539" s="170"/>
      <c r="I539" s="170"/>
      <c r="J539" s="216"/>
      <c r="K539" s="224"/>
      <c r="L539" s="224"/>
      <c r="M539" s="224"/>
      <c r="N539" s="224"/>
      <c r="O539" s="224"/>
      <c r="P539" s="224"/>
      <c r="Q539" s="224"/>
      <c r="R539" s="224"/>
      <c r="S539" s="224"/>
      <c r="T539" s="224"/>
      <c r="U539" s="224"/>
      <c r="V539" s="224"/>
      <c r="W539" s="224"/>
      <c r="X539" s="224"/>
      <c r="Y539" s="224"/>
    </row>
    <row r="540" spans="1:25" ht="15.75" hidden="1" customHeight="1" x14ac:dyDescent="0.2">
      <c r="A540" s="224"/>
      <c r="B540" s="217"/>
      <c r="C540" s="218"/>
      <c r="D540" s="218"/>
      <c r="E540" s="218"/>
      <c r="F540" s="170"/>
      <c r="G540" s="170"/>
      <c r="H540" s="170"/>
      <c r="I540" s="170"/>
      <c r="J540" s="216"/>
      <c r="K540" s="224"/>
      <c r="L540" s="224"/>
      <c r="M540" s="224"/>
      <c r="N540" s="224"/>
      <c r="O540" s="224"/>
      <c r="P540" s="224"/>
      <c r="Q540" s="224"/>
      <c r="R540" s="224"/>
      <c r="S540" s="224"/>
      <c r="T540" s="224"/>
      <c r="U540" s="224"/>
      <c r="V540" s="224"/>
      <c r="W540" s="224"/>
      <c r="X540" s="224"/>
      <c r="Y540" s="224"/>
    </row>
    <row r="541" spans="1:25" ht="15.75" hidden="1" customHeight="1" x14ac:dyDescent="0.2">
      <c r="A541" s="224"/>
      <c r="B541" s="217"/>
      <c r="C541" s="218"/>
      <c r="D541" s="218"/>
      <c r="E541" s="218"/>
      <c r="F541" s="170"/>
      <c r="G541" s="170"/>
      <c r="H541" s="170"/>
      <c r="I541" s="170"/>
      <c r="J541" s="216"/>
      <c r="K541" s="224"/>
      <c r="L541" s="224"/>
      <c r="M541" s="224"/>
      <c r="N541" s="224"/>
      <c r="O541" s="224"/>
      <c r="P541" s="224"/>
      <c r="Q541" s="224"/>
      <c r="R541" s="224"/>
      <c r="S541" s="224"/>
      <c r="T541" s="224"/>
      <c r="U541" s="224"/>
      <c r="V541" s="224"/>
      <c r="W541" s="224"/>
      <c r="X541" s="224"/>
      <c r="Y541" s="224"/>
    </row>
    <row r="542" spans="1:25" ht="15.75" hidden="1" customHeight="1" x14ac:dyDescent="0.2">
      <c r="A542" s="224"/>
      <c r="B542" s="217"/>
      <c r="C542" s="218"/>
      <c r="D542" s="218"/>
      <c r="E542" s="218"/>
      <c r="F542" s="170"/>
      <c r="G542" s="170"/>
      <c r="H542" s="170"/>
      <c r="I542" s="170"/>
      <c r="J542" s="216"/>
      <c r="K542" s="224"/>
      <c r="L542" s="224"/>
      <c r="M542" s="224"/>
      <c r="N542" s="224"/>
      <c r="O542" s="224"/>
      <c r="P542" s="224"/>
      <c r="Q542" s="224"/>
      <c r="R542" s="224"/>
      <c r="S542" s="224"/>
      <c r="T542" s="224"/>
      <c r="U542" s="224"/>
      <c r="V542" s="224"/>
      <c r="W542" s="224"/>
      <c r="X542" s="224"/>
      <c r="Y542" s="224"/>
    </row>
    <row r="543" spans="1:25" ht="15.75" hidden="1" customHeight="1" x14ac:dyDescent="0.2">
      <c r="A543" s="224"/>
      <c r="B543" s="217"/>
      <c r="C543" s="218"/>
      <c r="D543" s="218"/>
      <c r="E543" s="218"/>
      <c r="F543" s="170"/>
      <c r="G543" s="170"/>
      <c r="H543" s="170"/>
      <c r="I543" s="170"/>
      <c r="J543" s="216"/>
      <c r="K543" s="224"/>
      <c r="L543" s="224"/>
      <c r="M543" s="224"/>
      <c r="N543" s="224"/>
      <c r="O543" s="224"/>
      <c r="P543" s="224"/>
      <c r="Q543" s="224"/>
      <c r="R543" s="224"/>
      <c r="S543" s="224"/>
      <c r="T543" s="224"/>
      <c r="U543" s="224"/>
      <c r="V543" s="224"/>
      <c r="W543" s="224"/>
      <c r="X543" s="224"/>
      <c r="Y543" s="224"/>
    </row>
    <row r="544" spans="1:25" ht="15.75" hidden="1" customHeight="1" x14ac:dyDescent="0.2">
      <c r="A544" s="224"/>
      <c r="B544" s="217"/>
      <c r="C544" s="218"/>
      <c r="D544" s="218"/>
      <c r="E544" s="218"/>
      <c r="F544" s="170"/>
      <c r="G544" s="170"/>
      <c r="H544" s="170"/>
      <c r="I544" s="170"/>
      <c r="J544" s="216"/>
      <c r="K544" s="224"/>
      <c r="L544" s="224"/>
      <c r="M544" s="224"/>
      <c r="N544" s="224"/>
      <c r="O544" s="224"/>
      <c r="P544" s="224"/>
      <c r="Q544" s="224"/>
      <c r="R544" s="224"/>
      <c r="S544" s="224"/>
      <c r="T544" s="224"/>
      <c r="U544" s="224"/>
      <c r="V544" s="224"/>
      <c r="W544" s="224"/>
      <c r="X544" s="224"/>
      <c r="Y544" s="224"/>
    </row>
    <row r="545" spans="1:25" ht="15.75" hidden="1" customHeight="1" x14ac:dyDescent="0.2">
      <c r="A545" s="224"/>
      <c r="B545" s="217"/>
      <c r="C545" s="218"/>
      <c r="D545" s="218"/>
      <c r="E545" s="218"/>
      <c r="F545" s="170"/>
      <c r="G545" s="170"/>
      <c r="H545" s="170"/>
      <c r="I545" s="170"/>
      <c r="J545" s="216"/>
      <c r="K545" s="224"/>
      <c r="L545" s="224"/>
      <c r="M545" s="224"/>
      <c r="N545" s="224"/>
      <c r="O545" s="224"/>
      <c r="P545" s="224"/>
      <c r="Q545" s="224"/>
      <c r="R545" s="224"/>
      <c r="S545" s="224"/>
      <c r="T545" s="224"/>
      <c r="U545" s="224"/>
      <c r="V545" s="224"/>
      <c r="W545" s="224"/>
      <c r="X545" s="224"/>
      <c r="Y545" s="224"/>
    </row>
    <row r="546" spans="1:25" ht="15.75" hidden="1" customHeight="1" x14ac:dyDescent="0.2">
      <c r="A546" s="224"/>
      <c r="B546" s="217"/>
      <c r="C546" s="218"/>
      <c r="D546" s="218"/>
      <c r="E546" s="218"/>
      <c r="F546" s="170"/>
      <c r="G546" s="170"/>
      <c r="H546" s="170"/>
      <c r="I546" s="170"/>
      <c r="J546" s="216"/>
      <c r="K546" s="224"/>
      <c r="L546" s="224"/>
      <c r="M546" s="224"/>
      <c r="N546" s="224"/>
      <c r="O546" s="224"/>
      <c r="P546" s="224"/>
      <c r="Q546" s="224"/>
      <c r="R546" s="224"/>
      <c r="S546" s="224"/>
      <c r="T546" s="224"/>
      <c r="U546" s="224"/>
      <c r="V546" s="224"/>
      <c r="W546" s="224"/>
      <c r="X546" s="224"/>
      <c r="Y546" s="224"/>
    </row>
    <row r="547" spans="1:25" ht="15.75" hidden="1" customHeight="1" x14ac:dyDescent="0.2">
      <c r="A547" s="224"/>
      <c r="B547" s="217"/>
      <c r="C547" s="218"/>
      <c r="D547" s="218"/>
      <c r="E547" s="218"/>
      <c r="F547" s="170"/>
      <c r="G547" s="170"/>
      <c r="H547" s="170"/>
      <c r="I547" s="170"/>
      <c r="J547" s="216"/>
      <c r="K547" s="224"/>
      <c r="L547" s="224"/>
      <c r="M547" s="224"/>
      <c r="N547" s="224"/>
      <c r="O547" s="224"/>
      <c r="P547" s="224"/>
      <c r="Q547" s="224"/>
      <c r="R547" s="224"/>
      <c r="S547" s="224"/>
      <c r="T547" s="224"/>
      <c r="U547" s="224"/>
      <c r="V547" s="224"/>
      <c r="W547" s="224"/>
      <c r="X547" s="224"/>
      <c r="Y547" s="224"/>
    </row>
    <row r="548" spans="1:25" ht="15.75" hidden="1" customHeight="1" x14ac:dyDescent="0.2">
      <c r="A548" s="224"/>
      <c r="B548" s="217"/>
      <c r="C548" s="218"/>
      <c r="D548" s="218"/>
      <c r="E548" s="218"/>
      <c r="F548" s="170"/>
      <c r="G548" s="170"/>
      <c r="H548" s="170"/>
      <c r="I548" s="170"/>
      <c r="J548" s="216"/>
      <c r="K548" s="224"/>
      <c r="L548" s="224"/>
      <c r="M548" s="224"/>
      <c r="N548" s="224"/>
      <c r="O548" s="224"/>
      <c r="P548" s="224"/>
      <c r="Q548" s="224"/>
      <c r="R548" s="224"/>
      <c r="S548" s="224"/>
      <c r="T548" s="224"/>
      <c r="U548" s="224"/>
      <c r="V548" s="224"/>
      <c r="W548" s="224"/>
      <c r="X548" s="224"/>
      <c r="Y548" s="224"/>
    </row>
    <row r="549" spans="1:25" ht="15.75" hidden="1" customHeight="1" x14ac:dyDescent="0.2">
      <c r="A549" s="224"/>
      <c r="B549" s="217"/>
      <c r="C549" s="218"/>
      <c r="D549" s="218"/>
      <c r="E549" s="218"/>
      <c r="F549" s="170"/>
      <c r="G549" s="170"/>
      <c r="H549" s="170"/>
      <c r="I549" s="170"/>
      <c r="J549" s="216"/>
      <c r="K549" s="224"/>
      <c r="L549" s="224"/>
      <c r="M549" s="224"/>
      <c r="N549" s="224"/>
      <c r="O549" s="224"/>
      <c r="P549" s="224"/>
      <c r="Q549" s="224"/>
      <c r="R549" s="224"/>
      <c r="S549" s="224"/>
      <c r="T549" s="224"/>
      <c r="U549" s="224"/>
      <c r="V549" s="224"/>
      <c r="W549" s="224"/>
      <c r="X549" s="224"/>
      <c r="Y549" s="224"/>
    </row>
    <row r="550" spans="1:25" ht="15.75" hidden="1" customHeight="1" x14ac:dyDescent="0.2">
      <c r="A550" s="224"/>
      <c r="B550" s="217"/>
      <c r="C550" s="218"/>
      <c r="D550" s="218"/>
      <c r="E550" s="218"/>
      <c r="F550" s="170"/>
      <c r="G550" s="170"/>
      <c r="H550" s="170"/>
      <c r="I550" s="170"/>
      <c r="J550" s="216"/>
      <c r="K550" s="224"/>
      <c r="L550" s="224"/>
      <c r="M550" s="224"/>
      <c r="N550" s="224"/>
      <c r="O550" s="224"/>
      <c r="P550" s="224"/>
      <c r="Q550" s="224"/>
      <c r="R550" s="224"/>
      <c r="S550" s="224"/>
      <c r="T550" s="224"/>
      <c r="U550" s="224"/>
      <c r="V550" s="224"/>
      <c r="W550" s="224"/>
      <c r="X550" s="224"/>
      <c r="Y550" s="224"/>
    </row>
    <row r="551" spans="1:25" ht="15.75" hidden="1" customHeight="1" x14ac:dyDescent="0.2">
      <c r="A551" s="224"/>
      <c r="B551" s="217"/>
      <c r="C551" s="218"/>
      <c r="D551" s="218"/>
      <c r="E551" s="218"/>
      <c r="F551" s="170"/>
      <c r="G551" s="170"/>
      <c r="H551" s="170"/>
      <c r="I551" s="170"/>
      <c r="J551" s="216"/>
      <c r="K551" s="224"/>
      <c r="L551" s="224"/>
      <c r="M551" s="224"/>
      <c r="N551" s="224"/>
      <c r="O551" s="224"/>
      <c r="P551" s="224"/>
      <c r="Q551" s="224"/>
      <c r="R551" s="224"/>
      <c r="S551" s="224"/>
      <c r="T551" s="224"/>
      <c r="U551" s="224"/>
      <c r="V551" s="224"/>
      <c r="W551" s="224"/>
      <c r="X551" s="224"/>
      <c r="Y551" s="224"/>
    </row>
    <row r="552" spans="1:25" ht="15.75" hidden="1" customHeight="1" x14ac:dyDescent="0.2">
      <c r="A552" s="224"/>
      <c r="B552" s="217"/>
      <c r="C552" s="218"/>
      <c r="D552" s="218"/>
      <c r="E552" s="218"/>
      <c r="F552" s="170"/>
      <c r="G552" s="170"/>
      <c r="H552" s="170"/>
      <c r="I552" s="170"/>
      <c r="J552" s="216"/>
      <c r="K552" s="224"/>
      <c r="L552" s="224"/>
      <c r="M552" s="224"/>
      <c r="N552" s="224"/>
      <c r="O552" s="224"/>
      <c r="P552" s="224"/>
      <c r="Q552" s="224"/>
      <c r="R552" s="224"/>
      <c r="S552" s="224"/>
      <c r="T552" s="224"/>
      <c r="U552" s="224"/>
      <c r="V552" s="224"/>
      <c r="W552" s="224"/>
      <c r="X552" s="224"/>
      <c r="Y552" s="224"/>
    </row>
    <row r="553" spans="1:25" ht="15.75" hidden="1" customHeight="1" x14ac:dyDescent="0.2">
      <c r="A553" s="224"/>
      <c r="B553" s="217"/>
      <c r="C553" s="218"/>
      <c r="D553" s="218"/>
      <c r="E553" s="218"/>
      <c r="F553" s="170"/>
      <c r="G553" s="170"/>
      <c r="H553" s="170"/>
      <c r="I553" s="170"/>
      <c r="J553" s="216"/>
      <c r="K553" s="224"/>
      <c r="L553" s="224"/>
      <c r="M553" s="224"/>
      <c r="N553" s="224"/>
      <c r="O553" s="224"/>
      <c r="P553" s="224"/>
      <c r="Q553" s="224"/>
      <c r="R553" s="224"/>
      <c r="S553" s="224"/>
      <c r="T553" s="224"/>
      <c r="U553" s="224"/>
      <c r="V553" s="224"/>
      <c r="W553" s="224"/>
      <c r="X553" s="224"/>
      <c r="Y553" s="224"/>
    </row>
    <row r="554" spans="1:25" ht="15.75" hidden="1" customHeight="1" x14ac:dyDescent="0.2">
      <c r="A554" s="224"/>
      <c r="B554" s="217"/>
      <c r="C554" s="218"/>
      <c r="D554" s="218"/>
      <c r="E554" s="218"/>
      <c r="F554" s="170"/>
      <c r="G554" s="170"/>
      <c r="H554" s="170"/>
      <c r="I554" s="170"/>
      <c r="J554" s="216"/>
      <c r="K554" s="224"/>
      <c r="L554" s="224"/>
      <c r="M554" s="224"/>
      <c r="N554" s="224"/>
      <c r="O554" s="224"/>
      <c r="P554" s="224"/>
      <c r="Q554" s="224"/>
      <c r="R554" s="224"/>
      <c r="S554" s="224"/>
      <c r="T554" s="224"/>
      <c r="U554" s="224"/>
      <c r="V554" s="224"/>
      <c r="W554" s="224"/>
      <c r="X554" s="224"/>
      <c r="Y554" s="224"/>
    </row>
    <row r="555" spans="1:25" ht="15.75" hidden="1" customHeight="1" x14ac:dyDescent="0.2">
      <c r="A555" s="224"/>
      <c r="B555" s="217"/>
      <c r="C555" s="218"/>
      <c r="D555" s="218"/>
      <c r="E555" s="218"/>
      <c r="F555" s="170"/>
      <c r="G555" s="170"/>
      <c r="H555" s="170"/>
      <c r="I555" s="170"/>
      <c r="J555" s="216"/>
      <c r="K555" s="224"/>
      <c r="L555" s="224"/>
      <c r="M555" s="224"/>
      <c r="N555" s="224"/>
      <c r="O555" s="224"/>
      <c r="P555" s="224"/>
      <c r="Q555" s="224"/>
      <c r="R555" s="224"/>
      <c r="S555" s="224"/>
      <c r="T555" s="224"/>
      <c r="U555" s="224"/>
      <c r="V555" s="224"/>
      <c r="W555" s="224"/>
      <c r="X555" s="224"/>
      <c r="Y555" s="224"/>
    </row>
    <row r="556" spans="1:25" ht="15.75" hidden="1" customHeight="1" x14ac:dyDescent="0.2">
      <c r="A556" s="224"/>
      <c r="B556" s="217"/>
      <c r="C556" s="218"/>
      <c r="D556" s="218"/>
      <c r="E556" s="218"/>
      <c r="F556" s="170"/>
      <c r="G556" s="170"/>
      <c r="H556" s="170"/>
      <c r="I556" s="170"/>
      <c r="J556" s="216"/>
      <c r="K556" s="224"/>
      <c r="L556" s="224"/>
      <c r="M556" s="224"/>
      <c r="N556" s="224"/>
      <c r="O556" s="224"/>
      <c r="P556" s="224"/>
      <c r="Q556" s="224"/>
      <c r="R556" s="224"/>
      <c r="S556" s="224"/>
      <c r="T556" s="224"/>
      <c r="U556" s="224"/>
      <c r="V556" s="224"/>
      <c r="W556" s="224"/>
      <c r="X556" s="224"/>
      <c r="Y556" s="224"/>
    </row>
    <row r="557" spans="1:25" ht="15.75" hidden="1" customHeight="1" x14ac:dyDescent="0.2">
      <c r="A557" s="224"/>
      <c r="B557" s="217"/>
      <c r="C557" s="218"/>
      <c r="D557" s="218"/>
      <c r="E557" s="218"/>
      <c r="F557" s="170"/>
      <c r="G557" s="170"/>
      <c r="H557" s="170"/>
      <c r="I557" s="170"/>
      <c r="J557" s="216"/>
      <c r="K557" s="224"/>
      <c r="L557" s="224"/>
      <c r="M557" s="224"/>
      <c r="N557" s="224"/>
      <c r="O557" s="224"/>
      <c r="P557" s="224"/>
      <c r="Q557" s="224"/>
      <c r="R557" s="224"/>
      <c r="S557" s="224"/>
      <c r="T557" s="224"/>
      <c r="U557" s="224"/>
      <c r="V557" s="224"/>
      <c r="W557" s="224"/>
      <c r="X557" s="224"/>
      <c r="Y557" s="224"/>
    </row>
    <row r="558" spans="1:25" ht="15.75" hidden="1" customHeight="1" x14ac:dyDescent="0.2">
      <c r="A558" s="224"/>
      <c r="B558" s="217"/>
      <c r="C558" s="218"/>
      <c r="D558" s="218"/>
      <c r="E558" s="218"/>
      <c r="F558" s="170"/>
      <c r="G558" s="170"/>
      <c r="H558" s="170"/>
      <c r="I558" s="170"/>
      <c r="J558" s="216"/>
      <c r="K558" s="224"/>
      <c r="L558" s="224"/>
      <c r="M558" s="224"/>
      <c r="N558" s="224"/>
      <c r="O558" s="224"/>
      <c r="P558" s="224"/>
      <c r="Q558" s="224"/>
      <c r="R558" s="224"/>
      <c r="S558" s="224"/>
      <c r="T558" s="224"/>
      <c r="U558" s="224"/>
      <c r="V558" s="224"/>
      <c r="W558" s="224"/>
      <c r="X558" s="224"/>
      <c r="Y558" s="224"/>
    </row>
    <row r="559" spans="1:25" ht="15.75" hidden="1" customHeight="1" x14ac:dyDescent="0.2">
      <c r="A559" s="224"/>
      <c r="B559" s="217"/>
      <c r="C559" s="218"/>
      <c r="D559" s="218"/>
      <c r="E559" s="218"/>
      <c r="F559" s="170"/>
      <c r="G559" s="170"/>
      <c r="H559" s="170"/>
      <c r="I559" s="170"/>
      <c r="J559" s="216"/>
      <c r="K559" s="224"/>
      <c r="L559" s="224"/>
      <c r="M559" s="224"/>
      <c r="N559" s="224"/>
      <c r="O559" s="224"/>
      <c r="P559" s="224"/>
      <c r="Q559" s="224"/>
      <c r="R559" s="224"/>
      <c r="S559" s="224"/>
      <c r="T559" s="224"/>
      <c r="U559" s="224"/>
      <c r="V559" s="224"/>
      <c r="W559" s="224"/>
      <c r="X559" s="224"/>
      <c r="Y559" s="224"/>
    </row>
    <row r="560" spans="1:25" ht="15.75" hidden="1" customHeight="1" x14ac:dyDescent="0.2">
      <c r="A560" s="224"/>
      <c r="B560" s="217"/>
      <c r="C560" s="218"/>
      <c r="D560" s="218"/>
      <c r="E560" s="218"/>
      <c r="F560" s="170"/>
      <c r="G560" s="170"/>
      <c r="H560" s="170"/>
      <c r="I560" s="170"/>
      <c r="J560" s="216"/>
      <c r="K560" s="224"/>
      <c r="L560" s="224"/>
      <c r="M560" s="224"/>
      <c r="N560" s="224"/>
      <c r="O560" s="224"/>
      <c r="P560" s="224"/>
      <c r="Q560" s="224"/>
      <c r="R560" s="224"/>
      <c r="S560" s="224"/>
      <c r="T560" s="224"/>
      <c r="U560" s="224"/>
      <c r="V560" s="224"/>
      <c r="W560" s="224"/>
      <c r="X560" s="224"/>
      <c r="Y560" s="224"/>
    </row>
    <row r="561" spans="1:25" ht="15.75" hidden="1" customHeight="1" x14ac:dyDescent="0.2">
      <c r="A561" s="224"/>
      <c r="B561" s="217"/>
      <c r="C561" s="218"/>
      <c r="D561" s="218"/>
      <c r="E561" s="218"/>
      <c r="F561" s="170"/>
      <c r="G561" s="170"/>
      <c r="H561" s="170"/>
      <c r="I561" s="170"/>
      <c r="J561" s="216"/>
      <c r="K561" s="224"/>
      <c r="L561" s="224"/>
      <c r="M561" s="224"/>
      <c r="N561" s="224"/>
      <c r="O561" s="224"/>
      <c r="P561" s="224"/>
      <c r="Q561" s="224"/>
      <c r="R561" s="224"/>
      <c r="S561" s="224"/>
      <c r="T561" s="224"/>
      <c r="U561" s="224"/>
      <c r="V561" s="224"/>
      <c r="W561" s="224"/>
      <c r="X561" s="224"/>
      <c r="Y561" s="224"/>
    </row>
    <row r="562" spans="1:25" ht="15.75" hidden="1" customHeight="1" x14ac:dyDescent="0.2">
      <c r="A562" s="224"/>
      <c r="B562" s="217"/>
      <c r="C562" s="218"/>
      <c r="D562" s="218"/>
      <c r="E562" s="218"/>
      <c r="F562" s="170"/>
      <c r="G562" s="170"/>
      <c r="H562" s="170"/>
      <c r="I562" s="170"/>
      <c r="J562" s="216"/>
      <c r="K562" s="224"/>
      <c r="L562" s="224"/>
      <c r="M562" s="224"/>
      <c r="N562" s="224"/>
      <c r="O562" s="224"/>
      <c r="P562" s="224"/>
      <c r="Q562" s="224"/>
      <c r="R562" s="224"/>
      <c r="S562" s="224"/>
      <c r="T562" s="224"/>
      <c r="U562" s="224"/>
      <c r="V562" s="224"/>
      <c r="W562" s="224"/>
      <c r="X562" s="224"/>
      <c r="Y562" s="224"/>
    </row>
    <row r="563" spans="1:25" ht="15.75" hidden="1" customHeight="1" x14ac:dyDescent="0.2">
      <c r="A563" s="224"/>
      <c r="B563" s="217"/>
      <c r="C563" s="218"/>
      <c r="D563" s="218"/>
      <c r="E563" s="218"/>
      <c r="F563" s="170"/>
      <c r="G563" s="170"/>
      <c r="H563" s="170"/>
      <c r="I563" s="170"/>
      <c r="J563" s="216"/>
      <c r="K563" s="224"/>
      <c r="L563" s="224"/>
      <c r="M563" s="224"/>
      <c r="N563" s="224"/>
      <c r="O563" s="224"/>
      <c r="P563" s="224"/>
      <c r="Q563" s="224"/>
      <c r="R563" s="224"/>
      <c r="S563" s="224"/>
      <c r="T563" s="224"/>
      <c r="U563" s="224"/>
      <c r="V563" s="224"/>
      <c r="W563" s="224"/>
      <c r="X563" s="224"/>
      <c r="Y563" s="224"/>
    </row>
    <row r="564" spans="1:25" ht="15.75" hidden="1" customHeight="1" x14ac:dyDescent="0.2">
      <c r="A564" s="224"/>
      <c r="B564" s="217"/>
      <c r="C564" s="218"/>
      <c r="D564" s="218"/>
      <c r="E564" s="218"/>
      <c r="F564" s="170"/>
      <c r="G564" s="170"/>
      <c r="H564" s="170"/>
      <c r="I564" s="170"/>
      <c r="J564" s="216"/>
      <c r="K564" s="224"/>
      <c r="L564" s="224"/>
      <c r="M564" s="224"/>
      <c r="N564" s="224"/>
      <c r="O564" s="224"/>
      <c r="P564" s="224"/>
      <c r="Q564" s="224"/>
      <c r="R564" s="224"/>
      <c r="S564" s="224"/>
      <c r="T564" s="224"/>
      <c r="U564" s="224"/>
      <c r="V564" s="224"/>
      <c r="W564" s="224"/>
      <c r="X564" s="224"/>
      <c r="Y564" s="224"/>
    </row>
    <row r="565" spans="1:25" ht="15.75" hidden="1" customHeight="1" x14ac:dyDescent="0.2">
      <c r="A565" s="224"/>
      <c r="B565" s="217"/>
      <c r="C565" s="218"/>
      <c r="D565" s="218"/>
      <c r="E565" s="218"/>
      <c r="F565" s="170"/>
      <c r="G565" s="170"/>
      <c r="H565" s="170"/>
      <c r="I565" s="170"/>
      <c r="J565" s="216"/>
      <c r="K565" s="224"/>
      <c r="L565" s="224"/>
      <c r="M565" s="224"/>
      <c r="N565" s="224"/>
      <c r="O565" s="224"/>
      <c r="P565" s="224"/>
      <c r="Q565" s="224"/>
      <c r="R565" s="224"/>
      <c r="S565" s="224"/>
      <c r="T565" s="224"/>
      <c r="U565" s="224"/>
      <c r="V565" s="224"/>
      <c r="W565" s="224"/>
      <c r="X565" s="224"/>
      <c r="Y565" s="224"/>
    </row>
    <row r="566" spans="1:25" ht="15.75" hidden="1" customHeight="1" x14ac:dyDescent="0.2">
      <c r="A566" s="224"/>
      <c r="B566" s="217"/>
      <c r="C566" s="218"/>
      <c r="D566" s="218"/>
      <c r="E566" s="218"/>
      <c r="F566" s="170"/>
      <c r="G566" s="170"/>
      <c r="H566" s="170"/>
      <c r="I566" s="170"/>
      <c r="J566" s="216"/>
      <c r="K566" s="224"/>
      <c r="L566" s="224"/>
      <c r="M566" s="224"/>
      <c r="N566" s="224"/>
      <c r="O566" s="224"/>
      <c r="P566" s="224"/>
      <c r="Q566" s="224"/>
      <c r="R566" s="224"/>
      <c r="S566" s="224"/>
      <c r="T566" s="224"/>
      <c r="U566" s="224"/>
      <c r="V566" s="224"/>
      <c r="W566" s="224"/>
      <c r="X566" s="224"/>
      <c r="Y566" s="224"/>
    </row>
    <row r="567" spans="1:25" ht="15.75" hidden="1" customHeight="1" x14ac:dyDescent="0.2">
      <c r="A567" s="224"/>
      <c r="B567" s="217"/>
      <c r="C567" s="218"/>
      <c r="D567" s="218"/>
      <c r="E567" s="218"/>
      <c r="F567" s="170"/>
      <c r="G567" s="170"/>
      <c r="H567" s="170"/>
      <c r="I567" s="170"/>
      <c r="J567" s="216"/>
      <c r="K567" s="224"/>
      <c r="L567" s="224"/>
      <c r="M567" s="224"/>
      <c r="N567" s="224"/>
      <c r="O567" s="224"/>
      <c r="P567" s="224"/>
      <c r="Q567" s="224"/>
      <c r="R567" s="224"/>
      <c r="S567" s="224"/>
      <c r="T567" s="224"/>
      <c r="U567" s="224"/>
      <c r="V567" s="224"/>
      <c r="W567" s="224"/>
      <c r="X567" s="224"/>
      <c r="Y567" s="224"/>
    </row>
    <row r="568" spans="1:25" ht="15.75" hidden="1" customHeight="1" x14ac:dyDescent="0.2">
      <c r="A568" s="224"/>
      <c r="B568" s="217"/>
      <c r="C568" s="218"/>
      <c r="D568" s="218"/>
      <c r="E568" s="218"/>
      <c r="F568" s="170"/>
      <c r="G568" s="170"/>
      <c r="H568" s="170"/>
      <c r="I568" s="170"/>
      <c r="J568" s="216"/>
      <c r="K568" s="224"/>
      <c r="L568" s="224"/>
      <c r="M568" s="224"/>
      <c r="N568" s="224"/>
      <c r="O568" s="224"/>
      <c r="P568" s="224"/>
      <c r="Q568" s="224"/>
      <c r="R568" s="224"/>
      <c r="S568" s="224"/>
      <c r="T568" s="224"/>
      <c r="U568" s="224"/>
      <c r="V568" s="224"/>
      <c r="W568" s="224"/>
      <c r="X568" s="224"/>
      <c r="Y568" s="224"/>
    </row>
    <row r="569" spans="1:25" ht="15.75" hidden="1" customHeight="1" x14ac:dyDescent="0.2">
      <c r="A569" s="224"/>
      <c r="B569" s="217"/>
      <c r="C569" s="218"/>
      <c r="D569" s="218"/>
      <c r="E569" s="218"/>
      <c r="F569" s="170"/>
      <c r="G569" s="170"/>
      <c r="H569" s="170"/>
      <c r="I569" s="170"/>
      <c r="J569" s="216"/>
      <c r="K569" s="224"/>
      <c r="L569" s="224"/>
      <c r="M569" s="224"/>
      <c r="N569" s="224"/>
      <c r="O569" s="224"/>
      <c r="P569" s="224"/>
      <c r="Q569" s="224"/>
      <c r="R569" s="224"/>
      <c r="S569" s="224"/>
      <c r="T569" s="224"/>
      <c r="U569" s="224"/>
      <c r="V569" s="224"/>
      <c r="W569" s="224"/>
      <c r="X569" s="224"/>
      <c r="Y569" s="224"/>
    </row>
    <row r="570" spans="1:25" ht="15.75" hidden="1" customHeight="1" x14ac:dyDescent="0.2">
      <c r="A570" s="224"/>
      <c r="B570" s="217"/>
      <c r="C570" s="218"/>
      <c r="D570" s="218"/>
      <c r="E570" s="218"/>
      <c r="F570" s="170"/>
      <c r="G570" s="170"/>
      <c r="H570" s="170"/>
      <c r="I570" s="170"/>
      <c r="J570" s="216"/>
      <c r="K570" s="224"/>
      <c r="L570" s="224"/>
      <c r="M570" s="224"/>
      <c r="N570" s="224"/>
      <c r="O570" s="224"/>
      <c r="P570" s="224"/>
      <c r="Q570" s="224"/>
      <c r="R570" s="224"/>
      <c r="S570" s="224"/>
      <c r="T570" s="224"/>
      <c r="U570" s="224"/>
      <c r="V570" s="224"/>
      <c r="W570" s="224"/>
      <c r="X570" s="224"/>
      <c r="Y570" s="224"/>
    </row>
    <row r="571" spans="1:25" ht="15.75" hidden="1" customHeight="1" x14ac:dyDescent="0.2">
      <c r="A571" s="224"/>
      <c r="B571" s="217"/>
      <c r="C571" s="218"/>
      <c r="D571" s="218"/>
      <c r="E571" s="218"/>
      <c r="F571" s="170"/>
      <c r="G571" s="170"/>
      <c r="H571" s="170"/>
      <c r="I571" s="170"/>
      <c r="J571" s="216"/>
      <c r="K571" s="224"/>
      <c r="L571" s="224"/>
      <c r="M571" s="224"/>
      <c r="N571" s="224"/>
      <c r="O571" s="224"/>
      <c r="P571" s="224"/>
      <c r="Q571" s="224"/>
      <c r="R571" s="224"/>
      <c r="S571" s="224"/>
      <c r="T571" s="224"/>
      <c r="U571" s="224"/>
      <c r="V571" s="224"/>
      <c r="W571" s="224"/>
      <c r="X571" s="224"/>
      <c r="Y571" s="224"/>
    </row>
    <row r="572" spans="1:25" ht="15.75" hidden="1" customHeight="1" x14ac:dyDescent="0.2">
      <c r="A572" s="224"/>
      <c r="B572" s="217"/>
      <c r="C572" s="218"/>
      <c r="D572" s="218"/>
      <c r="E572" s="218"/>
      <c r="F572" s="170"/>
      <c r="G572" s="170"/>
      <c r="H572" s="170"/>
      <c r="I572" s="170"/>
      <c r="J572" s="216"/>
      <c r="K572" s="224"/>
      <c r="L572" s="224"/>
      <c r="M572" s="224"/>
      <c r="N572" s="224"/>
      <c r="O572" s="224"/>
      <c r="P572" s="224"/>
      <c r="Q572" s="224"/>
      <c r="R572" s="224"/>
      <c r="S572" s="224"/>
      <c r="T572" s="224"/>
      <c r="U572" s="224"/>
      <c r="V572" s="224"/>
      <c r="W572" s="224"/>
      <c r="X572" s="224"/>
      <c r="Y572" s="224"/>
    </row>
    <row r="573" spans="1:25" ht="15.75" hidden="1" customHeight="1" x14ac:dyDescent="0.2">
      <c r="A573" s="224"/>
      <c r="B573" s="217"/>
      <c r="C573" s="218"/>
      <c r="D573" s="218"/>
      <c r="E573" s="218"/>
      <c r="F573" s="170"/>
      <c r="G573" s="170"/>
      <c r="H573" s="170"/>
      <c r="I573" s="170"/>
      <c r="J573" s="216"/>
      <c r="K573" s="224"/>
      <c r="L573" s="224"/>
      <c r="M573" s="224"/>
      <c r="N573" s="224"/>
      <c r="O573" s="224"/>
      <c r="P573" s="224"/>
      <c r="Q573" s="224"/>
      <c r="R573" s="224"/>
      <c r="S573" s="224"/>
      <c r="T573" s="224"/>
      <c r="U573" s="224"/>
      <c r="V573" s="224"/>
      <c r="W573" s="224"/>
      <c r="X573" s="224"/>
      <c r="Y573" s="224"/>
    </row>
    <row r="574" spans="1:25" ht="15.75" hidden="1" customHeight="1" x14ac:dyDescent="0.2">
      <c r="A574" s="224"/>
      <c r="B574" s="217"/>
      <c r="C574" s="218"/>
      <c r="D574" s="218"/>
      <c r="E574" s="218"/>
      <c r="F574" s="170"/>
      <c r="G574" s="170"/>
      <c r="H574" s="170"/>
      <c r="I574" s="170"/>
      <c r="J574" s="216"/>
      <c r="K574" s="224"/>
      <c r="L574" s="224"/>
      <c r="M574" s="224"/>
      <c r="N574" s="224"/>
      <c r="O574" s="224"/>
      <c r="P574" s="224"/>
      <c r="Q574" s="224"/>
      <c r="R574" s="224"/>
      <c r="S574" s="224"/>
      <c r="T574" s="224"/>
      <c r="U574" s="224"/>
      <c r="V574" s="224"/>
      <c r="W574" s="224"/>
      <c r="X574" s="224"/>
      <c r="Y574" s="224"/>
    </row>
    <row r="575" spans="1:25" ht="15.75" hidden="1" customHeight="1" x14ac:dyDescent="0.2">
      <c r="A575" s="224"/>
      <c r="B575" s="217"/>
      <c r="C575" s="218"/>
      <c r="D575" s="218"/>
      <c r="E575" s="218"/>
      <c r="F575" s="170"/>
      <c r="G575" s="170"/>
      <c r="H575" s="170"/>
      <c r="I575" s="170"/>
      <c r="J575" s="216"/>
      <c r="K575" s="224"/>
      <c r="L575" s="224"/>
      <c r="M575" s="224"/>
      <c r="N575" s="224"/>
      <c r="O575" s="224"/>
      <c r="P575" s="224"/>
      <c r="Q575" s="224"/>
      <c r="R575" s="224"/>
      <c r="S575" s="224"/>
      <c r="T575" s="224"/>
      <c r="U575" s="224"/>
      <c r="V575" s="224"/>
      <c r="W575" s="224"/>
      <c r="X575" s="224"/>
      <c r="Y575" s="224"/>
    </row>
    <row r="576" spans="1:25" ht="15.75" hidden="1" customHeight="1" x14ac:dyDescent="0.2">
      <c r="A576" s="224"/>
      <c r="B576" s="217"/>
      <c r="C576" s="218"/>
      <c r="D576" s="218"/>
      <c r="E576" s="218"/>
      <c r="F576" s="170"/>
      <c r="G576" s="170"/>
      <c r="H576" s="170"/>
      <c r="I576" s="170"/>
      <c r="J576" s="216"/>
      <c r="K576" s="224"/>
      <c r="L576" s="224"/>
      <c r="M576" s="224"/>
      <c r="N576" s="224"/>
      <c r="O576" s="224"/>
      <c r="P576" s="224"/>
      <c r="Q576" s="224"/>
      <c r="R576" s="224"/>
      <c r="S576" s="224"/>
      <c r="T576" s="224"/>
      <c r="U576" s="224"/>
      <c r="V576" s="224"/>
      <c r="W576" s="224"/>
      <c r="X576" s="224"/>
      <c r="Y576" s="224"/>
    </row>
    <row r="577" spans="1:25" ht="15.75" hidden="1" customHeight="1" x14ac:dyDescent="0.2">
      <c r="A577" s="224"/>
      <c r="B577" s="217"/>
      <c r="C577" s="218"/>
      <c r="D577" s="218"/>
      <c r="E577" s="218"/>
      <c r="F577" s="170"/>
      <c r="G577" s="170"/>
      <c r="H577" s="170"/>
      <c r="I577" s="170"/>
      <c r="J577" s="216"/>
      <c r="K577" s="224"/>
      <c r="L577" s="224"/>
      <c r="M577" s="224"/>
      <c r="N577" s="224"/>
      <c r="O577" s="224"/>
      <c r="P577" s="224"/>
      <c r="Q577" s="224"/>
      <c r="R577" s="224"/>
      <c r="S577" s="224"/>
      <c r="T577" s="224"/>
      <c r="U577" s="224"/>
      <c r="V577" s="224"/>
      <c r="W577" s="224"/>
      <c r="X577" s="224"/>
      <c r="Y577" s="224"/>
    </row>
    <row r="578" spans="1:25" ht="15.75" hidden="1" customHeight="1" x14ac:dyDescent="0.2">
      <c r="A578" s="224"/>
      <c r="B578" s="217"/>
      <c r="C578" s="218"/>
      <c r="D578" s="218"/>
      <c r="E578" s="218"/>
      <c r="F578" s="170"/>
      <c r="G578" s="170"/>
      <c r="H578" s="170"/>
      <c r="I578" s="170"/>
      <c r="J578" s="216"/>
      <c r="K578" s="224"/>
      <c r="L578" s="224"/>
      <c r="M578" s="224"/>
      <c r="N578" s="224"/>
      <c r="O578" s="224"/>
      <c r="P578" s="224"/>
      <c r="Q578" s="224"/>
      <c r="R578" s="224"/>
      <c r="S578" s="224"/>
      <c r="T578" s="224"/>
      <c r="U578" s="224"/>
      <c r="V578" s="224"/>
      <c r="W578" s="224"/>
      <c r="X578" s="224"/>
      <c r="Y578" s="224"/>
    </row>
    <row r="579" spans="1:25" ht="15.75" hidden="1" customHeight="1" x14ac:dyDescent="0.2">
      <c r="A579" s="224"/>
      <c r="B579" s="217"/>
      <c r="C579" s="218"/>
      <c r="D579" s="218"/>
      <c r="E579" s="218"/>
      <c r="F579" s="170"/>
      <c r="G579" s="170"/>
      <c r="H579" s="170"/>
      <c r="I579" s="170"/>
      <c r="J579" s="216"/>
      <c r="K579" s="224"/>
      <c r="L579" s="224"/>
      <c r="M579" s="224"/>
      <c r="N579" s="224"/>
      <c r="O579" s="224"/>
      <c r="P579" s="224"/>
      <c r="Q579" s="224"/>
      <c r="R579" s="224"/>
      <c r="S579" s="224"/>
      <c r="T579" s="224"/>
      <c r="U579" s="224"/>
      <c r="V579" s="224"/>
      <c r="W579" s="224"/>
      <c r="X579" s="224"/>
      <c r="Y579" s="224"/>
    </row>
    <row r="580" spans="1:25" ht="15.75" hidden="1" customHeight="1" x14ac:dyDescent="0.2">
      <c r="A580" s="224"/>
      <c r="B580" s="217"/>
      <c r="C580" s="218"/>
      <c r="D580" s="218"/>
      <c r="E580" s="218"/>
      <c r="F580" s="170"/>
      <c r="G580" s="170"/>
      <c r="H580" s="170"/>
      <c r="I580" s="170"/>
      <c r="J580" s="216"/>
      <c r="K580" s="224"/>
      <c r="L580" s="224"/>
      <c r="M580" s="224"/>
      <c r="N580" s="224"/>
      <c r="O580" s="224"/>
      <c r="P580" s="224"/>
      <c r="Q580" s="224"/>
      <c r="R580" s="224"/>
      <c r="S580" s="224"/>
      <c r="T580" s="224"/>
      <c r="U580" s="224"/>
      <c r="V580" s="224"/>
      <c r="W580" s="224"/>
      <c r="X580" s="224"/>
      <c r="Y580" s="224"/>
    </row>
    <row r="581" spans="1:25" ht="15.75" hidden="1" customHeight="1" x14ac:dyDescent="0.2">
      <c r="A581" s="224"/>
      <c r="B581" s="217"/>
      <c r="C581" s="218"/>
      <c r="D581" s="218"/>
      <c r="E581" s="218"/>
      <c r="F581" s="170"/>
      <c r="G581" s="170"/>
      <c r="H581" s="170"/>
      <c r="I581" s="170"/>
      <c r="J581" s="216"/>
      <c r="K581" s="224"/>
      <c r="L581" s="224"/>
      <c r="M581" s="224"/>
      <c r="N581" s="224"/>
      <c r="O581" s="224"/>
      <c r="P581" s="224"/>
      <c r="Q581" s="224"/>
      <c r="R581" s="224"/>
      <c r="S581" s="224"/>
      <c r="T581" s="224"/>
      <c r="U581" s="224"/>
      <c r="V581" s="224"/>
      <c r="W581" s="224"/>
      <c r="X581" s="224"/>
      <c r="Y581" s="224"/>
    </row>
    <row r="582" spans="1:25" ht="15.75" hidden="1" customHeight="1" x14ac:dyDescent="0.2">
      <c r="A582" s="224"/>
      <c r="B582" s="217"/>
      <c r="C582" s="218"/>
      <c r="D582" s="218"/>
      <c r="E582" s="218"/>
      <c r="F582" s="170"/>
      <c r="G582" s="170"/>
      <c r="H582" s="170"/>
      <c r="I582" s="170"/>
      <c r="J582" s="216"/>
      <c r="K582" s="224"/>
      <c r="L582" s="224"/>
      <c r="M582" s="224"/>
      <c r="N582" s="224"/>
      <c r="O582" s="224"/>
      <c r="P582" s="224"/>
      <c r="Q582" s="224"/>
      <c r="R582" s="224"/>
      <c r="S582" s="224"/>
      <c r="T582" s="224"/>
      <c r="U582" s="224"/>
      <c r="V582" s="224"/>
      <c r="W582" s="224"/>
      <c r="X582" s="224"/>
      <c r="Y582" s="224"/>
    </row>
    <row r="583" spans="1:25" ht="15.75" hidden="1" customHeight="1" x14ac:dyDescent="0.2">
      <c r="A583" s="224"/>
      <c r="B583" s="217"/>
      <c r="C583" s="218"/>
      <c r="D583" s="218"/>
      <c r="E583" s="218"/>
      <c r="F583" s="170"/>
      <c r="G583" s="170"/>
      <c r="H583" s="170"/>
      <c r="I583" s="170"/>
      <c r="J583" s="216"/>
      <c r="K583" s="224"/>
      <c r="L583" s="224"/>
      <c r="M583" s="224"/>
      <c r="N583" s="224"/>
      <c r="O583" s="224"/>
      <c r="P583" s="224"/>
      <c r="Q583" s="224"/>
      <c r="R583" s="224"/>
      <c r="S583" s="224"/>
      <c r="T583" s="224"/>
      <c r="U583" s="224"/>
      <c r="V583" s="224"/>
      <c r="W583" s="224"/>
      <c r="X583" s="224"/>
      <c r="Y583" s="224"/>
    </row>
    <row r="584" spans="1:25" ht="15.75" hidden="1" customHeight="1" x14ac:dyDescent="0.2">
      <c r="A584" s="224"/>
      <c r="B584" s="217"/>
      <c r="C584" s="218"/>
      <c r="D584" s="218"/>
      <c r="E584" s="218"/>
      <c r="F584" s="170"/>
      <c r="G584" s="170"/>
      <c r="H584" s="170"/>
      <c r="I584" s="170"/>
      <c r="J584" s="216"/>
      <c r="K584" s="224"/>
      <c r="L584" s="224"/>
      <c r="M584" s="224"/>
      <c r="N584" s="224"/>
      <c r="O584" s="224"/>
      <c r="P584" s="224"/>
      <c r="Q584" s="224"/>
      <c r="R584" s="224"/>
      <c r="S584" s="224"/>
      <c r="T584" s="224"/>
      <c r="U584" s="224"/>
      <c r="V584" s="224"/>
      <c r="W584" s="224"/>
      <c r="X584" s="224"/>
      <c r="Y584" s="224"/>
    </row>
    <row r="585" spans="1:25" ht="15.75" hidden="1" customHeight="1" x14ac:dyDescent="0.2">
      <c r="A585" s="224"/>
      <c r="B585" s="217"/>
      <c r="C585" s="218"/>
      <c r="D585" s="218"/>
      <c r="E585" s="218"/>
      <c r="F585" s="170"/>
      <c r="G585" s="170"/>
      <c r="H585" s="170"/>
      <c r="I585" s="170"/>
      <c r="J585" s="216"/>
      <c r="K585" s="224"/>
      <c r="L585" s="224"/>
      <c r="M585" s="224"/>
      <c r="N585" s="224"/>
      <c r="O585" s="224"/>
      <c r="P585" s="224"/>
      <c r="Q585" s="224"/>
      <c r="R585" s="224"/>
      <c r="S585" s="224"/>
      <c r="T585" s="224"/>
      <c r="U585" s="224"/>
      <c r="V585" s="224"/>
      <c r="W585" s="224"/>
      <c r="X585" s="224"/>
      <c r="Y585" s="224"/>
    </row>
    <row r="586" spans="1:25" ht="15.75" hidden="1" customHeight="1" x14ac:dyDescent="0.2">
      <c r="A586" s="224"/>
      <c r="B586" s="217"/>
      <c r="C586" s="218"/>
      <c r="D586" s="218"/>
      <c r="E586" s="218"/>
      <c r="F586" s="170"/>
      <c r="G586" s="170"/>
      <c r="H586" s="170"/>
      <c r="I586" s="170"/>
      <c r="J586" s="216"/>
      <c r="K586" s="224"/>
      <c r="L586" s="224"/>
      <c r="M586" s="224"/>
      <c r="N586" s="224"/>
      <c r="O586" s="224"/>
      <c r="P586" s="224"/>
      <c r="Q586" s="224"/>
      <c r="R586" s="224"/>
      <c r="S586" s="224"/>
      <c r="T586" s="224"/>
      <c r="U586" s="224"/>
      <c r="V586" s="224"/>
      <c r="W586" s="224"/>
      <c r="X586" s="224"/>
      <c r="Y586" s="224"/>
    </row>
    <row r="587" spans="1:25" ht="15.75" hidden="1" customHeight="1" x14ac:dyDescent="0.2">
      <c r="A587" s="224"/>
      <c r="B587" s="217"/>
      <c r="C587" s="218"/>
      <c r="D587" s="218"/>
      <c r="E587" s="218"/>
      <c r="F587" s="170"/>
      <c r="G587" s="170"/>
      <c r="H587" s="170"/>
      <c r="I587" s="170"/>
      <c r="J587" s="216"/>
      <c r="K587" s="224"/>
      <c r="L587" s="224"/>
      <c r="M587" s="224"/>
      <c r="N587" s="224"/>
      <c r="O587" s="224"/>
      <c r="P587" s="224"/>
      <c r="Q587" s="224"/>
      <c r="R587" s="224"/>
      <c r="S587" s="224"/>
      <c r="T587" s="224"/>
      <c r="U587" s="224"/>
      <c r="V587" s="224"/>
      <c r="W587" s="224"/>
      <c r="X587" s="224"/>
      <c r="Y587" s="224"/>
    </row>
    <row r="588" spans="1:25" ht="15.75" hidden="1" customHeight="1" x14ac:dyDescent="0.2">
      <c r="A588" s="224"/>
      <c r="B588" s="217"/>
      <c r="C588" s="218"/>
      <c r="D588" s="218"/>
      <c r="E588" s="218"/>
      <c r="F588" s="170"/>
      <c r="G588" s="170"/>
      <c r="H588" s="170"/>
      <c r="I588" s="170"/>
      <c r="J588" s="216"/>
      <c r="K588" s="224"/>
      <c r="L588" s="224"/>
      <c r="M588" s="224"/>
      <c r="N588" s="224"/>
      <c r="O588" s="224"/>
      <c r="P588" s="224"/>
      <c r="Q588" s="224"/>
      <c r="R588" s="224"/>
      <c r="S588" s="224"/>
      <c r="T588" s="224"/>
      <c r="U588" s="224"/>
      <c r="V588" s="224"/>
      <c r="W588" s="224"/>
      <c r="X588" s="224"/>
      <c r="Y588" s="224"/>
    </row>
    <row r="589" spans="1:25" ht="15.75" hidden="1" customHeight="1" x14ac:dyDescent="0.2">
      <c r="A589" s="224"/>
      <c r="B589" s="217"/>
      <c r="C589" s="218"/>
      <c r="D589" s="218"/>
      <c r="E589" s="218"/>
      <c r="F589" s="170"/>
      <c r="G589" s="170"/>
      <c r="H589" s="170"/>
      <c r="I589" s="170"/>
      <c r="J589" s="216"/>
      <c r="K589" s="224"/>
      <c r="L589" s="224"/>
      <c r="M589" s="224"/>
      <c r="N589" s="224"/>
      <c r="O589" s="224"/>
      <c r="P589" s="224"/>
      <c r="Q589" s="224"/>
      <c r="R589" s="224"/>
      <c r="S589" s="224"/>
      <c r="T589" s="224"/>
      <c r="U589" s="224"/>
      <c r="V589" s="224"/>
      <c r="W589" s="224"/>
      <c r="X589" s="224"/>
      <c r="Y589" s="224"/>
    </row>
    <row r="590" spans="1:25" ht="15.75" hidden="1" customHeight="1" x14ac:dyDescent="0.2">
      <c r="A590" s="224"/>
      <c r="B590" s="217"/>
      <c r="C590" s="218"/>
      <c r="D590" s="218"/>
      <c r="E590" s="218"/>
      <c r="F590" s="170"/>
      <c r="G590" s="170"/>
      <c r="H590" s="170"/>
      <c r="I590" s="170"/>
      <c r="J590" s="216"/>
      <c r="K590" s="224"/>
      <c r="L590" s="224"/>
      <c r="M590" s="224"/>
      <c r="N590" s="224"/>
      <c r="O590" s="224"/>
      <c r="P590" s="224"/>
      <c r="Q590" s="224"/>
      <c r="R590" s="224"/>
      <c r="S590" s="224"/>
      <c r="T590" s="224"/>
      <c r="U590" s="224"/>
      <c r="V590" s="224"/>
      <c r="W590" s="224"/>
      <c r="X590" s="224"/>
      <c r="Y590" s="224"/>
    </row>
    <row r="591" spans="1:25" ht="15.75" hidden="1" customHeight="1" x14ac:dyDescent="0.2">
      <c r="A591" s="224"/>
      <c r="B591" s="217"/>
      <c r="C591" s="218"/>
      <c r="D591" s="218"/>
      <c r="E591" s="218"/>
      <c r="F591" s="170"/>
      <c r="G591" s="170"/>
      <c r="H591" s="170"/>
      <c r="I591" s="170"/>
      <c r="J591" s="216"/>
      <c r="K591" s="224"/>
      <c r="L591" s="224"/>
      <c r="M591" s="224"/>
      <c r="N591" s="224"/>
      <c r="O591" s="224"/>
      <c r="P591" s="224"/>
      <c r="Q591" s="224"/>
      <c r="R591" s="224"/>
      <c r="S591" s="224"/>
      <c r="T591" s="224"/>
      <c r="U591" s="224"/>
      <c r="V591" s="224"/>
      <c r="W591" s="224"/>
      <c r="X591" s="224"/>
      <c r="Y591" s="224"/>
    </row>
    <row r="592" spans="1:25" ht="15.75" hidden="1" customHeight="1" x14ac:dyDescent="0.2">
      <c r="A592" s="224"/>
      <c r="B592" s="217"/>
      <c r="C592" s="218"/>
      <c r="D592" s="218"/>
      <c r="E592" s="218"/>
      <c r="F592" s="170"/>
      <c r="G592" s="170"/>
      <c r="H592" s="170"/>
      <c r="I592" s="170"/>
      <c r="J592" s="216"/>
      <c r="K592" s="224"/>
      <c r="L592" s="224"/>
      <c r="M592" s="224"/>
      <c r="N592" s="224"/>
      <c r="O592" s="224"/>
      <c r="P592" s="224"/>
      <c r="Q592" s="224"/>
      <c r="R592" s="224"/>
      <c r="S592" s="224"/>
      <c r="T592" s="224"/>
      <c r="U592" s="224"/>
      <c r="V592" s="224"/>
      <c r="W592" s="224"/>
      <c r="X592" s="224"/>
      <c r="Y592" s="224"/>
    </row>
    <row r="593" spans="1:25" ht="15.75" hidden="1" customHeight="1" x14ac:dyDescent="0.2">
      <c r="A593" s="224"/>
      <c r="B593" s="217"/>
      <c r="C593" s="218"/>
      <c r="D593" s="218"/>
      <c r="E593" s="218"/>
      <c r="F593" s="170"/>
      <c r="G593" s="170"/>
      <c r="H593" s="170"/>
      <c r="I593" s="170"/>
      <c r="J593" s="216"/>
      <c r="K593" s="224"/>
      <c r="L593" s="224"/>
      <c r="M593" s="224"/>
      <c r="N593" s="224"/>
      <c r="O593" s="224"/>
      <c r="P593" s="224"/>
      <c r="Q593" s="224"/>
      <c r="R593" s="224"/>
      <c r="S593" s="224"/>
      <c r="T593" s="224"/>
      <c r="U593" s="224"/>
      <c r="V593" s="224"/>
      <c r="W593" s="224"/>
      <c r="X593" s="224"/>
      <c r="Y593" s="224"/>
    </row>
    <row r="594" spans="1:25" ht="15.75" hidden="1" customHeight="1" x14ac:dyDescent="0.2">
      <c r="A594" s="224"/>
      <c r="B594" s="217"/>
      <c r="C594" s="218"/>
      <c r="D594" s="218"/>
      <c r="E594" s="218"/>
      <c r="F594" s="170"/>
      <c r="G594" s="170"/>
      <c r="H594" s="170"/>
      <c r="I594" s="170"/>
      <c r="J594" s="216"/>
      <c r="K594" s="224"/>
      <c r="L594" s="224"/>
      <c r="M594" s="224"/>
      <c r="N594" s="224"/>
      <c r="O594" s="224"/>
      <c r="P594" s="224"/>
      <c r="Q594" s="224"/>
      <c r="R594" s="224"/>
      <c r="S594" s="224"/>
      <c r="T594" s="224"/>
      <c r="U594" s="224"/>
      <c r="V594" s="224"/>
      <c r="W594" s="224"/>
      <c r="X594" s="224"/>
      <c r="Y594" s="224"/>
    </row>
    <row r="595" spans="1:25" ht="15.75" hidden="1" customHeight="1" x14ac:dyDescent="0.2">
      <c r="A595" s="224"/>
      <c r="B595" s="217"/>
      <c r="C595" s="218"/>
      <c r="D595" s="218"/>
      <c r="E595" s="218"/>
      <c r="F595" s="170"/>
      <c r="G595" s="170"/>
      <c r="H595" s="170"/>
      <c r="I595" s="170"/>
      <c r="J595" s="216"/>
      <c r="K595" s="224"/>
      <c r="L595" s="224"/>
      <c r="M595" s="224"/>
      <c r="N595" s="224"/>
      <c r="O595" s="224"/>
      <c r="P595" s="224"/>
      <c r="Q595" s="224"/>
      <c r="R595" s="224"/>
      <c r="S595" s="224"/>
      <c r="T595" s="224"/>
      <c r="U595" s="224"/>
      <c r="V595" s="224"/>
      <c r="W595" s="224"/>
      <c r="X595" s="224"/>
      <c r="Y595" s="224"/>
    </row>
    <row r="596" spans="1:25" ht="15.75" hidden="1" customHeight="1" x14ac:dyDescent="0.2">
      <c r="A596" s="224"/>
      <c r="B596" s="217"/>
      <c r="C596" s="218"/>
      <c r="D596" s="218"/>
      <c r="E596" s="218"/>
      <c r="F596" s="170"/>
      <c r="G596" s="170"/>
      <c r="H596" s="170"/>
      <c r="I596" s="170"/>
      <c r="J596" s="216"/>
      <c r="K596" s="224"/>
      <c r="L596" s="224"/>
      <c r="M596" s="224"/>
      <c r="N596" s="224"/>
      <c r="O596" s="224"/>
      <c r="P596" s="224"/>
      <c r="Q596" s="224"/>
      <c r="R596" s="224"/>
      <c r="S596" s="224"/>
      <c r="T596" s="224"/>
      <c r="U596" s="224"/>
      <c r="V596" s="224"/>
      <c r="W596" s="224"/>
      <c r="X596" s="224"/>
      <c r="Y596" s="224"/>
    </row>
    <row r="597" spans="1:25" ht="15.75" hidden="1" customHeight="1" x14ac:dyDescent="0.2">
      <c r="A597" s="224"/>
      <c r="B597" s="217"/>
      <c r="C597" s="218"/>
      <c r="D597" s="218"/>
      <c r="E597" s="218"/>
      <c r="F597" s="170"/>
      <c r="G597" s="170"/>
      <c r="H597" s="170"/>
      <c r="I597" s="170"/>
      <c r="J597" s="216"/>
      <c r="K597" s="224"/>
      <c r="L597" s="224"/>
      <c r="M597" s="224"/>
      <c r="N597" s="224"/>
      <c r="O597" s="224"/>
      <c r="P597" s="224"/>
      <c r="Q597" s="224"/>
      <c r="R597" s="224"/>
      <c r="S597" s="224"/>
      <c r="T597" s="224"/>
      <c r="U597" s="224"/>
      <c r="V597" s="224"/>
      <c r="W597" s="224"/>
      <c r="X597" s="224"/>
      <c r="Y597" s="224"/>
    </row>
    <row r="598" spans="1:25" ht="15.75" hidden="1" customHeight="1" x14ac:dyDescent="0.2">
      <c r="A598" s="224"/>
      <c r="B598" s="217"/>
      <c r="C598" s="218"/>
      <c r="D598" s="218"/>
      <c r="E598" s="218"/>
      <c r="F598" s="170"/>
      <c r="G598" s="170"/>
      <c r="H598" s="170"/>
      <c r="I598" s="170"/>
      <c r="J598" s="216"/>
      <c r="K598" s="224"/>
      <c r="L598" s="224"/>
      <c r="M598" s="224"/>
      <c r="N598" s="224"/>
      <c r="O598" s="224"/>
      <c r="P598" s="224"/>
      <c r="Q598" s="224"/>
      <c r="R598" s="224"/>
      <c r="S598" s="224"/>
      <c r="T598" s="224"/>
      <c r="U598" s="224"/>
      <c r="V598" s="224"/>
      <c r="W598" s="224"/>
      <c r="X598" s="224"/>
      <c r="Y598" s="224"/>
    </row>
    <row r="599" spans="1:25" ht="15.75" hidden="1" customHeight="1" x14ac:dyDescent="0.2">
      <c r="A599" s="224"/>
      <c r="B599" s="217"/>
      <c r="C599" s="218"/>
      <c r="D599" s="218"/>
      <c r="E599" s="218"/>
      <c r="F599" s="170"/>
      <c r="G599" s="170"/>
      <c r="H599" s="170"/>
      <c r="I599" s="170"/>
      <c r="J599" s="216"/>
      <c r="K599" s="224"/>
      <c r="L599" s="224"/>
      <c r="M599" s="224"/>
      <c r="N599" s="224"/>
      <c r="O599" s="224"/>
      <c r="P599" s="224"/>
      <c r="Q599" s="224"/>
      <c r="R599" s="224"/>
      <c r="S599" s="224"/>
      <c r="T599" s="224"/>
      <c r="U599" s="224"/>
      <c r="V599" s="224"/>
      <c r="W599" s="224"/>
      <c r="X599" s="224"/>
      <c r="Y599" s="224"/>
    </row>
    <row r="600" spans="1:25" ht="15.75" hidden="1" customHeight="1" x14ac:dyDescent="0.2">
      <c r="A600" s="224"/>
      <c r="B600" s="217"/>
      <c r="C600" s="218"/>
      <c r="D600" s="218"/>
      <c r="E600" s="218"/>
      <c r="F600" s="170"/>
      <c r="G600" s="170"/>
      <c r="H600" s="170"/>
      <c r="I600" s="170"/>
      <c r="J600" s="216"/>
      <c r="K600" s="224"/>
      <c r="L600" s="224"/>
      <c r="M600" s="224"/>
      <c r="N600" s="224"/>
      <c r="O600" s="224"/>
      <c r="P600" s="224"/>
      <c r="Q600" s="224"/>
      <c r="R600" s="224"/>
      <c r="S600" s="224"/>
      <c r="T600" s="224"/>
      <c r="U600" s="224"/>
      <c r="V600" s="224"/>
      <c r="W600" s="224"/>
      <c r="X600" s="224"/>
      <c r="Y600" s="224"/>
    </row>
    <row r="601" spans="1:25" ht="15.75" hidden="1" customHeight="1" x14ac:dyDescent="0.2">
      <c r="A601" s="224"/>
      <c r="B601" s="217"/>
      <c r="C601" s="218"/>
      <c r="D601" s="218"/>
      <c r="E601" s="218"/>
      <c r="F601" s="170"/>
      <c r="G601" s="170"/>
      <c r="H601" s="170"/>
      <c r="I601" s="170"/>
      <c r="J601" s="216"/>
      <c r="K601" s="224"/>
      <c r="L601" s="224"/>
      <c r="M601" s="224"/>
      <c r="N601" s="224"/>
      <c r="O601" s="224"/>
      <c r="P601" s="224"/>
      <c r="Q601" s="224"/>
      <c r="R601" s="224"/>
      <c r="S601" s="224"/>
      <c r="T601" s="224"/>
      <c r="U601" s="224"/>
      <c r="V601" s="224"/>
      <c r="W601" s="224"/>
      <c r="X601" s="224"/>
      <c r="Y601" s="224"/>
    </row>
    <row r="602" spans="1:25" ht="15.75" hidden="1" customHeight="1" x14ac:dyDescent="0.2">
      <c r="A602" s="224"/>
      <c r="B602" s="217"/>
      <c r="C602" s="218"/>
      <c r="D602" s="218"/>
      <c r="E602" s="218"/>
      <c r="F602" s="170"/>
      <c r="G602" s="170"/>
      <c r="H602" s="170"/>
      <c r="I602" s="170"/>
      <c r="J602" s="216"/>
      <c r="K602" s="224"/>
      <c r="L602" s="224"/>
      <c r="M602" s="224"/>
      <c r="N602" s="224"/>
      <c r="O602" s="224"/>
      <c r="P602" s="224"/>
      <c r="Q602" s="224"/>
      <c r="R602" s="224"/>
      <c r="S602" s="224"/>
      <c r="T602" s="224"/>
      <c r="U602" s="224"/>
      <c r="V602" s="224"/>
      <c r="W602" s="224"/>
      <c r="X602" s="224"/>
      <c r="Y602" s="224"/>
    </row>
    <row r="603" spans="1:25" ht="15.75" hidden="1" customHeight="1" x14ac:dyDescent="0.2">
      <c r="A603" s="224"/>
      <c r="B603" s="217"/>
      <c r="C603" s="218"/>
      <c r="D603" s="218"/>
      <c r="E603" s="218"/>
      <c r="F603" s="170"/>
      <c r="G603" s="170"/>
      <c r="H603" s="170"/>
      <c r="I603" s="170"/>
      <c r="J603" s="216"/>
      <c r="K603" s="224"/>
      <c r="L603" s="224"/>
      <c r="M603" s="224"/>
      <c r="N603" s="224"/>
      <c r="O603" s="224"/>
      <c r="P603" s="224"/>
      <c r="Q603" s="224"/>
      <c r="R603" s="224"/>
      <c r="S603" s="224"/>
      <c r="T603" s="224"/>
      <c r="U603" s="224"/>
      <c r="V603" s="224"/>
      <c r="W603" s="224"/>
      <c r="X603" s="224"/>
      <c r="Y603" s="224"/>
    </row>
    <row r="604" spans="1:25" ht="15.75" hidden="1" customHeight="1" x14ac:dyDescent="0.2">
      <c r="A604" s="224"/>
      <c r="B604" s="217"/>
      <c r="C604" s="218"/>
      <c r="D604" s="218"/>
      <c r="E604" s="218"/>
      <c r="F604" s="170"/>
      <c r="G604" s="170"/>
      <c r="H604" s="170"/>
      <c r="I604" s="170"/>
      <c r="J604" s="216"/>
      <c r="K604" s="224"/>
      <c r="L604" s="224"/>
      <c r="M604" s="224"/>
      <c r="N604" s="224"/>
      <c r="O604" s="224"/>
      <c r="P604" s="224"/>
      <c r="Q604" s="224"/>
      <c r="R604" s="224"/>
      <c r="S604" s="224"/>
      <c r="T604" s="224"/>
      <c r="U604" s="224"/>
      <c r="V604" s="224"/>
      <c r="W604" s="224"/>
      <c r="X604" s="224"/>
      <c r="Y604" s="224"/>
    </row>
    <row r="605" spans="1:25" ht="15.75" hidden="1" customHeight="1" x14ac:dyDescent="0.2">
      <c r="A605" s="224"/>
      <c r="B605" s="217"/>
      <c r="C605" s="218"/>
      <c r="D605" s="218"/>
      <c r="E605" s="218"/>
      <c r="F605" s="170"/>
      <c r="G605" s="170"/>
      <c r="H605" s="170"/>
      <c r="I605" s="170"/>
      <c r="J605" s="216"/>
      <c r="K605" s="224"/>
      <c r="L605" s="224"/>
      <c r="M605" s="224"/>
      <c r="N605" s="224"/>
      <c r="O605" s="224"/>
      <c r="P605" s="224"/>
      <c r="Q605" s="224"/>
      <c r="R605" s="224"/>
      <c r="S605" s="224"/>
      <c r="T605" s="224"/>
      <c r="U605" s="224"/>
      <c r="V605" s="224"/>
      <c r="W605" s="224"/>
      <c r="X605" s="224"/>
      <c r="Y605" s="224"/>
    </row>
    <row r="606" spans="1:25" ht="15.75" hidden="1" customHeight="1" x14ac:dyDescent="0.2">
      <c r="A606" s="224"/>
      <c r="B606" s="217"/>
      <c r="C606" s="218"/>
      <c r="D606" s="218"/>
      <c r="E606" s="218"/>
      <c r="F606" s="170"/>
      <c r="G606" s="170"/>
      <c r="H606" s="170"/>
      <c r="I606" s="170"/>
      <c r="J606" s="216"/>
      <c r="K606" s="224"/>
      <c r="L606" s="224"/>
      <c r="M606" s="224"/>
      <c r="N606" s="224"/>
      <c r="O606" s="224"/>
      <c r="P606" s="224"/>
      <c r="Q606" s="224"/>
      <c r="R606" s="224"/>
      <c r="S606" s="224"/>
      <c r="T606" s="224"/>
      <c r="U606" s="224"/>
      <c r="V606" s="224"/>
      <c r="W606" s="224"/>
      <c r="X606" s="224"/>
      <c r="Y606" s="224"/>
    </row>
    <row r="607" spans="1:25" ht="15.75" hidden="1" customHeight="1" x14ac:dyDescent="0.2">
      <c r="A607" s="224"/>
      <c r="B607" s="217"/>
      <c r="C607" s="218"/>
      <c r="D607" s="218"/>
      <c r="E607" s="218"/>
      <c r="F607" s="170"/>
      <c r="G607" s="170"/>
      <c r="H607" s="170"/>
      <c r="I607" s="170"/>
      <c r="J607" s="216"/>
      <c r="K607" s="224"/>
      <c r="L607" s="224"/>
      <c r="M607" s="224"/>
      <c r="N607" s="224"/>
      <c r="O607" s="224"/>
      <c r="P607" s="224"/>
      <c r="Q607" s="224"/>
      <c r="R607" s="224"/>
      <c r="S607" s="224"/>
      <c r="T607" s="224"/>
      <c r="U607" s="224"/>
      <c r="V607" s="224"/>
      <c r="W607" s="224"/>
      <c r="X607" s="224"/>
      <c r="Y607" s="224"/>
    </row>
    <row r="608" spans="1:25" ht="15.75" hidden="1" customHeight="1" x14ac:dyDescent="0.2">
      <c r="A608" s="224"/>
      <c r="B608" s="217"/>
      <c r="C608" s="218"/>
      <c r="D608" s="218"/>
      <c r="E608" s="218"/>
      <c r="F608" s="170"/>
      <c r="G608" s="170"/>
      <c r="H608" s="170"/>
      <c r="I608" s="170"/>
      <c r="J608" s="216"/>
      <c r="K608" s="224"/>
      <c r="L608" s="224"/>
      <c r="M608" s="224"/>
      <c r="N608" s="224"/>
      <c r="O608" s="224"/>
      <c r="P608" s="224"/>
      <c r="Q608" s="224"/>
      <c r="R608" s="224"/>
      <c r="S608" s="224"/>
      <c r="T608" s="224"/>
      <c r="U608" s="224"/>
      <c r="V608" s="224"/>
      <c r="W608" s="224"/>
      <c r="X608" s="224"/>
      <c r="Y608" s="224"/>
    </row>
    <row r="609" spans="1:25" ht="15.75" hidden="1" customHeight="1" x14ac:dyDescent="0.2">
      <c r="A609" s="224"/>
      <c r="B609" s="217"/>
      <c r="C609" s="218"/>
      <c r="D609" s="218"/>
      <c r="E609" s="218"/>
      <c r="F609" s="170"/>
      <c r="G609" s="170"/>
      <c r="H609" s="170"/>
      <c r="I609" s="170"/>
      <c r="J609" s="216"/>
      <c r="K609" s="224"/>
      <c r="L609" s="224"/>
      <c r="M609" s="224"/>
      <c r="N609" s="224"/>
      <c r="O609" s="224"/>
      <c r="P609" s="224"/>
      <c r="Q609" s="224"/>
      <c r="R609" s="224"/>
      <c r="S609" s="224"/>
      <c r="T609" s="224"/>
      <c r="U609" s="224"/>
      <c r="V609" s="224"/>
      <c r="W609" s="224"/>
      <c r="X609" s="224"/>
      <c r="Y609" s="224"/>
    </row>
    <row r="610" spans="1:25" ht="15.75" hidden="1" customHeight="1" x14ac:dyDescent="0.2">
      <c r="A610" s="224"/>
      <c r="B610" s="217"/>
      <c r="C610" s="218"/>
      <c r="D610" s="218"/>
      <c r="E610" s="218"/>
      <c r="F610" s="170"/>
      <c r="G610" s="170"/>
      <c r="H610" s="170"/>
      <c r="I610" s="170"/>
      <c r="J610" s="216"/>
      <c r="K610" s="224"/>
      <c r="L610" s="224"/>
      <c r="M610" s="224"/>
      <c r="N610" s="224"/>
      <c r="O610" s="224"/>
      <c r="P610" s="224"/>
      <c r="Q610" s="224"/>
      <c r="R610" s="224"/>
      <c r="S610" s="224"/>
      <c r="T610" s="224"/>
      <c r="U610" s="224"/>
      <c r="V610" s="224"/>
      <c r="W610" s="224"/>
      <c r="X610" s="224"/>
      <c r="Y610" s="224"/>
    </row>
    <row r="611" spans="1:25" ht="15.75" hidden="1" customHeight="1" x14ac:dyDescent="0.2">
      <c r="A611" s="224"/>
      <c r="B611" s="217"/>
      <c r="C611" s="218"/>
      <c r="D611" s="218"/>
      <c r="E611" s="218"/>
      <c r="F611" s="170"/>
      <c r="G611" s="170"/>
      <c r="H611" s="170"/>
      <c r="I611" s="170"/>
      <c r="J611" s="216"/>
      <c r="K611" s="224"/>
      <c r="L611" s="224"/>
      <c r="M611" s="224"/>
      <c r="N611" s="224"/>
      <c r="O611" s="224"/>
      <c r="P611" s="224"/>
      <c r="Q611" s="224"/>
      <c r="R611" s="224"/>
      <c r="S611" s="224"/>
      <c r="T611" s="224"/>
      <c r="U611" s="224"/>
      <c r="V611" s="224"/>
      <c r="W611" s="224"/>
      <c r="X611" s="224"/>
      <c r="Y611" s="224"/>
    </row>
    <row r="612" spans="1:25" ht="15.75" hidden="1" customHeight="1" x14ac:dyDescent="0.2">
      <c r="A612" s="224"/>
      <c r="B612" s="217"/>
      <c r="C612" s="218"/>
      <c r="D612" s="218"/>
      <c r="E612" s="218"/>
      <c r="F612" s="170"/>
      <c r="G612" s="170"/>
      <c r="H612" s="170"/>
      <c r="I612" s="170"/>
      <c r="J612" s="216"/>
      <c r="K612" s="224"/>
      <c r="L612" s="224"/>
      <c r="M612" s="224"/>
      <c r="N612" s="224"/>
      <c r="O612" s="224"/>
      <c r="P612" s="224"/>
      <c r="Q612" s="224"/>
      <c r="R612" s="224"/>
      <c r="S612" s="224"/>
      <c r="T612" s="224"/>
      <c r="U612" s="224"/>
      <c r="V612" s="224"/>
      <c r="W612" s="224"/>
      <c r="X612" s="224"/>
      <c r="Y612" s="224"/>
    </row>
    <row r="613" spans="1:25" ht="15.75" hidden="1" customHeight="1" x14ac:dyDescent="0.2">
      <c r="A613" s="224"/>
      <c r="B613" s="217"/>
      <c r="C613" s="218"/>
      <c r="D613" s="218"/>
      <c r="E613" s="218"/>
      <c r="F613" s="170"/>
      <c r="G613" s="170"/>
      <c r="H613" s="170"/>
      <c r="I613" s="170"/>
      <c r="J613" s="216"/>
      <c r="K613" s="224"/>
      <c r="L613" s="224"/>
      <c r="M613" s="224"/>
      <c r="N613" s="224"/>
      <c r="O613" s="224"/>
      <c r="P613" s="224"/>
      <c r="Q613" s="224"/>
      <c r="R613" s="224"/>
      <c r="S613" s="224"/>
      <c r="T613" s="224"/>
      <c r="U613" s="224"/>
      <c r="V613" s="224"/>
      <c r="W613" s="224"/>
      <c r="X613" s="224"/>
      <c r="Y613" s="224"/>
    </row>
    <row r="614" spans="1:25" ht="15.75" hidden="1" customHeight="1" x14ac:dyDescent="0.2">
      <c r="A614" s="224"/>
      <c r="B614" s="217"/>
      <c r="C614" s="218"/>
      <c r="D614" s="218"/>
      <c r="E614" s="218"/>
      <c r="F614" s="170"/>
      <c r="G614" s="170"/>
      <c r="H614" s="170"/>
      <c r="I614" s="170"/>
      <c r="J614" s="216"/>
      <c r="K614" s="224"/>
      <c r="L614" s="224"/>
      <c r="M614" s="224"/>
      <c r="N614" s="224"/>
      <c r="O614" s="224"/>
      <c r="P614" s="224"/>
      <c r="Q614" s="224"/>
      <c r="R614" s="224"/>
      <c r="S614" s="224"/>
      <c r="T614" s="224"/>
      <c r="U614" s="224"/>
      <c r="V614" s="224"/>
      <c r="W614" s="224"/>
      <c r="X614" s="224"/>
      <c r="Y614" s="224"/>
    </row>
    <row r="615" spans="1:25" ht="15.75" hidden="1" customHeight="1" x14ac:dyDescent="0.2">
      <c r="A615" s="224"/>
      <c r="B615" s="217"/>
      <c r="C615" s="218"/>
      <c r="D615" s="218"/>
      <c r="E615" s="218"/>
      <c r="F615" s="170"/>
      <c r="G615" s="170"/>
      <c r="H615" s="170"/>
      <c r="I615" s="170"/>
      <c r="J615" s="216"/>
      <c r="K615" s="224"/>
      <c r="L615" s="224"/>
      <c r="M615" s="224"/>
      <c r="N615" s="224"/>
      <c r="O615" s="224"/>
      <c r="P615" s="224"/>
      <c r="Q615" s="224"/>
      <c r="R615" s="224"/>
      <c r="S615" s="224"/>
      <c r="T615" s="224"/>
      <c r="U615" s="224"/>
      <c r="V615" s="224"/>
      <c r="W615" s="224"/>
      <c r="X615" s="224"/>
      <c r="Y615" s="224"/>
    </row>
    <row r="616" spans="1:25" ht="15.75" hidden="1" customHeight="1" x14ac:dyDescent="0.2">
      <c r="A616" s="224"/>
      <c r="B616" s="217"/>
      <c r="C616" s="218"/>
      <c r="D616" s="218"/>
      <c r="E616" s="218"/>
      <c r="F616" s="170"/>
      <c r="G616" s="170"/>
      <c r="H616" s="170"/>
      <c r="I616" s="170"/>
      <c r="J616" s="216"/>
      <c r="K616" s="224"/>
      <c r="L616" s="224"/>
      <c r="M616" s="224"/>
      <c r="N616" s="224"/>
      <c r="O616" s="224"/>
      <c r="P616" s="224"/>
      <c r="Q616" s="224"/>
      <c r="R616" s="224"/>
      <c r="S616" s="224"/>
      <c r="T616" s="224"/>
      <c r="U616" s="224"/>
      <c r="V616" s="224"/>
      <c r="W616" s="224"/>
      <c r="X616" s="224"/>
      <c r="Y616" s="224"/>
    </row>
    <row r="617" spans="1:25" ht="15.75" hidden="1" customHeight="1" x14ac:dyDescent="0.2">
      <c r="A617" s="224"/>
      <c r="B617" s="217"/>
      <c r="C617" s="218"/>
      <c r="D617" s="218"/>
      <c r="E617" s="218"/>
      <c r="F617" s="170"/>
      <c r="G617" s="170"/>
      <c r="H617" s="170"/>
      <c r="I617" s="170"/>
      <c r="J617" s="216"/>
      <c r="K617" s="224"/>
      <c r="L617" s="224"/>
      <c r="M617" s="224"/>
      <c r="N617" s="224"/>
      <c r="O617" s="224"/>
      <c r="P617" s="224"/>
      <c r="Q617" s="224"/>
      <c r="R617" s="224"/>
      <c r="S617" s="224"/>
      <c r="T617" s="224"/>
      <c r="U617" s="224"/>
      <c r="V617" s="224"/>
      <c r="W617" s="224"/>
      <c r="X617" s="224"/>
      <c r="Y617" s="224"/>
    </row>
    <row r="618" spans="1:25" ht="15.75" hidden="1" customHeight="1" x14ac:dyDescent="0.2">
      <c r="A618" s="224"/>
      <c r="B618" s="217"/>
      <c r="C618" s="218"/>
      <c r="D618" s="218"/>
      <c r="E618" s="218"/>
      <c r="F618" s="170"/>
      <c r="G618" s="170"/>
      <c r="H618" s="170"/>
      <c r="I618" s="170"/>
      <c r="J618" s="216"/>
      <c r="K618" s="224"/>
      <c r="L618" s="224"/>
      <c r="M618" s="224"/>
      <c r="N618" s="224"/>
      <c r="O618" s="224"/>
      <c r="P618" s="224"/>
      <c r="Q618" s="224"/>
      <c r="R618" s="224"/>
      <c r="S618" s="224"/>
      <c r="T618" s="224"/>
      <c r="U618" s="224"/>
      <c r="V618" s="224"/>
      <c r="W618" s="224"/>
      <c r="X618" s="224"/>
      <c r="Y618" s="224"/>
    </row>
    <row r="619" spans="1:25" ht="15.75" hidden="1" customHeight="1" x14ac:dyDescent="0.2">
      <c r="A619" s="224"/>
      <c r="B619" s="217"/>
      <c r="C619" s="218"/>
      <c r="D619" s="218"/>
      <c r="E619" s="218"/>
      <c r="F619" s="170"/>
      <c r="G619" s="170"/>
      <c r="H619" s="170"/>
      <c r="I619" s="170"/>
      <c r="J619" s="216"/>
      <c r="K619" s="224"/>
      <c r="L619" s="224"/>
      <c r="M619" s="224"/>
      <c r="N619" s="224"/>
      <c r="O619" s="224"/>
      <c r="P619" s="224"/>
      <c r="Q619" s="224"/>
      <c r="R619" s="224"/>
      <c r="S619" s="224"/>
      <c r="T619" s="224"/>
      <c r="U619" s="224"/>
      <c r="V619" s="224"/>
      <c r="W619" s="224"/>
      <c r="X619" s="224"/>
      <c r="Y619" s="224"/>
    </row>
    <row r="620" spans="1:25" ht="15.75" hidden="1" customHeight="1" x14ac:dyDescent="0.2">
      <c r="A620" s="224"/>
      <c r="B620" s="217"/>
      <c r="C620" s="218"/>
      <c r="D620" s="218"/>
      <c r="E620" s="218"/>
      <c r="F620" s="170"/>
      <c r="G620" s="170"/>
      <c r="H620" s="170"/>
      <c r="I620" s="170"/>
      <c r="J620" s="216"/>
      <c r="K620" s="224"/>
      <c r="L620" s="224"/>
      <c r="M620" s="224"/>
      <c r="N620" s="224"/>
      <c r="O620" s="224"/>
      <c r="P620" s="224"/>
      <c r="Q620" s="224"/>
      <c r="R620" s="224"/>
      <c r="S620" s="224"/>
      <c r="T620" s="224"/>
      <c r="U620" s="224"/>
      <c r="V620" s="224"/>
      <c r="W620" s="224"/>
      <c r="X620" s="224"/>
      <c r="Y620" s="224"/>
    </row>
    <row r="621" spans="1:25" ht="15.75" hidden="1" customHeight="1" x14ac:dyDescent="0.2">
      <c r="A621" s="224"/>
      <c r="B621" s="217"/>
      <c r="C621" s="218"/>
      <c r="D621" s="218"/>
      <c r="E621" s="218"/>
      <c r="F621" s="170"/>
      <c r="G621" s="170"/>
      <c r="H621" s="170"/>
      <c r="I621" s="170"/>
      <c r="J621" s="216"/>
      <c r="K621" s="224"/>
      <c r="L621" s="224"/>
      <c r="M621" s="224"/>
      <c r="N621" s="224"/>
      <c r="O621" s="224"/>
      <c r="P621" s="224"/>
      <c r="Q621" s="224"/>
      <c r="R621" s="224"/>
      <c r="S621" s="224"/>
      <c r="T621" s="224"/>
      <c r="U621" s="224"/>
      <c r="V621" s="224"/>
      <c r="W621" s="224"/>
      <c r="X621" s="224"/>
      <c r="Y621" s="224"/>
    </row>
    <row r="622" spans="1:25" ht="15.75" hidden="1" customHeight="1" x14ac:dyDescent="0.2">
      <c r="A622" s="224"/>
      <c r="B622" s="217"/>
      <c r="C622" s="218"/>
      <c r="D622" s="218"/>
      <c r="E622" s="218"/>
      <c r="F622" s="170"/>
      <c r="G622" s="170"/>
      <c r="H622" s="170"/>
      <c r="I622" s="170"/>
      <c r="J622" s="216"/>
      <c r="K622" s="224"/>
      <c r="L622" s="224"/>
      <c r="M622" s="224"/>
      <c r="N622" s="224"/>
      <c r="O622" s="224"/>
      <c r="P622" s="224"/>
      <c r="Q622" s="224"/>
      <c r="R622" s="224"/>
      <c r="S622" s="224"/>
      <c r="T622" s="224"/>
      <c r="U622" s="224"/>
      <c r="V622" s="224"/>
      <c r="W622" s="224"/>
      <c r="X622" s="224"/>
      <c r="Y622" s="224"/>
    </row>
    <row r="623" spans="1:25" ht="15.75" hidden="1" customHeight="1" x14ac:dyDescent="0.2">
      <c r="A623" s="224"/>
      <c r="B623" s="217"/>
      <c r="C623" s="218"/>
      <c r="D623" s="218"/>
      <c r="E623" s="218"/>
      <c r="F623" s="170"/>
      <c r="G623" s="170"/>
      <c r="H623" s="170"/>
      <c r="I623" s="170"/>
      <c r="J623" s="216"/>
      <c r="K623" s="224"/>
      <c r="L623" s="224"/>
      <c r="M623" s="224"/>
      <c r="N623" s="224"/>
      <c r="O623" s="224"/>
      <c r="P623" s="224"/>
      <c r="Q623" s="224"/>
      <c r="R623" s="224"/>
      <c r="S623" s="224"/>
      <c r="T623" s="224"/>
      <c r="U623" s="224"/>
      <c r="V623" s="224"/>
      <c r="W623" s="224"/>
      <c r="X623" s="224"/>
      <c r="Y623" s="224"/>
    </row>
    <row r="624" spans="1:25" ht="15.75" hidden="1" customHeight="1" x14ac:dyDescent="0.2">
      <c r="A624" s="224"/>
      <c r="B624" s="217"/>
      <c r="C624" s="218"/>
      <c r="D624" s="218"/>
      <c r="E624" s="218"/>
      <c r="F624" s="170"/>
      <c r="G624" s="170"/>
      <c r="H624" s="170"/>
      <c r="I624" s="170"/>
      <c r="J624" s="216"/>
      <c r="K624" s="224"/>
      <c r="L624" s="224"/>
      <c r="M624" s="224"/>
      <c r="N624" s="224"/>
      <c r="O624" s="224"/>
      <c r="P624" s="224"/>
      <c r="Q624" s="224"/>
      <c r="R624" s="224"/>
      <c r="S624" s="224"/>
      <c r="T624" s="224"/>
      <c r="U624" s="224"/>
      <c r="V624" s="224"/>
      <c r="W624" s="224"/>
      <c r="X624" s="224"/>
      <c r="Y624" s="224"/>
    </row>
    <row r="625" spans="1:25" ht="15.75" hidden="1" customHeight="1" x14ac:dyDescent="0.2">
      <c r="A625" s="224"/>
      <c r="B625" s="217"/>
      <c r="C625" s="218"/>
      <c r="D625" s="218"/>
      <c r="E625" s="218"/>
      <c r="F625" s="170"/>
      <c r="G625" s="170"/>
      <c r="H625" s="170"/>
      <c r="I625" s="170"/>
      <c r="J625" s="216"/>
      <c r="K625" s="224"/>
      <c r="L625" s="224"/>
      <c r="M625" s="224"/>
      <c r="N625" s="224"/>
      <c r="O625" s="224"/>
      <c r="P625" s="224"/>
      <c r="Q625" s="224"/>
      <c r="R625" s="224"/>
      <c r="S625" s="224"/>
      <c r="T625" s="224"/>
      <c r="U625" s="224"/>
      <c r="V625" s="224"/>
      <c r="W625" s="224"/>
      <c r="X625" s="224"/>
      <c r="Y625" s="224"/>
    </row>
    <row r="626" spans="1:25" ht="15.75" hidden="1" customHeight="1" x14ac:dyDescent="0.2">
      <c r="A626" s="224"/>
      <c r="B626" s="217"/>
      <c r="C626" s="218"/>
      <c r="D626" s="218"/>
      <c r="E626" s="218"/>
      <c r="F626" s="170"/>
      <c r="G626" s="170"/>
      <c r="H626" s="170"/>
      <c r="I626" s="170"/>
      <c r="J626" s="216"/>
      <c r="K626" s="224"/>
      <c r="L626" s="224"/>
      <c r="M626" s="224"/>
      <c r="N626" s="224"/>
      <c r="O626" s="224"/>
      <c r="P626" s="224"/>
      <c r="Q626" s="224"/>
      <c r="R626" s="224"/>
      <c r="S626" s="224"/>
      <c r="T626" s="224"/>
      <c r="U626" s="224"/>
      <c r="V626" s="224"/>
      <c r="W626" s="224"/>
      <c r="X626" s="224"/>
      <c r="Y626" s="224"/>
    </row>
    <row r="627" spans="1:25" ht="15.75" hidden="1" customHeight="1" x14ac:dyDescent="0.2">
      <c r="A627" s="224"/>
      <c r="B627" s="217"/>
      <c r="C627" s="218"/>
      <c r="D627" s="218"/>
      <c r="E627" s="218"/>
      <c r="F627" s="170"/>
      <c r="G627" s="170"/>
      <c r="H627" s="170"/>
      <c r="I627" s="170"/>
      <c r="J627" s="216"/>
      <c r="K627" s="224"/>
      <c r="L627" s="224"/>
      <c r="M627" s="224"/>
      <c r="N627" s="224"/>
      <c r="O627" s="224"/>
      <c r="P627" s="224"/>
      <c r="Q627" s="224"/>
      <c r="R627" s="224"/>
      <c r="S627" s="224"/>
      <c r="T627" s="224"/>
      <c r="U627" s="224"/>
      <c r="V627" s="224"/>
      <c r="W627" s="224"/>
      <c r="X627" s="224"/>
      <c r="Y627" s="224"/>
    </row>
    <row r="628" spans="1:25" ht="15.75" hidden="1" customHeight="1" x14ac:dyDescent="0.2">
      <c r="A628" s="224"/>
      <c r="B628" s="217"/>
      <c r="C628" s="218"/>
      <c r="D628" s="218"/>
      <c r="E628" s="218"/>
      <c r="F628" s="170"/>
      <c r="G628" s="170"/>
      <c r="H628" s="170"/>
      <c r="I628" s="170"/>
      <c r="J628" s="216"/>
      <c r="K628" s="224"/>
      <c r="L628" s="224"/>
      <c r="M628" s="224"/>
      <c r="N628" s="224"/>
      <c r="O628" s="224"/>
      <c r="P628" s="224"/>
      <c r="Q628" s="224"/>
      <c r="R628" s="224"/>
      <c r="S628" s="224"/>
      <c r="T628" s="224"/>
      <c r="U628" s="224"/>
      <c r="V628" s="224"/>
      <c r="W628" s="224"/>
      <c r="X628" s="224"/>
      <c r="Y628" s="224"/>
    </row>
    <row r="629" spans="1:25" ht="15.75" hidden="1" customHeight="1" x14ac:dyDescent="0.2">
      <c r="A629" s="224"/>
      <c r="B629" s="217"/>
      <c r="C629" s="218"/>
      <c r="D629" s="218"/>
      <c r="E629" s="218"/>
      <c r="F629" s="170"/>
      <c r="G629" s="170"/>
      <c r="H629" s="170"/>
      <c r="I629" s="170"/>
      <c r="J629" s="216"/>
      <c r="K629" s="224"/>
      <c r="L629" s="224"/>
      <c r="M629" s="224"/>
      <c r="N629" s="224"/>
      <c r="O629" s="224"/>
      <c r="P629" s="224"/>
      <c r="Q629" s="224"/>
      <c r="R629" s="224"/>
      <c r="S629" s="224"/>
      <c r="T629" s="224"/>
      <c r="U629" s="224"/>
      <c r="V629" s="224"/>
      <c r="W629" s="224"/>
      <c r="X629" s="224"/>
      <c r="Y629" s="224"/>
    </row>
    <row r="630" spans="1:25" ht="15.75" hidden="1" customHeight="1" x14ac:dyDescent="0.2">
      <c r="A630" s="224"/>
      <c r="B630" s="217"/>
      <c r="C630" s="218"/>
      <c r="D630" s="218"/>
      <c r="E630" s="218"/>
      <c r="F630" s="170"/>
      <c r="G630" s="170"/>
      <c r="H630" s="170"/>
      <c r="I630" s="170"/>
      <c r="J630" s="216"/>
      <c r="K630" s="224"/>
      <c r="L630" s="224"/>
      <c r="M630" s="224"/>
      <c r="N630" s="224"/>
      <c r="O630" s="224"/>
      <c r="P630" s="224"/>
      <c r="Q630" s="224"/>
      <c r="R630" s="224"/>
      <c r="S630" s="224"/>
      <c r="T630" s="224"/>
      <c r="U630" s="224"/>
      <c r="V630" s="224"/>
      <c r="W630" s="224"/>
      <c r="X630" s="224"/>
      <c r="Y630" s="224"/>
    </row>
    <row r="631" spans="1:25" ht="15.75" hidden="1" customHeight="1" x14ac:dyDescent="0.2">
      <c r="A631" s="224"/>
      <c r="B631" s="217"/>
      <c r="C631" s="218"/>
      <c r="D631" s="218"/>
      <c r="E631" s="218"/>
      <c r="F631" s="170"/>
      <c r="G631" s="170"/>
      <c r="H631" s="170"/>
      <c r="I631" s="170"/>
      <c r="J631" s="216"/>
      <c r="K631" s="224"/>
      <c r="L631" s="224"/>
      <c r="M631" s="224"/>
      <c r="N631" s="224"/>
      <c r="O631" s="224"/>
      <c r="P631" s="224"/>
      <c r="Q631" s="224"/>
      <c r="R631" s="224"/>
      <c r="S631" s="224"/>
      <c r="T631" s="224"/>
      <c r="U631" s="224"/>
      <c r="V631" s="224"/>
      <c r="W631" s="224"/>
      <c r="X631" s="224"/>
      <c r="Y631" s="224"/>
    </row>
    <row r="632" spans="1:25" ht="15.75" hidden="1" customHeight="1" x14ac:dyDescent="0.2">
      <c r="A632" s="224"/>
      <c r="B632" s="217"/>
      <c r="C632" s="218"/>
      <c r="D632" s="218"/>
      <c r="E632" s="218"/>
      <c r="F632" s="170"/>
      <c r="G632" s="170"/>
      <c r="H632" s="170"/>
      <c r="I632" s="170"/>
      <c r="J632" s="216"/>
      <c r="K632" s="224"/>
      <c r="L632" s="224"/>
      <c r="M632" s="224"/>
      <c r="N632" s="224"/>
      <c r="O632" s="224"/>
      <c r="P632" s="224"/>
      <c r="Q632" s="224"/>
      <c r="R632" s="224"/>
      <c r="S632" s="224"/>
      <c r="T632" s="224"/>
      <c r="U632" s="224"/>
      <c r="V632" s="224"/>
      <c r="W632" s="224"/>
      <c r="X632" s="224"/>
      <c r="Y632" s="224"/>
    </row>
    <row r="633" spans="1:25" ht="15.75" hidden="1" customHeight="1" x14ac:dyDescent="0.2">
      <c r="A633" s="224"/>
      <c r="B633" s="217"/>
      <c r="C633" s="218"/>
      <c r="D633" s="218"/>
      <c r="E633" s="218"/>
      <c r="F633" s="170"/>
      <c r="G633" s="170"/>
      <c r="H633" s="170"/>
      <c r="I633" s="170"/>
      <c r="J633" s="216"/>
      <c r="K633" s="224"/>
      <c r="L633" s="224"/>
      <c r="M633" s="224"/>
      <c r="N633" s="224"/>
      <c r="O633" s="224"/>
      <c r="P633" s="224"/>
      <c r="Q633" s="224"/>
      <c r="R633" s="224"/>
      <c r="S633" s="224"/>
      <c r="T633" s="224"/>
      <c r="U633" s="224"/>
      <c r="V633" s="224"/>
      <c r="W633" s="224"/>
      <c r="X633" s="224"/>
      <c r="Y633" s="224"/>
    </row>
    <row r="634" spans="1:25" ht="15.75" hidden="1" customHeight="1" x14ac:dyDescent="0.2">
      <c r="A634" s="224"/>
      <c r="B634" s="217"/>
      <c r="C634" s="218"/>
      <c r="D634" s="218"/>
      <c r="E634" s="218"/>
      <c r="F634" s="170"/>
      <c r="G634" s="170"/>
      <c r="H634" s="170"/>
      <c r="I634" s="170"/>
      <c r="J634" s="216"/>
      <c r="K634" s="224"/>
      <c r="L634" s="224"/>
      <c r="M634" s="224"/>
      <c r="N634" s="224"/>
      <c r="O634" s="224"/>
      <c r="P634" s="224"/>
      <c r="Q634" s="224"/>
      <c r="R634" s="224"/>
      <c r="S634" s="224"/>
      <c r="T634" s="224"/>
      <c r="U634" s="224"/>
      <c r="V634" s="224"/>
      <c r="W634" s="224"/>
      <c r="X634" s="224"/>
      <c r="Y634" s="224"/>
    </row>
    <row r="635" spans="1:25" ht="15.75" hidden="1" customHeight="1" x14ac:dyDescent="0.2">
      <c r="A635" s="224"/>
      <c r="B635" s="217"/>
      <c r="C635" s="218"/>
      <c r="D635" s="218"/>
      <c r="E635" s="218"/>
      <c r="F635" s="170"/>
      <c r="G635" s="170"/>
      <c r="H635" s="170"/>
      <c r="I635" s="170"/>
      <c r="J635" s="216"/>
      <c r="K635" s="224"/>
      <c r="L635" s="224"/>
      <c r="M635" s="224"/>
      <c r="N635" s="224"/>
      <c r="O635" s="224"/>
      <c r="P635" s="224"/>
      <c r="Q635" s="224"/>
      <c r="R635" s="224"/>
      <c r="S635" s="224"/>
      <c r="T635" s="224"/>
      <c r="U635" s="224"/>
      <c r="V635" s="224"/>
      <c r="W635" s="224"/>
      <c r="X635" s="224"/>
      <c r="Y635" s="224"/>
    </row>
    <row r="636" spans="1:25" ht="15.75" hidden="1" customHeight="1" x14ac:dyDescent="0.2">
      <c r="A636" s="224"/>
      <c r="B636" s="217"/>
      <c r="C636" s="218"/>
      <c r="D636" s="218"/>
      <c r="E636" s="218"/>
      <c r="F636" s="170"/>
      <c r="G636" s="170"/>
      <c r="H636" s="170"/>
      <c r="I636" s="170"/>
      <c r="J636" s="216"/>
      <c r="K636" s="224"/>
      <c r="L636" s="224"/>
      <c r="M636" s="224"/>
      <c r="N636" s="224"/>
      <c r="O636" s="224"/>
      <c r="P636" s="224"/>
      <c r="Q636" s="224"/>
      <c r="R636" s="224"/>
      <c r="S636" s="224"/>
      <c r="T636" s="224"/>
      <c r="U636" s="224"/>
      <c r="V636" s="224"/>
      <c r="W636" s="224"/>
      <c r="X636" s="224"/>
      <c r="Y636" s="224"/>
    </row>
    <row r="637" spans="1:25" ht="15.75" hidden="1" customHeight="1" x14ac:dyDescent="0.2">
      <c r="A637" s="224"/>
      <c r="B637" s="217"/>
      <c r="C637" s="218"/>
      <c r="D637" s="218"/>
      <c r="E637" s="218"/>
      <c r="F637" s="170"/>
      <c r="G637" s="170"/>
      <c r="H637" s="170"/>
      <c r="I637" s="170"/>
      <c r="J637" s="216"/>
      <c r="K637" s="224"/>
      <c r="L637" s="224"/>
      <c r="M637" s="224"/>
      <c r="N637" s="224"/>
      <c r="O637" s="224"/>
      <c r="P637" s="224"/>
      <c r="Q637" s="224"/>
      <c r="R637" s="224"/>
      <c r="S637" s="224"/>
      <c r="T637" s="224"/>
      <c r="U637" s="224"/>
      <c r="V637" s="224"/>
      <c r="W637" s="224"/>
      <c r="X637" s="224"/>
      <c r="Y637" s="224"/>
    </row>
    <row r="638" spans="1:25" ht="15.75" hidden="1" customHeight="1" x14ac:dyDescent="0.2">
      <c r="A638" s="224"/>
      <c r="B638" s="217"/>
      <c r="C638" s="218"/>
      <c r="D638" s="218"/>
      <c r="E638" s="218"/>
      <c r="F638" s="170"/>
      <c r="G638" s="170"/>
      <c r="H638" s="170"/>
      <c r="I638" s="170"/>
      <c r="J638" s="216"/>
      <c r="K638" s="224"/>
      <c r="L638" s="224"/>
      <c r="M638" s="224"/>
      <c r="N638" s="224"/>
      <c r="O638" s="224"/>
      <c r="P638" s="224"/>
      <c r="Q638" s="224"/>
      <c r="R638" s="224"/>
      <c r="S638" s="224"/>
      <c r="T638" s="224"/>
      <c r="U638" s="224"/>
      <c r="V638" s="224"/>
      <c r="W638" s="224"/>
      <c r="X638" s="224"/>
      <c r="Y638" s="224"/>
    </row>
    <row r="639" spans="1:25" ht="15.75" hidden="1" customHeight="1" x14ac:dyDescent="0.2">
      <c r="A639" s="224"/>
      <c r="B639" s="217"/>
      <c r="C639" s="218"/>
      <c r="D639" s="218"/>
      <c r="E639" s="218"/>
      <c r="F639" s="170"/>
      <c r="G639" s="170"/>
      <c r="H639" s="170"/>
      <c r="I639" s="170"/>
      <c r="J639" s="216"/>
      <c r="K639" s="224"/>
      <c r="L639" s="224"/>
      <c r="M639" s="224"/>
      <c r="N639" s="224"/>
      <c r="O639" s="224"/>
      <c r="P639" s="224"/>
      <c r="Q639" s="224"/>
      <c r="R639" s="224"/>
      <c r="S639" s="224"/>
      <c r="T639" s="224"/>
      <c r="U639" s="224"/>
      <c r="V639" s="224"/>
      <c r="W639" s="224"/>
      <c r="X639" s="224"/>
      <c r="Y639" s="224"/>
    </row>
    <row r="640" spans="1:25" ht="15.75" hidden="1" customHeight="1" x14ac:dyDescent="0.2">
      <c r="A640" s="224"/>
      <c r="B640" s="217"/>
      <c r="C640" s="218"/>
      <c r="D640" s="218"/>
      <c r="E640" s="218"/>
      <c r="F640" s="170"/>
      <c r="G640" s="170"/>
      <c r="H640" s="170"/>
      <c r="I640" s="170"/>
      <c r="J640" s="216"/>
      <c r="K640" s="224"/>
      <c r="L640" s="224"/>
      <c r="M640" s="224"/>
      <c r="N640" s="224"/>
      <c r="O640" s="224"/>
      <c r="P640" s="224"/>
      <c r="Q640" s="224"/>
      <c r="R640" s="224"/>
      <c r="S640" s="224"/>
      <c r="T640" s="224"/>
      <c r="U640" s="224"/>
      <c r="V640" s="224"/>
      <c r="W640" s="224"/>
      <c r="X640" s="224"/>
      <c r="Y640" s="224"/>
    </row>
    <row r="641" spans="1:25" ht="15.75" hidden="1" customHeight="1" x14ac:dyDescent="0.2">
      <c r="A641" s="224"/>
      <c r="B641" s="217"/>
      <c r="C641" s="218"/>
      <c r="D641" s="218"/>
      <c r="E641" s="218"/>
      <c r="F641" s="170"/>
      <c r="G641" s="170"/>
      <c r="H641" s="170"/>
      <c r="I641" s="170"/>
      <c r="J641" s="216"/>
      <c r="K641" s="224"/>
      <c r="L641" s="224"/>
      <c r="M641" s="224"/>
      <c r="N641" s="224"/>
      <c r="O641" s="224"/>
      <c r="P641" s="224"/>
      <c r="Q641" s="224"/>
      <c r="R641" s="224"/>
      <c r="S641" s="224"/>
      <c r="T641" s="224"/>
      <c r="U641" s="224"/>
      <c r="V641" s="224"/>
      <c r="W641" s="224"/>
      <c r="X641" s="224"/>
      <c r="Y641" s="224"/>
    </row>
    <row r="642" spans="1:25" ht="15.75" hidden="1" customHeight="1" x14ac:dyDescent="0.2">
      <c r="A642" s="224"/>
      <c r="B642" s="217"/>
      <c r="C642" s="218"/>
      <c r="D642" s="218"/>
      <c r="E642" s="218"/>
      <c r="F642" s="170"/>
      <c r="G642" s="170"/>
      <c r="H642" s="170"/>
      <c r="I642" s="170"/>
      <c r="J642" s="216"/>
      <c r="K642" s="224"/>
      <c r="L642" s="224"/>
      <c r="M642" s="224"/>
      <c r="N642" s="224"/>
      <c r="O642" s="224"/>
      <c r="P642" s="224"/>
      <c r="Q642" s="224"/>
      <c r="R642" s="224"/>
      <c r="S642" s="224"/>
      <c r="T642" s="224"/>
      <c r="U642" s="224"/>
      <c r="V642" s="224"/>
      <c r="W642" s="224"/>
      <c r="X642" s="224"/>
      <c r="Y642" s="224"/>
    </row>
    <row r="643" spans="1:25" ht="15.75" hidden="1" customHeight="1" x14ac:dyDescent="0.2">
      <c r="A643" s="224"/>
      <c r="B643" s="217"/>
      <c r="C643" s="218"/>
      <c r="D643" s="218"/>
      <c r="E643" s="218"/>
      <c r="F643" s="170"/>
      <c r="G643" s="170"/>
      <c r="H643" s="170"/>
      <c r="I643" s="170"/>
      <c r="J643" s="216"/>
      <c r="K643" s="224"/>
      <c r="L643" s="224"/>
      <c r="M643" s="224"/>
      <c r="N643" s="224"/>
      <c r="O643" s="224"/>
      <c r="P643" s="224"/>
      <c r="Q643" s="224"/>
      <c r="R643" s="224"/>
      <c r="S643" s="224"/>
      <c r="T643" s="224"/>
      <c r="U643" s="224"/>
      <c r="V643" s="224"/>
      <c r="W643" s="224"/>
      <c r="X643" s="224"/>
      <c r="Y643" s="224"/>
    </row>
    <row r="644" spans="1:25" ht="15.75" hidden="1" customHeight="1" x14ac:dyDescent="0.2">
      <c r="A644" s="224"/>
      <c r="B644" s="217"/>
      <c r="C644" s="218"/>
      <c r="D644" s="218"/>
      <c r="E644" s="218"/>
      <c r="F644" s="170"/>
      <c r="G644" s="170"/>
      <c r="H644" s="170"/>
      <c r="I644" s="170"/>
      <c r="J644" s="216"/>
      <c r="K644" s="224"/>
      <c r="L644" s="224"/>
      <c r="M644" s="224"/>
      <c r="N644" s="224"/>
      <c r="O644" s="224"/>
      <c r="P644" s="224"/>
      <c r="Q644" s="224"/>
      <c r="R644" s="224"/>
      <c r="S644" s="224"/>
      <c r="T644" s="224"/>
      <c r="U644" s="224"/>
      <c r="V644" s="224"/>
      <c r="W644" s="224"/>
      <c r="X644" s="224"/>
      <c r="Y644" s="224"/>
    </row>
    <row r="645" spans="1:25" ht="15.75" hidden="1" customHeight="1" x14ac:dyDescent="0.2">
      <c r="A645" s="224"/>
      <c r="B645" s="217"/>
      <c r="C645" s="218"/>
      <c r="D645" s="218"/>
      <c r="E645" s="218"/>
      <c r="F645" s="170"/>
      <c r="G645" s="170"/>
      <c r="H645" s="170"/>
      <c r="I645" s="170"/>
      <c r="J645" s="216"/>
      <c r="K645" s="224"/>
      <c r="L645" s="224"/>
      <c r="M645" s="224"/>
      <c r="N645" s="224"/>
      <c r="O645" s="224"/>
      <c r="P645" s="224"/>
      <c r="Q645" s="224"/>
      <c r="R645" s="224"/>
      <c r="S645" s="224"/>
      <c r="T645" s="224"/>
      <c r="U645" s="224"/>
      <c r="V645" s="224"/>
      <c r="W645" s="224"/>
      <c r="X645" s="224"/>
      <c r="Y645" s="224"/>
    </row>
    <row r="646" spans="1:25" ht="15.75" hidden="1" customHeight="1" x14ac:dyDescent="0.2">
      <c r="A646" s="224"/>
      <c r="B646" s="217"/>
      <c r="C646" s="218"/>
      <c r="D646" s="218"/>
      <c r="E646" s="218"/>
      <c r="F646" s="170"/>
      <c r="G646" s="170"/>
      <c r="H646" s="170"/>
      <c r="I646" s="170"/>
      <c r="J646" s="216"/>
      <c r="K646" s="224"/>
      <c r="L646" s="224"/>
      <c r="M646" s="224"/>
      <c r="N646" s="224"/>
      <c r="O646" s="224"/>
      <c r="P646" s="224"/>
      <c r="Q646" s="224"/>
      <c r="R646" s="224"/>
      <c r="S646" s="224"/>
      <c r="T646" s="224"/>
      <c r="U646" s="224"/>
      <c r="V646" s="224"/>
      <c r="W646" s="224"/>
      <c r="X646" s="224"/>
      <c r="Y646" s="224"/>
    </row>
    <row r="647" spans="1:25" ht="15.75" hidden="1" customHeight="1" x14ac:dyDescent="0.2">
      <c r="A647" s="224"/>
      <c r="B647" s="217"/>
      <c r="C647" s="218"/>
      <c r="D647" s="218"/>
      <c r="E647" s="218"/>
      <c r="F647" s="170"/>
      <c r="G647" s="170"/>
      <c r="H647" s="170"/>
      <c r="I647" s="170"/>
      <c r="J647" s="216"/>
      <c r="K647" s="224"/>
      <c r="L647" s="224"/>
      <c r="M647" s="224"/>
      <c r="N647" s="224"/>
      <c r="O647" s="224"/>
      <c r="P647" s="224"/>
      <c r="Q647" s="224"/>
      <c r="R647" s="224"/>
      <c r="S647" s="224"/>
      <c r="T647" s="224"/>
      <c r="U647" s="224"/>
      <c r="V647" s="224"/>
      <c r="W647" s="224"/>
      <c r="X647" s="224"/>
      <c r="Y647" s="224"/>
    </row>
    <row r="648" spans="1:25" ht="15.75" hidden="1" customHeight="1" x14ac:dyDescent="0.2">
      <c r="A648" s="224"/>
      <c r="B648" s="217"/>
      <c r="C648" s="218"/>
      <c r="D648" s="218"/>
      <c r="E648" s="218"/>
      <c r="F648" s="170"/>
      <c r="G648" s="170"/>
      <c r="H648" s="170"/>
      <c r="I648" s="170"/>
      <c r="J648" s="216"/>
      <c r="K648" s="224"/>
      <c r="L648" s="224"/>
      <c r="M648" s="224"/>
      <c r="N648" s="224"/>
      <c r="O648" s="224"/>
      <c r="P648" s="224"/>
      <c r="Q648" s="224"/>
      <c r="R648" s="224"/>
      <c r="S648" s="224"/>
      <c r="T648" s="224"/>
      <c r="U648" s="224"/>
      <c r="V648" s="224"/>
      <c r="W648" s="224"/>
      <c r="X648" s="224"/>
      <c r="Y648" s="224"/>
    </row>
    <row r="649" spans="1:25" ht="15.75" hidden="1" customHeight="1" x14ac:dyDescent="0.2">
      <c r="A649" s="224"/>
      <c r="B649" s="217"/>
      <c r="C649" s="218"/>
      <c r="D649" s="218"/>
      <c r="E649" s="218"/>
      <c r="F649" s="170"/>
      <c r="G649" s="170"/>
      <c r="H649" s="170"/>
      <c r="I649" s="170"/>
      <c r="J649" s="216"/>
      <c r="K649" s="224"/>
      <c r="L649" s="224"/>
      <c r="M649" s="224"/>
      <c r="N649" s="224"/>
      <c r="O649" s="224"/>
      <c r="P649" s="224"/>
      <c r="Q649" s="224"/>
      <c r="R649" s="224"/>
      <c r="S649" s="224"/>
      <c r="T649" s="224"/>
      <c r="U649" s="224"/>
      <c r="V649" s="224"/>
      <c r="W649" s="224"/>
      <c r="X649" s="224"/>
      <c r="Y649" s="224"/>
    </row>
    <row r="650" spans="1:25" ht="15.75" hidden="1" customHeight="1" x14ac:dyDescent="0.2">
      <c r="A650" s="224"/>
      <c r="B650" s="217"/>
      <c r="C650" s="218"/>
      <c r="D650" s="218"/>
      <c r="E650" s="218"/>
      <c r="F650" s="170"/>
      <c r="G650" s="170"/>
      <c r="H650" s="170"/>
      <c r="I650" s="170"/>
      <c r="J650" s="216"/>
      <c r="K650" s="224"/>
      <c r="L650" s="224"/>
      <c r="M650" s="224"/>
      <c r="N650" s="224"/>
      <c r="O650" s="224"/>
      <c r="P650" s="224"/>
      <c r="Q650" s="224"/>
      <c r="R650" s="224"/>
      <c r="S650" s="224"/>
      <c r="T650" s="224"/>
      <c r="U650" s="224"/>
      <c r="V650" s="224"/>
      <c r="W650" s="224"/>
      <c r="X650" s="224"/>
      <c r="Y650" s="224"/>
    </row>
    <row r="651" spans="1:25" ht="15.75" hidden="1" customHeight="1" x14ac:dyDescent="0.2">
      <c r="A651" s="224"/>
      <c r="B651" s="217"/>
      <c r="C651" s="218"/>
      <c r="D651" s="218"/>
      <c r="E651" s="218"/>
      <c r="F651" s="170"/>
      <c r="G651" s="170"/>
      <c r="H651" s="170"/>
      <c r="I651" s="170"/>
      <c r="J651" s="216"/>
      <c r="K651" s="224"/>
      <c r="L651" s="224"/>
      <c r="M651" s="224"/>
      <c r="N651" s="224"/>
      <c r="O651" s="224"/>
      <c r="P651" s="224"/>
      <c r="Q651" s="224"/>
      <c r="R651" s="224"/>
      <c r="S651" s="224"/>
      <c r="T651" s="224"/>
      <c r="U651" s="224"/>
      <c r="V651" s="224"/>
      <c r="W651" s="224"/>
      <c r="X651" s="224"/>
      <c r="Y651" s="224"/>
    </row>
    <row r="652" spans="1:25" ht="15.75" hidden="1" customHeight="1" x14ac:dyDescent="0.2">
      <c r="A652" s="224"/>
      <c r="B652" s="217"/>
      <c r="C652" s="218"/>
      <c r="D652" s="218"/>
      <c r="E652" s="218"/>
      <c r="F652" s="170"/>
      <c r="G652" s="170"/>
      <c r="H652" s="170"/>
      <c r="I652" s="170"/>
      <c r="J652" s="216"/>
      <c r="K652" s="224"/>
      <c r="L652" s="224"/>
      <c r="M652" s="224"/>
      <c r="N652" s="224"/>
      <c r="O652" s="224"/>
      <c r="P652" s="224"/>
      <c r="Q652" s="224"/>
      <c r="R652" s="224"/>
      <c r="S652" s="224"/>
      <c r="T652" s="224"/>
      <c r="U652" s="224"/>
      <c r="V652" s="224"/>
      <c r="W652" s="224"/>
      <c r="X652" s="224"/>
      <c r="Y652" s="224"/>
    </row>
    <row r="653" spans="1:25" ht="15.75" hidden="1" customHeight="1" x14ac:dyDescent="0.2">
      <c r="A653" s="224"/>
      <c r="B653" s="217"/>
      <c r="C653" s="218"/>
      <c r="D653" s="218"/>
      <c r="E653" s="218"/>
      <c r="F653" s="170"/>
      <c r="G653" s="170"/>
      <c r="H653" s="170"/>
      <c r="I653" s="170"/>
      <c r="J653" s="216"/>
      <c r="K653" s="224"/>
      <c r="L653" s="224"/>
      <c r="M653" s="224"/>
      <c r="N653" s="224"/>
      <c r="O653" s="224"/>
      <c r="P653" s="224"/>
      <c r="Q653" s="224"/>
      <c r="R653" s="224"/>
      <c r="S653" s="224"/>
      <c r="T653" s="224"/>
      <c r="U653" s="224"/>
      <c r="V653" s="224"/>
      <c r="W653" s="224"/>
      <c r="X653" s="224"/>
      <c r="Y653" s="224"/>
    </row>
    <row r="654" spans="1:25" ht="15.75" hidden="1" customHeight="1" x14ac:dyDescent="0.2">
      <c r="A654" s="224"/>
      <c r="B654" s="217"/>
      <c r="C654" s="218"/>
      <c r="D654" s="218"/>
      <c r="E654" s="218"/>
      <c r="F654" s="170"/>
      <c r="G654" s="170"/>
      <c r="H654" s="170"/>
      <c r="I654" s="170"/>
      <c r="J654" s="216"/>
      <c r="K654" s="224"/>
      <c r="L654" s="224"/>
      <c r="M654" s="224"/>
      <c r="N654" s="224"/>
      <c r="O654" s="224"/>
      <c r="P654" s="224"/>
      <c r="Q654" s="224"/>
      <c r="R654" s="224"/>
      <c r="S654" s="224"/>
      <c r="T654" s="224"/>
      <c r="U654" s="224"/>
      <c r="V654" s="224"/>
      <c r="W654" s="224"/>
      <c r="X654" s="224"/>
      <c r="Y654" s="224"/>
    </row>
    <row r="655" spans="1:25" ht="15.75" hidden="1" customHeight="1" x14ac:dyDescent="0.2">
      <c r="A655" s="224"/>
      <c r="B655" s="217"/>
      <c r="C655" s="218"/>
      <c r="D655" s="218"/>
      <c r="E655" s="218"/>
      <c r="F655" s="170"/>
      <c r="G655" s="170"/>
      <c r="H655" s="170"/>
      <c r="I655" s="170"/>
      <c r="J655" s="216"/>
      <c r="K655" s="224"/>
      <c r="L655" s="224"/>
      <c r="M655" s="224"/>
      <c r="N655" s="224"/>
      <c r="O655" s="224"/>
      <c r="P655" s="224"/>
      <c r="Q655" s="224"/>
      <c r="R655" s="224"/>
      <c r="S655" s="224"/>
      <c r="T655" s="224"/>
      <c r="U655" s="224"/>
      <c r="V655" s="224"/>
      <c r="W655" s="224"/>
      <c r="X655" s="224"/>
      <c r="Y655" s="224"/>
    </row>
    <row r="656" spans="1:25" ht="15.75" hidden="1" customHeight="1" x14ac:dyDescent="0.2">
      <c r="A656" s="224"/>
      <c r="B656" s="217"/>
      <c r="C656" s="218"/>
      <c r="D656" s="218"/>
      <c r="E656" s="218"/>
      <c r="F656" s="170"/>
      <c r="G656" s="170"/>
      <c r="H656" s="170"/>
      <c r="I656" s="170"/>
      <c r="J656" s="216"/>
      <c r="K656" s="224"/>
      <c r="L656" s="224"/>
      <c r="M656" s="224"/>
      <c r="N656" s="224"/>
      <c r="O656" s="224"/>
      <c r="P656" s="224"/>
      <c r="Q656" s="224"/>
      <c r="R656" s="224"/>
      <c r="S656" s="224"/>
      <c r="T656" s="224"/>
      <c r="U656" s="224"/>
      <c r="V656" s="224"/>
      <c r="W656" s="224"/>
      <c r="X656" s="224"/>
      <c r="Y656" s="224"/>
    </row>
    <row r="657" spans="1:25" ht="15.75" hidden="1" customHeight="1" x14ac:dyDescent="0.2">
      <c r="A657" s="224"/>
      <c r="B657" s="217"/>
      <c r="C657" s="218"/>
      <c r="D657" s="218"/>
      <c r="E657" s="218"/>
      <c r="F657" s="170"/>
      <c r="G657" s="170"/>
      <c r="H657" s="170"/>
      <c r="I657" s="170"/>
      <c r="J657" s="216"/>
      <c r="K657" s="224"/>
      <c r="L657" s="224"/>
      <c r="M657" s="224"/>
      <c r="N657" s="224"/>
      <c r="O657" s="224"/>
      <c r="P657" s="224"/>
      <c r="Q657" s="224"/>
      <c r="R657" s="224"/>
      <c r="S657" s="224"/>
      <c r="T657" s="224"/>
      <c r="U657" s="224"/>
      <c r="V657" s="224"/>
      <c r="W657" s="224"/>
      <c r="X657" s="224"/>
      <c r="Y657" s="224"/>
    </row>
    <row r="658" spans="1:25" ht="15.75" hidden="1" customHeight="1" x14ac:dyDescent="0.2">
      <c r="A658" s="224"/>
      <c r="B658" s="217"/>
      <c r="C658" s="218"/>
      <c r="D658" s="218"/>
      <c r="E658" s="218"/>
      <c r="F658" s="170"/>
      <c r="G658" s="170"/>
      <c r="H658" s="170"/>
      <c r="I658" s="170"/>
      <c r="J658" s="216"/>
      <c r="K658" s="224"/>
      <c r="L658" s="224"/>
      <c r="M658" s="224"/>
      <c r="N658" s="224"/>
      <c r="O658" s="224"/>
      <c r="P658" s="224"/>
      <c r="Q658" s="224"/>
      <c r="R658" s="224"/>
      <c r="S658" s="224"/>
      <c r="T658" s="224"/>
      <c r="U658" s="224"/>
      <c r="V658" s="224"/>
      <c r="W658" s="224"/>
      <c r="X658" s="224"/>
      <c r="Y658" s="224"/>
    </row>
    <row r="659" spans="1:25" ht="15.75" hidden="1" customHeight="1" x14ac:dyDescent="0.2">
      <c r="A659" s="224"/>
      <c r="B659" s="217"/>
      <c r="C659" s="218"/>
      <c r="D659" s="218"/>
      <c r="E659" s="218"/>
      <c r="F659" s="170"/>
      <c r="G659" s="170"/>
      <c r="H659" s="170"/>
      <c r="I659" s="170"/>
      <c r="J659" s="216"/>
      <c r="K659" s="224"/>
      <c r="L659" s="224"/>
      <c r="M659" s="224"/>
      <c r="N659" s="224"/>
      <c r="O659" s="224"/>
      <c r="P659" s="224"/>
      <c r="Q659" s="224"/>
      <c r="R659" s="224"/>
      <c r="S659" s="224"/>
      <c r="T659" s="224"/>
      <c r="U659" s="224"/>
      <c r="V659" s="224"/>
      <c r="W659" s="224"/>
      <c r="X659" s="224"/>
      <c r="Y659" s="224"/>
    </row>
    <row r="660" spans="1:25" ht="15.75" hidden="1" customHeight="1" x14ac:dyDescent="0.2">
      <c r="A660" s="224"/>
      <c r="B660" s="217"/>
      <c r="C660" s="218"/>
      <c r="D660" s="218"/>
      <c r="E660" s="218"/>
      <c r="F660" s="170"/>
      <c r="G660" s="170"/>
      <c r="H660" s="170"/>
      <c r="I660" s="170"/>
      <c r="J660" s="216"/>
      <c r="K660" s="224"/>
      <c r="L660" s="224"/>
      <c r="M660" s="224"/>
      <c r="N660" s="224"/>
      <c r="O660" s="224"/>
      <c r="P660" s="224"/>
      <c r="Q660" s="224"/>
      <c r="R660" s="224"/>
      <c r="S660" s="224"/>
      <c r="T660" s="224"/>
      <c r="U660" s="224"/>
      <c r="V660" s="224"/>
      <c r="W660" s="224"/>
      <c r="X660" s="224"/>
      <c r="Y660" s="224"/>
    </row>
    <row r="661" spans="1:25" ht="15.75" hidden="1" customHeight="1" x14ac:dyDescent="0.2">
      <c r="A661" s="224"/>
      <c r="B661" s="217"/>
      <c r="C661" s="218"/>
      <c r="D661" s="218"/>
      <c r="E661" s="218"/>
      <c r="F661" s="170"/>
      <c r="G661" s="170"/>
      <c r="H661" s="170"/>
      <c r="I661" s="170"/>
      <c r="J661" s="216"/>
      <c r="K661" s="224"/>
      <c r="L661" s="224"/>
      <c r="M661" s="224"/>
      <c r="N661" s="224"/>
      <c r="O661" s="224"/>
      <c r="P661" s="224"/>
      <c r="Q661" s="224"/>
      <c r="R661" s="224"/>
      <c r="S661" s="224"/>
      <c r="T661" s="224"/>
      <c r="U661" s="224"/>
      <c r="V661" s="224"/>
      <c r="W661" s="224"/>
      <c r="X661" s="224"/>
      <c r="Y661" s="224"/>
    </row>
    <row r="662" spans="1:25" ht="15.75" hidden="1" customHeight="1" x14ac:dyDescent="0.2">
      <c r="A662" s="224"/>
      <c r="B662" s="217"/>
      <c r="C662" s="218"/>
      <c r="D662" s="218"/>
      <c r="E662" s="218"/>
      <c r="F662" s="170"/>
      <c r="G662" s="170"/>
      <c r="H662" s="170"/>
      <c r="I662" s="170"/>
      <c r="J662" s="216"/>
      <c r="K662" s="224"/>
      <c r="L662" s="224"/>
      <c r="M662" s="224"/>
      <c r="N662" s="224"/>
      <c r="O662" s="224"/>
      <c r="P662" s="224"/>
      <c r="Q662" s="224"/>
      <c r="R662" s="224"/>
      <c r="S662" s="224"/>
      <c r="T662" s="224"/>
      <c r="U662" s="224"/>
      <c r="V662" s="224"/>
      <c r="W662" s="224"/>
      <c r="X662" s="224"/>
      <c r="Y662" s="224"/>
    </row>
    <row r="663" spans="1:25" ht="15.75" hidden="1" customHeight="1" x14ac:dyDescent="0.2">
      <c r="A663" s="224"/>
      <c r="B663" s="217"/>
      <c r="C663" s="218"/>
      <c r="D663" s="218"/>
      <c r="E663" s="218"/>
      <c r="F663" s="170"/>
      <c r="G663" s="170"/>
      <c r="H663" s="170"/>
      <c r="I663" s="170"/>
      <c r="J663" s="216"/>
      <c r="K663" s="224"/>
      <c r="L663" s="224"/>
      <c r="M663" s="224"/>
      <c r="N663" s="224"/>
      <c r="O663" s="224"/>
      <c r="P663" s="224"/>
      <c r="Q663" s="224"/>
      <c r="R663" s="224"/>
      <c r="S663" s="224"/>
      <c r="T663" s="224"/>
      <c r="U663" s="224"/>
      <c r="V663" s="224"/>
      <c r="W663" s="224"/>
      <c r="X663" s="224"/>
      <c r="Y663" s="224"/>
    </row>
    <row r="664" spans="1:25" ht="15.75" hidden="1" customHeight="1" x14ac:dyDescent="0.2">
      <c r="A664" s="224"/>
      <c r="B664" s="217"/>
      <c r="C664" s="218"/>
      <c r="D664" s="218"/>
      <c r="E664" s="218"/>
      <c r="F664" s="170"/>
      <c r="G664" s="170"/>
      <c r="H664" s="170"/>
      <c r="I664" s="170"/>
      <c r="J664" s="216"/>
      <c r="K664" s="224"/>
      <c r="L664" s="224"/>
      <c r="M664" s="224"/>
      <c r="N664" s="224"/>
      <c r="O664" s="224"/>
      <c r="P664" s="224"/>
      <c r="Q664" s="224"/>
      <c r="R664" s="224"/>
      <c r="S664" s="224"/>
      <c r="T664" s="224"/>
      <c r="U664" s="224"/>
      <c r="V664" s="224"/>
      <c r="W664" s="224"/>
      <c r="X664" s="224"/>
      <c r="Y664" s="224"/>
    </row>
    <row r="665" spans="1:25" ht="15.75" hidden="1" customHeight="1" x14ac:dyDescent="0.2">
      <c r="A665" s="224"/>
      <c r="B665" s="217"/>
      <c r="C665" s="218"/>
      <c r="D665" s="218"/>
      <c r="E665" s="218"/>
      <c r="F665" s="170"/>
      <c r="G665" s="170"/>
      <c r="H665" s="170"/>
      <c r="I665" s="170"/>
      <c r="J665" s="216"/>
      <c r="K665" s="224"/>
      <c r="L665" s="224"/>
      <c r="M665" s="224"/>
      <c r="N665" s="224"/>
      <c r="O665" s="224"/>
      <c r="P665" s="224"/>
      <c r="Q665" s="224"/>
      <c r="R665" s="224"/>
      <c r="S665" s="224"/>
      <c r="T665" s="224"/>
      <c r="U665" s="224"/>
      <c r="V665" s="224"/>
      <c r="W665" s="224"/>
      <c r="X665" s="224"/>
      <c r="Y665" s="224"/>
    </row>
    <row r="666" spans="1:25" ht="15.75" hidden="1" customHeight="1" x14ac:dyDescent="0.2">
      <c r="A666" s="224"/>
      <c r="B666" s="217"/>
      <c r="C666" s="218"/>
      <c r="D666" s="218"/>
      <c r="E666" s="218"/>
      <c r="F666" s="170"/>
      <c r="G666" s="170"/>
      <c r="H666" s="170"/>
      <c r="I666" s="170"/>
      <c r="J666" s="216"/>
      <c r="K666" s="224"/>
      <c r="L666" s="224"/>
      <c r="M666" s="224"/>
      <c r="N666" s="224"/>
      <c r="O666" s="224"/>
      <c r="P666" s="224"/>
      <c r="Q666" s="224"/>
      <c r="R666" s="224"/>
      <c r="S666" s="224"/>
      <c r="T666" s="224"/>
      <c r="U666" s="224"/>
      <c r="V666" s="224"/>
      <c r="W666" s="224"/>
      <c r="X666" s="224"/>
      <c r="Y666" s="224"/>
    </row>
    <row r="667" spans="1:25" ht="15.75" hidden="1" customHeight="1" x14ac:dyDescent="0.2">
      <c r="A667" s="224"/>
      <c r="B667" s="217"/>
      <c r="C667" s="218"/>
      <c r="D667" s="218"/>
      <c r="E667" s="218"/>
      <c r="F667" s="170"/>
      <c r="G667" s="170"/>
      <c r="H667" s="170"/>
      <c r="I667" s="170"/>
      <c r="J667" s="216"/>
      <c r="K667" s="224"/>
      <c r="L667" s="224"/>
      <c r="M667" s="224"/>
      <c r="N667" s="224"/>
      <c r="O667" s="224"/>
      <c r="P667" s="224"/>
      <c r="Q667" s="224"/>
      <c r="R667" s="224"/>
      <c r="S667" s="224"/>
      <c r="T667" s="224"/>
      <c r="U667" s="224"/>
      <c r="V667" s="224"/>
      <c r="W667" s="224"/>
      <c r="X667" s="224"/>
      <c r="Y667" s="224"/>
    </row>
    <row r="668" spans="1:25" ht="15.75" hidden="1" customHeight="1" x14ac:dyDescent="0.2">
      <c r="A668" s="224"/>
      <c r="B668" s="217"/>
      <c r="C668" s="218"/>
      <c r="D668" s="218"/>
      <c r="E668" s="218"/>
      <c r="F668" s="170"/>
      <c r="G668" s="170"/>
      <c r="H668" s="170"/>
      <c r="I668" s="170"/>
      <c r="J668" s="216"/>
      <c r="K668" s="224"/>
      <c r="L668" s="224"/>
      <c r="M668" s="224"/>
      <c r="N668" s="224"/>
      <c r="O668" s="224"/>
      <c r="P668" s="224"/>
      <c r="Q668" s="224"/>
      <c r="R668" s="224"/>
      <c r="S668" s="224"/>
      <c r="T668" s="224"/>
      <c r="U668" s="224"/>
      <c r="V668" s="224"/>
      <c r="W668" s="224"/>
      <c r="X668" s="224"/>
      <c r="Y668" s="224"/>
    </row>
    <row r="669" spans="1:25" ht="15.75" hidden="1" customHeight="1" x14ac:dyDescent="0.2">
      <c r="A669" s="224"/>
      <c r="B669" s="217"/>
      <c r="C669" s="218"/>
      <c r="D669" s="218"/>
      <c r="E669" s="218"/>
      <c r="F669" s="170"/>
      <c r="G669" s="170"/>
      <c r="H669" s="170"/>
      <c r="I669" s="170"/>
      <c r="J669" s="216"/>
      <c r="K669" s="224"/>
      <c r="L669" s="224"/>
      <c r="M669" s="224"/>
      <c r="N669" s="224"/>
      <c r="O669" s="224"/>
      <c r="P669" s="224"/>
      <c r="Q669" s="224"/>
      <c r="R669" s="224"/>
      <c r="S669" s="224"/>
      <c r="T669" s="224"/>
      <c r="U669" s="224"/>
      <c r="V669" s="224"/>
      <c r="W669" s="224"/>
      <c r="X669" s="224"/>
      <c r="Y669" s="224"/>
    </row>
    <row r="670" spans="1:25" ht="15.75" hidden="1" customHeight="1" x14ac:dyDescent="0.2">
      <c r="A670" s="224"/>
      <c r="B670" s="217"/>
      <c r="C670" s="218"/>
      <c r="D670" s="218"/>
      <c r="E670" s="218"/>
      <c r="F670" s="170"/>
      <c r="G670" s="170"/>
      <c r="H670" s="170"/>
      <c r="I670" s="170"/>
      <c r="J670" s="216"/>
      <c r="K670" s="224"/>
      <c r="L670" s="224"/>
      <c r="M670" s="224"/>
      <c r="N670" s="224"/>
      <c r="O670" s="224"/>
      <c r="P670" s="224"/>
      <c r="Q670" s="224"/>
      <c r="R670" s="224"/>
      <c r="S670" s="224"/>
      <c r="T670" s="224"/>
      <c r="U670" s="224"/>
      <c r="V670" s="224"/>
      <c r="W670" s="224"/>
      <c r="X670" s="224"/>
      <c r="Y670" s="224"/>
    </row>
    <row r="671" spans="1:25" ht="15.75" hidden="1" customHeight="1" x14ac:dyDescent="0.2">
      <c r="A671" s="224"/>
      <c r="B671" s="217"/>
      <c r="C671" s="218"/>
      <c r="D671" s="218"/>
      <c r="E671" s="218"/>
      <c r="F671" s="170"/>
      <c r="G671" s="170"/>
      <c r="H671" s="170"/>
      <c r="I671" s="170"/>
      <c r="J671" s="216"/>
      <c r="K671" s="224"/>
      <c r="L671" s="224"/>
      <c r="M671" s="224"/>
      <c r="N671" s="224"/>
      <c r="O671" s="224"/>
      <c r="P671" s="224"/>
      <c r="Q671" s="224"/>
      <c r="R671" s="224"/>
      <c r="S671" s="224"/>
      <c r="T671" s="224"/>
      <c r="U671" s="224"/>
      <c r="V671" s="224"/>
      <c r="W671" s="224"/>
      <c r="X671" s="224"/>
      <c r="Y671" s="224"/>
    </row>
    <row r="672" spans="1:25" ht="15.75" hidden="1" customHeight="1" x14ac:dyDescent="0.2">
      <c r="A672" s="224"/>
      <c r="B672" s="217"/>
      <c r="C672" s="218"/>
      <c r="D672" s="218"/>
      <c r="E672" s="218"/>
      <c r="F672" s="170"/>
      <c r="G672" s="170"/>
      <c r="H672" s="170"/>
      <c r="I672" s="170"/>
      <c r="J672" s="216"/>
      <c r="K672" s="224"/>
      <c r="L672" s="224"/>
      <c r="M672" s="224"/>
      <c r="N672" s="224"/>
      <c r="O672" s="224"/>
      <c r="P672" s="224"/>
      <c r="Q672" s="224"/>
      <c r="R672" s="224"/>
      <c r="S672" s="224"/>
      <c r="T672" s="224"/>
      <c r="U672" s="224"/>
      <c r="V672" s="224"/>
      <c r="W672" s="224"/>
      <c r="X672" s="224"/>
      <c r="Y672" s="224"/>
    </row>
    <row r="673" spans="1:25" ht="15.75" hidden="1" customHeight="1" x14ac:dyDescent="0.2">
      <c r="A673" s="224"/>
      <c r="B673" s="217"/>
      <c r="C673" s="218"/>
      <c r="D673" s="218"/>
      <c r="E673" s="218"/>
      <c r="F673" s="170"/>
      <c r="G673" s="170"/>
      <c r="H673" s="170"/>
      <c r="I673" s="170"/>
      <c r="J673" s="216"/>
      <c r="K673" s="224"/>
      <c r="L673" s="224"/>
      <c r="M673" s="224"/>
      <c r="N673" s="224"/>
      <c r="O673" s="224"/>
      <c r="P673" s="224"/>
      <c r="Q673" s="224"/>
      <c r="R673" s="224"/>
      <c r="S673" s="224"/>
      <c r="T673" s="224"/>
      <c r="U673" s="224"/>
      <c r="V673" s="224"/>
      <c r="W673" s="224"/>
      <c r="X673" s="224"/>
      <c r="Y673" s="224"/>
    </row>
    <row r="674" spans="1:25" ht="15.75" hidden="1" customHeight="1" x14ac:dyDescent="0.2">
      <c r="A674" s="224"/>
      <c r="B674" s="217"/>
      <c r="C674" s="218"/>
      <c r="D674" s="218"/>
      <c r="E674" s="218"/>
      <c r="F674" s="170"/>
      <c r="G674" s="170"/>
      <c r="H674" s="170"/>
      <c r="I674" s="170"/>
      <c r="J674" s="216"/>
      <c r="K674" s="224"/>
      <c r="L674" s="224"/>
      <c r="M674" s="224"/>
      <c r="N674" s="224"/>
      <c r="O674" s="224"/>
      <c r="P674" s="224"/>
      <c r="Q674" s="224"/>
      <c r="R674" s="224"/>
      <c r="S674" s="224"/>
      <c r="T674" s="224"/>
      <c r="U674" s="224"/>
      <c r="V674" s="224"/>
      <c r="W674" s="224"/>
      <c r="X674" s="224"/>
      <c r="Y674" s="224"/>
    </row>
    <row r="675" spans="1:25" ht="15.75" hidden="1" customHeight="1" x14ac:dyDescent="0.2">
      <c r="A675" s="224"/>
      <c r="B675" s="217"/>
      <c r="C675" s="218"/>
      <c r="D675" s="218"/>
      <c r="E675" s="218"/>
      <c r="F675" s="170"/>
      <c r="G675" s="170"/>
      <c r="H675" s="170"/>
      <c r="I675" s="170"/>
      <c r="J675" s="216"/>
      <c r="K675" s="224"/>
      <c r="L675" s="224"/>
      <c r="M675" s="224"/>
      <c r="N675" s="224"/>
      <c r="O675" s="224"/>
      <c r="P675" s="224"/>
      <c r="Q675" s="224"/>
      <c r="R675" s="224"/>
      <c r="S675" s="224"/>
      <c r="T675" s="224"/>
      <c r="U675" s="224"/>
      <c r="V675" s="224"/>
      <c r="W675" s="224"/>
      <c r="X675" s="224"/>
      <c r="Y675" s="224"/>
    </row>
    <row r="676" spans="1:25" ht="15.75" hidden="1" customHeight="1" x14ac:dyDescent="0.2">
      <c r="A676" s="224"/>
      <c r="B676" s="217"/>
      <c r="C676" s="218"/>
      <c r="D676" s="218"/>
      <c r="E676" s="218"/>
      <c r="F676" s="170"/>
      <c r="G676" s="170"/>
      <c r="H676" s="170"/>
      <c r="I676" s="170"/>
      <c r="J676" s="216"/>
      <c r="K676" s="224"/>
      <c r="L676" s="224"/>
      <c r="M676" s="224"/>
      <c r="N676" s="224"/>
      <c r="O676" s="224"/>
      <c r="P676" s="224"/>
      <c r="Q676" s="224"/>
      <c r="R676" s="224"/>
      <c r="S676" s="224"/>
      <c r="T676" s="224"/>
      <c r="U676" s="224"/>
      <c r="V676" s="224"/>
      <c r="W676" s="224"/>
      <c r="X676" s="224"/>
      <c r="Y676" s="224"/>
    </row>
    <row r="677" spans="1:25" ht="15.75" hidden="1" customHeight="1" x14ac:dyDescent="0.2">
      <c r="A677" s="224"/>
      <c r="B677" s="217"/>
      <c r="C677" s="218"/>
      <c r="D677" s="218"/>
      <c r="E677" s="218"/>
      <c r="F677" s="170"/>
      <c r="G677" s="170"/>
      <c r="H677" s="170"/>
      <c r="I677" s="170"/>
      <c r="J677" s="216"/>
      <c r="K677" s="224"/>
      <c r="L677" s="224"/>
      <c r="M677" s="224"/>
      <c r="N677" s="224"/>
      <c r="O677" s="224"/>
      <c r="P677" s="224"/>
      <c r="Q677" s="224"/>
      <c r="R677" s="224"/>
      <c r="S677" s="224"/>
      <c r="T677" s="224"/>
      <c r="U677" s="224"/>
      <c r="V677" s="224"/>
      <c r="W677" s="224"/>
      <c r="X677" s="224"/>
      <c r="Y677" s="224"/>
    </row>
    <row r="678" spans="1:25" ht="15.75" hidden="1" customHeight="1" x14ac:dyDescent="0.2">
      <c r="A678" s="224"/>
      <c r="B678" s="217"/>
      <c r="C678" s="218"/>
      <c r="D678" s="218"/>
      <c r="E678" s="218"/>
      <c r="F678" s="170"/>
      <c r="G678" s="170"/>
      <c r="H678" s="170"/>
      <c r="I678" s="170"/>
      <c r="J678" s="216"/>
      <c r="K678" s="224"/>
      <c r="L678" s="224"/>
      <c r="M678" s="224"/>
      <c r="N678" s="224"/>
      <c r="O678" s="224"/>
      <c r="P678" s="224"/>
      <c r="Q678" s="224"/>
      <c r="R678" s="224"/>
      <c r="S678" s="224"/>
      <c r="T678" s="224"/>
      <c r="U678" s="224"/>
      <c r="V678" s="224"/>
      <c r="W678" s="224"/>
      <c r="X678" s="224"/>
      <c r="Y678" s="224"/>
    </row>
    <row r="679" spans="1:25" ht="15.75" hidden="1" customHeight="1" x14ac:dyDescent="0.2">
      <c r="A679" s="224"/>
      <c r="B679" s="217"/>
      <c r="C679" s="218"/>
      <c r="D679" s="218"/>
      <c r="E679" s="218"/>
      <c r="F679" s="170"/>
      <c r="G679" s="170"/>
      <c r="H679" s="170"/>
      <c r="I679" s="170"/>
      <c r="J679" s="216"/>
      <c r="K679" s="224"/>
      <c r="L679" s="224"/>
      <c r="M679" s="224"/>
      <c r="N679" s="224"/>
      <c r="O679" s="224"/>
      <c r="P679" s="224"/>
      <c r="Q679" s="224"/>
      <c r="R679" s="224"/>
      <c r="S679" s="224"/>
      <c r="T679" s="224"/>
      <c r="U679" s="224"/>
      <c r="V679" s="224"/>
      <c r="W679" s="224"/>
      <c r="X679" s="224"/>
      <c r="Y679" s="224"/>
    </row>
    <row r="680" spans="1:25" ht="15.75" hidden="1" customHeight="1" x14ac:dyDescent="0.2">
      <c r="A680" s="224"/>
      <c r="B680" s="217"/>
      <c r="C680" s="218"/>
      <c r="D680" s="218"/>
      <c r="E680" s="218"/>
      <c r="F680" s="170"/>
      <c r="G680" s="170"/>
      <c r="H680" s="170"/>
      <c r="I680" s="170"/>
      <c r="J680" s="216"/>
      <c r="K680" s="224"/>
      <c r="L680" s="224"/>
      <c r="M680" s="224"/>
      <c r="N680" s="224"/>
      <c r="O680" s="224"/>
      <c r="P680" s="224"/>
      <c r="Q680" s="224"/>
      <c r="R680" s="224"/>
      <c r="S680" s="224"/>
      <c r="T680" s="224"/>
      <c r="U680" s="224"/>
      <c r="V680" s="224"/>
      <c r="W680" s="224"/>
      <c r="X680" s="224"/>
      <c r="Y680" s="224"/>
    </row>
    <row r="681" spans="1:25" ht="15.75" hidden="1" customHeight="1" x14ac:dyDescent="0.2">
      <c r="A681" s="224"/>
      <c r="B681" s="217"/>
      <c r="C681" s="218"/>
      <c r="D681" s="218"/>
      <c r="E681" s="218"/>
      <c r="F681" s="170"/>
      <c r="G681" s="170"/>
      <c r="H681" s="170"/>
      <c r="I681" s="170"/>
      <c r="J681" s="216"/>
      <c r="K681" s="224"/>
      <c r="L681" s="224"/>
      <c r="M681" s="224"/>
      <c r="N681" s="224"/>
      <c r="O681" s="224"/>
      <c r="P681" s="224"/>
      <c r="Q681" s="224"/>
      <c r="R681" s="224"/>
      <c r="S681" s="224"/>
      <c r="T681" s="224"/>
      <c r="U681" s="224"/>
      <c r="V681" s="224"/>
      <c r="W681" s="224"/>
      <c r="X681" s="224"/>
      <c r="Y681" s="224"/>
    </row>
    <row r="682" spans="1:25" ht="15.75" hidden="1" customHeight="1" x14ac:dyDescent="0.2">
      <c r="A682" s="224"/>
      <c r="B682" s="217"/>
      <c r="C682" s="218"/>
      <c r="D682" s="218"/>
      <c r="E682" s="218"/>
      <c r="F682" s="170"/>
      <c r="G682" s="170"/>
      <c r="H682" s="170"/>
      <c r="I682" s="170"/>
      <c r="J682" s="216"/>
      <c r="K682" s="224"/>
      <c r="L682" s="224"/>
      <c r="M682" s="224"/>
      <c r="N682" s="224"/>
      <c r="O682" s="224"/>
      <c r="P682" s="224"/>
      <c r="Q682" s="224"/>
      <c r="R682" s="224"/>
      <c r="S682" s="224"/>
      <c r="T682" s="224"/>
      <c r="U682" s="224"/>
      <c r="V682" s="224"/>
      <c r="W682" s="224"/>
      <c r="X682" s="224"/>
      <c r="Y682" s="224"/>
    </row>
    <row r="683" spans="1:25" ht="15.75" hidden="1" customHeight="1" x14ac:dyDescent="0.2">
      <c r="A683" s="224"/>
      <c r="B683" s="217"/>
      <c r="C683" s="218"/>
      <c r="D683" s="218"/>
      <c r="E683" s="218"/>
      <c r="F683" s="170"/>
      <c r="G683" s="170"/>
      <c r="H683" s="170"/>
      <c r="I683" s="170"/>
      <c r="J683" s="216"/>
      <c r="K683" s="224"/>
      <c r="L683" s="224"/>
      <c r="M683" s="224"/>
      <c r="N683" s="224"/>
      <c r="O683" s="224"/>
      <c r="P683" s="224"/>
      <c r="Q683" s="224"/>
      <c r="R683" s="224"/>
      <c r="S683" s="224"/>
      <c r="T683" s="224"/>
      <c r="U683" s="224"/>
      <c r="V683" s="224"/>
      <c r="W683" s="224"/>
      <c r="X683" s="224"/>
      <c r="Y683" s="224"/>
    </row>
    <row r="684" spans="1:25" ht="15.75" hidden="1" customHeight="1" x14ac:dyDescent="0.2">
      <c r="A684" s="224"/>
      <c r="B684" s="217"/>
      <c r="C684" s="218"/>
      <c r="D684" s="218"/>
      <c r="E684" s="218"/>
      <c r="F684" s="170"/>
      <c r="G684" s="170"/>
      <c r="H684" s="170"/>
      <c r="I684" s="170"/>
      <c r="J684" s="216"/>
      <c r="K684" s="224"/>
      <c r="L684" s="224"/>
      <c r="M684" s="224"/>
      <c r="N684" s="224"/>
      <c r="O684" s="224"/>
      <c r="P684" s="224"/>
      <c r="Q684" s="224"/>
      <c r="R684" s="224"/>
      <c r="S684" s="224"/>
      <c r="T684" s="224"/>
      <c r="U684" s="224"/>
      <c r="V684" s="224"/>
      <c r="W684" s="224"/>
      <c r="X684" s="224"/>
      <c r="Y684" s="224"/>
    </row>
    <row r="685" spans="1:25" ht="15.75" hidden="1" customHeight="1" x14ac:dyDescent="0.2">
      <c r="A685" s="224"/>
      <c r="B685" s="217"/>
      <c r="C685" s="218"/>
      <c r="D685" s="218"/>
      <c r="E685" s="218"/>
      <c r="F685" s="170"/>
      <c r="G685" s="170"/>
      <c r="H685" s="170"/>
      <c r="I685" s="170"/>
      <c r="J685" s="216"/>
      <c r="K685" s="224"/>
      <c r="L685" s="224"/>
      <c r="M685" s="224"/>
      <c r="N685" s="224"/>
      <c r="O685" s="224"/>
      <c r="P685" s="224"/>
      <c r="Q685" s="224"/>
      <c r="R685" s="224"/>
      <c r="S685" s="224"/>
      <c r="T685" s="224"/>
      <c r="U685" s="224"/>
      <c r="V685" s="224"/>
      <c r="W685" s="224"/>
      <c r="X685" s="224"/>
      <c r="Y685" s="224"/>
    </row>
    <row r="686" spans="1:25" ht="15.75" hidden="1" customHeight="1" x14ac:dyDescent="0.2">
      <c r="A686" s="224"/>
      <c r="B686" s="217"/>
      <c r="C686" s="218"/>
      <c r="D686" s="218"/>
      <c r="E686" s="218"/>
      <c r="F686" s="170"/>
      <c r="G686" s="170"/>
      <c r="H686" s="170"/>
      <c r="I686" s="170"/>
      <c r="J686" s="216"/>
      <c r="K686" s="224"/>
      <c r="L686" s="224"/>
      <c r="M686" s="224"/>
      <c r="N686" s="224"/>
      <c r="O686" s="224"/>
      <c r="P686" s="224"/>
      <c r="Q686" s="224"/>
      <c r="R686" s="224"/>
      <c r="S686" s="224"/>
      <c r="T686" s="224"/>
      <c r="U686" s="224"/>
      <c r="V686" s="224"/>
      <c r="W686" s="224"/>
      <c r="X686" s="224"/>
      <c r="Y686" s="224"/>
    </row>
    <row r="687" spans="1:25" ht="15.75" hidden="1" customHeight="1" x14ac:dyDescent="0.2">
      <c r="A687" s="224"/>
      <c r="B687" s="217"/>
      <c r="C687" s="218"/>
      <c r="D687" s="218"/>
      <c r="E687" s="218"/>
      <c r="F687" s="170"/>
      <c r="G687" s="170"/>
      <c r="H687" s="170"/>
      <c r="I687" s="170"/>
      <c r="J687" s="216"/>
      <c r="K687" s="224"/>
      <c r="L687" s="224"/>
      <c r="M687" s="224"/>
      <c r="N687" s="224"/>
      <c r="O687" s="224"/>
      <c r="P687" s="224"/>
      <c r="Q687" s="224"/>
      <c r="R687" s="224"/>
      <c r="S687" s="224"/>
      <c r="T687" s="224"/>
      <c r="U687" s="224"/>
      <c r="V687" s="224"/>
      <c r="W687" s="224"/>
      <c r="X687" s="224"/>
      <c r="Y687" s="224"/>
    </row>
    <row r="688" spans="1:25" ht="15.75" hidden="1" customHeight="1" x14ac:dyDescent="0.2">
      <c r="A688" s="224"/>
      <c r="B688" s="217"/>
      <c r="C688" s="218"/>
      <c r="D688" s="218"/>
      <c r="E688" s="218"/>
      <c r="F688" s="170"/>
      <c r="G688" s="170"/>
      <c r="H688" s="170"/>
      <c r="I688" s="170"/>
      <c r="J688" s="216"/>
      <c r="K688" s="224"/>
      <c r="L688" s="224"/>
      <c r="M688" s="224"/>
      <c r="N688" s="224"/>
      <c r="O688" s="224"/>
      <c r="P688" s="224"/>
      <c r="Q688" s="224"/>
      <c r="R688" s="224"/>
      <c r="S688" s="224"/>
      <c r="T688" s="224"/>
      <c r="U688" s="224"/>
      <c r="V688" s="224"/>
      <c r="W688" s="224"/>
      <c r="X688" s="224"/>
      <c r="Y688" s="224"/>
    </row>
    <row r="689" spans="1:25" ht="15.75" hidden="1" customHeight="1" x14ac:dyDescent="0.2">
      <c r="A689" s="224"/>
      <c r="B689" s="217"/>
      <c r="C689" s="218"/>
      <c r="D689" s="218"/>
      <c r="E689" s="218"/>
      <c r="F689" s="170"/>
      <c r="G689" s="170"/>
      <c r="H689" s="170"/>
      <c r="I689" s="170"/>
      <c r="J689" s="216"/>
      <c r="K689" s="224"/>
      <c r="L689" s="224"/>
      <c r="M689" s="224"/>
      <c r="N689" s="224"/>
      <c r="O689" s="224"/>
      <c r="P689" s="224"/>
      <c r="Q689" s="224"/>
      <c r="R689" s="224"/>
      <c r="S689" s="224"/>
      <c r="T689" s="224"/>
      <c r="U689" s="224"/>
      <c r="V689" s="224"/>
      <c r="W689" s="224"/>
      <c r="X689" s="224"/>
      <c r="Y689" s="224"/>
    </row>
    <row r="690" spans="1:25" ht="15.75" hidden="1" customHeight="1" x14ac:dyDescent="0.2">
      <c r="A690" s="224"/>
      <c r="B690" s="217"/>
      <c r="C690" s="218"/>
      <c r="D690" s="218"/>
      <c r="E690" s="218"/>
      <c r="F690" s="170"/>
      <c r="G690" s="170"/>
      <c r="H690" s="170"/>
      <c r="I690" s="170"/>
      <c r="J690" s="216"/>
      <c r="K690" s="224"/>
      <c r="L690" s="224"/>
      <c r="M690" s="224"/>
      <c r="N690" s="224"/>
      <c r="O690" s="224"/>
      <c r="P690" s="224"/>
      <c r="Q690" s="224"/>
      <c r="R690" s="224"/>
      <c r="S690" s="224"/>
      <c r="T690" s="224"/>
      <c r="U690" s="224"/>
      <c r="V690" s="224"/>
      <c r="W690" s="224"/>
      <c r="X690" s="224"/>
      <c r="Y690" s="224"/>
    </row>
    <row r="691" spans="1:25" ht="15.75" hidden="1" customHeight="1" x14ac:dyDescent="0.2">
      <c r="A691" s="224"/>
      <c r="B691" s="217"/>
      <c r="C691" s="218"/>
      <c r="D691" s="218"/>
      <c r="E691" s="218"/>
      <c r="F691" s="170"/>
      <c r="G691" s="170"/>
      <c r="H691" s="170"/>
      <c r="I691" s="170"/>
      <c r="J691" s="216"/>
      <c r="K691" s="224"/>
      <c r="L691" s="224"/>
      <c r="M691" s="224"/>
      <c r="N691" s="224"/>
      <c r="O691" s="224"/>
      <c r="P691" s="224"/>
      <c r="Q691" s="224"/>
      <c r="R691" s="224"/>
      <c r="S691" s="224"/>
      <c r="T691" s="224"/>
      <c r="U691" s="224"/>
      <c r="V691" s="224"/>
      <c r="W691" s="224"/>
      <c r="X691" s="224"/>
      <c r="Y691" s="224"/>
    </row>
    <row r="692" spans="1:25" ht="15.75" hidden="1" customHeight="1" x14ac:dyDescent="0.2">
      <c r="A692" s="224"/>
      <c r="B692" s="217"/>
      <c r="C692" s="218"/>
      <c r="D692" s="218"/>
      <c r="E692" s="218"/>
      <c r="F692" s="170"/>
      <c r="G692" s="170"/>
      <c r="H692" s="170"/>
      <c r="I692" s="170"/>
      <c r="J692" s="216"/>
      <c r="K692" s="224"/>
      <c r="L692" s="224"/>
      <c r="M692" s="224"/>
      <c r="N692" s="224"/>
      <c r="O692" s="224"/>
      <c r="P692" s="224"/>
      <c r="Q692" s="224"/>
      <c r="R692" s="224"/>
      <c r="S692" s="224"/>
      <c r="T692" s="224"/>
      <c r="U692" s="224"/>
      <c r="V692" s="224"/>
      <c r="W692" s="224"/>
      <c r="X692" s="224"/>
      <c r="Y692" s="224"/>
    </row>
    <row r="693" spans="1:25" ht="15.75" hidden="1" customHeight="1" x14ac:dyDescent="0.2">
      <c r="A693" s="224"/>
      <c r="B693" s="217"/>
      <c r="C693" s="218"/>
      <c r="D693" s="218"/>
      <c r="E693" s="218"/>
      <c r="F693" s="170"/>
      <c r="G693" s="170"/>
      <c r="H693" s="170"/>
      <c r="I693" s="170"/>
      <c r="J693" s="216"/>
      <c r="K693" s="224"/>
      <c r="L693" s="224"/>
      <c r="M693" s="224"/>
      <c r="N693" s="224"/>
      <c r="O693" s="224"/>
      <c r="P693" s="224"/>
      <c r="Q693" s="224"/>
      <c r="R693" s="224"/>
      <c r="S693" s="224"/>
      <c r="T693" s="224"/>
      <c r="U693" s="224"/>
      <c r="V693" s="224"/>
      <c r="W693" s="224"/>
      <c r="X693" s="224"/>
      <c r="Y693" s="224"/>
    </row>
    <row r="694" spans="1:25" ht="15.75" hidden="1" customHeight="1" x14ac:dyDescent="0.2">
      <c r="A694" s="224"/>
      <c r="B694" s="217"/>
      <c r="C694" s="218"/>
      <c r="D694" s="218"/>
      <c r="E694" s="218"/>
      <c r="F694" s="170"/>
      <c r="G694" s="170"/>
      <c r="H694" s="170"/>
      <c r="I694" s="170"/>
      <c r="J694" s="216"/>
      <c r="K694" s="224"/>
      <c r="L694" s="224"/>
      <c r="M694" s="224"/>
      <c r="N694" s="224"/>
      <c r="O694" s="224"/>
      <c r="P694" s="224"/>
      <c r="Q694" s="224"/>
      <c r="R694" s="224"/>
      <c r="S694" s="224"/>
      <c r="T694" s="224"/>
      <c r="U694" s="224"/>
      <c r="V694" s="224"/>
      <c r="W694" s="224"/>
      <c r="X694" s="224"/>
      <c r="Y694" s="224"/>
    </row>
    <row r="695" spans="1:25" ht="15.75" hidden="1" customHeight="1" x14ac:dyDescent="0.2">
      <c r="A695" s="224"/>
      <c r="B695" s="217"/>
      <c r="C695" s="218"/>
      <c r="D695" s="218"/>
      <c r="E695" s="218"/>
      <c r="F695" s="170"/>
      <c r="G695" s="170"/>
      <c r="H695" s="170"/>
      <c r="I695" s="170"/>
      <c r="J695" s="216"/>
      <c r="K695" s="224"/>
      <c r="L695" s="224"/>
      <c r="M695" s="224"/>
      <c r="N695" s="224"/>
      <c r="O695" s="224"/>
      <c r="P695" s="224"/>
      <c r="Q695" s="224"/>
      <c r="R695" s="224"/>
      <c r="S695" s="224"/>
      <c r="T695" s="224"/>
      <c r="U695" s="224"/>
      <c r="V695" s="224"/>
      <c r="W695" s="224"/>
      <c r="X695" s="224"/>
      <c r="Y695" s="224"/>
    </row>
    <row r="696" spans="1:25" ht="15.75" hidden="1" customHeight="1" x14ac:dyDescent="0.2">
      <c r="A696" s="224"/>
      <c r="B696" s="217"/>
      <c r="C696" s="218"/>
      <c r="D696" s="218"/>
      <c r="E696" s="218"/>
      <c r="F696" s="170"/>
      <c r="G696" s="170"/>
      <c r="H696" s="170"/>
      <c r="I696" s="170"/>
      <c r="J696" s="216"/>
      <c r="K696" s="224"/>
      <c r="L696" s="224"/>
      <c r="M696" s="224"/>
      <c r="N696" s="224"/>
      <c r="O696" s="224"/>
      <c r="P696" s="224"/>
      <c r="Q696" s="224"/>
      <c r="R696" s="224"/>
      <c r="S696" s="224"/>
      <c r="T696" s="224"/>
      <c r="U696" s="224"/>
      <c r="V696" s="224"/>
      <c r="W696" s="224"/>
      <c r="X696" s="224"/>
      <c r="Y696" s="224"/>
    </row>
    <row r="697" spans="1:25" ht="15.75" hidden="1" customHeight="1" x14ac:dyDescent="0.2">
      <c r="A697" s="224"/>
      <c r="B697" s="217"/>
      <c r="C697" s="218"/>
      <c r="D697" s="218"/>
      <c r="E697" s="218"/>
      <c r="F697" s="170"/>
      <c r="G697" s="170"/>
      <c r="H697" s="170"/>
      <c r="I697" s="170"/>
      <c r="J697" s="216"/>
      <c r="K697" s="224"/>
      <c r="L697" s="224"/>
      <c r="M697" s="224"/>
      <c r="N697" s="224"/>
      <c r="O697" s="224"/>
      <c r="P697" s="224"/>
      <c r="Q697" s="224"/>
      <c r="R697" s="224"/>
      <c r="S697" s="224"/>
      <c r="T697" s="224"/>
      <c r="U697" s="224"/>
      <c r="V697" s="224"/>
      <c r="W697" s="224"/>
      <c r="X697" s="224"/>
      <c r="Y697" s="224"/>
    </row>
    <row r="698" spans="1:25" ht="15.75" hidden="1" customHeight="1" x14ac:dyDescent="0.2">
      <c r="A698" s="224"/>
      <c r="B698" s="217"/>
      <c r="C698" s="218"/>
      <c r="D698" s="218"/>
      <c r="E698" s="218"/>
      <c r="F698" s="170"/>
      <c r="G698" s="170"/>
      <c r="H698" s="170"/>
      <c r="I698" s="170"/>
      <c r="J698" s="216"/>
      <c r="K698" s="224"/>
      <c r="L698" s="224"/>
      <c r="M698" s="224"/>
      <c r="N698" s="224"/>
      <c r="O698" s="224"/>
      <c r="P698" s="224"/>
      <c r="Q698" s="224"/>
      <c r="R698" s="224"/>
      <c r="S698" s="224"/>
      <c r="T698" s="224"/>
      <c r="U698" s="224"/>
      <c r="V698" s="224"/>
      <c r="W698" s="224"/>
      <c r="X698" s="224"/>
      <c r="Y698" s="224"/>
    </row>
    <row r="699" spans="1:25" ht="15.75" hidden="1" customHeight="1" x14ac:dyDescent="0.2">
      <c r="A699" s="224"/>
      <c r="B699" s="217"/>
      <c r="C699" s="218"/>
      <c r="D699" s="218"/>
      <c r="E699" s="218"/>
      <c r="F699" s="170"/>
      <c r="G699" s="170"/>
      <c r="H699" s="170"/>
      <c r="I699" s="170"/>
      <c r="J699" s="216"/>
      <c r="K699" s="224"/>
      <c r="L699" s="224"/>
      <c r="M699" s="224"/>
      <c r="N699" s="224"/>
      <c r="O699" s="224"/>
      <c r="P699" s="224"/>
      <c r="Q699" s="224"/>
      <c r="R699" s="224"/>
      <c r="S699" s="224"/>
      <c r="T699" s="224"/>
      <c r="U699" s="224"/>
      <c r="V699" s="224"/>
      <c r="W699" s="224"/>
      <c r="X699" s="224"/>
      <c r="Y699" s="224"/>
    </row>
    <row r="700" spans="1:25" ht="15.75" hidden="1" customHeight="1" x14ac:dyDescent="0.2">
      <c r="A700" s="224"/>
      <c r="B700" s="217"/>
      <c r="C700" s="218"/>
      <c r="D700" s="218"/>
      <c r="E700" s="218"/>
      <c r="F700" s="170"/>
      <c r="G700" s="170"/>
      <c r="H700" s="170"/>
      <c r="I700" s="170"/>
      <c r="J700" s="216"/>
      <c r="K700" s="224"/>
      <c r="L700" s="224"/>
      <c r="M700" s="224"/>
      <c r="N700" s="224"/>
      <c r="O700" s="224"/>
      <c r="P700" s="224"/>
      <c r="Q700" s="224"/>
      <c r="R700" s="224"/>
      <c r="S700" s="224"/>
      <c r="T700" s="224"/>
      <c r="U700" s="224"/>
      <c r="V700" s="224"/>
      <c r="W700" s="224"/>
      <c r="X700" s="224"/>
      <c r="Y700" s="224"/>
    </row>
    <row r="701" spans="1:25" ht="15.75" hidden="1" customHeight="1" x14ac:dyDescent="0.2">
      <c r="A701" s="224"/>
      <c r="B701" s="217"/>
      <c r="C701" s="218"/>
      <c r="D701" s="218"/>
      <c r="E701" s="218"/>
      <c r="F701" s="170"/>
      <c r="G701" s="170"/>
      <c r="H701" s="170"/>
      <c r="I701" s="170"/>
      <c r="J701" s="216"/>
      <c r="K701" s="224"/>
      <c r="L701" s="224"/>
      <c r="M701" s="224"/>
      <c r="N701" s="224"/>
      <c r="O701" s="224"/>
      <c r="P701" s="224"/>
      <c r="Q701" s="224"/>
      <c r="R701" s="224"/>
      <c r="S701" s="224"/>
      <c r="T701" s="224"/>
      <c r="U701" s="224"/>
      <c r="V701" s="224"/>
      <c r="W701" s="224"/>
      <c r="X701" s="224"/>
      <c r="Y701" s="224"/>
    </row>
    <row r="702" spans="1:25" ht="15.75" hidden="1" customHeight="1" x14ac:dyDescent="0.2">
      <c r="A702" s="224"/>
      <c r="B702" s="217"/>
      <c r="C702" s="218"/>
      <c r="D702" s="218"/>
      <c r="E702" s="218"/>
      <c r="F702" s="170"/>
      <c r="G702" s="170"/>
      <c r="H702" s="170"/>
      <c r="I702" s="170"/>
      <c r="J702" s="216"/>
      <c r="K702" s="224"/>
      <c r="L702" s="224"/>
      <c r="M702" s="224"/>
      <c r="N702" s="224"/>
      <c r="O702" s="224"/>
      <c r="P702" s="224"/>
      <c r="Q702" s="224"/>
      <c r="R702" s="224"/>
      <c r="S702" s="224"/>
      <c r="T702" s="224"/>
      <c r="U702" s="224"/>
      <c r="V702" s="224"/>
      <c r="W702" s="224"/>
      <c r="X702" s="224"/>
      <c r="Y702" s="224"/>
    </row>
    <row r="703" spans="1:25" ht="15.75" hidden="1" customHeight="1" x14ac:dyDescent="0.2">
      <c r="A703" s="224"/>
      <c r="B703" s="217"/>
      <c r="C703" s="218"/>
      <c r="D703" s="218"/>
      <c r="E703" s="218"/>
      <c r="F703" s="170"/>
      <c r="G703" s="170"/>
      <c r="H703" s="170"/>
      <c r="I703" s="170"/>
      <c r="J703" s="216"/>
      <c r="K703" s="224"/>
      <c r="L703" s="224"/>
      <c r="M703" s="224"/>
      <c r="N703" s="224"/>
      <c r="O703" s="224"/>
      <c r="P703" s="224"/>
      <c r="Q703" s="224"/>
      <c r="R703" s="224"/>
      <c r="S703" s="224"/>
      <c r="T703" s="224"/>
      <c r="U703" s="224"/>
      <c r="V703" s="224"/>
      <c r="W703" s="224"/>
      <c r="X703" s="224"/>
      <c r="Y703" s="224"/>
    </row>
    <row r="704" spans="1:25" ht="15.75" hidden="1" customHeight="1" x14ac:dyDescent="0.2">
      <c r="A704" s="224"/>
      <c r="B704" s="217"/>
      <c r="C704" s="218"/>
      <c r="D704" s="218"/>
      <c r="E704" s="218"/>
      <c r="F704" s="170"/>
      <c r="G704" s="170"/>
      <c r="H704" s="170"/>
      <c r="I704" s="170"/>
      <c r="J704" s="216"/>
      <c r="K704" s="224"/>
      <c r="L704" s="224"/>
      <c r="M704" s="224"/>
      <c r="N704" s="224"/>
      <c r="O704" s="224"/>
      <c r="P704" s="224"/>
      <c r="Q704" s="224"/>
      <c r="R704" s="224"/>
      <c r="S704" s="224"/>
      <c r="T704" s="224"/>
      <c r="U704" s="224"/>
      <c r="V704" s="224"/>
      <c r="W704" s="224"/>
      <c r="X704" s="224"/>
      <c r="Y704" s="224"/>
    </row>
    <row r="705" spans="1:25" ht="15.75" hidden="1" customHeight="1" x14ac:dyDescent="0.2">
      <c r="A705" s="224"/>
      <c r="B705" s="217"/>
      <c r="C705" s="218"/>
      <c r="D705" s="218"/>
      <c r="E705" s="218"/>
      <c r="F705" s="170"/>
      <c r="G705" s="170"/>
      <c r="H705" s="170"/>
      <c r="I705" s="170"/>
      <c r="J705" s="216"/>
      <c r="K705" s="224"/>
      <c r="L705" s="224"/>
      <c r="M705" s="224"/>
      <c r="N705" s="224"/>
      <c r="O705" s="224"/>
      <c r="P705" s="224"/>
      <c r="Q705" s="224"/>
      <c r="R705" s="224"/>
      <c r="S705" s="224"/>
      <c r="T705" s="224"/>
      <c r="U705" s="224"/>
      <c r="V705" s="224"/>
      <c r="W705" s="224"/>
      <c r="X705" s="224"/>
      <c r="Y705" s="224"/>
    </row>
    <row r="706" spans="1:25" ht="15.75" hidden="1" customHeight="1" x14ac:dyDescent="0.2">
      <c r="A706" s="224"/>
      <c r="B706" s="217"/>
      <c r="C706" s="218"/>
      <c r="D706" s="218"/>
      <c r="E706" s="218"/>
      <c r="F706" s="170"/>
      <c r="G706" s="170"/>
      <c r="H706" s="170"/>
      <c r="I706" s="170"/>
      <c r="J706" s="216"/>
      <c r="K706" s="224"/>
      <c r="L706" s="224"/>
      <c r="M706" s="224"/>
      <c r="N706" s="224"/>
      <c r="O706" s="224"/>
      <c r="P706" s="224"/>
      <c r="Q706" s="224"/>
      <c r="R706" s="224"/>
      <c r="S706" s="224"/>
      <c r="T706" s="224"/>
      <c r="U706" s="224"/>
      <c r="V706" s="224"/>
      <c r="W706" s="224"/>
      <c r="X706" s="224"/>
      <c r="Y706" s="224"/>
    </row>
    <row r="707" spans="1:25" ht="15.75" hidden="1" customHeight="1" x14ac:dyDescent="0.2">
      <c r="A707" s="224"/>
      <c r="B707" s="217"/>
      <c r="C707" s="218"/>
      <c r="D707" s="218"/>
      <c r="E707" s="218"/>
      <c r="F707" s="170"/>
      <c r="G707" s="170"/>
      <c r="H707" s="170"/>
      <c r="I707" s="170"/>
      <c r="J707" s="216"/>
      <c r="K707" s="224"/>
      <c r="L707" s="224"/>
      <c r="M707" s="224"/>
      <c r="N707" s="224"/>
      <c r="O707" s="224"/>
      <c r="P707" s="224"/>
      <c r="Q707" s="224"/>
      <c r="R707" s="224"/>
      <c r="S707" s="224"/>
      <c r="T707" s="224"/>
      <c r="U707" s="224"/>
      <c r="V707" s="224"/>
      <c r="W707" s="224"/>
      <c r="X707" s="224"/>
      <c r="Y707" s="224"/>
    </row>
    <row r="708" spans="1:25" ht="15.75" hidden="1" customHeight="1" x14ac:dyDescent="0.2">
      <c r="A708" s="224"/>
      <c r="B708" s="217"/>
      <c r="C708" s="218"/>
      <c r="D708" s="218"/>
      <c r="E708" s="218"/>
      <c r="F708" s="170"/>
      <c r="G708" s="170"/>
      <c r="H708" s="170"/>
      <c r="I708" s="170"/>
      <c r="J708" s="216"/>
      <c r="K708" s="224"/>
      <c r="L708" s="224"/>
      <c r="M708" s="224"/>
      <c r="N708" s="224"/>
      <c r="O708" s="224"/>
      <c r="P708" s="224"/>
      <c r="Q708" s="224"/>
      <c r="R708" s="224"/>
      <c r="S708" s="224"/>
      <c r="T708" s="224"/>
      <c r="U708" s="224"/>
      <c r="V708" s="224"/>
      <c r="W708" s="224"/>
      <c r="X708" s="224"/>
      <c r="Y708" s="224"/>
    </row>
    <row r="709" spans="1:25" ht="15.75" hidden="1" customHeight="1" x14ac:dyDescent="0.2">
      <c r="A709" s="224"/>
      <c r="B709" s="217"/>
      <c r="C709" s="218"/>
      <c r="D709" s="218"/>
      <c r="E709" s="218"/>
      <c r="F709" s="170"/>
      <c r="G709" s="170"/>
      <c r="H709" s="170"/>
      <c r="I709" s="170"/>
      <c r="J709" s="216"/>
      <c r="K709" s="224"/>
      <c r="L709" s="224"/>
      <c r="M709" s="224"/>
      <c r="N709" s="224"/>
      <c r="O709" s="224"/>
      <c r="P709" s="224"/>
      <c r="Q709" s="224"/>
      <c r="R709" s="224"/>
      <c r="S709" s="224"/>
      <c r="T709" s="224"/>
      <c r="U709" s="224"/>
      <c r="V709" s="224"/>
      <c r="W709" s="224"/>
      <c r="X709" s="224"/>
      <c r="Y709" s="224"/>
    </row>
    <row r="710" spans="1:25" ht="15.75" hidden="1" customHeight="1" x14ac:dyDescent="0.2">
      <c r="A710" s="224"/>
      <c r="B710" s="217"/>
      <c r="C710" s="218"/>
      <c r="D710" s="218"/>
      <c r="E710" s="218"/>
      <c r="F710" s="170"/>
      <c r="G710" s="170"/>
      <c r="H710" s="170"/>
      <c r="I710" s="170"/>
      <c r="J710" s="216"/>
      <c r="K710" s="224"/>
      <c r="L710" s="224"/>
      <c r="M710" s="224"/>
      <c r="N710" s="224"/>
      <c r="O710" s="224"/>
      <c r="P710" s="224"/>
      <c r="Q710" s="224"/>
      <c r="R710" s="224"/>
      <c r="S710" s="224"/>
      <c r="T710" s="224"/>
      <c r="U710" s="224"/>
      <c r="V710" s="224"/>
      <c r="W710" s="224"/>
      <c r="X710" s="224"/>
      <c r="Y710" s="224"/>
    </row>
    <row r="711" spans="1:25" ht="15.75" hidden="1" customHeight="1" x14ac:dyDescent="0.2">
      <c r="A711" s="224"/>
      <c r="B711" s="217"/>
      <c r="C711" s="218"/>
      <c r="D711" s="218"/>
      <c r="E711" s="218"/>
      <c r="F711" s="170"/>
      <c r="G711" s="170"/>
      <c r="H711" s="170"/>
      <c r="I711" s="170"/>
      <c r="J711" s="216"/>
      <c r="K711" s="224"/>
      <c r="L711" s="224"/>
      <c r="M711" s="224"/>
      <c r="N711" s="224"/>
      <c r="O711" s="224"/>
      <c r="P711" s="224"/>
      <c r="Q711" s="224"/>
      <c r="R711" s="224"/>
      <c r="S711" s="224"/>
      <c r="T711" s="224"/>
      <c r="U711" s="224"/>
      <c r="V711" s="224"/>
      <c r="W711" s="224"/>
      <c r="X711" s="224"/>
      <c r="Y711" s="224"/>
    </row>
    <row r="712" spans="1:25" ht="15.75" hidden="1" customHeight="1" x14ac:dyDescent="0.2">
      <c r="A712" s="224"/>
      <c r="B712" s="217"/>
      <c r="C712" s="218"/>
      <c r="D712" s="218"/>
      <c r="E712" s="218"/>
      <c r="F712" s="170"/>
      <c r="G712" s="170"/>
      <c r="H712" s="170"/>
      <c r="I712" s="170"/>
      <c r="J712" s="216"/>
      <c r="K712" s="224"/>
      <c r="L712" s="224"/>
      <c r="M712" s="224"/>
      <c r="N712" s="224"/>
      <c r="O712" s="224"/>
      <c r="P712" s="224"/>
      <c r="Q712" s="224"/>
      <c r="R712" s="224"/>
      <c r="S712" s="224"/>
      <c r="T712" s="224"/>
      <c r="U712" s="224"/>
      <c r="V712" s="224"/>
      <c r="W712" s="224"/>
      <c r="X712" s="224"/>
      <c r="Y712" s="224"/>
    </row>
    <row r="713" spans="1:25" ht="15.75" hidden="1" customHeight="1" x14ac:dyDescent="0.2">
      <c r="A713" s="224"/>
      <c r="B713" s="217"/>
      <c r="C713" s="218"/>
      <c r="D713" s="218"/>
      <c r="E713" s="218"/>
      <c r="F713" s="170"/>
      <c r="G713" s="170"/>
      <c r="H713" s="170"/>
      <c r="I713" s="170"/>
      <c r="J713" s="216"/>
      <c r="K713" s="224"/>
      <c r="L713" s="224"/>
      <c r="M713" s="224"/>
      <c r="N713" s="224"/>
      <c r="O713" s="224"/>
      <c r="P713" s="224"/>
      <c r="Q713" s="224"/>
      <c r="R713" s="224"/>
      <c r="S713" s="224"/>
      <c r="T713" s="224"/>
      <c r="U713" s="224"/>
      <c r="V713" s="224"/>
      <c r="W713" s="224"/>
      <c r="X713" s="224"/>
      <c r="Y713" s="224"/>
    </row>
    <row r="714" spans="1:25" ht="15.75" hidden="1" customHeight="1" x14ac:dyDescent="0.2">
      <c r="A714" s="224"/>
      <c r="B714" s="217"/>
      <c r="C714" s="218"/>
      <c r="D714" s="218"/>
      <c r="E714" s="218"/>
      <c r="F714" s="170"/>
      <c r="G714" s="170"/>
      <c r="H714" s="170"/>
      <c r="I714" s="170"/>
      <c r="J714" s="216"/>
      <c r="K714" s="224"/>
      <c r="L714" s="224"/>
      <c r="M714" s="224"/>
      <c r="N714" s="224"/>
      <c r="O714" s="224"/>
      <c r="P714" s="224"/>
      <c r="Q714" s="224"/>
      <c r="R714" s="224"/>
      <c r="S714" s="224"/>
      <c r="T714" s="224"/>
      <c r="U714" s="224"/>
      <c r="V714" s="224"/>
      <c r="W714" s="224"/>
      <c r="X714" s="224"/>
      <c r="Y714" s="224"/>
    </row>
    <row r="715" spans="1:25" ht="15.75" hidden="1" customHeight="1" x14ac:dyDescent="0.2">
      <c r="A715" s="224"/>
      <c r="B715" s="217"/>
      <c r="C715" s="218"/>
      <c r="D715" s="218"/>
      <c r="E715" s="218"/>
      <c r="F715" s="170"/>
      <c r="G715" s="170"/>
      <c r="H715" s="170"/>
      <c r="I715" s="170"/>
      <c r="J715" s="216"/>
      <c r="K715" s="224"/>
      <c r="L715" s="224"/>
      <c r="M715" s="224"/>
      <c r="N715" s="224"/>
      <c r="O715" s="224"/>
      <c r="P715" s="224"/>
      <c r="Q715" s="224"/>
      <c r="R715" s="224"/>
      <c r="S715" s="224"/>
      <c r="T715" s="224"/>
      <c r="U715" s="224"/>
      <c r="V715" s="224"/>
      <c r="W715" s="224"/>
      <c r="X715" s="224"/>
      <c r="Y715" s="224"/>
    </row>
    <row r="716" spans="1:25" ht="15.75" hidden="1" customHeight="1" x14ac:dyDescent="0.2">
      <c r="A716" s="224"/>
      <c r="B716" s="217"/>
      <c r="C716" s="218"/>
      <c r="D716" s="218"/>
      <c r="E716" s="218"/>
      <c r="F716" s="170"/>
      <c r="G716" s="170"/>
      <c r="H716" s="170"/>
      <c r="I716" s="170"/>
      <c r="J716" s="216"/>
      <c r="K716" s="224"/>
      <c r="L716" s="224"/>
      <c r="M716" s="224"/>
      <c r="N716" s="224"/>
      <c r="O716" s="224"/>
      <c r="P716" s="224"/>
      <c r="Q716" s="224"/>
      <c r="R716" s="224"/>
      <c r="S716" s="224"/>
      <c r="T716" s="224"/>
      <c r="U716" s="224"/>
      <c r="V716" s="224"/>
      <c r="W716" s="224"/>
      <c r="X716" s="224"/>
      <c r="Y716" s="224"/>
    </row>
    <row r="717" spans="1:25" ht="15.75" hidden="1" customHeight="1" x14ac:dyDescent="0.2">
      <c r="A717" s="224"/>
      <c r="B717" s="217"/>
      <c r="C717" s="218"/>
      <c r="D717" s="218"/>
      <c r="E717" s="218"/>
      <c r="F717" s="170"/>
      <c r="G717" s="170"/>
      <c r="H717" s="170"/>
      <c r="I717" s="170"/>
      <c r="J717" s="216"/>
      <c r="K717" s="224"/>
      <c r="L717" s="224"/>
      <c r="M717" s="224"/>
      <c r="N717" s="224"/>
      <c r="O717" s="224"/>
      <c r="P717" s="224"/>
      <c r="Q717" s="224"/>
      <c r="R717" s="224"/>
      <c r="S717" s="224"/>
      <c r="T717" s="224"/>
      <c r="U717" s="224"/>
      <c r="V717" s="224"/>
      <c r="W717" s="224"/>
      <c r="X717" s="224"/>
      <c r="Y717" s="224"/>
    </row>
    <row r="718" spans="1:25" ht="15.75" hidden="1" customHeight="1" x14ac:dyDescent="0.2">
      <c r="A718" s="224"/>
      <c r="B718" s="217"/>
      <c r="C718" s="218"/>
      <c r="D718" s="218"/>
      <c r="E718" s="218"/>
      <c r="F718" s="170"/>
      <c r="G718" s="170"/>
      <c r="H718" s="170"/>
      <c r="I718" s="170"/>
      <c r="J718" s="216"/>
      <c r="K718" s="224"/>
      <c r="L718" s="224"/>
      <c r="M718" s="224"/>
      <c r="N718" s="224"/>
      <c r="O718" s="224"/>
      <c r="P718" s="224"/>
      <c r="Q718" s="224"/>
      <c r="R718" s="224"/>
      <c r="S718" s="224"/>
      <c r="T718" s="224"/>
      <c r="U718" s="224"/>
      <c r="V718" s="224"/>
      <c r="W718" s="224"/>
      <c r="X718" s="224"/>
      <c r="Y718" s="224"/>
    </row>
    <row r="719" spans="1:25" ht="15.75" hidden="1" customHeight="1" x14ac:dyDescent="0.2">
      <c r="A719" s="224"/>
      <c r="B719" s="217"/>
      <c r="C719" s="218"/>
      <c r="D719" s="218"/>
      <c r="E719" s="218"/>
      <c r="F719" s="170"/>
      <c r="G719" s="170"/>
      <c r="H719" s="170"/>
      <c r="I719" s="170"/>
      <c r="J719" s="216"/>
      <c r="K719" s="224"/>
      <c r="L719" s="224"/>
      <c r="M719" s="224"/>
      <c r="N719" s="224"/>
      <c r="O719" s="224"/>
      <c r="P719" s="224"/>
      <c r="Q719" s="224"/>
      <c r="R719" s="224"/>
      <c r="S719" s="224"/>
      <c r="T719" s="224"/>
      <c r="U719" s="224"/>
      <c r="V719" s="224"/>
      <c r="W719" s="224"/>
      <c r="X719" s="224"/>
      <c r="Y719" s="224"/>
    </row>
    <row r="720" spans="1:25" ht="15.75" hidden="1" customHeight="1" x14ac:dyDescent="0.2">
      <c r="A720" s="224"/>
      <c r="B720" s="217"/>
      <c r="C720" s="218"/>
      <c r="D720" s="218"/>
      <c r="E720" s="218"/>
      <c r="F720" s="170"/>
      <c r="G720" s="170"/>
      <c r="H720" s="170"/>
      <c r="I720" s="170"/>
      <c r="J720" s="216"/>
      <c r="K720" s="224"/>
      <c r="L720" s="224"/>
      <c r="M720" s="224"/>
      <c r="N720" s="224"/>
      <c r="O720" s="224"/>
      <c r="P720" s="224"/>
      <c r="Q720" s="224"/>
      <c r="R720" s="224"/>
      <c r="S720" s="224"/>
      <c r="T720" s="224"/>
      <c r="U720" s="224"/>
      <c r="V720" s="224"/>
      <c r="W720" s="224"/>
      <c r="X720" s="224"/>
      <c r="Y720" s="224"/>
    </row>
    <row r="721" spans="1:25" ht="15.75" hidden="1" customHeight="1" x14ac:dyDescent="0.2">
      <c r="A721" s="224"/>
      <c r="B721" s="217"/>
      <c r="C721" s="218"/>
      <c r="D721" s="218"/>
      <c r="E721" s="218"/>
      <c r="F721" s="170"/>
      <c r="G721" s="170"/>
      <c r="H721" s="170"/>
      <c r="I721" s="170"/>
      <c r="J721" s="216"/>
      <c r="K721" s="224"/>
      <c r="L721" s="224"/>
      <c r="M721" s="224"/>
      <c r="N721" s="224"/>
      <c r="O721" s="224"/>
      <c r="P721" s="224"/>
      <c r="Q721" s="224"/>
      <c r="R721" s="224"/>
      <c r="S721" s="224"/>
      <c r="T721" s="224"/>
      <c r="U721" s="224"/>
      <c r="V721" s="224"/>
      <c r="W721" s="224"/>
      <c r="X721" s="224"/>
      <c r="Y721" s="224"/>
    </row>
    <row r="722" spans="1:25" ht="15.75" hidden="1" customHeight="1" x14ac:dyDescent="0.2">
      <c r="A722" s="224"/>
      <c r="B722" s="217"/>
      <c r="C722" s="218"/>
      <c r="D722" s="218"/>
      <c r="E722" s="218"/>
      <c r="F722" s="170"/>
      <c r="G722" s="170"/>
      <c r="H722" s="170"/>
      <c r="I722" s="170"/>
      <c r="J722" s="216"/>
      <c r="K722" s="224"/>
      <c r="L722" s="224"/>
      <c r="M722" s="224"/>
      <c r="N722" s="224"/>
      <c r="O722" s="224"/>
      <c r="P722" s="224"/>
      <c r="Q722" s="224"/>
      <c r="R722" s="224"/>
      <c r="S722" s="224"/>
      <c r="T722" s="224"/>
      <c r="U722" s="224"/>
      <c r="V722" s="224"/>
      <c r="W722" s="224"/>
      <c r="X722" s="224"/>
      <c r="Y722" s="224"/>
    </row>
    <row r="723" spans="1:25" ht="15.75" hidden="1" customHeight="1" x14ac:dyDescent="0.2">
      <c r="A723" s="224"/>
      <c r="B723" s="217"/>
      <c r="C723" s="218"/>
      <c r="D723" s="218"/>
      <c r="E723" s="218"/>
      <c r="F723" s="170"/>
      <c r="G723" s="170"/>
      <c r="H723" s="170"/>
      <c r="I723" s="170"/>
      <c r="J723" s="216"/>
      <c r="K723" s="224"/>
      <c r="L723" s="224"/>
      <c r="M723" s="224"/>
      <c r="N723" s="224"/>
      <c r="O723" s="224"/>
      <c r="P723" s="224"/>
      <c r="Q723" s="224"/>
      <c r="R723" s="224"/>
      <c r="S723" s="224"/>
      <c r="T723" s="224"/>
      <c r="U723" s="224"/>
      <c r="V723" s="224"/>
      <c r="W723" s="224"/>
      <c r="X723" s="224"/>
      <c r="Y723" s="224"/>
    </row>
    <row r="724" spans="1:25" ht="15.75" hidden="1" customHeight="1" x14ac:dyDescent="0.2">
      <c r="A724" s="224"/>
      <c r="B724" s="217"/>
      <c r="C724" s="218"/>
      <c r="D724" s="218"/>
      <c r="E724" s="218"/>
      <c r="F724" s="170"/>
      <c r="G724" s="170"/>
      <c r="H724" s="170"/>
      <c r="I724" s="170"/>
      <c r="J724" s="216"/>
      <c r="K724" s="224"/>
      <c r="L724" s="224"/>
      <c r="M724" s="224"/>
      <c r="N724" s="224"/>
      <c r="O724" s="224"/>
      <c r="P724" s="224"/>
      <c r="Q724" s="224"/>
      <c r="R724" s="224"/>
      <c r="S724" s="224"/>
      <c r="T724" s="224"/>
      <c r="U724" s="224"/>
      <c r="V724" s="224"/>
      <c r="W724" s="224"/>
      <c r="X724" s="224"/>
      <c r="Y724" s="224"/>
    </row>
    <row r="725" spans="1:25" ht="15.75" hidden="1" customHeight="1" x14ac:dyDescent="0.2">
      <c r="A725" s="224"/>
      <c r="B725" s="217"/>
      <c r="C725" s="218"/>
      <c r="D725" s="218"/>
      <c r="E725" s="218"/>
      <c r="F725" s="170"/>
      <c r="G725" s="170"/>
      <c r="H725" s="170"/>
      <c r="I725" s="170"/>
      <c r="J725" s="216"/>
      <c r="K725" s="224"/>
      <c r="L725" s="224"/>
      <c r="M725" s="224"/>
      <c r="N725" s="224"/>
      <c r="O725" s="224"/>
      <c r="P725" s="224"/>
      <c r="Q725" s="224"/>
      <c r="R725" s="224"/>
      <c r="S725" s="224"/>
      <c r="T725" s="224"/>
      <c r="U725" s="224"/>
      <c r="V725" s="224"/>
      <c r="W725" s="224"/>
      <c r="X725" s="224"/>
      <c r="Y725" s="224"/>
    </row>
    <row r="726" spans="1:25" ht="15.75" hidden="1" customHeight="1" x14ac:dyDescent="0.2">
      <c r="A726" s="224"/>
      <c r="B726" s="217"/>
      <c r="C726" s="218"/>
      <c r="D726" s="218"/>
      <c r="E726" s="218"/>
      <c r="F726" s="170"/>
      <c r="G726" s="170"/>
      <c r="H726" s="170"/>
      <c r="I726" s="170"/>
      <c r="J726" s="216"/>
      <c r="K726" s="224"/>
      <c r="L726" s="224"/>
      <c r="M726" s="224"/>
      <c r="N726" s="224"/>
      <c r="O726" s="224"/>
      <c r="P726" s="224"/>
      <c r="Q726" s="224"/>
      <c r="R726" s="224"/>
      <c r="S726" s="224"/>
      <c r="T726" s="224"/>
      <c r="U726" s="224"/>
      <c r="V726" s="224"/>
      <c r="W726" s="224"/>
      <c r="X726" s="224"/>
      <c r="Y726" s="224"/>
    </row>
    <row r="727" spans="1:25" ht="15.75" hidden="1" customHeight="1" x14ac:dyDescent="0.2">
      <c r="A727" s="224"/>
      <c r="B727" s="217"/>
      <c r="C727" s="218"/>
      <c r="D727" s="218"/>
      <c r="E727" s="218"/>
      <c r="F727" s="170"/>
      <c r="G727" s="170"/>
      <c r="H727" s="170"/>
      <c r="I727" s="170"/>
      <c r="J727" s="216"/>
      <c r="K727" s="224"/>
      <c r="L727" s="224"/>
      <c r="M727" s="224"/>
      <c r="N727" s="224"/>
      <c r="O727" s="224"/>
      <c r="P727" s="224"/>
      <c r="Q727" s="224"/>
      <c r="R727" s="224"/>
      <c r="S727" s="224"/>
      <c r="T727" s="224"/>
      <c r="U727" s="224"/>
      <c r="V727" s="224"/>
      <c r="W727" s="224"/>
      <c r="X727" s="224"/>
      <c r="Y727" s="224"/>
    </row>
    <row r="728" spans="1:25" ht="15.75" hidden="1" customHeight="1" x14ac:dyDescent="0.2">
      <c r="A728" s="224"/>
      <c r="B728" s="217"/>
      <c r="C728" s="218"/>
      <c r="D728" s="218"/>
      <c r="E728" s="218"/>
      <c r="F728" s="170"/>
      <c r="G728" s="170"/>
      <c r="H728" s="170"/>
      <c r="I728" s="170"/>
      <c r="J728" s="216"/>
      <c r="K728" s="224"/>
      <c r="L728" s="224"/>
      <c r="M728" s="224"/>
      <c r="N728" s="224"/>
      <c r="O728" s="224"/>
      <c r="P728" s="224"/>
      <c r="Q728" s="224"/>
      <c r="R728" s="224"/>
      <c r="S728" s="224"/>
      <c r="T728" s="224"/>
      <c r="U728" s="224"/>
      <c r="V728" s="224"/>
      <c r="W728" s="224"/>
      <c r="X728" s="224"/>
      <c r="Y728" s="224"/>
    </row>
    <row r="729" spans="1:25" ht="15.75" hidden="1" customHeight="1" x14ac:dyDescent="0.2">
      <c r="A729" s="224"/>
      <c r="B729" s="217"/>
      <c r="C729" s="218"/>
      <c r="D729" s="218"/>
      <c r="E729" s="218"/>
      <c r="F729" s="170"/>
      <c r="G729" s="170"/>
      <c r="H729" s="170"/>
      <c r="I729" s="170"/>
      <c r="J729" s="216"/>
      <c r="K729" s="224"/>
      <c r="L729" s="224"/>
      <c r="M729" s="224"/>
      <c r="N729" s="224"/>
      <c r="O729" s="224"/>
      <c r="P729" s="224"/>
      <c r="Q729" s="224"/>
      <c r="R729" s="224"/>
      <c r="S729" s="224"/>
      <c r="T729" s="224"/>
      <c r="U729" s="224"/>
      <c r="V729" s="224"/>
      <c r="W729" s="224"/>
      <c r="X729" s="224"/>
      <c r="Y729" s="224"/>
    </row>
    <row r="730" spans="1:25" ht="15.75" hidden="1" customHeight="1" x14ac:dyDescent="0.2">
      <c r="A730" s="224"/>
      <c r="B730" s="217"/>
      <c r="C730" s="218"/>
      <c r="D730" s="218"/>
      <c r="E730" s="218"/>
      <c r="F730" s="170"/>
      <c r="G730" s="170"/>
      <c r="H730" s="170"/>
      <c r="I730" s="170"/>
      <c r="J730" s="216"/>
      <c r="K730" s="224"/>
      <c r="L730" s="224"/>
      <c r="M730" s="224"/>
      <c r="N730" s="224"/>
      <c r="O730" s="224"/>
      <c r="P730" s="224"/>
      <c r="Q730" s="224"/>
      <c r="R730" s="224"/>
      <c r="S730" s="224"/>
      <c r="T730" s="224"/>
      <c r="U730" s="224"/>
      <c r="V730" s="224"/>
      <c r="W730" s="224"/>
      <c r="X730" s="224"/>
      <c r="Y730" s="224"/>
    </row>
    <row r="731" spans="1:25" ht="15.75" hidden="1" customHeight="1" x14ac:dyDescent="0.2">
      <c r="A731" s="224"/>
      <c r="B731" s="217"/>
      <c r="C731" s="218"/>
      <c r="D731" s="218"/>
      <c r="E731" s="218"/>
      <c r="F731" s="170"/>
      <c r="G731" s="170"/>
      <c r="H731" s="170"/>
      <c r="I731" s="170"/>
      <c r="J731" s="216"/>
      <c r="K731" s="224"/>
      <c r="L731" s="224"/>
      <c r="M731" s="224"/>
      <c r="N731" s="224"/>
      <c r="O731" s="224"/>
      <c r="P731" s="224"/>
      <c r="Q731" s="224"/>
      <c r="R731" s="224"/>
      <c r="S731" s="224"/>
      <c r="T731" s="224"/>
      <c r="U731" s="224"/>
      <c r="V731" s="224"/>
      <c r="W731" s="224"/>
      <c r="X731" s="224"/>
      <c r="Y731" s="224"/>
    </row>
    <row r="732" spans="1:25" ht="15.75" hidden="1" customHeight="1" x14ac:dyDescent="0.2">
      <c r="A732" s="224"/>
      <c r="B732" s="217"/>
      <c r="C732" s="218"/>
      <c r="D732" s="218"/>
      <c r="E732" s="218"/>
      <c r="F732" s="170"/>
      <c r="G732" s="170"/>
      <c r="H732" s="170"/>
      <c r="I732" s="170"/>
      <c r="J732" s="216"/>
      <c r="K732" s="224"/>
      <c r="L732" s="224"/>
      <c r="M732" s="224"/>
      <c r="N732" s="224"/>
      <c r="O732" s="224"/>
      <c r="P732" s="224"/>
      <c r="Q732" s="224"/>
      <c r="R732" s="224"/>
      <c r="S732" s="224"/>
      <c r="T732" s="224"/>
      <c r="U732" s="224"/>
      <c r="V732" s="224"/>
      <c r="W732" s="224"/>
      <c r="X732" s="224"/>
      <c r="Y732" s="224"/>
    </row>
    <row r="733" spans="1:25" ht="15.75" hidden="1" customHeight="1" x14ac:dyDescent="0.2">
      <c r="A733" s="224"/>
      <c r="B733" s="217"/>
      <c r="C733" s="218"/>
      <c r="D733" s="218"/>
      <c r="E733" s="218"/>
      <c r="F733" s="170"/>
      <c r="G733" s="170"/>
      <c r="H733" s="170"/>
      <c r="I733" s="170"/>
      <c r="J733" s="216"/>
      <c r="K733" s="224"/>
      <c r="L733" s="224"/>
      <c r="M733" s="224"/>
      <c r="N733" s="224"/>
      <c r="O733" s="224"/>
      <c r="P733" s="224"/>
      <c r="Q733" s="224"/>
      <c r="R733" s="224"/>
      <c r="S733" s="224"/>
      <c r="T733" s="224"/>
      <c r="U733" s="224"/>
      <c r="V733" s="224"/>
      <c r="W733" s="224"/>
      <c r="X733" s="224"/>
      <c r="Y733" s="224"/>
    </row>
    <row r="734" spans="1:25" ht="15.75" hidden="1" customHeight="1" x14ac:dyDescent="0.2">
      <c r="A734" s="224"/>
      <c r="B734" s="217"/>
      <c r="C734" s="218"/>
      <c r="D734" s="218"/>
      <c r="E734" s="218"/>
      <c r="F734" s="170"/>
      <c r="G734" s="170"/>
      <c r="H734" s="170"/>
      <c r="I734" s="170"/>
      <c r="J734" s="216"/>
      <c r="K734" s="224"/>
      <c r="L734" s="224"/>
      <c r="M734" s="224"/>
      <c r="N734" s="224"/>
      <c r="O734" s="224"/>
      <c r="P734" s="224"/>
      <c r="Q734" s="224"/>
      <c r="R734" s="224"/>
      <c r="S734" s="224"/>
      <c r="T734" s="224"/>
      <c r="U734" s="224"/>
      <c r="V734" s="224"/>
      <c r="W734" s="224"/>
      <c r="X734" s="224"/>
      <c r="Y734" s="224"/>
    </row>
    <row r="735" spans="1:25" ht="15.75" hidden="1" customHeight="1" x14ac:dyDescent="0.2">
      <c r="A735" s="224"/>
      <c r="B735" s="217"/>
      <c r="C735" s="218"/>
      <c r="D735" s="218"/>
      <c r="E735" s="218"/>
      <c r="F735" s="170"/>
      <c r="G735" s="170"/>
      <c r="H735" s="170"/>
      <c r="I735" s="170"/>
      <c r="J735" s="216"/>
      <c r="K735" s="224"/>
      <c r="L735" s="224"/>
      <c r="M735" s="224"/>
      <c r="N735" s="224"/>
      <c r="O735" s="224"/>
      <c r="P735" s="224"/>
      <c r="Q735" s="224"/>
      <c r="R735" s="224"/>
      <c r="S735" s="224"/>
      <c r="T735" s="224"/>
      <c r="U735" s="224"/>
      <c r="V735" s="224"/>
      <c r="W735" s="224"/>
      <c r="X735" s="224"/>
      <c r="Y735" s="224"/>
    </row>
    <row r="736" spans="1:25" ht="15.75" hidden="1" customHeight="1" x14ac:dyDescent="0.2">
      <c r="A736" s="224"/>
      <c r="B736" s="217"/>
      <c r="C736" s="218"/>
      <c r="D736" s="218"/>
      <c r="E736" s="218"/>
      <c r="F736" s="170"/>
      <c r="G736" s="170"/>
      <c r="H736" s="170"/>
      <c r="I736" s="170"/>
      <c r="J736" s="216"/>
      <c r="K736" s="224"/>
      <c r="L736" s="224"/>
      <c r="M736" s="224"/>
      <c r="N736" s="224"/>
      <c r="O736" s="224"/>
      <c r="P736" s="224"/>
      <c r="Q736" s="224"/>
      <c r="R736" s="224"/>
      <c r="S736" s="224"/>
      <c r="T736" s="224"/>
      <c r="U736" s="224"/>
      <c r="V736" s="224"/>
      <c r="W736" s="224"/>
      <c r="X736" s="224"/>
      <c r="Y736" s="224"/>
    </row>
    <row r="737" spans="1:25" ht="15.75" hidden="1" customHeight="1" x14ac:dyDescent="0.2">
      <c r="A737" s="224"/>
      <c r="B737" s="217"/>
      <c r="C737" s="218"/>
      <c r="D737" s="218"/>
      <c r="E737" s="218"/>
      <c r="F737" s="170"/>
      <c r="G737" s="170"/>
      <c r="H737" s="170"/>
      <c r="I737" s="170"/>
      <c r="J737" s="216"/>
      <c r="K737" s="224"/>
      <c r="L737" s="224"/>
      <c r="M737" s="224"/>
      <c r="N737" s="224"/>
      <c r="O737" s="224"/>
      <c r="P737" s="224"/>
      <c r="Q737" s="224"/>
      <c r="R737" s="224"/>
      <c r="S737" s="224"/>
      <c r="T737" s="224"/>
      <c r="U737" s="224"/>
      <c r="V737" s="224"/>
      <c r="W737" s="224"/>
      <c r="X737" s="224"/>
      <c r="Y737" s="224"/>
    </row>
    <row r="738" spans="1:25" ht="15.75" hidden="1" customHeight="1" x14ac:dyDescent="0.2">
      <c r="A738" s="224"/>
      <c r="B738" s="217"/>
      <c r="C738" s="218"/>
      <c r="D738" s="218"/>
      <c r="E738" s="218"/>
      <c r="F738" s="170"/>
      <c r="G738" s="170"/>
      <c r="H738" s="170"/>
      <c r="I738" s="170"/>
      <c r="J738" s="216"/>
      <c r="K738" s="224"/>
      <c r="L738" s="224"/>
      <c r="M738" s="224"/>
      <c r="N738" s="224"/>
      <c r="O738" s="224"/>
      <c r="P738" s="224"/>
      <c r="Q738" s="224"/>
      <c r="R738" s="224"/>
      <c r="S738" s="224"/>
      <c r="T738" s="224"/>
      <c r="U738" s="224"/>
      <c r="V738" s="224"/>
      <c r="W738" s="224"/>
      <c r="X738" s="224"/>
      <c r="Y738" s="224"/>
    </row>
    <row r="739" spans="1:25" ht="15.75" hidden="1" customHeight="1" x14ac:dyDescent="0.2">
      <c r="A739" s="224"/>
      <c r="B739" s="217"/>
      <c r="C739" s="218"/>
      <c r="D739" s="218"/>
      <c r="E739" s="218"/>
      <c r="F739" s="170"/>
      <c r="G739" s="170"/>
      <c r="H739" s="170"/>
      <c r="I739" s="170"/>
      <c r="J739" s="216"/>
      <c r="K739" s="224"/>
      <c r="L739" s="224"/>
      <c r="M739" s="224"/>
      <c r="N739" s="224"/>
      <c r="O739" s="224"/>
      <c r="P739" s="224"/>
      <c r="Q739" s="224"/>
      <c r="R739" s="224"/>
      <c r="S739" s="224"/>
      <c r="T739" s="224"/>
      <c r="U739" s="224"/>
      <c r="V739" s="224"/>
      <c r="W739" s="224"/>
      <c r="X739" s="224"/>
      <c r="Y739" s="224"/>
    </row>
    <row r="740" spans="1:25" ht="15.75" hidden="1" customHeight="1" x14ac:dyDescent="0.2">
      <c r="A740" s="224"/>
      <c r="B740" s="217"/>
      <c r="C740" s="218"/>
      <c r="D740" s="218"/>
      <c r="E740" s="218"/>
      <c r="F740" s="170"/>
      <c r="G740" s="170"/>
      <c r="H740" s="170"/>
      <c r="I740" s="170"/>
      <c r="J740" s="216"/>
      <c r="K740" s="224"/>
      <c r="L740" s="224"/>
      <c r="M740" s="224"/>
      <c r="N740" s="224"/>
      <c r="O740" s="224"/>
      <c r="P740" s="224"/>
      <c r="Q740" s="224"/>
      <c r="R740" s="224"/>
      <c r="S740" s="224"/>
      <c r="T740" s="224"/>
      <c r="U740" s="224"/>
      <c r="V740" s="224"/>
      <c r="W740" s="224"/>
      <c r="X740" s="224"/>
      <c r="Y740" s="224"/>
    </row>
    <row r="741" spans="1:25" ht="15.75" hidden="1" customHeight="1" x14ac:dyDescent="0.2">
      <c r="A741" s="224"/>
      <c r="B741" s="217"/>
      <c r="C741" s="218"/>
      <c r="D741" s="218"/>
      <c r="E741" s="218"/>
      <c r="F741" s="170"/>
      <c r="G741" s="170"/>
      <c r="H741" s="170"/>
      <c r="I741" s="170"/>
      <c r="J741" s="216"/>
      <c r="K741" s="224"/>
      <c r="L741" s="224"/>
      <c r="M741" s="224"/>
      <c r="N741" s="224"/>
      <c r="O741" s="224"/>
      <c r="P741" s="224"/>
      <c r="Q741" s="224"/>
      <c r="R741" s="224"/>
      <c r="S741" s="224"/>
      <c r="T741" s="224"/>
      <c r="U741" s="224"/>
      <c r="V741" s="224"/>
      <c r="W741" s="224"/>
      <c r="X741" s="224"/>
      <c r="Y741" s="224"/>
    </row>
    <row r="742" spans="1:25" ht="15.75" hidden="1" customHeight="1" x14ac:dyDescent="0.2">
      <c r="A742" s="224"/>
      <c r="B742" s="217"/>
      <c r="C742" s="218"/>
      <c r="D742" s="218"/>
      <c r="E742" s="218"/>
      <c r="F742" s="170"/>
      <c r="G742" s="170"/>
      <c r="H742" s="170"/>
      <c r="I742" s="170"/>
      <c r="J742" s="216"/>
      <c r="K742" s="224"/>
      <c r="L742" s="224"/>
      <c r="M742" s="224"/>
      <c r="N742" s="224"/>
      <c r="O742" s="224"/>
      <c r="P742" s="224"/>
      <c r="Q742" s="224"/>
      <c r="R742" s="224"/>
      <c r="S742" s="224"/>
      <c r="T742" s="224"/>
      <c r="U742" s="224"/>
      <c r="V742" s="224"/>
      <c r="W742" s="224"/>
      <c r="X742" s="224"/>
      <c r="Y742" s="224"/>
    </row>
    <row r="743" spans="1:25" ht="15.75" hidden="1" customHeight="1" x14ac:dyDescent="0.2">
      <c r="A743" s="224"/>
      <c r="B743" s="217"/>
      <c r="C743" s="218"/>
      <c r="D743" s="218"/>
      <c r="E743" s="218"/>
      <c r="F743" s="170"/>
      <c r="G743" s="170"/>
      <c r="H743" s="170"/>
      <c r="I743" s="170"/>
      <c r="J743" s="216"/>
      <c r="K743" s="224"/>
      <c r="L743" s="224"/>
      <c r="M743" s="224"/>
      <c r="N743" s="224"/>
      <c r="O743" s="224"/>
      <c r="P743" s="224"/>
      <c r="Q743" s="224"/>
      <c r="R743" s="224"/>
      <c r="S743" s="224"/>
      <c r="T743" s="224"/>
      <c r="U743" s="224"/>
      <c r="V743" s="224"/>
      <c r="W743" s="224"/>
      <c r="X743" s="224"/>
      <c r="Y743" s="224"/>
    </row>
    <row r="744" spans="1:25" ht="15.75" hidden="1" customHeight="1" x14ac:dyDescent="0.2">
      <c r="A744" s="224"/>
      <c r="B744" s="217"/>
      <c r="C744" s="218"/>
      <c r="D744" s="218"/>
      <c r="E744" s="218"/>
      <c r="F744" s="170"/>
      <c r="G744" s="170"/>
      <c r="H744" s="170"/>
      <c r="I744" s="170"/>
      <c r="J744" s="216"/>
      <c r="K744" s="224"/>
      <c r="L744" s="224"/>
      <c r="M744" s="224"/>
      <c r="N744" s="224"/>
      <c r="O744" s="224"/>
      <c r="P744" s="224"/>
      <c r="Q744" s="224"/>
      <c r="R744" s="224"/>
      <c r="S744" s="224"/>
      <c r="T744" s="224"/>
      <c r="U744" s="224"/>
      <c r="V744" s="224"/>
      <c r="W744" s="224"/>
      <c r="X744" s="224"/>
      <c r="Y744" s="224"/>
    </row>
    <row r="745" spans="1:25" ht="15.75" hidden="1" customHeight="1" x14ac:dyDescent="0.2">
      <c r="A745" s="224"/>
      <c r="B745" s="217"/>
      <c r="C745" s="218"/>
      <c r="D745" s="218"/>
      <c r="E745" s="218"/>
      <c r="F745" s="170"/>
      <c r="G745" s="170"/>
      <c r="H745" s="170"/>
      <c r="I745" s="170"/>
      <c r="J745" s="216"/>
      <c r="K745" s="224"/>
      <c r="L745" s="224"/>
      <c r="M745" s="224"/>
      <c r="N745" s="224"/>
      <c r="O745" s="224"/>
      <c r="P745" s="224"/>
      <c r="Q745" s="224"/>
      <c r="R745" s="224"/>
      <c r="S745" s="224"/>
      <c r="T745" s="224"/>
      <c r="U745" s="224"/>
      <c r="V745" s="224"/>
      <c r="W745" s="224"/>
      <c r="X745" s="224"/>
      <c r="Y745" s="224"/>
    </row>
    <row r="746" spans="1:25" ht="15.75" hidden="1" customHeight="1" x14ac:dyDescent="0.2">
      <c r="A746" s="224"/>
      <c r="B746" s="217"/>
      <c r="C746" s="218"/>
      <c r="D746" s="218"/>
      <c r="E746" s="218"/>
      <c r="F746" s="170"/>
      <c r="G746" s="170"/>
      <c r="H746" s="170"/>
      <c r="I746" s="170"/>
      <c r="J746" s="216"/>
      <c r="K746" s="224"/>
      <c r="L746" s="224"/>
      <c r="M746" s="224"/>
      <c r="N746" s="224"/>
      <c r="O746" s="224"/>
      <c r="P746" s="224"/>
      <c r="Q746" s="224"/>
      <c r="R746" s="224"/>
      <c r="S746" s="224"/>
      <c r="T746" s="224"/>
      <c r="U746" s="224"/>
      <c r="V746" s="224"/>
      <c r="W746" s="224"/>
      <c r="X746" s="224"/>
      <c r="Y746" s="224"/>
    </row>
    <row r="747" spans="1:25" ht="15.75" hidden="1" customHeight="1" x14ac:dyDescent="0.2">
      <c r="A747" s="224"/>
      <c r="B747" s="217"/>
      <c r="C747" s="218"/>
      <c r="D747" s="218"/>
      <c r="E747" s="218"/>
      <c r="F747" s="170"/>
      <c r="G747" s="170"/>
      <c r="H747" s="170"/>
      <c r="I747" s="170"/>
      <c r="J747" s="216"/>
      <c r="K747" s="224"/>
      <c r="L747" s="224"/>
      <c r="M747" s="224"/>
      <c r="N747" s="224"/>
      <c r="O747" s="224"/>
      <c r="P747" s="224"/>
      <c r="Q747" s="224"/>
      <c r="R747" s="224"/>
      <c r="S747" s="224"/>
      <c r="T747" s="224"/>
      <c r="U747" s="224"/>
      <c r="V747" s="224"/>
      <c r="W747" s="224"/>
      <c r="X747" s="224"/>
      <c r="Y747" s="224"/>
    </row>
    <row r="748" spans="1:25" ht="15.75" hidden="1" customHeight="1" x14ac:dyDescent="0.2">
      <c r="A748" s="224"/>
      <c r="B748" s="217"/>
      <c r="C748" s="218"/>
      <c r="D748" s="218"/>
      <c r="E748" s="218"/>
      <c r="F748" s="170"/>
      <c r="G748" s="170"/>
      <c r="H748" s="170"/>
      <c r="I748" s="170"/>
      <c r="J748" s="216"/>
      <c r="K748" s="224"/>
      <c r="L748" s="224"/>
      <c r="M748" s="224"/>
      <c r="N748" s="224"/>
      <c r="O748" s="224"/>
      <c r="P748" s="224"/>
      <c r="Q748" s="224"/>
      <c r="R748" s="224"/>
      <c r="S748" s="224"/>
      <c r="T748" s="224"/>
      <c r="U748" s="224"/>
      <c r="V748" s="224"/>
      <c r="W748" s="224"/>
      <c r="X748" s="224"/>
      <c r="Y748" s="224"/>
    </row>
    <row r="749" spans="1:25" ht="15.75" hidden="1" customHeight="1" x14ac:dyDescent="0.2">
      <c r="A749" s="224"/>
      <c r="B749" s="217"/>
      <c r="C749" s="218"/>
      <c r="D749" s="218"/>
      <c r="E749" s="218"/>
      <c r="F749" s="170"/>
      <c r="G749" s="170"/>
      <c r="H749" s="170"/>
      <c r="I749" s="170"/>
      <c r="J749" s="216"/>
      <c r="K749" s="224"/>
      <c r="L749" s="224"/>
      <c r="M749" s="224"/>
      <c r="N749" s="224"/>
      <c r="O749" s="224"/>
      <c r="P749" s="224"/>
      <c r="Q749" s="224"/>
      <c r="R749" s="224"/>
      <c r="S749" s="224"/>
      <c r="T749" s="224"/>
      <c r="U749" s="224"/>
      <c r="V749" s="224"/>
      <c r="W749" s="224"/>
      <c r="X749" s="224"/>
      <c r="Y749" s="224"/>
    </row>
    <row r="750" spans="1:25" ht="15.75" hidden="1" customHeight="1" x14ac:dyDescent="0.2">
      <c r="A750" s="224"/>
      <c r="B750" s="217"/>
      <c r="C750" s="218"/>
      <c r="D750" s="218"/>
      <c r="E750" s="218"/>
      <c r="F750" s="170"/>
      <c r="G750" s="170"/>
      <c r="H750" s="170"/>
      <c r="I750" s="170"/>
      <c r="J750" s="216"/>
      <c r="K750" s="224"/>
      <c r="L750" s="224"/>
      <c r="M750" s="224"/>
      <c r="N750" s="224"/>
      <c r="O750" s="224"/>
      <c r="P750" s="224"/>
      <c r="Q750" s="224"/>
      <c r="R750" s="224"/>
      <c r="S750" s="224"/>
      <c r="T750" s="224"/>
      <c r="U750" s="224"/>
      <c r="V750" s="224"/>
      <c r="W750" s="224"/>
      <c r="X750" s="224"/>
      <c r="Y750" s="224"/>
    </row>
    <row r="751" spans="1:25" ht="15.75" hidden="1" customHeight="1" x14ac:dyDescent="0.2">
      <c r="A751" s="224"/>
      <c r="B751" s="217"/>
      <c r="C751" s="218"/>
      <c r="D751" s="218"/>
      <c r="E751" s="218"/>
      <c r="F751" s="170"/>
      <c r="G751" s="170"/>
      <c r="H751" s="170"/>
      <c r="I751" s="170"/>
      <c r="J751" s="216"/>
      <c r="K751" s="224"/>
      <c r="L751" s="224"/>
      <c r="M751" s="224"/>
      <c r="N751" s="224"/>
      <c r="O751" s="224"/>
      <c r="P751" s="224"/>
      <c r="Q751" s="224"/>
      <c r="R751" s="224"/>
      <c r="S751" s="224"/>
      <c r="T751" s="224"/>
      <c r="U751" s="224"/>
      <c r="V751" s="224"/>
      <c r="W751" s="224"/>
      <c r="X751" s="224"/>
      <c r="Y751" s="224"/>
    </row>
    <row r="752" spans="1:25" ht="15.75" hidden="1" customHeight="1" x14ac:dyDescent="0.2">
      <c r="A752" s="224"/>
      <c r="B752" s="217"/>
      <c r="C752" s="218"/>
      <c r="D752" s="218"/>
      <c r="E752" s="218"/>
      <c r="F752" s="170"/>
      <c r="G752" s="170"/>
      <c r="H752" s="170"/>
      <c r="I752" s="170"/>
      <c r="J752" s="216"/>
      <c r="K752" s="224"/>
      <c r="L752" s="224"/>
      <c r="M752" s="224"/>
      <c r="N752" s="224"/>
      <c r="O752" s="224"/>
      <c r="P752" s="224"/>
      <c r="Q752" s="224"/>
      <c r="R752" s="224"/>
      <c r="S752" s="224"/>
      <c r="T752" s="224"/>
      <c r="U752" s="224"/>
      <c r="V752" s="224"/>
      <c r="W752" s="224"/>
      <c r="X752" s="224"/>
      <c r="Y752" s="224"/>
    </row>
    <row r="753" spans="1:25" ht="15.75" hidden="1" customHeight="1" x14ac:dyDescent="0.2">
      <c r="A753" s="224"/>
      <c r="B753" s="217"/>
      <c r="C753" s="218"/>
      <c r="D753" s="218"/>
      <c r="E753" s="218"/>
      <c r="F753" s="170"/>
      <c r="G753" s="170"/>
      <c r="H753" s="170"/>
      <c r="I753" s="170"/>
      <c r="J753" s="216"/>
      <c r="K753" s="224"/>
      <c r="L753" s="224"/>
      <c r="M753" s="224"/>
      <c r="N753" s="224"/>
      <c r="O753" s="224"/>
      <c r="P753" s="224"/>
      <c r="Q753" s="224"/>
      <c r="R753" s="224"/>
      <c r="S753" s="224"/>
      <c r="T753" s="224"/>
      <c r="U753" s="224"/>
      <c r="V753" s="224"/>
      <c r="W753" s="224"/>
      <c r="X753" s="224"/>
      <c r="Y753" s="224"/>
    </row>
    <row r="754" spans="1:25" ht="15.75" hidden="1" customHeight="1" x14ac:dyDescent="0.2">
      <c r="A754" s="224"/>
      <c r="B754" s="217"/>
      <c r="C754" s="218"/>
      <c r="D754" s="218"/>
      <c r="E754" s="218"/>
      <c r="F754" s="170"/>
      <c r="G754" s="170"/>
      <c r="H754" s="170"/>
      <c r="I754" s="170"/>
      <c r="J754" s="216"/>
      <c r="K754" s="224"/>
      <c r="L754" s="224"/>
      <c r="M754" s="224"/>
      <c r="N754" s="224"/>
      <c r="O754" s="224"/>
      <c r="P754" s="224"/>
      <c r="Q754" s="224"/>
      <c r="R754" s="224"/>
      <c r="S754" s="224"/>
      <c r="T754" s="224"/>
      <c r="U754" s="224"/>
      <c r="V754" s="224"/>
      <c r="W754" s="224"/>
      <c r="X754" s="224"/>
      <c r="Y754" s="224"/>
    </row>
    <row r="755" spans="1:25" ht="15.75" hidden="1" customHeight="1" x14ac:dyDescent="0.2">
      <c r="A755" s="224"/>
      <c r="B755" s="217"/>
      <c r="C755" s="218"/>
      <c r="D755" s="218"/>
      <c r="E755" s="218"/>
      <c r="F755" s="170"/>
      <c r="G755" s="170"/>
      <c r="H755" s="170"/>
      <c r="I755" s="170"/>
      <c r="J755" s="216"/>
      <c r="K755" s="224"/>
      <c r="L755" s="224"/>
      <c r="M755" s="224"/>
      <c r="N755" s="224"/>
      <c r="O755" s="224"/>
      <c r="P755" s="224"/>
      <c r="Q755" s="224"/>
      <c r="R755" s="224"/>
      <c r="S755" s="224"/>
      <c r="T755" s="224"/>
      <c r="U755" s="224"/>
      <c r="V755" s="224"/>
      <c r="W755" s="224"/>
      <c r="X755" s="224"/>
      <c r="Y755" s="224"/>
    </row>
    <row r="756" spans="1:25" ht="15.75" hidden="1" customHeight="1" x14ac:dyDescent="0.2">
      <c r="A756" s="224"/>
      <c r="B756" s="217"/>
      <c r="C756" s="218"/>
      <c r="D756" s="218"/>
      <c r="E756" s="218"/>
      <c r="F756" s="170"/>
      <c r="G756" s="170"/>
      <c r="H756" s="170"/>
      <c r="I756" s="170"/>
      <c r="J756" s="216"/>
      <c r="K756" s="224"/>
      <c r="L756" s="224"/>
      <c r="M756" s="224"/>
      <c r="N756" s="224"/>
      <c r="O756" s="224"/>
      <c r="P756" s="224"/>
      <c r="Q756" s="224"/>
      <c r="R756" s="224"/>
      <c r="S756" s="224"/>
      <c r="T756" s="224"/>
      <c r="U756" s="224"/>
      <c r="V756" s="224"/>
      <c r="W756" s="224"/>
      <c r="X756" s="224"/>
      <c r="Y756" s="224"/>
    </row>
    <row r="757" spans="1:25" ht="15.75" hidden="1" customHeight="1" x14ac:dyDescent="0.2">
      <c r="A757" s="224"/>
      <c r="B757" s="217"/>
      <c r="C757" s="218"/>
      <c r="D757" s="218"/>
      <c r="E757" s="218"/>
      <c r="F757" s="170"/>
      <c r="G757" s="170"/>
      <c r="H757" s="170"/>
      <c r="I757" s="170"/>
      <c r="J757" s="216"/>
      <c r="K757" s="224"/>
      <c r="L757" s="224"/>
      <c r="M757" s="224"/>
      <c r="N757" s="224"/>
      <c r="O757" s="224"/>
      <c r="P757" s="224"/>
      <c r="Q757" s="224"/>
      <c r="R757" s="224"/>
      <c r="S757" s="224"/>
      <c r="T757" s="224"/>
      <c r="U757" s="224"/>
      <c r="V757" s="224"/>
      <c r="W757" s="224"/>
      <c r="X757" s="224"/>
      <c r="Y757" s="224"/>
    </row>
    <row r="758" spans="1:25" ht="15.75" hidden="1" customHeight="1" x14ac:dyDescent="0.2">
      <c r="A758" s="224"/>
      <c r="B758" s="217"/>
      <c r="C758" s="218"/>
      <c r="D758" s="218"/>
      <c r="E758" s="218"/>
      <c r="F758" s="170"/>
      <c r="G758" s="170"/>
      <c r="H758" s="170"/>
      <c r="I758" s="170"/>
      <c r="J758" s="216"/>
      <c r="K758" s="224"/>
      <c r="L758" s="224"/>
      <c r="M758" s="224"/>
      <c r="N758" s="224"/>
      <c r="O758" s="224"/>
      <c r="P758" s="224"/>
      <c r="Q758" s="224"/>
      <c r="R758" s="224"/>
      <c r="S758" s="224"/>
      <c r="T758" s="224"/>
      <c r="U758" s="224"/>
      <c r="V758" s="224"/>
      <c r="W758" s="224"/>
      <c r="X758" s="224"/>
      <c r="Y758" s="224"/>
    </row>
    <row r="759" spans="1:25" ht="15.75" hidden="1" customHeight="1" x14ac:dyDescent="0.2">
      <c r="A759" s="224"/>
      <c r="B759" s="217"/>
      <c r="C759" s="218"/>
      <c r="D759" s="218"/>
      <c r="E759" s="218"/>
      <c r="F759" s="170"/>
      <c r="G759" s="170"/>
      <c r="H759" s="170"/>
      <c r="I759" s="170"/>
      <c r="J759" s="216"/>
      <c r="K759" s="224"/>
      <c r="L759" s="224"/>
      <c r="M759" s="224"/>
      <c r="N759" s="224"/>
      <c r="O759" s="224"/>
      <c r="P759" s="224"/>
      <c r="Q759" s="224"/>
      <c r="R759" s="224"/>
      <c r="S759" s="224"/>
      <c r="T759" s="224"/>
      <c r="U759" s="224"/>
      <c r="V759" s="224"/>
      <c r="W759" s="224"/>
      <c r="X759" s="224"/>
      <c r="Y759" s="224"/>
    </row>
    <row r="760" spans="1:25" ht="15.75" hidden="1" customHeight="1" x14ac:dyDescent="0.2">
      <c r="A760" s="224"/>
      <c r="B760" s="217"/>
      <c r="C760" s="218"/>
      <c r="D760" s="218"/>
      <c r="E760" s="218"/>
      <c r="F760" s="170"/>
      <c r="G760" s="170"/>
      <c r="H760" s="170"/>
      <c r="I760" s="170"/>
      <c r="J760" s="216"/>
      <c r="K760" s="224"/>
      <c r="L760" s="224"/>
      <c r="M760" s="224"/>
      <c r="N760" s="224"/>
      <c r="O760" s="224"/>
      <c r="P760" s="224"/>
      <c r="Q760" s="224"/>
      <c r="R760" s="224"/>
      <c r="S760" s="224"/>
      <c r="T760" s="224"/>
      <c r="U760" s="224"/>
      <c r="V760" s="224"/>
      <c r="W760" s="224"/>
      <c r="X760" s="224"/>
      <c r="Y760" s="224"/>
    </row>
    <row r="761" spans="1:25" ht="15.75" hidden="1" customHeight="1" x14ac:dyDescent="0.2">
      <c r="A761" s="224"/>
      <c r="B761" s="217"/>
      <c r="C761" s="218"/>
      <c r="D761" s="218"/>
      <c r="E761" s="218"/>
      <c r="F761" s="170"/>
      <c r="G761" s="170"/>
      <c r="H761" s="170"/>
      <c r="I761" s="170"/>
      <c r="J761" s="216"/>
      <c r="K761" s="224"/>
      <c r="L761" s="224"/>
      <c r="M761" s="224"/>
      <c r="N761" s="224"/>
      <c r="O761" s="224"/>
      <c r="P761" s="224"/>
      <c r="Q761" s="224"/>
      <c r="R761" s="224"/>
      <c r="S761" s="224"/>
      <c r="T761" s="224"/>
      <c r="U761" s="224"/>
      <c r="V761" s="224"/>
      <c r="W761" s="224"/>
      <c r="X761" s="224"/>
      <c r="Y761" s="224"/>
    </row>
    <row r="762" spans="1:25" ht="15.75" hidden="1" customHeight="1" x14ac:dyDescent="0.2">
      <c r="A762" s="224"/>
      <c r="B762" s="217"/>
      <c r="C762" s="218"/>
      <c r="D762" s="218"/>
      <c r="E762" s="218"/>
      <c r="F762" s="170"/>
      <c r="G762" s="170"/>
      <c r="H762" s="170"/>
      <c r="I762" s="170"/>
      <c r="J762" s="216"/>
      <c r="K762" s="224"/>
      <c r="L762" s="224"/>
      <c r="M762" s="224"/>
      <c r="N762" s="224"/>
      <c r="O762" s="224"/>
      <c r="P762" s="224"/>
      <c r="Q762" s="224"/>
      <c r="R762" s="224"/>
      <c r="S762" s="224"/>
      <c r="T762" s="224"/>
      <c r="U762" s="224"/>
      <c r="V762" s="224"/>
      <c r="W762" s="224"/>
      <c r="X762" s="224"/>
      <c r="Y762" s="224"/>
    </row>
    <row r="763" spans="1:25" ht="15.75" hidden="1" customHeight="1" x14ac:dyDescent="0.2">
      <c r="A763" s="224"/>
      <c r="B763" s="217"/>
      <c r="C763" s="218"/>
      <c r="D763" s="218"/>
      <c r="E763" s="218"/>
      <c r="F763" s="170"/>
      <c r="G763" s="170"/>
      <c r="H763" s="170"/>
      <c r="I763" s="170"/>
      <c r="J763" s="216"/>
      <c r="K763" s="224"/>
      <c r="L763" s="224"/>
      <c r="M763" s="224"/>
      <c r="N763" s="224"/>
      <c r="O763" s="224"/>
      <c r="P763" s="224"/>
      <c r="Q763" s="224"/>
      <c r="R763" s="224"/>
      <c r="S763" s="224"/>
      <c r="T763" s="224"/>
      <c r="U763" s="224"/>
      <c r="V763" s="224"/>
      <c r="W763" s="224"/>
      <c r="X763" s="224"/>
      <c r="Y763" s="224"/>
    </row>
    <row r="764" spans="1:25" ht="15.75" hidden="1" customHeight="1" x14ac:dyDescent="0.2">
      <c r="A764" s="224"/>
      <c r="B764" s="217"/>
      <c r="C764" s="218"/>
      <c r="D764" s="218"/>
      <c r="E764" s="218"/>
      <c r="F764" s="170"/>
      <c r="G764" s="170"/>
      <c r="H764" s="170"/>
      <c r="I764" s="170"/>
      <c r="J764" s="216"/>
      <c r="K764" s="224"/>
      <c r="L764" s="224"/>
      <c r="M764" s="224"/>
      <c r="N764" s="224"/>
      <c r="O764" s="224"/>
      <c r="P764" s="224"/>
      <c r="Q764" s="224"/>
      <c r="R764" s="224"/>
      <c r="S764" s="224"/>
      <c r="T764" s="224"/>
      <c r="U764" s="224"/>
      <c r="V764" s="224"/>
      <c r="W764" s="224"/>
      <c r="X764" s="224"/>
      <c r="Y764" s="224"/>
    </row>
    <row r="765" spans="1:25" ht="15.75" hidden="1" customHeight="1" x14ac:dyDescent="0.2">
      <c r="A765" s="224"/>
      <c r="B765" s="217"/>
      <c r="C765" s="218"/>
      <c r="D765" s="218"/>
      <c r="E765" s="218"/>
      <c r="F765" s="170"/>
      <c r="G765" s="170"/>
      <c r="H765" s="170"/>
      <c r="I765" s="170"/>
      <c r="J765" s="216"/>
      <c r="K765" s="224"/>
      <c r="L765" s="224"/>
      <c r="M765" s="224"/>
      <c r="N765" s="224"/>
      <c r="O765" s="224"/>
      <c r="P765" s="224"/>
      <c r="Q765" s="224"/>
      <c r="R765" s="224"/>
      <c r="S765" s="224"/>
      <c r="T765" s="224"/>
      <c r="U765" s="224"/>
      <c r="V765" s="224"/>
      <c r="W765" s="224"/>
      <c r="X765" s="224"/>
      <c r="Y765" s="224"/>
    </row>
    <row r="766" spans="1:25" ht="15.75" hidden="1" customHeight="1" x14ac:dyDescent="0.2">
      <c r="A766" s="224"/>
      <c r="B766" s="217"/>
      <c r="C766" s="218"/>
      <c r="D766" s="218"/>
      <c r="E766" s="218"/>
      <c r="F766" s="170"/>
      <c r="G766" s="170"/>
      <c r="H766" s="170"/>
      <c r="I766" s="170"/>
      <c r="J766" s="216"/>
      <c r="K766" s="224"/>
      <c r="L766" s="224"/>
      <c r="M766" s="224"/>
      <c r="N766" s="224"/>
      <c r="O766" s="224"/>
      <c r="P766" s="224"/>
      <c r="Q766" s="224"/>
      <c r="R766" s="224"/>
      <c r="S766" s="224"/>
      <c r="T766" s="224"/>
      <c r="U766" s="224"/>
      <c r="V766" s="224"/>
      <c r="W766" s="224"/>
      <c r="X766" s="224"/>
      <c r="Y766" s="224"/>
    </row>
    <row r="767" spans="1:25" ht="15.75" hidden="1" customHeight="1" x14ac:dyDescent="0.2">
      <c r="A767" s="224"/>
      <c r="B767" s="217"/>
      <c r="C767" s="218"/>
      <c r="D767" s="218"/>
      <c r="E767" s="218"/>
      <c r="F767" s="170"/>
      <c r="G767" s="170"/>
      <c r="H767" s="170"/>
      <c r="I767" s="170"/>
      <c r="J767" s="216"/>
      <c r="K767" s="224"/>
      <c r="L767" s="224"/>
      <c r="M767" s="224"/>
      <c r="N767" s="224"/>
      <c r="O767" s="224"/>
      <c r="P767" s="224"/>
      <c r="Q767" s="224"/>
      <c r="R767" s="224"/>
      <c r="S767" s="224"/>
      <c r="T767" s="224"/>
      <c r="U767" s="224"/>
      <c r="V767" s="224"/>
      <c r="W767" s="224"/>
      <c r="X767" s="224"/>
      <c r="Y767" s="224"/>
    </row>
    <row r="768" spans="1:25" ht="15.75" hidden="1" customHeight="1" x14ac:dyDescent="0.2">
      <c r="A768" s="224"/>
      <c r="B768" s="217"/>
      <c r="C768" s="218"/>
      <c r="D768" s="218"/>
      <c r="E768" s="218"/>
      <c r="F768" s="170"/>
      <c r="G768" s="170"/>
      <c r="H768" s="170"/>
      <c r="I768" s="170"/>
      <c r="J768" s="216"/>
      <c r="K768" s="224"/>
      <c r="L768" s="224"/>
      <c r="M768" s="224"/>
      <c r="N768" s="224"/>
      <c r="O768" s="224"/>
      <c r="P768" s="224"/>
      <c r="Q768" s="224"/>
      <c r="R768" s="224"/>
      <c r="S768" s="224"/>
      <c r="T768" s="224"/>
      <c r="U768" s="224"/>
      <c r="V768" s="224"/>
      <c r="W768" s="224"/>
      <c r="X768" s="224"/>
      <c r="Y768" s="224"/>
    </row>
    <row r="769" spans="1:25" ht="15.75" hidden="1" customHeight="1" x14ac:dyDescent="0.2">
      <c r="A769" s="224"/>
      <c r="B769" s="217"/>
      <c r="C769" s="218"/>
      <c r="D769" s="218"/>
      <c r="E769" s="218"/>
      <c r="F769" s="170"/>
      <c r="G769" s="170"/>
      <c r="H769" s="170"/>
      <c r="I769" s="170"/>
      <c r="J769" s="216"/>
      <c r="K769" s="224"/>
      <c r="L769" s="224"/>
      <c r="M769" s="224"/>
      <c r="N769" s="224"/>
      <c r="O769" s="224"/>
      <c r="P769" s="224"/>
      <c r="Q769" s="224"/>
      <c r="R769" s="224"/>
      <c r="S769" s="224"/>
      <c r="T769" s="224"/>
      <c r="U769" s="224"/>
      <c r="V769" s="224"/>
      <c r="W769" s="224"/>
      <c r="X769" s="224"/>
      <c r="Y769" s="224"/>
    </row>
    <row r="770" spans="1:25" ht="15.75" hidden="1" customHeight="1" x14ac:dyDescent="0.2">
      <c r="A770" s="224"/>
      <c r="B770" s="217"/>
      <c r="C770" s="218"/>
      <c r="D770" s="218"/>
      <c r="E770" s="218"/>
      <c r="F770" s="170"/>
      <c r="G770" s="170"/>
      <c r="H770" s="170"/>
      <c r="I770" s="170"/>
      <c r="J770" s="216"/>
      <c r="K770" s="224"/>
      <c r="L770" s="224"/>
      <c r="M770" s="224"/>
      <c r="N770" s="224"/>
      <c r="O770" s="224"/>
      <c r="P770" s="224"/>
      <c r="Q770" s="224"/>
      <c r="R770" s="224"/>
      <c r="S770" s="224"/>
      <c r="T770" s="224"/>
      <c r="U770" s="224"/>
      <c r="V770" s="224"/>
      <c r="W770" s="224"/>
      <c r="X770" s="224"/>
      <c r="Y770" s="224"/>
    </row>
    <row r="771" spans="1:25" ht="15.75" hidden="1" customHeight="1" x14ac:dyDescent="0.2">
      <c r="A771" s="224"/>
      <c r="B771" s="217"/>
      <c r="C771" s="218"/>
      <c r="D771" s="218"/>
      <c r="E771" s="218"/>
      <c r="F771" s="170"/>
      <c r="G771" s="170"/>
      <c r="H771" s="170"/>
      <c r="I771" s="170"/>
      <c r="J771" s="216"/>
      <c r="K771" s="224"/>
      <c r="L771" s="224"/>
      <c r="M771" s="224"/>
      <c r="N771" s="224"/>
      <c r="O771" s="224"/>
      <c r="P771" s="224"/>
      <c r="Q771" s="224"/>
      <c r="R771" s="224"/>
      <c r="S771" s="224"/>
      <c r="T771" s="224"/>
      <c r="U771" s="224"/>
      <c r="V771" s="224"/>
      <c r="W771" s="224"/>
      <c r="X771" s="224"/>
      <c r="Y771" s="224"/>
    </row>
    <row r="772" spans="1:25" ht="15.75" hidden="1" customHeight="1" x14ac:dyDescent="0.2">
      <c r="A772" s="224"/>
      <c r="B772" s="217"/>
      <c r="C772" s="218"/>
      <c r="D772" s="218"/>
      <c r="E772" s="218"/>
      <c r="F772" s="170"/>
      <c r="G772" s="170"/>
      <c r="H772" s="170"/>
      <c r="I772" s="170"/>
      <c r="J772" s="216"/>
      <c r="K772" s="224"/>
      <c r="L772" s="224"/>
      <c r="M772" s="224"/>
      <c r="N772" s="224"/>
      <c r="O772" s="224"/>
      <c r="P772" s="224"/>
      <c r="Q772" s="224"/>
      <c r="R772" s="224"/>
      <c r="S772" s="224"/>
      <c r="T772" s="224"/>
      <c r="U772" s="224"/>
      <c r="V772" s="224"/>
      <c r="W772" s="224"/>
      <c r="X772" s="224"/>
      <c r="Y772" s="224"/>
    </row>
    <row r="773" spans="1:25" ht="15.75" hidden="1" customHeight="1" x14ac:dyDescent="0.2">
      <c r="A773" s="224"/>
      <c r="B773" s="217"/>
      <c r="C773" s="218"/>
      <c r="D773" s="218"/>
      <c r="E773" s="218"/>
      <c r="F773" s="170"/>
      <c r="G773" s="170"/>
      <c r="H773" s="170"/>
      <c r="I773" s="170"/>
      <c r="J773" s="216"/>
      <c r="K773" s="224"/>
      <c r="L773" s="224"/>
      <c r="M773" s="224"/>
      <c r="N773" s="224"/>
      <c r="O773" s="224"/>
      <c r="P773" s="224"/>
      <c r="Q773" s="224"/>
      <c r="R773" s="224"/>
      <c r="S773" s="224"/>
      <c r="T773" s="224"/>
      <c r="U773" s="224"/>
      <c r="V773" s="224"/>
      <c r="W773" s="224"/>
      <c r="X773" s="224"/>
      <c r="Y773" s="224"/>
    </row>
    <row r="774" spans="1:25" ht="15.75" hidden="1" customHeight="1" x14ac:dyDescent="0.2">
      <c r="A774" s="224"/>
      <c r="B774" s="217"/>
      <c r="C774" s="218"/>
      <c r="D774" s="218"/>
      <c r="E774" s="218"/>
      <c r="F774" s="170"/>
      <c r="G774" s="170"/>
      <c r="H774" s="170"/>
      <c r="I774" s="170"/>
      <c r="J774" s="216"/>
      <c r="K774" s="224"/>
      <c r="L774" s="224"/>
      <c r="M774" s="224"/>
      <c r="N774" s="224"/>
      <c r="O774" s="224"/>
      <c r="P774" s="224"/>
      <c r="Q774" s="224"/>
      <c r="R774" s="224"/>
      <c r="S774" s="224"/>
      <c r="T774" s="224"/>
      <c r="U774" s="224"/>
      <c r="V774" s="224"/>
      <c r="W774" s="224"/>
      <c r="X774" s="224"/>
      <c r="Y774" s="224"/>
    </row>
    <row r="775" spans="1:25" ht="15.75" hidden="1" customHeight="1" x14ac:dyDescent="0.2">
      <c r="A775" s="224"/>
      <c r="B775" s="217"/>
      <c r="C775" s="218"/>
      <c r="D775" s="218"/>
      <c r="E775" s="218"/>
      <c r="F775" s="170"/>
      <c r="G775" s="170"/>
      <c r="H775" s="170"/>
      <c r="I775" s="170"/>
      <c r="J775" s="216"/>
      <c r="K775" s="224"/>
      <c r="L775" s="224"/>
      <c r="M775" s="224"/>
      <c r="N775" s="224"/>
      <c r="O775" s="224"/>
      <c r="P775" s="224"/>
      <c r="Q775" s="224"/>
      <c r="R775" s="224"/>
      <c r="S775" s="224"/>
      <c r="T775" s="224"/>
      <c r="U775" s="224"/>
      <c r="V775" s="224"/>
      <c r="W775" s="224"/>
      <c r="X775" s="224"/>
      <c r="Y775" s="224"/>
    </row>
    <row r="776" spans="1:25" ht="15.75" hidden="1" customHeight="1" x14ac:dyDescent="0.2">
      <c r="A776" s="224"/>
      <c r="B776" s="217"/>
      <c r="C776" s="218"/>
      <c r="D776" s="218"/>
      <c r="E776" s="218"/>
      <c r="F776" s="170"/>
      <c r="G776" s="170"/>
      <c r="H776" s="170"/>
      <c r="I776" s="170"/>
      <c r="J776" s="216"/>
      <c r="K776" s="224"/>
      <c r="L776" s="224"/>
      <c r="M776" s="224"/>
      <c r="N776" s="224"/>
      <c r="O776" s="224"/>
      <c r="P776" s="224"/>
      <c r="Q776" s="224"/>
      <c r="R776" s="224"/>
      <c r="S776" s="224"/>
      <c r="T776" s="224"/>
      <c r="U776" s="224"/>
      <c r="V776" s="224"/>
      <c r="W776" s="224"/>
      <c r="X776" s="224"/>
      <c r="Y776" s="224"/>
    </row>
    <row r="777" spans="1:25" ht="15.75" hidden="1" customHeight="1" x14ac:dyDescent="0.2">
      <c r="A777" s="224"/>
      <c r="B777" s="217"/>
      <c r="C777" s="218"/>
      <c r="D777" s="218"/>
      <c r="E777" s="218"/>
      <c r="F777" s="170"/>
      <c r="G777" s="170"/>
      <c r="H777" s="170"/>
      <c r="I777" s="170"/>
      <c r="J777" s="216"/>
      <c r="K777" s="224"/>
      <c r="L777" s="224"/>
      <c r="M777" s="224"/>
      <c r="N777" s="224"/>
      <c r="O777" s="224"/>
      <c r="P777" s="224"/>
      <c r="Q777" s="224"/>
      <c r="R777" s="224"/>
      <c r="S777" s="224"/>
      <c r="T777" s="224"/>
      <c r="U777" s="224"/>
      <c r="V777" s="224"/>
      <c r="W777" s="224"/>
      <c r="X777" s="224"/>
      <c r="Y777" s="224"/>
    </row>
    <row r="778" spans="1:25" ht="15.75" hidden="1" customHeight="1" x14ac:dyDescent="0.2">
      <c r="A778" s="224"/>
      <c r="B778" s="217"/>
      <c r="C778" s="218"/>
      <c r="D778" s="218"/>
      <c r="E778" s="218"/>
      <c r="F778" s="170"/>
      <c r="G778" s="170"/>
      <c r="H778" s="170"/>
      <c r="I778" s="170"/>
      <c r="J778" s="216"/>
      <c r="K778" s="224"/>
      <c r="L778" s="224"/>
      <c r="M778" s="224"/>
      <c r="N778" s="224"/>
      <c r="O778" s="224"/>
      <c r="P778" s="224"/>
      <c r="Q778" s="224"/>
      <c r="R778" s="224"/>
      <c r="S778" s="224"/>
      <c r="T778" s="224"/>
      <c r="U778" s="224"/>
      <c r="V778" s="224"/>
      <c r="W778" s="224"/>
      <c r="X778" s="224"/>
      <c r="Y778" s="224"/>
    </row>
    <row r="779" spans="1:25" ht="15.75" hidden="1" customHeight="1" x14ac:dyDescent="0.2">
      <c r="A779" s="224"/>
      <c r="B779" s="217"/>
      <c r="C779" s="218"/>
      <c r="D779" s="218"/>
      <c r="E779" s="218"/>
      <c r="F779" s="170"/>
      <c r="G779" s="170"/>
      <c r="H779" s="170"/>
      <c r="I779" s="170"/>
      <c r="J779" s="216"/>
      <c r="K779" s="224"/>
      <c r="L779" s="224"/>
      <c r="M779" s="224"/>
      <c r="N779" s="224"/>
      <c r="O779" s="224"/>
      <c r="P779" s="224"/>
      <c r="Q779" s="224"/>
      <c r="R779" s="224"/>
      <c r="S779" s="224"/>
      <c r="T779" s="224"/>
      <c r="U779" s="224"/>
      <c r="V779" s="224"/>
      <c r="W779" s="224"/>
      <c r="X779" s="224"/>
      <c r="Y779" s="224"/>
    </row>
    <row r="780" spans="1:25" ht="15.75" hidden="1" customHeight="1" x14ac:dyDescent="0.2">
      <c r="A780" s="224"/>
      <c r="B780" s="217"/>
      <c r="C780" s="218"/>
      <c r="D780" s="218"/>
      <c r="E780" s="218"/>
      <c r="F780" s="170"/>
      <c r="G780" s="170"/>
      <c r="H780" s="170"/>
      <c r="I780" s="170"/>
      <c r="J780" s="216"/>
      <c r="K780" s="224"/>
      <c r="L780" s="224"/>
      <c r="M780" s="224"/>
      <c r="N780" s="224"/>
      <c r="O780" s="224"/>
      <c r="P780" s="224"/>
      <c r="Q780" s="224"/>
      <c r="R780" s="224"/>
      <c r="S780" s="224"/>
      <c r="T780" s="224"/>
      <c r="U780" s="224"/>
      <c r="V780" s="224"/>
      <c r="W780" s="224"/>
      <c r="X780" s="224"/>
      <c r="Y780" s="224"/>
    </row>
    <row r="781" spans="1:25" ht="15.75" hidden="1" customHeight="1" x14ac:dyDescent="0.2">
      <c r="A781" s="224"/>
      <c r="B781" s="217"/>
      <c r="C781" s="218"/>
      <c r="D781" s="218"/>
      <c r="E781" s="218"/>
      <c r="F781" s="170"/>
      <c r="G781" s="170"/>
      <c r="H781" s="170"/>
      <c r="I781" s="170"/>
      <c r="J781" s="216"/>
      <c r="K781" s="224"/>
      <c r="L781" s="224"/>
      <c r="M781" s="224"/>
      <c r="N781" s="224"/>
      <c r="O781" s="224"/>
      <c r="P781" s="224"/>
      <c r="Q781" s="224"/>
      <c r="R781" s="224"/>
      <c r="S781" s="224"/>
      <c r="T781" s="224"/>
      <c r="U781" s="224"/>
      <c r="V781" s="224"/>
      <c r="W781" s="224"/>
      <c r="X781" s="224"/>
      <c r="Y781" s="224"/>
    </row>
    <row r="782" spans="1:25" ht="15.75" hidden="1" customHeight="1" x14ac:dyDescent="0.2">
      <c r="A782" s="224"/>
      <c r="B782" s="217"/>
      <c r="C782" s="218"/>
      <c r="D782" s="218"/>
      <c r="E782" s="218"/>
      <c r="F782" s="170"/>
      <c r="G782" s="170"/>
      <c r="H782" s="170"/>
      <c r="I782" s="170"/>
      <c r="J782" s="216"/>
      <c r="K782" s="224"/>
      <c r="L782" s="224"/>
      <c r="M782" s="224"/>
      <c r="N782" s="224"/>
      <c r="O782" s="224"/>
      <c r="P782" s="224"/>
      <c r="Q782" s="224"/>
      <c r="R782" s="224"/>
      <c r="S782" s="224"/>
      <c r="T782" s="224"/>
      <c r="U782" s="224"/>
      <c r="V782" s="224"/>
      <c r="W782" s="224"/>
      <c r="X782" s="224"/>
      <c r="Y782" s="224"/>
    </row>
    <row r="783" spans="1:25" ht="15.75" hidden="1" customHeight="1" x14ac:dyDescent="0.2">
      <c r="A783" s="224"/>
      <c r="B783" s="217"/>
      <c r="C783" s="218"/>
      <c r="D783" s="218"/>
      <c r="E783" s="218"/>
      <c r="F783" s="170"/>
      <c r="G783" s="170"/>
      <c r="H783" s="170"/>
      <c r="I783" s="170"/>
      <c r="J783" s="216"/>
      <c r="K783" s="224"/>
      <c r="L783" s="224"/>
      <c r="M783" s="224"/>
      <c r="N783" s="224"/>
      <c r="O783" s="224"/>
      <c r="P783" s="224"/>
      <c r="Q783" s="224"/>
      <c r="R783" s="224"/>
      <c r="S783" s="224"/>
      <c r="T783" s="224"/>
      <c r="U783" s="224"/>
      <c r="V783" s="224"/>
      <c r="W783" s="224"/>
      <c r="X783" s="224"/>
      <c r="Y783" s="224"/>
    </row>
    <row r="784" spans="1:25" ht="15.75" hidden="1" customHeight="1" x14ac:dyDescent="0.2">
      <c r="A784" s="224"/>
      <c r="B784" s="217"/>
      <c r="C784" s="218"/>
      <c r="D784" s="218"/>
      <c r="E784" s="218"/>
      <c r="F784" s="170"/>
      <c r="G784" s="170"/>
      <c r="H784" s="170"/>
      <c r="I784" s="170"/>
      <c r="J784" s="216"/>
      <c r="K784" s="224"/>
      <c r="L784" s="224"/>
      <c r="M784" s="224"/>
      <c r="N784" s="224"/>
      <c r="O784" s="224"/>
      <c r="P784" s="224"/>
      <c r="Q784" s="224"/>
      <c r="R784" s="224"/>
      <c r="S784" s="224"/>
      <c r="T784" s="224"/>
      <c r="U784" s="224"/>
      <c r="V784" s="224"/>
      <c r="W784" s="224"/>
      <c r="X784" s="224"/>
      <c r="Y784" s="224"/>
    </row>
    <row r="785" spans="1:25" ht="15.75" hidden="1" customHeight="1" x14ac:dyDescent="0.2">
      <c r="A785" s="224"/>
      <c r="B785" s="217"/>
      <c r="C785" s="218"/>
      <c r="D785" s="218"/>
      <c r="E785" s="218"/>
      <c r="F785" s="170"/>
      <c r="G785" s="170"/>
      <c r="H785" s="170"/>
      <c r="I785" s="170"/>
      <c r="J785" s="216"/>
      <c r="K785" s="224"/>
      <c r="L785" s="224"/>
      <c r="M785" s="224"/>
      <c r="N785" s="224"/>
      <c r="O785" s="224"/>
      <c r="P785" s="224"/>
      <c r="Q785" s="224"/>
      <c r="R785" s="224"/>
      <c r="S785" s="224"/>
      <c r="T785" s="224"/>
      <c r="U785" s="224"/>
      <c r="V785" s="224"/>
      <c r="W785" s="224"/>
      <c r="X785" s="224"/>
      <c r="Y785" s="224"/>
    </row>
    <row r="786" spans="1:25" ht="15.75" hidden="1" customHeight="1" x14ac:dyDescent="0.2">
      <c r="A786" s="224"/>
      <c r="B786" s="217"/>
      <c r="C786" s="218"/>
      <c r="D786" s="218"/>
      <c r="E786" s="218"/>
      <c r="F786" s="170"/>
      <c r="G786" s="170"/>
      <c r="H786" s="170"/>
      <c r="I786" s="170"/>
      <c r="J786" s="216"/>
      <c r="K786" s="224"/>
      <c r="L786" s="224"/>
      <c r="M786" s="224"/>
      <c r="N786" s="224"/>
      <c r="O786" s="224"/>
      <c r="P786" s="224"/>
      <c r="Q786" s="224"/>
      <c r="R786" s="224"/>
      <c r="S786" s="224"/>
      <c r="T786" s="224"/>
      <c r="U786" s="224"/>
      <c r="V786" s="224"/>
      <c r="W786" s="224"/>
      <c r="X786" s="224"/>
      <c r="Y786" s="224"/>
    </row>
    <row r="787" spans="1:25" ht="15.75" hidden="1" customHeight="1" x14ac:dyDescent="0.2">
      <c r="A787" s="224"/>
      <c r="B787" s="217"/>
      <c r="C787" s="218"/>
      <c r="D787" s="218"/>
      <c r="E787" s="218"/>
      <c r="F787" s="170"/>
      <c r="G787" s="170"/>
      <c r="H787" s="170"/>
      <c r="I787" s="170"/>
      <c r="J787" s="216"/>
      <c r="K787" s="224"/>
      <c r="L787" s="224"/>
      <c r="M787" s="224"/>
      <c r="N787" s="224"/>
      <c r="O787" s="224"/>
      <c r="P787" s="224"/>
      <c r="Q787" s="224"/>
      <c r="R787" s="224"/>
      <c r="S787" s="224"/>
      <c r="T787" s="224"/>
      <c r="U787" s="224"/>
      <c r="V787" s="224"/>
      <c r="W787" s="224"/>
      <c r="X787" s="224"/>
      <c r="Y787" s="224"/>
    </row>
    <row r="788" spans="1:25" ht="15.75" hidden="1" customHeight="1" x14ac:dyDescent="0.2">
      <c r="A788" s="224"/>
      <c r="B788" s="217"/>
      <c r="C788" s="218"/>
      <c r="D788" s="218"/>
      <c r="E788" s="218"/>
      <c r="F788" s="170"/>
      <c r="G788" s="170"/>
      <c r="H788" s="170"/>
      <c r="I788" s="170"/>
      <c r="J788" s="216"/>
      <c r="K788" s="224"/>
      <c r="L788" s="224"/>
      <c r="M788" s="224"/>
      <c r="N788" s="224"/>
      <c r="O788" s="224"/>
      <c r="P788" s="224"/>
      <c r="Q788" s="224"/>
      <c r="R788" s="224"/>
      <c r="S788" s="224"/>
      <c r="T788" s="224"/>
      <c r="U788" s="224"/>
      <c r="V788" s="224"/>
      <c r="W788" s="224"/>
      <c r="X788" s="224"/>
      <c r="Y788" s="224"/>
    </row>
    <row r="789" spans="1:25" ht="15.75" hidden="1" customHeight="1" x14ac:dyDescent="0.2">
      <c r="A789" s="224"/>
      <c r="B789" s="217"/>
      <c r="C789" s="218"/>
      <c r="D789" s="218"/>
      <c r="E789" s="218"/>
      <c r="F789" s="170"/>
      <c r="G789" s="170"/>
      <c r="H789" s="170"/>
      <c r="I789" s="170"/>
      <c r="J789" s="216"/>
      <c r="K789" s="224"/>
      <c r="L789" s="224"/>
      <c r="M789" s="224"/>
      <c r="N789" s="224"/>
      <c r="O789" s="224"/>
      <c r="P789" s="224"/>
      <c r="Q789" s="224"/>
      <c r="R789" s="224"/>
      <c r="S789" s="224"/>
      <c r="T789" s="224"/>
      <c r="U789" s="224"/>
      <c r="V789" s="224"/>
      <c r="W789" s="224"/>
      <c r="X789" s="224"/>
      <c r="Y789" s="224"/>
    </row>
    <row r="790" spans="1:25" ht="15.75" hidden="1" customHeight="1" x14ac:dyDescent="0.2">
      <c r="A790" s="224"/>
      <c r="B790" s="217"/>
      <c r="C790" s="218"/>
      <c r="D790" s="218"/>
      <c r="E790" s="218"/>
      <c r="F790" s="170"/>
      <c r="G790" s="170"/>
      <c r="H790" s="170"/>
      <c r="I790" s="170"/>
      <c r="J790" s="216"/>
      <c r="K790" s="224"/>
      <c r="L790" s="224"/>
      <c r="M790" s="224"/>
      <c r="N790" s="224"/>
      <c r="O790" s="224"/>
      <c r="P790" s="224"/>
      <c r="Q790" s="224"/>
      <c r="R790" s="224"/>
      <c r="S790" s="224"/>
      <c r="T790" s="224"/>
      <c r="U790" s="224"/>
      <c r="V790" s="224"/>
      <c r="W790" s="224"/>
      <c r="X790" s="224"/>
      <c r="Y790" s="224"/>
    </row>
    <row r="791" spans="1:25" ht="15.75" hidden="1" customHeight="1" x14ac:dyDescent="0.2">
      <c r="A791" s="224"/>
      <c r="B791" s="217"/>
      <c r="C791" s="218"/>
      <c r="D791" s="218"/>
      <c r="E791" s="218"/>
      <c r="F791" s="170"/>
      <c r="G791" s="170"/>
      <c r="H791" s="170"/>
      <c r="I791" s="170"/>
      <c r="J791" s="216"/>
      <c r="K791" s="224"/>
      <c r="L791" s="224"/>
      <c r="M791" s="224"/>
      <c r="N791" s="224"/>
      <c r="O791" s="224"/>
      <c r="P791" s="224"/>
      <c r="Q791" s="224"/>
      <c r="R791" s="224"/>
      <c r="S791" s="224"/>
      <c r="T791" s="224"/>
      <c r="U791" s="224"/>
      <c r="V791" s="224"/>
      <c r="W791" s="224"/>
      <c r="X791" s="224"/>
      <c r="Y791" s="224"/>
    </row>
    <row r="792" spans="1:25" ht="15.75" hidden="1" customHeight="1" x14ac:dyDescent="0.2">
      <c r="A792" s="224"/>
      <c r="B792" s="217"/>
      <c r="C792" s="218"/>
      <c r="D792" s="218"/>
      <c r="E792" s="218"/>
      <c r="F792" s="170"/>
      <c r="G792" s="170"/>
      <c r="H792" s="170"/>
      <c r="I792" s="170"/>
      <c r="J792" s="216"/>
      <c r="K792" s="224"/>
      <c r="L792" s="224"/>
      <c r="M792" s="224"/>
      <c r="N792" s="224"/>
      <c r="O792" s="224"/>
      <c r="P792" s="224"/>
      <c r="Q792" s="224"/>
      <c r="R792" s="224"/>
      <c r="S792" s="224"/>
      <c r="T792" s="224"/>
      <c r="U792" s="224"/>
      <c r="V792" s="224"/>
      <c r="W792" s="224"/>
      <c r="X792" s="224"/>
      <c r="Y792" s="224"/>
    </row>
    <row r="793" spans="1:25" ht="15.75" hidden="1" customHeight="1" x14ac:dyDescent="0.2">
      <c r="A793" s="224"/>
      <c r="B793" s="217"/>
      <c r="C793" s="218"/>
      <c r="D793" s="218"/>
      <c r="E793" s="218"/>
      <c r="F793" s="170"/>
      <c r="G793" s="170"/>
      <c r="H793" s="170"/>
      <c r="I793" s="170"/>
      <c r="J793" s="216"/>
      <c r="K793" s="224"/>
      <c r="L793" s="224"/>
      <c r="M793" s="224"/>
      <c r="N793" s="224"/>
      <c r="O793" s="224"/>
      <c r="P793" s="224"/>
      <c r="Q793" s="224"/>
      <c r="R793" s="224"/>
      <c r="S793" s="224"/>
      <c r="T793" s="224"/>
      <c r="U793" s="224"/>
      <c r="V793" s="224"/>
      <c r="W793" s="224"/>
      <c r="X793" s="224"/>
      <c r="Y793" s="224"/>
    </row>
    <row r="794" spans="1:25" ht="15.75" hidden="1" customHeight="1" x14ac:dyDescent="0.2">
      <c r="A794" s="224"/>
      <c r="B794" s="217"/>
      <c r="C794" s="218"/>
      <c r="D794" s="218"/>
      <c r="E794" s="218"/>
      <c r="F794" s="170"/>
      <c r="G794" s="170"/>
      <c r="H794" s="170"/>
      <c r="I794" s="170"/>
      <c r="J794" s="216"/>
      <c r="K794" s="224"/>
      <c r="L794" s="224"/>
      <c r="M794" s="224"/>
      <c r="N794" s="224"/>
      <c r="O794" s="224"/>
      <c r="P794" s="224"/>
      <c r="Q794" s="224"/>
      <c r="R794" s="224"/>
      <c r="S794" s="224"/>
      <c r="T794" s="224"/>
      <c r="U794" s="224"/>
      <c r="V794" s="224"/>
      <c r="W794" s="224"/>
      <c r="X794" s="224"/>
      <c r="Y794" s="224"/>
    </row>
    <row r="795" spans="1:25" ht="15.75" hidden="1" customHeight="1" x14ac:dyDescent="0.2">
      <c r="A795" s="224"/>
      <c r="B795" s="217"/>
      <c r="C795" s="218"/>
      <c r="D795" s="218"/>
      <c r="E795" s="218"/>
      <c r="F795" s="170"/>
      <c r="G795" s="170"/>
      <c r="H795" s="170"/>
      <c r="I795" s="170"/>
      <c r="J795" s="216"/>
      <c r="K795" s="224"/>
      <c r="L795" s="224"/>
      <c r="M795" s="224"/>
      <c r="N795" s="224"/>
      <c r="O795" s="224"/>
      <c r="P795" s="224"/>
      <c r="Q795" s="224"/>
      <c r="R795" s="224"/>
      <c r="S795" s="224"/>
      <c r="T795" s="224"/>
      <c r="U795" s="224"/>
      <c r="V795" s="224"/>
      <c r="W795" s="224"/>
      <c r="X795" s="224"/>
      <c r="Y795" s="224"/>
    </row>
    <row r="796" spans="1:25" ht="15.75" hidden="1" customHeight="1" x14ac:dyDescent="0.2">
      <c r="A796" s="224"/>
      <c r="B796" s="217"/>
      <c r="C796" s="218"/>
      <c r="D796" s="218"/>
      <c r="E796" s="218"/>
      <c r="F796" s="170"/>
      <c r="G796" s="170"/>
      <c r="H796" s="170"/>
      <c r="I796" s="170"/>
      <c r="J796" s="216"/>
      <c r="K796" s="224"/>
      <c r="L796" s="224"/>
      <c r="M796" s="224"/>
      <c r="N796" s="224"/>
      <c r="O796" s="224"/>
      <c r="P796" s="224"/>
      <c r="Q796" s="224"/>
      <c r="R796" s="224"/>
      <c r="S796" s="224"/>
      <c r="T796" s="224"/>
      <c r="U796" s="224"/>
      <c r="V796" s="224"/>
      <c r="W796" s="224"/>
      <c r="X796" s="224"/>
      <c r="Y796" s="224"/>
    </row>
    <row r="797" spans="1:25" ht="15.75" hidden="1" customHeight="1" x14ac:dyDescent="0.2">
      <c r="A797" s="224"/>
      <c r="B797" s="217"/>
      <c r="C797" s="218"/>
      <c r="D797" s="218"/>
      <c r="E797" s="218"/>
      <c r="F797" s="170"/>
      <c r="G797" s="170"/>
      <c r="H797" s="170"/>
      <c r="I797" s="170"/>
      <c r="J797" s="216"/>
      <c r="K797" s="224"/>
      <c r="L797" s="224"/>
      <c r="M797" s="224"/>
      <c r="N797" s="224"/>
      <c r="O797" s="224"/>
      <c r="P797" s="224"/>
      <c r="Q797" s="224"/>
      <c r="R797" s="224"/>
      <c r="S797" s="224"/>
      <c r="T797" s="224"/>
      <c r="U797" s="224"/>
      <c r="V797" s="224"/>
      <c r="W797" s="224"/>
      <c r="X797" s="224"/>
      <c r="Y797" s="224"/>
    </row>
    <row r="798" spans="1:25" ht="15.75" hidden="1" customHeight="1" x14ac:dyDescent="0.2">
      <c r="A798" s="224"/>
      <c r="B798" s="217"/>
      <c r="C798" s="218"/>
      <c r="D798" s="218"/>
      <c r="E798" s="218"/>
      <c r="F798" s="170"/>
      <c r="G798" s="170"/>
      <c r="H798" s="170"/>
      <c r="I798" s="170"/>
      <c r="J798" s="216"/>
      <c r="K798" s="224"/>
      <c r="L798" s="224"/>
      <c r="M798" s="224"/>
      <c r="N798" s="224"/>
      <c r="O798" s="224"/>
      <c r="P798" s="224"/>
      <c r="Q798" s="224"/>
      <c r="R798" s="224"/>
      <c r="S798" s="224"/>
      <c r="T798" s="224"/>
      <c r="U798" s="224"/>
      <c r="V798" s="224"/>
      <c r="W798" s="224"/>
      <c r="X798" s="224"/>
      <c r="Y798" s="224"/>
    </row>
    <row r="799" spans="1:25" ht="15.75" hidden="1" customHeight="1" x14ac:dyDescent="0.2">
      <c r="A799" s="224"/>
      <c r="B799" s="217"/>
      <c r="C799" s="218"/>
      <c r="D799" s="218"/>
      <c r="E799" s="218"/>
      <c r="F799" s="170"/>
      <c r="G799" s="170"/>
      <c r="H799" s="170"/>
      <c r="I799" s="170"/>
      <c r="J799" s="216"/>
      <c r="K799" s="224"/>
      <c r="L799" s="224"/>
      <c r="M799" s="224"/>
      <c r="N799" s="224"/>
      <c r="O799" s="224"/>
      <c r="P799" s="224"/>
      <c r="Q799" s="224"/>
      <c r="R799" s="224"/>
      <c r="S799" s="224"/>
      <c r="T799" s="224"/>
      <c r="U799" s="224"/>
      <c r="V799" s="224"/>
      <c r="W799" s="224"/>
      <c r="X799" s="224"/>
      <c r="Y799" s="224"/>
    </row>
    <row r="800" spans="1:25" ht="15.75" hidden="1" customHeight="1" x14ac:dyDescent="0.2">
      <c r="A800" s="224"/>
      <c r="B800" s="217"/>
      <c r="C800" s="218"/>
      <c r="D800" s="218"/>
      <c r="E800" s="218"/>
      <c r="F800" s="170"/>
      <c r="G800" s="170"/>
      <c r="H800" s="170"/>
      <c r="I800" s="170"/>
      <c r="J800" s="216"/>
      <c r="K800" s="224"/>
      <c r="L800" s="224"/>
      <c r="M800" s="224"/>
      <c r="N800" s="224"/>
      <c r="O800" s="224"/>
      <c r="P800" s="224"/>
      <c r="Q800" s="224"/>
      <c r="R800" s="224"/>
      <c r="S800" s="224"/>
      <c r="T800" s="224"/>
      <c r="U800" s="224"/>
      <c r="V800" s="224"/>
      <c r="W800" s="224"/>
      <c r="X800" s="224"/>
      <c r="Y800" s="224"/>
    </row>
    <row r="801" spans="1:25" ht="15.75" hidden="1" customHeight="1" x14ac:dyDescent="0.2">
      <c r="A801" s="224"/>
      <c r="B801" s="217"/>
      <c r="C801" s="218"/>
      <c r="D801" s="218"/>
      <c r="E801" s="218"/>
      <c r="F801" s="170"/>
      <c r="G801" s="170"/>
      <c r="H801" s="170"/>
      <c r="I801" s="170"/>
      <c r="J801" s="216"/>
      <c r="K801" s="224"/>
      <c r="L801" s="224"/>
      <c r="M801" s="224"/>
      <c r="N801" s="224"/>
      <c r="O801" s="224"/>
      <c r="P801" s="224"/>
      <c r="Q801" s="224"/>
      <c r="R801" s="224"/>
      <c r="S801" s="224"/>
      <c r="T801" s="224"/>
      <c r="U801" s="224"/>
      <c r="V801" s="224"/>
      <c r="W801" s="224"/>
      <c r="X801" s="224"/>
      <c r="Y801" s="224"/>
    </row>
    <row r="802" spans="1:25" ht="15.75" hidden="1" customHeight="1" x14ac:dyDescent="0.2">
      <c r="A802" s="224"/>
      <c r="B802" s="217"/>
      <c r="C802" s="218"/>
      <c r="D802" s="218"/>
      <c r="E802" s="218"/>
      <c r="F802" s="170"/>
      <c r="G802" s="170"/>
      <c r="H802" s="170"/>
      <c r="I802" s="170"/>
      <c r="J802" s="216"/>
      <c r="K802" s="224"/>
      <c r="L802" s="224"/>
      <c r="M802" s="224"/>
      <c r="N802" s="224"/>
      <c r="O802" s="224"/>
      <c r="P802" s="224"/>
      <c r="Q802" s="224"/>
      <c r="R802" s="224"/>
      <c r="S802" s="224"/>
      <c r="T802" s="224"/>
      <c r="U802" s="224"/>
      <c r="V802" s="224"/>
      <c r="W802" s="224"/>
      <c r="X802" s="224"/>
      <c r="Y802" s="224"/>
    </row>
    <row r="803" spans="1:25" ht="15.75" hidden="1" customHeight="1" x14ac:dyDescent="0.2">
      <c r="A803" s="224"/>
      <c r="B803" s="217"/>
      <c r="C803" s="218"/>
      <c r="D803" s="218"/>
      <c r="E803" s="218"/>
      <c r="F803" s="170"/>
      <c r="G803" s="170"/>
      <c r="H803" s="170"/>
      <c r="I803" s="170"/>
      <c r="J803" s="216"/>
      <c r="K803" s="224"/>
      <c r="L803" s="224"/>
      <c r="M803" s="224"/>
      <c r="N803" s="224"/>
      <c r="O803" s="224"/>
      <c r="P803" s="224"/>
      <c r="Q803" s="224"/>
      <c r="R803" s="224"/>
      <c r="S803" s="224"/>
      <c r="T803" s="224"/>
      <c r="U803" s="224"/>
      <c r="V803" s="224"/>
      <c r="W803" s="224"/>
      <c r="X803" s="224"/>
      <c r="Y803" s="224"/>
    </row>
    <row r="804" spans="1:25" ht="15.75" hidden="1" customHeight="1" x14ac:dyDescent="0.2">
      <c r="A804" s="224"/>
      <c r="B804" s="217"/>
      <c r="C804" s="218"/>
      <c r="D804" s="218"/>
      <c r="E804" s="218"/>
      <c r="F804" s="170"/>
      <c r="G804" s="170"/>
      <c r="H804" s="170"/>
      <c r="I804" s="170"/>
      <c r="J804" s="216"/>
      <c r="K804" s="224"/>
      <c r="L804" s="224"/>
      <c r="M804" s="224"/>
      <c r="N804" s="224"/>
      <c r="O804" s="224"/>
      <c r="P804" s="224"/>
      <c r="Q804" s="224"/>
      <c r="R804" s="224"/>
      <c r="S804" s="224"/>
      <c r="T804" s="224"/>
      <c r="U804" s="224"/>
      <c r="V804" s="224"/>
      <c r="W804" s="224"/>
      <c r="X804" s="224"/>
      <c r="Y804" s="224"/>
    </row>
    <row r="805" spans="1:25" ht="15.75" hidden="1" customHeight="1" x14ac:dyDescent="0.2">
      <c r="A805" s="224"/>
      <c r="B805" s="217"/>
      <c r="C805" s="218"/>
      <c r="D805" s="218"/>
      <c r="E805" s="218"/>
      <c r="F805" s="170"/>
      <c r="G805" s="170"/>
      <c r="H805" s="170"/>
      <c r="I805" s="170"/>
      <c r="J805" s="216"/>
      <c r="K805" s="224"/>
      <c r="L805" s="224"/>
      <c r="M805" s="224"/>
      <c r="N805" s="224"/>
      <c r="O805" s="224"/>
      <c r="P805" s="224"/>
      <c r="Q805" s="224"/>
      <c r="R805" s="224"/>
      <c r="S805" s="224"/>
      <c r="T805" s="224"/>
      <c r="U805" s="224"/>
      <c r="V805" s="224"/>
      <c r="W805" s="224"/>
      <c r="X805" s="224"/>
      <c r="Y805" s="224"/>
    </row>
    <row r="806" spans="1:25" ht="15.75" hidden="1" customHeight="1" x14ac:dyDescent="0.2">
      <c r="A806" s="224"/>
      <c r="B806" s="217"/>
      <c r="C806" s="218"/>
      <c r="D806" s="218"/>
      <c r="E806" s="218"/>
      <c r="F806" s="170"/>
      <c r="G806" s="170"/>
      <c r="H806" s="170"/>
      <c r="I806" s="170"/>
      <c r="J806" s="216"/>
      <c r="K806" s="224"/>
      <c r="L806" s="224"/>
      <c r="M806" s="224"/>
      <c r="N806" s="224"/>
      <c r="O806" s="224"/>
      <c r="P806" s="224"/>
      <c r="Q806" s="224"/>
      <c r="R806" s="224"/>
      <c r="S806" s="224"/>
      <c r="T806" s="224"/>
      <c r="U806" s="224"/>
      <c r="V806" s="224"/>
      <c r="W806" s="224"/>
      <c r="X806" s="224"/>
      <c r="Y806" s="224"/>
    </row>
    <row r="807" spans="1:25" ht="15.75" hidden="1" customHeight="1" x14ac:dyDescent="0.2">
      <c r="A807" s="224"/>
      <c r="B807" s="217"/>
      <c r="C807" s="218"/>
      <c r="D807" s="218"/>
      <c r="E807" s="218"/>
      <c r="F807" s="170"/>
      <c r="G807" s="170"/>
      <c r="H807" s="170"/>
      <c r="I807" s="170"/>
      <c r="J807" s="216"/>
      <c r="K807" s="224"/>
      <c r="L807" s="224"/>
      <c r="M807" s="224"/>
      <c r="N807" s="224"/>
      <c r="O807" s="224"/>
      <c r="P807" s="224"/>
      <c r="Q807" s="224"/>
      <c r="R807" s="224"/>
      <c r="S807" s="224"/>
      <c r="T807" s="224"/>
      <c r="U807" s="224"/>
      <c r="V807" s="224"/>
      <c r="W807" s="224"/>
      <c r="X807" s="224"/>
      <c r="Y807" s="224"/>
    </row>
    <row r="808" spans="1:25" ht="15.75" hidden="1" customHeight="1" x14ac:dyDescent="0.2">
      <c r="A808" s="224"/>
      <c r="B808" s="217"/>
      <c r="C808" s="218"/>
      <c r="D808" s="218"/>
      <c r="E808" s="218"/>
      <c r="F808" s="170"/>
      <c r="G808" s="170"/>
      <c r="H808" s="170"/>
      <c r="I808" s="170"/>
      <c r="J808" s="216"/>
      <c r="K808" s="224"/>
      <c r="L808" s="224"/>
      <c r="M808" s="224"/>
      <c r="N808" s="224"/>
      <c r="O808" s="224"/>
      <c r="P808" s="224"/>
      <c r="Q808" s="224"/>
      <c r="R808" s="224"/>
      <c r="S808" s="224"/>
      <c r="T808" s="224"/>
      <c r="U808" s="224"/>
      <c r="V808" s="224"/>
      <c r="W808" s="224"/>
      <c r="X808" s="224"/>
      <c r="Y808" s="224"/>
    </row>
    <row r="809" spans="1:25" ht="15.75" hidden="1" customHeight="1" x14ac:dyDescent="0.2">
      <c r="A809" s="224"/>
      <c r="B809" s="217"/>
      <c r="C809" s="218"/>
      <c r="D809" s="218"/>
      <c r="E809" s="218"/>
      <c r="F809" s="170"/>
      <c r="G809" s="170"/>
      <c r="H809" s="170"/>
      <c r="I809" s="170"/>
      <c r="J809" s="216"/>
      <c r="K809" s="224"/>
      <c r="L809" s="224"/>
      <c r="M809" s="224"/>
      <c r="N809" s="224"/>
      <c r="O809" s="224"/>
      <c r="P809" s="224"/>
      <c r="Q809" s="224"/>
      <c r="R809" s="224"/>
      <c r="S809" s="224"/>
      <c r="T809" s="224"/>
      <c r="U809" s="224"/>
      <c r="V809" s="224"/>
      <c r="W809" s="224"/>
      <c r="X809" s="224"/>
      <c r="Y809" s="224"/>
    </row>
    <row r="810" spans="1:25" ht="15.75" hidden="1" customHeight="1" x14ac:dyDescent="0.2">
      <c r="A810" s="224"/>
      <c r="B810" s="217"/>
      <c r="C810" s="218"/>
      <c r="D810" s="218"/>
      <c r="E810" s="218"/>
      <c r="F810" s="170"/>
      <c r="G810" s="170"/>
      <c r="H810" s="170"/>
      <c r="I810" s="170"/>
      <c r="J810" s="216"/>
      <c r="K810" s="224"/>
      <c r="L810" s="224"/>
      <c r="M810" s="224"/>
      <c r="N810" s="224"/>
      <c r="O810" s="224"/>
      <c r="P810" s="224"/>
      <c r="Q810" s="224"/>
      <c r="R810" s="224"/>
      <c r="S810" s="224"/>
      <c r="T810" s="224"/>
      <c r="U810" s="224"/>
      <c r="V810" s="224"/>
      <c r="W810" s="224"/>
      <c r="X810" s="224"/>
      <c r="Y810" s="224"/>
    </row>
    <row r="811" spans="1:25" ht="15.75" hidden="1" customHeight="1" x14ac:dyDescent="0.2">
      <c r="A811" s="224"/>
      <c r="B811" s="217"/>
      <c r="C811" s="218"/>
      <c r="D811" s="218"/>
      <c r="E811" s="218"/>
      <c r="F811" s="170"/>
      <c r="G811" s="170"/>
      <c r="H811" s="170"/>
      <c r="I811" s="170"/>
      <c r="J811" s="216"/>
      <c r="K811" s="224"/>
      <c r="L811" s="224"/>
      <c r="M811" s="224"/>
      <c r="N811" s="224"/>
      <c r="O811" s="224"/>
      <c r="P811" s="224"/>
      <c r="Q811" s="224"/>
      <c r="R811" s="224"/>
      <c r="S811" s="224"/>
      <c r="T811" s="224"/>
      <c r="U811" s="224"/>
      <c r="V811" s="224"/>
      <c r="W811" s="224"/>
      <c r="X811" s="224"/>
      <c r="Y811" s="224"/>
    </row>
    <row r="812" spans="1:25" ht="15.75" hidden="1" customHeight="1" x14ac:dyDescent="0.2">
      <c r="A812" s="224"/>
      <c r="B812" s="217"/>
      <c r="C812" s="218"/>
      <c r="D812" s="218"/>
      <c r="E812" s="218"/>
      <c r="F812" s="170"/>
      <c r="G812" s="170"/>
      <c r="H812" s="170"/>
      <c r="I812" s="170"/>
      <c r="J812" s="216"/>
      <c r="K812" s="224"/>
      <c r="L812" s="224"/>
      <c r="M812" s="224"/>
      <c r="N812" s="224"/>
      <c r="O812" s="224"/>
      <c r="P812" s="224"/>
      <c r="Q812" s="224"/>
      <c r="R812" s="224"/>
      <c r="S812" s="224"/>
      <c r="T812" s="224"/>
      <c r="U812" s="224"/>
      <c r="V812" s="224"/>
      <c r="W812" s="224"/>
      <c r="X812" s="224"/>
      <c r="Y812" s="224"/>
    </row>
    <row r="813" spans="1:25" ht="15.75" hidden="1" customHeight="1" x14ac:dyDescent="0.2">
      <c r="A813" s="224"/>
      <c r="B813" s="217"/>
      <c r="C813" s="218"/>
      <c r="D813" s="218"/>
      <c r="E813" s="218"/>
      <c r="F813" s="170"/>
      <c r="G813" s="170"/>
      <c r="H813" s="170"/>
      <c r="I813" s="170"/>
      <c r="J813" s="216"/>
      <c r="K813" s="224"/>
      <c r="L813" s="224"/>
      <c r="M813" s="224"/>
      <c r="N813" s="224"/>
      <c r="O813" s="224"/>
      <c r="P813" s="224"/>
      <c r="Q813" s="224"/>
      <c r="R813" s="224"/>
      <c r="S813" s="224"/>
      <c r="T813" s="224"/>
      <c r="U813" s="224"/>
      <c r="V813" s="224"/>
      <c r="W813" s="224"/>
      <c r="X813" s="224"/>
      <c r="Y813" s="224"/>
    </row>
    <row r="814" spans="1:25" ht="15.75" hidden="1" customHeight="1" x14ac:dyDescent="0.2">
      <c r="A814" s="224"/>
      <c r="B814" s="217"/>
      <c r="C814" s="218"/>
      <c r="D814" s="218"/>
      <c r="E814" s="218"/>
      <c r="F814" s="170"/>
      <c r="G814" s="170"/>
      <c r="H814" s="170"/>
      <c r="I814" s="170"/>
      <c r="J814" s="216"/>
      <c r="K814" s="224"/>
      <c r="L814" s="224"/>
      <c r="M814" s="224"/>
      <c r="N814" s="224"/>
      <c r="O814" s="224"/>
      <c r="P814" s="224"/>
      <c r="Q814" s="224"/>
      <c r="R814" s="224"/>
      <c r="S814" s="224"/>
      <c r="T814" s="224"/>
      <c r="U814" s="224"/>
      <c r="V814" s="224"/>
      <c r="W814" s="224"/>
      <c r="X814" s="224"/>
      <c r="Y814" s="224"/>
    </row>
    <row r="815" spans="1:25" ht="15.75" hidden="1" customHeight="1" x14ac:dyDescent="0.2">
      <c r="A815" s="224"/>
      <c r="B815" s="217"/>
      <c r="C815" s="218"/>
      <c r="D815" s="218"/>
      <c r="E815" s="218"/>
      <c r="F815" s="170"/>
      <c r="G815" s="170"/>
      <c r="H815" s="170"/>
      <c r="I815" s="170"/>
      <c r="J815" s="216"/>
      <c r="K815" s="224"/>
      <c r="L815" s="224"/>
      <c r="M815" s="224"/>
      <c r="N815" s="224"/>
      <c r="O815" s="224"/>
      <c r="P815" s="224"/>
      <c r="Q815" s="224"/>
      <c r="R815" s="224"/>
      <c r="S815" s="224"/>
      <c r="T815" s="224"/>
      <c r="U815" s="224"/>
      <c r="V815" s="224"/>
      <c r="W815" s="224"/>
      <c r="X815" s="224"/>
      <c r="Y815" s="224"/>
    </row>
    <row r="816" spans="1:25" ht="15.75" hidden="1" customHeight="1" x14ac:dyDescent="0.2">
      <c r="A816" s="224"/>
      <c r="B816" s="217"/>
      <c r="C816" s="218"/>
      <c r="D816" s="218"/>
      <c r="E816" s="218"/>
      <c r="F816" s="170"/>
      <c r="G816" s="170"/>
      <c r="H816" s="170"/>
      <c r="I816" s="170"/>
      <c r="J816" s="216"/>
      <c r="K816" s="224"/>
      <c r="L816" s="224"/>
      <c r="M816" s="224"/>
      <c r="N816" s="224"/>
      <c r="O816" s="224"/>
      <c r="P816" s="224"/>
      <c r="Q816" s="224"/>
      <c r="R816" s="224"/>
      <c r="S816" s="224"/>
      <c r="T816" s="224"/>
      <c r="U816" s="224"/>
      <c r="V816" s="224"/>
      <c r="W816" s="224"/>
      <c r="X816" s="224"/>
      <c r="Y816" s="224"/>
    </row>
    <row r="817" spans="1:25" ht="15.75" hidden="1" customHeight="1" x14ac:dyDescent="0.2">
      <c r="A817" s="224"/>
      <c r="B817" s="217"/>
      <c r="C817" s="218"/>
      <c r="D817" s="218"/>
      <c r="E817" s="218"/>
      <c r="F817" s="170"/>
      <c r="G817" s="170"/>
      <c r="H817" s="170"/>
      <c r="I817" s="170"/>
      <c r="J817" s="216"/>
      <c r="K817" s="224"/>
      <c r="L817" s="224"/>
      <c r="M817" s="224"/>
      <c r="N817" s="224"/>
      <c r="O817" s="224"/>
      <c r="P817" s="224"/>
      <c r="Q817" s="224"/>
      <c r="R817" s="224"/>
      <c r="S817" s="224"/>
      <c r="T817" s="224"/>
      <c r="U817" s="224"/>
      <c r="V817" s="224"/>
      <c r="W817" s="224"/>
      <c r="X817" s="224"/>
      <c r="Y817" s="224"/>
    </row>
    <row r="818" spans="1:25" ht="15.75" hidden="1" customHeight="1" x14ac:dyDescent="0.2">
      <c r="A818" s="224"/>
      <c r="B818" s="217"/>
      <c r="C818" s="218"/>
      <c r="D818" s="218"/>
      <c r="E818" s="218"/>
      <c r="F818" s="170"/>
      <c r="G818" s="170"/>
      <c r="H818" s="170"/>
      <c r="I818" s="170"/>
      <c r="J818" s="216"/>
      <c r="K818" s="224"/>
      <c r="L818" s="224"/>
      <c r="M818" s="224"/>
      <c r="N818" s="224"/>
      <c r="O818" s="224"/>
      <c r="P818" s="224"/>
      <c r="Q818" s="224"/>
      <c r="R818" s="224"/>
      <c r="S818" s="224"/>
      <c r="T818" s="224"/>
      <c r="U818" s="224"/>
      <c r="V818" s="224"/>
      <c r="W818" s="224"/>
      <c r="X818" s="224"/>
      <c r="Y818" s="224"/>
    </row>
    <row r="819" spans="1:25" ht="15.75" hidden="1" customHeight="1" x14ac:dyDescent="0.2">
      <c r="A819" s="224"/>
      <c r="B819" s="217"/>
      <c r="C819" s="218"/>
      <c r="D819" s="218"/>
      <c r="E819" s="218"/>
      <c r="F819" s="170"/>
      <c r="G819" s="170"/>
      <c r="H819" s="170"/>
      <c r="I819" s="170"/>
      <c r="J819" s="216"/>
      <c r="K819" s="224"/>
      <c r="L819" s="224"/>
      <c r="M819" s="224"/>
      <c r="N819" s="224"/>
      <c r="O819" s="224"/>
      <c r="P819" s="224"/>
      <c r="Q819" s="224"/>
      <c r="R819" s="224"/>
      <c r="S819" s="224"/>
      <c r="T819" s="224"/>
      <c r="U819" s="224"/>
      <c r="V819" s="224"/>
      <c r="W819" s="224"/>
      <c r="X819" s="224"/>
      <c r="Y819" s="224"/>
    </row>
    <row r="820" spans="1:25" ht="15.75" hidden="1" customHeight="1" x14ac:dyDescent="0.2">
      <c r="A820" s="224"/>
      <c r="B820" s="217"/>
      <c r="C820" s="218"/>
      <c r="D820" s="218"/>
      <c r="E820" s="218"/>
      <c r="F820" s="170"/>
      <c r="G820" s="170"/>
      <c r="H820" s="170"/>
      <c r="I820" s="170"/>
      <c r="J820" s="216"/>
      <c r="K820" s="224"/>
      <c r="L820" s="224"/>
      <c r="M820" s="224"/>
      <c r="N820" s="224"/>
      <c r="O820" s="224"/>
      <c r="P820" s="224"/>
      <c r="Q820" s="224"/>
      <c r="R820" s="224"/>
      <c r="S820" s="224"/>
      <c r="T820" s="224"/>
      <c r="U820" s="224"/>
      <c r="V820" s="224"/>
      <c r="W820" s="224"/>
      <c r="X820" s="224"/>
      <c r="Y820" s="224"/>
    </row>
    <row r="821" spans="1:25" ht="15.75" hidden="1" customHeight="1" x14ac:dyDescent="0.2">
      <c r="A821" s="224"/>
      <c r="B821" s="217"/>
      <c r="C821" s="218"/>
      <c r="D821" s="218"/>
      <c r="E821" s="218"/>
      <c r="F821" s="170"/>
      <c r="G821" s="170"/>
      <c r="H821" s="170"/>
      <c r="I821" s="170"/>
      <c r="J821" s="216"/>
      <c r="K821" s="224"/>
      <c r="L821" s="224"/>
      <c r="M821" s="224"/>
      <c r="N821" s="224"/>
      <c r="O821" s="224"/>
      <c r="P821" s="224"/>
      <c r="Q821" s="224"/>
      <c r="R821" s="224"/>
      <c r="S821" s="224"/>
      <c r="T821" s="224"/>
      <c r="U821" s="224"/>
      <c r="V821" s="224"/>
      <c r="W821" s="224"/>
      <c r="X821" s="224"/>
      <c r="Y821" s="224"/>
    </row>
    <row r="822" spans="1:25" ht="15.75" hidden="1" customHeight="1" x14ac:dyDescent="0.2">
      <c r="A822" s="224"/>
      <c r="B822" s="217"/>
      <c r="C822" s="218"/>
      <c r="D822" s="218"/>
      <c r="E822" s="218"/>
      <c r="F822" s="170"/>
      <c r="G822" s="170"/>
      <c r="H822" s="170"/>
      <c r="I822" s="170"/>
      <c r="J822" s="216"/>
      <c r="K822" s="224"/>
      <c r="L822" s="224"/>
      <c r="M822" s="224"/>
      <c r="N822" s="224"/>
      <c r="O822" s="224"/>
      <c r="P822" s="224"/>
      <c r="Q822" s="224"/>
      <c r="R822" s="224"/>
      <c r="S822" s="224"/>
      <c r="T822" s="224"/>
      <c r="U822" s="224"/>
      <c r="V822" s="224"/>
      <c r="W822" s="224"/>
      <c r="X822" s="224"/>
      <c r="Y822" s="224"/>
    </row>
    <row r="823" spans="1:25" ht="15.75" hidden="1" customHeight="1" x14ac:dyDescent="0.2">
      <c r="A823" s="224"/>
      <c r="B823" s="217"/>
      <c r="C823" s="218"/>
      <c r="D823" s="218"/>
      <c r="E823" s="218"/>
      <c r="F823" s="170"/>
      <c r="G823" s="170"/>
      <c r="H823" s="170"/>
      <c r="I823" s="170"/>
      <c r="J823" s="216"/>
      <c r="K823" s="224"/>
      <c r="L823" s="224"/>
      <c r="M823" s="224"/>
      <c r="N823" s="224"/>
      <c r="O823" s="224"/>
      <c r="P823" s="224"/>
      <c r="Q823" s="224"/>
      <c r="R823" s="224"/>
      <c r="S823" s="224"/>
      <c r="T823" s="224"/>
      <c r="U823" s="224"/>
      <c r="V823" s="224"/>
      <c r="W823" s="224"/>
      <c r="X823" s="224"/>
      <c r="Y823" s="224"/>
    </row>
    <row r="824" spans="1:25" ht="15.75" hidden="1" customHeight="1" x14ac:dyDescent="0.2">
      <c r="A824" s="224"/>
      <c r="B824" s="217"/>
      <c r="C824" s="218"/>
      <c r="D824" s="218"/>
      <c r="E824" s="218"/>
      <c r="F824" s="170"/>
      <c r="G824" s="170"/>
      <c r="H824" s="170"/>
      <c r="I824" s="170"/>
      <c r="J824" s="216"/>
      <c r="K824" s="224"/>
      <c r="L824" s="224"/>
      <c r="M824" s="224"/>
      <c r="N824" s="224"/>
      <c r="O824" s="224"/>
      <c r="P824" s="224"/>
      <c r="Q824" s="224"/>
      <c r="R824" s="224"/>
      <c r="S824" s="224"/>
      <c r="T824" s="224"/>
      <c r="U824" s="224"/>
      <c r="V824" s="224"/>
      <c r="W824" s="224"/>
      <c r="X824" s="224"/>
      <c r="Y824" s="224"/>
    </row>
    <row r="825" spans="1:25" ht="15.75" hidden="1" customHeight="1" x14ac:dyDescent="0.2">
      <c r="A825" s="224"/>
      <c r="B825" s="217"/>
      <c r="C825" s="218"/>
      <c r="D825" s="218"/>
      <c r="E825" s="218"/>
      <c r="F825" s="170"/>
      <c r="G825" s="170"/>
      <c r="H825" s="170"/>
      <c r="I825" s="170"/>
      <c r="J825" s="216"/>
      <c r="K825" s="224"/>
      <c r="L825" s="224"/>
      <c r="M825" s="224"/>
      <c r="N825" s="224"/>
      <c r="O825" s="224"/>
      <c r="P825" s="224"/>
      <c r="Q825" s="224"/>
      <c r="R825" s="224"/>
      <c r="S825" s="224"/>
      <c r="T825" s="224"/>
      <c r="U825" s="224"/>
      <c r="V825" s="224"/>
      <c r="W825" s="224"/>
      <c r="X825" s="224"/>
      <c r="Y825" s="224"/>
    </row>
    <row r="826" spans="1:25" ht="15.75" hidden="1" customHeight="1" x14ac:dyDescent="0.2">
      <c r="A826" s="224"/>
      <c r="B826" s="217"/>
      <c r="C826" s="218"/>
      <c r="D826" s="218"/>
      <c r="E826" s="218"/>
      <c r="F826" s="170"/>
      <c r="G826" s="170"/>
      <c r="H826" s="170"/>
      <c r="I826" s="170"/>
      <c r="J826" s="216"/>
      <c r="K826" s="224"/>
      <c r="L826" s="224"/>
      <c r="M826" s="224"/>
      <c r="N826" s="224"/>
      <c r="O826" s="224"/>
      <c r="P826" s="224"/>
      <c r="Q826" s="224"/>
      <c r="R826" s="224"/>
      <c r="S826" s="224"/>
      <c r="T826" s="224"/>
      <c r="U826" s="224"/>
      <c r="V826" s="224"/>
      <c r="W826" s="224"/>
      <c r="X826" s="224"/>
      <c r="Y826" s="224"/>
    </row>
    <row r="827" spans="1:25" ht="15.75" hidden="1" customHeight="1" x14ac:dyDescent="0.2">
      <c r="A827" s="224"/>
      <c r="B827" s="217"/>
      <c r="C827" s="218"/>
      <c r="D827" s="218"/>
      <c r="E827" s="218"/>
      <c r="F827" s="170"/>
      <c r="G827" s="170"/>
      <c r="H827" s="170"/>
      <c r="I827" s="170"/>
      <c r="J827" s="216"/>
      <c r="K827" s="224"/>
      <c r="L827" s="224"/>
      <c r="M827" s="224"/>
      <c r="N827" s="224"/>
      <c r="O827" s="224"/>
      <c r="P827" s="224"/>
      <c r="Q827" s="224"/>
      <c r="R827" s="224"/>
      <c r="S827" s="224"/>
      <c r="T827" s="224"/>
      <c r="U827" s="224"/>
      <c r="V827" s="224"/>
      <c r="W827" s="224"/>
      <c r="X827" s="224"/>
      <c r="Y827" s="224"/>
    </row>
    <row r="828" spans="1:25" ht="15.75" hidden="1" customHeight="1" x14ac:dyDescent="0.2">
      <c r="A828" s="224"/>
      <c r="B828" s="217"/>
      <c r="C828" s="218"/>
      <c r="D828" s="218"/>
      <c r="E828" s="218"/>
      <c r="F828" s="170"/>
      <c r="G828" s="170"/>
      <c r="H828" s="170"/>
      <c r="I828" s="170"/>
      <c r="J828" s="216"/>
      <c r="K828" s="224"/>
      <c r="L828" s="224"/>
      <c r="M828" s="224"/>
      <c r="N828" s="224"/>
      <c r="O828" s="224"/>
      <c r="P828" s="224"/>
      <c r="Q828" s="224"/>
      <c r="R828" s="224"/>
      <c r="S828" s="224"/>
      <c r="T828" s="224"/>
      <c r="U828" s="224"/>
      <c r="V828" s="224"/>
      <c r="W828" s="224"/>
      <c r="X828" s="224"/>
      <c r="Y828" s="224"/>
    </row>
    <row r="829" spans="1:25" ht="15.75" hidden="1" customHeight="1" x14ac:dyDescent="0.2">
      <c r="A829" s="224"/>
      <c r="B829" s="217"/>
      <c r="C829" s="218"/>
      <c r="D829" s="218"/>
      <c r="E829" s="218"/>
      <c r="F829" s="170"/>
      <c r="G829" s="170"/>
      <c r="H829" s="170"/>
      <c r="I829" s="170"/>
      <c r="J829" s="216"/>
      <c r="K829" s="224"/>
      <c r="L829" s="224"/>
      <c r="M829" s="224"/>
      <c r="N829" s="224"/>
      <c r="O829" s="224"/>
      <c r="P829" s="224"/>
      <c r="Q829" s="224"/>
      <c r="R829" s="224"/>
      <c r="S829" s="224"/>
      <c r="T829" s="224"/>
      <c r="U829" s="224"/>
      <c r="V829" s="224"/>
      <c r="W829" s="224"/>
      <c r="X829" s="224"/>
      <c r="Y829" s="224"/>
    </row>
    <row r="830" spans="1:25" ht="15.75" hidden="1" customHeight="1" x14ac:dyDescent="0.2">
      <c r="A830" s="224"/>
      <c r="B830" s="217"/>
      <c r="C830" s="218"/>
      <c r="D830" s="218"/>
      <c r="E830" s="218"/>
      <c r="F830" s="170"/>
      <c r="G830" s="170"/>
      <c r="H830" s="170"/>
      <c r="I830" s="170"/>
      <c r="J830" s="216"/>
      <c r="K830" s="224"/>
      <c r="L830" s="224"/>
      <c r="M830" s="224"/>
      <c r="N830" s="224"/>
      <c r="O830" s="224"/>
      <c r="P830" s="224"/>
      <c r="Q830" s="224"/>
      <c r="R830" s="224"/>
      <c r="S830" s="224"/>
      <c r="T830" s="224"/>
      <c r="U830" s="224"/>
      <c r="V830" s="224"/>
      <c r="W830" s="224"/>
      <c r="X830" s="224"/>
      <c r="Y830" s="224"/>
    </row>
    <row r="831" spans="1:25" ht="15.75" hidden="1" customHeight="1" x14ac:dyDescent="0.2">
      <c r="A831" s="224"/>
      <c r="B831" s="217"/>
      <c r="C831" s="218"/>
      <c r="D831" s="218"/>
      <c r="E831" s="218"/>
      <c r="F831" s="170"/>
      <c r="G831" s="170"/>
      <c r="H831" s="170"/>
      <c r="I831" s="170"/>
      <c r="J831" s="216"/>
      <c r="K831" s="224"/>
      <c r="L831" s="224"/>
      <c r="M831" s="224"/>
      <c r="N831" s="224"/>
      <c r="O831" s="224"/>
      <c r="P831" s="224"/>
      <c r="Q831" s="224"/>
      <c r="R831" s="224"/>
      <c r="S831" s="224"/>
      <c r="T831" s="224"/>
      <c r="U831" s="224"/>
      <c r="V831" s="224"/>
      <c r="W831" s="224"/>
      <c r="X831" s="224"/>
      <c r="Y831" s="224"/>
    </row>
    <row r="832" spans="1:25" ht="15.75" hidden="1" customHeight="1" x14ac:dyDescent="0.2">
      <c r="A832" s="224"/>
      <c r="B832" s="217"/>
      <c r="C832" s="218"/>
      <c r="D832" s="218"/>
      <c r="E832" s="218"/>
      <c r="F832" s="170"/>
      <c r="G832" s="170"/>
      <c r="H832" s="170"/>
      <c r="I832" s="170"/>
      <c r="J832" s="216"/>
      <c r="K832" s="224"/>
      <c r="L832" s="224"/>
      <c r="M832" s="224"/>
      <c r="N832" s="224"/>
      <c r="O832" s="224"/>
      <c r="P832" s="224"/>
      <c r="Q832" s="224"/>
      <c r="R832" s="224"/>
      <c r="S832" s="224"/>
      <c r="T832" s="224"/>
      <c r="U832" s="224"/>
      <c r="V832" s="224"/>
      <c r="W832" s="224"/>
      <c r="X832" s="224"/>
      <c r="Y832" s="224"/>
    </row>
    <row r="833" spans="1:25" ht="15.75" hidden="1" customHeight="1" x14ac:dyDescent="0.2">
      <c r="A833" s="224"/>
      <c r="B833" s="217"/>
      <c r="C833" s="218"/>
      <c r="D833" s="218"/>
      <c r="E833" s="218"/>
      <c r="F833" s="170"/>
      <c r="G833" s="170"/>
      <c r="H833" s="170"/>
      <c r="I833" s="170"/>
      <c r="J833" s="216"/>
      <c r="K833" s="224"/>
      <c r="L833" s="224"/>
      <c r="M833" s="224"/>
      <c r="N833" s="224"/>
      <c r="O833" s="224"/>
      <c r="P833" s="224"/>
      <c r="Q833" s="224"/>
      <c r="R833" s="224"/>
      <c r="S833" s="224"/>
      <c r="T833" s="224"/>
      <c r="U833" s="224"/>
      <c r="V833" s="224"/>
      <c r="W833" s="224"/>
      <c r="X833" s="224"/>
      <c r="Y833" s="224"/>
    </row>
    <row r="834" spans="1:25" ht="15.75" hidden="1" customHeight="1" x14ac:dyDescent="0.2">
      <c r="A834" s="224"/>
      <c r="B834" s="217"/>
      <c r="C834" s="218"/>
      <c r="D834" s="218"/>
      <c r="E834" s="218"/>
      <c r="F834" s="170"/>
      <c r="G834" s="170"/>
      <c r="H834" s="170"/>
      <c r="I834" s="170"/>
      <c r="J834" s="216"/>
      <c r="K834" s="224"/>
      <c r="L834" s="224"/>
      <c r="M834" s="224"/>
      <c r="N834" s="224"/>
      <c r="O834" s="224"/>
      <c r="P834" s="224"/>
      <c r="Q834" s="224"/>
      <c r="R834" s="224"/>
      <c r="S834" s="224"/>
      <c r="T834" s="224"/>
      <c r="U834" s="224"/>
      <c r="V834" s="224"/>
      <c r="W834" s="224"/>
      <c r="X834" s="224"/>
      <c r="Y834" s="224"/>
    </row>
    <row r="835" spans="1:25" ht="15.75" hidden="1" customHeight="1" x14ac:dyDescent="0.2">
      <c r="A835" s="224"/>
      <c r="B835" s="217"/>
      <c r="C835" s="218"/>
      <c r="D835" s="218"/>
      <c r="E835" s="218"/>
      <c r="F835" s="170"/>
      <c r="G835" s="170"/>
      <c r="H835" s="170"/>
      <c r="I835" s="170"/>
      <c r="J835" s="216"/>
      <c r="K835" s="224"/>
      <c r="L835" s="224"/>
      <c r="M835" s="224"/>
      <c r="N835" s="224"/>
      <c r="O835" s="224"/>
      <c r="P835" s="224"/>
      <c r="Q835" s="224"/>
      <c r="R835" s="224"/>
      <c r="S835" s="224"/>
      <c r="T835" s="224"/>
      <c r="U835" s="224"/>
      <c r="V835" s="224"/>
      <c r="W835" s="224"/>
      <c r="X835" s="224"/>
      <c r="Y835" s="224"/>
    </row>
    <row r="836" spans="1:25" ht="15.75" hidden="1" customHeight="1" x14ac:dyDescent="0.2">
      <c r="A836" s="224"/>
      <c r="B836" s="217"/>
      <c r="C836" s="218"/>
      <c r="D836" s="218"/>
      <c r="E836" s="218"/>
      <c r="F836" s="170"/>
      <c r="G836" s="170"/>
      <c r="H836" s="170"/>
      <c r="I836" s="170"/>
      <c r="J836" s="216"/>
      <c r="K836" s="224"/>
      <c r="L836" s="224"/>
      <c r="M836" s="224"/>
      <c r="N836" s="224"/>
      <c r="O836" s="224"/>
      <c r="P836" s="224"/>
      <c r="Q836" s="224"/>
      <c r="R836" s="224"/>
      <c r="S836" s="224"/>
      <c r="T836" s="224"/>
      <c r="U836" s="224"/>
      <c r="V836" s="224"/>
      <c r="W836" s="224"/>
      <c r="X836" s="224"/>
      <c r="Y836" s="224"/>
    </row>
    <row r="837" spans="1:25" ht="15.75" hidden="1" customHeight="1" x14ac:dyDescent="0.2">
      <c r="A837" s="224"/>
      <c r="B837" s="217"/>
      <c r="C837" s="218"/>
      <c r="D837" s="218"/>
      <c r="E837" s="218"/>
      <c r="F837" s="170"/>
      <c r="G837" s="170"/>
      <c r="H837" s="170"/>
      <c r="I837" s="170"/>
      <c r="J837" s="216"/>
      <c r="K837" s="224"/>
      <c r="L837" s="224"/>
      <c r="M837" s="224"/>
      <c r="N837" s="224"/>
      <c r="O837" s="224"/>
      <c r="P837" s="224"/>
      <c r="Q837" s="224"/>
      <c r="R837" s="224"/>
      <c r="S837" s="224"/>
      <c r="T837" s="224"/>
      <c r="U837" s="224"/>
      <c r="V837" s="224"/>
      <c r="W837" s="224"/>
      <c r="X837" s="224"/>
      <c r="Y837" s="224"/>
    </row>
    <row r="838" spans="1:25" ht="15.75" hidden="1" customHeight="1" x14ac:dyDescent="0.2">
      <c r="A838" s="224"/>
      <c r="B838" s="217"/>
      <c r="C838" s="218"/>
      <c r="D838" s="218"/>
      <c r="E838" s="218"/>
      <c r="F838" s="170"/>
      <c r="G838" s="170"/>
      <c r="H838" s="170"/>
      <c r="I838" s="170"/>
      <c r="J838" s="216"/>
      <c r="K838" s="224"/>
      <c r="L838" s="224"/>
      <c r="M838" s="224"/>
      <c r="N838" s="224"/>
      <c r="O838" s="224"/>
      <c r="P838" s="224"/>
      <c r="Q838" s="224"/>
      <c r="R838" s="224"/>
      <c r="S838" s="224"/>
      <c r="T838" s="224"/>
      <c r="U838" s="224"/>
      <c r="V838" s="224"/>
      <c r="W838" s="224"/>
      <c r="X838" s="224"/>
      <c r="Y838" s="224"/>
    </row>
    <row r="839" spans="1:25" ht="15.75" hidden="1" customHeight="1" x14ac:dyDescent="0.2">
      <c r="A839" s="224"/>
      <c r="B839" s="217"/>
      <c r="C839" s="218"/>
      <c r="D839" s="218"/>
      <c r="E839" s="218"/>
      <c r="F839" s="170"/>
      <c r="G839" s="170"/>
      <c r="H839" s="170"/>
      <c r="I839" s="170"/>
      <c r="J839" s="216"/>
      <c r="K839" s="224"/>
      <c r="L839" s="224"/>
      <c r="M839" s="224"/>
      <c r="N839" s="224"/>
      <c r="O839" s="224"/>
      <c r="P839" s="224"/>
      <c r="Q839" s="224"/>
      <c r="R839" s="224"/>
      <c r="S839" s="224"/>
      <c r="T839" s="224"/>
      <c r="U839" s="224"/>
      <c r="V839" s="224"/>
      <c r="W839" s="224"/>
      <c r="X839" s="224"/>
      <c r="Y839" s="224"/>
    </row>
    <row r="840" spans="1:25" ht="15.75" hidden="1" customHeight="1" x14ac:dyDescent="0.2">
      <c r="A840" s="224"/>
      <c r="B840" s="217"/>
      <c r="C840" s="218"/>
      <c r="D840" s="218"/>
      <c r="E840" s="218"/>
      <c r="F840" s="170"/>
      <c r="G840" s="170"/>
      <c r="H840" s="170"/>
      <c r="I840" s="170"/>
      <c r="J840" s="216"/>
      <c r="K840" s="224"/>
      <c r="L840" s="224"/>
      <c r="M840" s="224"/>
      <c r="N840" s="224"/>
      <c r="O840" s="224"/>
      <c r="P840" s="224"/>
      <c r="Q840" s="224"/>
      <c r="R840" s="224"/>
      <c r="S840" s="224"/>
      <c r="T840" s="224"/>
      <c r="U840" s="224"/>
      <c r="V840" s="224"/>
      <c r="W840" s="224"/>
      <c r="X840" s="224"/>
      <c r="Y840" s="224"/>
    </row>
    <row r="841" spans="1:25" ht="15.75" hidden="1" customHeight="1" x14ac:dyDescent="0.2">
      <c r="A841" s="224"/>
      <c r="B841" s="217"/>
      <c r="C841" s="218"/>
      <c r="D841" s="218"/>
      <c r="E841" s="218"/>
      <c r="F841" s="170"/>
      <c r="G841" s="170"/>
      <c r="H841" s="170"/>
      <c r="I841" s="170"/>
      <c r="J841" s="216"/>
      <c r="K841" s="224"/>
      <c r="L841" s="224"/>
      <c r="M841" s="224"/>
      <c r="N841" s="224"/>
      <c r="O841" s="224"/>
      <c r="P841" s="224"/>
      <c r="Q841" s="224"/>
      <c r="R841" s="224"/>
      <c r="S841" s="224"/>
      <c r="T841" s="224"/>
      <c r="U841" s="224"/>
      <c r="V841" s="224"/>
      <c r="W841" s="224"/>
      <c r="X841" s="224"/>
      <c r="Y841" s="224"/>
    </row>
    <row r="842" spans="1:25" ht="15.75" hidden="1" customHeight="1" x14ac:dyDescent="0.2">
      <c r="A842" s="224"/>
      <c r="B842" s="217"/>
      <c r="C842" s="218"/>
      <c r="D842" s="218"/>
      <c r="E842" s="218"/>
      <c r="F842" s="170"/>
      <c r="G842" s="170"/>
      <c r="H842" s="170"/>
      <c r="I842" s="170"/>
      <c r="J842" s="216"/>
      <c r="K842" s="224"/>
      <c r="L842" s="224"/>
      <c r="M842" s="224"/>
      <c r="N842" s="224"/>
      <c r="O842" s="224"/>
      <c r="P842" s="224"/>
      <c r="Q842" s="224"/>
      <c r="R842" s="224"/>
      <c r="S842" s="224"/>
      <c r="T842" s="224"/>
      <c r="U842" s="224"/>
      <c r="V842" s="224"/>
      <c r="W842" s="224"/>
      <c r="X842" s="224"/>
      <c r="Y842" s="224"/>
    </row>
    <row r="843" spans="1:25" ht="15.75" hidden="1" customHeight="1" x14ac:dyDescent="0.2">
      <c r="A843" s="224"/>
      <c r="B843" s="217"/>
      <c r="C843" s="218"/>
      <c r="D843" s="218"/>
      <c r="E843" s="218"/>
      <c r="F843" s="170"/>
      <c r="G843" s="170"/>
      <c r="H843" s="170"/>
      <c r="I843" s="170"/>
      <c r="J843" s="216"/>
      <c r="K843" s="224"/>
      <c r="L843" s="224"/>
      <c r="M843" s="224"/>
      <c r="N843" s="224"/>
      <c r="O843" s="224"/>
      <c r="P843" s="224"/>
      <c r="Q843" s="224"/>
      <c r="R843" s="224"/>
      <c r="S843" s="224"/>
      <c r="T843" s="224"/>
      <c r="U843" s="224"/>
      <c r="V843" s="224"/>
      <c r="W843" s="224"/>
      <c r="X843" s="224"/>
      <c r="Y843" s="224"/>
    </row>
    <row r="844" spans="1:25" ht="15.75" hidden="1" customHeight="1" x14ac:dyDescent="0.2">
      <c r="A844" s="224"/>
      <c r="B844" s="217"/>
      <c r="C844" s="218"/>
      <c r="D844" s="218"/>
      <c r="E844" s="218"/>
      <c r="F844" s="170"/>
      <c r="G844" s="170"/>
      <c r="H844" s="170"/>
      <c r="I844" s="170"/>
      <c r="J844" s="216"/>
      <c r="K844" s="224"/>
      <c r="L844" s="224"/>
      <c r="M844" s="224"/>
      <c r="N844" s="224"/>
      <c r="O844" s="224"/>
      <c r="P844" s="224"/>
      <c r="Q844" s="224"/>
      <c r="R844" s="224"/>
      <c r="S844" s="224"/>
      <c r="T844" s="224"/>
      <c r="U844" s="224"/>
      <c r="V844" s="224"/>
      <c r="W844" s="224"/>
      <c r="X844" s="224"/>
      <c r="Y844" s="224"/>
    </row>
    <row r="845" spans="1:25" ht="15.75" hidden="1" customHeight="1" x14ac:dyDescent="0.2">
      <c r="A845" s="224"/>
      <c r="B845" s="217"/>
      <c r="C845" s="218"/>
      <c r="D845" s="218"/>
      <c r="E845" s="218"/>
      <c r="F845" s="170"/>
      <c r="G845" s="170"/>
      <c r="H845" s="170"/>
      <c r="I845" s="170"/>
      <c r="J845" s="216"/>
      <c r="K845" s="224"/>
      <c r="L845" s="224"/>
      <c r="M845" s="224"/>
      <c r="N845" s="224"/>
      <c r="O845" s="224"/>
      <c r="P845" s="224"/>
      <c r="Q845" s="224"/>
      <c r="R845" s="224"/>
      <c r="S845" s="224"/>
      <c r="T845" s="224"/>
      <c r="U845" s="224"/>
      <c r="V845" s="224"/>
      <c r="W845" s="224"/>
      <c r="X845" s="224"/>
      <c r="Y845" s="224"/>
    </row>
    <row r="846" spans="1:25" ht="15.75" hidden="1" customHeight="1" x14ac:dyDescent="0.2">
      <c r="A846" s="224"/>
      <c r="B846" s="217"/>
      <c r="C846" s="218"/>
      <c r="D846" s="218"/>
      <c r="E846" s="218"/>
      <c r="F846" s="170"/>
      <c r="G846" s="170"/>
      <c r="H846" s="170"/>
      <c r="I846" s="170"/>
      <c r="J846" s="216"/>
      <c r="K846" s="224"/>
      <c r="L846" s="224"/>
      <c r="M846" s="224"/>
      <c r="N846" s="224"/>
      <c r="O846" s="224"/>
      <c r="P846" s="224"/>
      <c r="Q846" s="224"/>
      <c r="R846" s="224"/>
      <c r="S846" s="224"/>
      <c r="T846" s="224"/>
      <c r="U846" s="224"/>
      <c r="V846" s="224"/>
      <c r="W846" s="224"/>
      <c r="X846" s="224"/>
      <c r="Y846" s="224"/>
    </row>
    <row r="847" spans="1:25" ht="15.75" hidden="1" customHeight="1" x14ac:dyDescent="0.2">
      <c r="A847" s="224"/>
      <c r="B847" s="217"/>
      <c r="C847" s="218"/>
      <c r="D847" s="218"/>
      <c r="E847" s="218"/>
      <c r="F847" s="170"/>
      <c r="G847" s="170"/>
      <c r="H847" s="170"/>
      <c r="I847" s="170"/>
      <c r="J847" s="216"/>
      <c r="K847" s="224"/>
      <c r="L847" s="224"/>
      <c r="M847" s="224"/>
      <c r="N847" s="224"/>
      <c r="O847" s="224"/>
      <c r="P847" s="224"/>
      <c r="Q847" s="224"/>
      <c r="R847" s="224"/>
      <c r="S847" s="224"/>
      <c r="T847" s="224"/>
      <c r="U847" s="224"/>
      <c r="V847" s="224"/>
      <c r="W847" s="224"/>
      <c r="X847" s="224"/>
      <c r="Y847" s="224"/>
    </row>
    <row r="848" spans="1:25" ht="15.75" hidden="1" customHeight="1" x14ac:dyDescent="0.2">
      <c r="A848" s="224"/>
      <c r="B848" s="217"/>
      <c r="C848" s="218"/>
      <c r="D848" s="218"/>
      <c r="E848" s="218"/>
      <c r="F848" s="170"/>
      <c r="G848" s="170"/>
      <c r="H848" s="170"/>
      <c r="I848" s="170"/>
      <c r="J848" s="216"/>
      <c r="K848" s="224"/>
      <c r="L848" s="224"/>
      <c r="M848" s="224"/>
      <c r="N848" s="224"/>
      <c r="O848" s="224"/>
      <c r="P848" s="224"/>
      <c r="Q848" s="224"/>
      <c r="R848" s="224"/>
      <c r="S848" s="224"/>
      <c r="T848" s="224"/>
      <c r="U848" s="224"/>
      <c r="V848" s="224"/>
      <c r="W848" s="224"/>
      <c r="X848" s="224"/>
      <c r="Y848" s="224"/>
    </row>
    <row r="849" spans="1:25" ht="15.75" hidden="1" customHeight="1" x14ac:dyDescent="0.2">
      <c r="A849" s="224"/>
      <c r="B849" s="217"/>
      <c r="C849" s="218"/>
      <c r="D849" s="218"/>
      <c r="E849" s="218"/>
      <c r="F849" s="170"/>
      <c r="G849" s="170"/>
      <c r="H849" s="170"/>
      <c r="I849" s="170"/>
      <c r="J849" s="216"/>
      <c r="K849" s="224"/>
      <c r="L849" s="224"/>
      <c r="M849" s="224"/>
      <c r="N849" s="224"/>
      <c r="O849" s="224"/>
      <c r="P849" s="224"/>
      <c r="Q849" s="224"/>
      <c r="R849" s="224"/>
      <c r="S849" s="224"/>
      <c r="T849" s="224"/>
      <c r="U849" s="224"/>
      <c r="V849" s="224"/>
      <c r="W849" s="224"/>
      <c r="X849" s="224"/>
      <c r="Y849" s="224"/>
    </row>
    <row r="850" spans="1:25" ht="15.75" hidden="1" customHeight="1" x14ac:dyDescent="0.2">
      <c r="A850" s="224"/>
      <c r="B850" s="217"/>
      <c r="C850" s="218"/>
      <c r="D850" s="218"/>
      <c r="E850" s="218"/>
      <c r="F850" s="170"/>
      <c r="G850" s="170"/>
      <c r="H850" s="170"/>
      <c r="I850" s="170"/>
      <c r="J850" s="216"/>
      <c r="K850" s="224"/>
      <c r="L850" s="224"/>
      <c r="M850" s="224"/>
      <c r="N850" s="224"/>
      <c r="O850" s="224"/>
      <c r="P850" s="224"/>
      <c r="Q850" s="224"/>
      <c r="R850" s="224"/>
      <c r="S850" s="224"/>
      <c r="T850" s="224"/>
      <c r="U850" s="224"/>
      <c r="V850" s="224"/>
      <c r="W850" s="224"/>
      <c r="X850" s="224"/>
      <c r="Y850" s="224"/>
    </row>
    <row r="851" spans="1:25" ht="15.75" hidden="1" customHeight="1" x14ac:dyDescent="0.2">
      <c r="A851" s="224"/>
      <c r="B851" s="217"/>
      <c r="C851" s="218"/>
      <c r="D851" s="218"/>
      <c r="E851" s="218"/>
      <c r="F851" s="170"/>
      <c r="G851" s="170"/>
      <c r="H851" s="170"/>
      <c r="I851" s="170"/>
      <c r="J851" s="216"/>
      <c r="K851" s="224"/>
      <c r="L851" s="224"/>
      <c r="M851" s="224"/>
      <c r="N851" s="224"/>
      <c r="O851" s="224"/>
      <c r="P851" s="224"/>
      <c r="Q851" s="224"/>
      <c r="R851" s="224"/>
      <c r="S851" s="224"/>
      <c r="T851" s="224"/>
      <c r="U851" s="224"/>
      <c r="V851" s="224"/>
      <c r="W851" s="224"/>
      <c r="X851" s="224"/>
      <c r="Y851" s="224"/>
    </row>
    <row r="852" spans="1:25" ht="15.75" hidden="1" customHeight="1" x14ac:dyDescent="0.2">
      <c r="A852" s="224"/>
      <c r="B852" s="217"/>
      <c r="C852" s="218"/>
      <c r="D852" s="218"/>
      <c r="E852" s="218"/>
      <c r="F852" s="170"/>
      <c r="G852" s="170"/>
      <c r="H852" s="170"/>
      <c r="I852" s="170"/>
      <c r="J852" s="216"/>
      <c r="K852" s="224"/>
      <c r="L852" s="224"/>
      <c r="M852" s="224"/>
      <c r="N852" s="224"/>
      <c r="O852" s="224"/>
      <c r="P852" s="224"/>
      <c r="Q852" s="224"/>
      <c r="R852" s="224"/>
      <c r="S852" s="224"/>
      <c r="T852" s="224"/>
      <c r="U852" s="224"/>
      <c r="V852" s="224"/>
      <c r="W852" s="224"/>
      <c r="X852" s="224"/>
      <c r="Y852" s="224"/>
    </row>
    <row r="853" spans="1:25" ht="15.75" hidden="1" customHeight="1" x14ac:dyDescent="0.2">
      <c r="A853" s="224"/>
      <c r="B853" s="217"/>
      <c r="C853" s="218"/>
      <c r="D853" s="218"/>
      <c r="E853" s="218"/>
      <c r="F853" s="170"/>
      <c r="G853" s="170"/>
      <c r="H853" s="170"/>
      <c r="I853" s="170"/>
      <c r="J853" s="216"/>
      <c r="K853" s="224"/>
      <c r="L853" s="224"/>
      <c r="M853" s="224"/>
      <c r="N853" s="224"/>
      <c r="O853" s="224"/>
      <c r="P853" s="224"/>
      <c r="Q853" s="224"/>
      <c r="R853" s="224"/>
      <c r="S853" s="224"/>
      <c r="T853" s="224"/>
      <c r="U853" s="224"/>
      <c r="V853" s="224"/>
      <c r="W853" s="224"/>
      <c r="X853" s="224"/>
      <c r="Y853" s="224"/>
    </row>
    <row r="854" spans="1:25" ht="15.75" hidden="1" customHeight="1" x14ac:dyDescent="0.2">
      <c r="A854" s="224"/>
      <c r="B854" s="217"/>
      <c r="C854" s="218"/>
      <c r="D854" s="218"/>
      <c r="E854" s="218"/>
      <c r="F854" s="170"/>
      <c r="G854" s="170"/>
      <c r="H854" s="170"/>
      <c r="I854" s="170"/>
      <c r="J854" s="216"/>
      <c r="K854" s="224"/>
      <c r="L854" s="224"/>
      <c r="M854" s="224"/>
      <c r="N854" s="224"/>
      <c r="O854" s="224"/>
      <c r="P854" s="224"/>
      <c r="Q854" s="224"/>
      <c r="R854" s="224"/>
      <c r="S854" s="224"/>
      <c r="T854" s="224"/>
      <c r="U854" s="224"/>
      <c r="V854" s="224"/>
      <c r="W854" s="224"/>
      <c r="X854" s="224"/>
      <c r="Y854" s="224"/>
    </row>
    <row r="855" spans="1:25" ht="15.75" hidden="1" customHeight="1" x14ac:dyDescent="0.2">
      <c r="A855" s="224"/>
      <c r="B855" s="217"/>
      <c r="C855" s="218"/>
      <c r="D855" s="218"/>
      <c r="E855" s="218"/>
      <c r="F855" s="170"/>
      <c r="G855" s="170"/>
      <c r="H855" s="170"/>
      <c r="I855" s="170"/>
      <c r="J855" s="216"/>
      <c r="K855" s="224"/>
      <c r="L855" s="224"/>
      <c r="M855" s="224"/>
      <c r="N855" s="224"/>
      <c r="O855" s="224"/>
      <c r="P855" s="224"/>
      <c r="Q855" s="224"/>
      <c r="R855" s="224"/>
      <c r="S855" s="224"/>
      <c r="T855" s="224"/>
      <c r="U855" s="224"/>
      <c r="V855" s="224"/>
      <c r="W855" s="224"/>
      <c r="X855" s="224"/>
      <c r="Y855" s="224"/>
    </row>
    <row r="856" spans="1:25" ht="15.75" hidden="1" customHeight="1" x14ac:dyDescent="0.2">
      <c r="A856" s="224"/>
      <c r="B856" s="217"/>
      <c r="C856" s="218"/>
      <c r="D856" s="218"/>
      <c r="E856" s="218"/>
      <c r="F856" s="170"/>
      <c r="G856" s="170"/>
      <c r="H856" s="170"/>
      <c r="I856" s="170"/>
      <c r="J856" s="216"/>
      <c r="K856" s="224"/>
      <c r="L856" s="224"/>
      <c r="M856" s="224"/>
      <c r="N856" s="224"/>
      <c r="O856" s="224"/>
      <c r="P856" s="224"/>
      <c r="Q856" s="224"/>
      <c r="R856" s="224"/>
      <c r="S856" s="224"/>
      <c r="T856" s="224"/>
      <c r="U856" s="224"/>
      <c r="V856" s="224"/>
      <c r="W856" s="224"/>
      <c r="X856" s="224"/>
      <c r="Y856" s="224"/>
    </row>
    <row r="857" spans="1:25" ht="15.75" hidden="1" customHeight="1" x14ac:dyDescent="0.2">
      <c r="A857" s="224"/>
      <c r="B857" s="217"/>
      <c r="C857" s="218"/>
      <c r="D857" s="218"/>
      <c r="E857" s="218"/>
      <c r="F857" s="170"/>
      <c r="G857" s="170"/>
      <c r="H857" s="170"/>
      <c r="I857" s="170"/>
      <c r="J857" s="216"/>
      <c r="K857" s="224"/>
      <c r="L857" s="224"/>
      <c r="M857" s="224"/>
      <c r="N857" s="224"/>
      <c r="O857" s="224"/>
      <c r="P857" s="224"/>
      <c r="Q857" s="224"/>
      <c r="R857" s="224"/>
      <c r="S857" s="224"/>
      <c r="T857" s="224"/>
      <c r="U857" s="224"/>
      <c r="V857" s="224"/>
      <c r="W857" s="224"/>
      <c r="X857" s="224"/>
      <c r="Y857" s="224"/>
    </row>
    <row r="858" spans="1:25" ht="15.75" hidden="1" customHeight="1" x14ac:dyDescent="0.2">
      <c r="A858" s="224"/>
      <c r="B858" s="217"/>
      <c r="C858" s="218"/>
      <c r="D858" s="218"/>
      <c r="E858" s="218"/>
      <c r="F858" s="170"/>
      <c r="G858" s="170"/>
      <c r="H858" s="170"/>
      <c r="I858" s="170"/>
      <c r="J858" s="216"/>
      <c r="K858" s="224"/>
      <c r="L858" s="224"/>
      <c r="M858" s="224"/>
      <c r="N858" s="224"/>
      <c r="O858" s="224"/>
      <c r="P858" s="224"/>
      <c r="Q858" s="224"/>
      <c r="R858" s="224"/>
      <c r="S858" s="224"/>
      <c r="T858" s="224"/>
      <c r="U858" s="224"/>
      <c r="V858" s="224"/>
      <c r="W858" s="224"/>
      <c r="X858" s="224"/>
      <c r="Y858" s="224"/>
    </row>
    <row r="859" spans="1:25" ht="15.75" hidden="1" customHeight="1" x14ac:dyDescent="0.2">
      <c r="A859" s="224"/>
      <c r="B859" s="217"/>
      <c r="C859" s="218"/>
      <c r="D859" s="218"/>
      <c r="E859" s="218"/>
      <c r="F859" s="170"/>
      <c r="G859" s="170"/>
      <c r="H859" s="170"/>
      <c r="I859" s="170"/>
      <c r="J859" s="216"/>
      <c r="K859" s="224"/>
      <c r="L859" s="224"/>
      <c r="M859" s="224"/>
      <c r="N859" s="224"/>
      <c r="O859" s="224"/>
      <c r="P859" s="224"/>
      <c r="Q859" s="224"/>
      <c r="R859" s="224"/>
      <c r="S859" s="224"/>
      <c r="T859" s="224"/>
      <c r="U859" s="224"/>
      <c r="V859" s="224"/>
      <c r="W859" s="224"/>
      <c r="X859" s="224"/>
      <c r="Y859" s="224"/>
    </row>
    <row r="860" spans="1:25" ht="15.75" hidden="1" customHeight="1" x14ac:dyDescent="0.2">
      <c r="A860" s="224"/>
      <c r="B860" s="217"/>
      <c r="C860" s="218"/>
      <c r="D860" s="218"/>
      <c r="E860" s="218"/>
      <c r="F860" s="170"/>
      <c r="G860" s="170"/>
      <c r="H860" s="170"/>
      <c r="I860" s="170"/>
      <c r="J860" s="216"/>
      <c r="K860" s="224"/>
      <c r="L860" s="224"/>
      <c r="M860" s="224"/>
      <c r="N860" s="224"/>
      <c r="O860" s="224"/>
      <c r="P860" s="224"/>
      <c r="Q860" s="224"/>
      <c r="R860" s="224"/>
      <c r="S860" s="224"/>
      <c r="T860" s="224"/>
      <c r="U860" s="224"/>
      <c r="V860" s="224"/>
      <c r="W860" s="224"/>
      <c r="X860" s="224"/>
      <c r="Y860" s="224"/>
    </row>
    <row r="861" spans="1:25" ht="15.75" hidden="1" customHeight="1" x14ac:dyDescent="0.2">
      <c r="A861" s="224"/>
      <c r="B861" s="217"/>
      <c r="C861" s="218"/>
      <c r="D861" s="218"/>
      <c r="E861" s="218"/>
      <c r="F861" s="170"/>
      <c r="G861" s="170"/>
      <c r="H861" s="170"/>
      <c r="I861" s="170"/>
      <c r="J861" s="216"/>
      <c r="K861" s="224"/>
      <c r="L861" s="224"/>
      <c r="M861" s="224"/>
      <c r="N861" s="224"/>
      <c r="O861" s="224"/>
      <c r="P861" s="224"/>
      <c r="Q861" s="224"/>
      <c r="R861" s="224"/>
      <c r="S861" s="224"/>
      <c r="T861" s="224"/>
      <c r="U861" s="224"/>
      <c r="V861" s="224"/>
      <c r="W861" s="224"/>
      <c r="X861" s="224"/>
      <c r="Y861" s="224"/>
    </row>
    <row r="862" spans="1:25" ht="15.75" hidden="1" customHeight="1" x14ac:dyDescent="0.2">
      <c r="A862" s="224"/>
      <c r="B862" s="217"/>
      <c r="C862" s="218"/>
      <c r="D862" s="218"/>
      <c r="E862" s="218"/>
      <c r="F862" s="170"/>
      <c r="G862" s="170"/>
      <c r="H862" s="170"/>
      <c r="I862" s="170"/>
      <c r="J862" s="216"/>
      <c r="K862" s="224"/>
      <c r="L862" s="224"/>
      <c r="M862" s="224"/>
      <c r="N862" s="224"/>
      <c r="O862" s="224"/>
      <c r="P862" s="224"/>
      <c r="Q862" s="224"/>
      <c r="R862" s="224"/>
      <c r="S862" s="224"/>
      <c r="T862" s="224"/>
      <c r="U862" s="224"/>
      <c r="V862" s="224"/>
      <c r="W862" s="224"/>
      <c r="X862" s="224"/>
      <c r="Y862" s="224"/>
    </row>
    <row r="863" spans="1:25" ht="15.75" hidden="1" customHeight="1" x14ac:dyDescent="0.2">
      <c r="A863" s="224"/>
      <c r="B863" s="217"/>
      <c r="C863" s="218"/>
      <c r="D863" s="218"/>
      <c r="E863" s="218"/>
      <c r="F863" s="170"/>
      <c r="G863" s="170"/>
      <c r="H863" s="170"/>
      <c r="I863" s="170"/>
      <c r="J863" s="216"/>
      <c r="K863" s="224"/>
      <c r="L863" s="224"/>
      <c r="M863" s="224"/>
      <c r="N863" s="224"/>
      <c r="O863" s="224"/>
      <c r="P863" s="224"/>
      <c r="Q863" s="224"/>
      <c r="R863" s="224"/>
      <c r="S863" s="224"/>
      <c r="T863" s="224"/>
      <c r="U863" s="224"/>
      <c r="V863" s="224"/>
      <c r="W863" s="224"/>
      <c r="X863" s="224"/>
      <c r="Y863" s="224"/>
    </row>
    <row r="864" spans="1:25" ht="15.75" hidden="1" customHeight="1" x14ac:dyDescent="0.2">
      <c r="A864" s="224"/>
      <c r="B864" s="217"/>
      <c r="C864" s="218"/>
      <c r="D864" s="218"/>
      <c r="E864" s="218"/>
      <c r="F864" s="170"/>
      <c r="G864" s="170"/>
      <c r="H864" s="170"/>
      <c r="I864" s="170"/>
      <c r="J864" s="216"/>
      <c r="K864" s="224"/>
      <c r="L864" s="224"/>
      <c r="M864" s="224"/>
      <c r="N864" s="224"/>
      <c r="O864" s="224"/>
      <c r="P864" s="224"/>
      <c r="Q864" s="224"/>
      <c r="R864" s="224"/>
      <c r="S864" s="224"/>
      <c r="T864" s="224"/>
      <c r="U864" s="224"/>
      <c r="V864" s="224"/>
      <c r="W864" s="224"/>
      <c r="X864" s="224"/>
      <c r="Y864" s="224"/>
    </row>
    <row r="865" spans="1:25" ht="15.75" hidden="1" customHeight="1" x14ac:dyDescent="0.2">
      <c r="A865" s="224"/>
      <c r="B865" s="217"/>
      <c r="C865" s="218"/>
      <c r="D865" s="218"/>
      <c r="E865" s="218"/>
      <c r="F865" s="170"/>
      <c r="G865" s="170"/>
      <c r="H865" s="170"/>
      <c r="I865" s="170"/>
      <c r="J865" s="216"/>
      <c r="K865" s="224"/>
      <c r="L865" s="224"/>
      <c r="M865" s="224"/>
      <c r="N865" s="224"/>
      <c r="O865" s="224"/>
      <c r="P865" s="224"/>
      <c r="Q865" s="224"/>
      <c r="R865" s="224"/>
      <c r="S865" s="224"/>
      <c r="T865" s="224"/>
      <c r="U865" s="224"/>
      <c r="V865" s="224"/>
      <c r="W865" s="224"/>
      <c r="X865" s="224"/>
      <c r="Y865" s="224"/>
    </row>
    <row r="866" spans="1:25" ht="15.75" hidden="1" customHeight="1" x14ac:dyDescent="0.2">
      <c r="A866" s="224"/>
      <c r="B866" s="217"/>
      <c r="C866" s="218"/>
      <c r="D866" s="218"/>
      <c r="E866" s="218"/>
      <c r="F866" s="170"/>
      <c r="G866" s="170"/>
      <c r="H866" s="170"/>
      <c r="I866" s="170"/>
      <c r="J866" s="216"/>
      <c r="K866" s="224"/>
      <c r="L866" s="224"/>
      <c r="M866" s="224"/>
      <c r="N866" s="224"/>
      <c r="O866" s="224"/>
      <c r="P866" s="224"/>
      <c r="Q866" s="224"/>
      <c r="R866" s="224"/>
      <c r="S866" s="224"/>
      <c r="T866" s="224"/>
      <c r="U866" s="224"/>
      <c r="V866" s="224"/>
      <c r="W866" s="224"/>
      <c r="X866" s="224"/>
      <c r="Y866" s="224"/>
    </row>
    <row r="867" spans="1:25" ht="15.75" hidden="1" customHeight="1" x14ac:dyDescent="0.2">
      <c r="A867" s="224"/>
      <c r="B867" s="217"/>
      <c r="C867" s="218"/>
      <c r="D867" s="218"/>
      <c r="E867" s="218"/>
      <c r="F867" s="170"/>
      <c r="G867" s="170"/>
      <c r="H867" s="170"/>
      <c r="I867" s="170"/>
      <c r="J867" s="216"/>
      <c r="K867" s="224"/>
      <c r="L867" s="224"/>
      <c r="M867" s="224"/>
      <c r="N867" s="224"/>
      <c r="O867" s="224"/>
      <c r="P867" s="224"/>
      <c r="Q867" s="224"/>
      <c r="R867" s="224"/>
      <c r="S867" s="224"/>
      <c r="T867" s="224"/>
      <c r="U867" s="224"/>
      <c r="V867" s="224"/>
      <c r="W867" s="224"/>
      <c r="X867" s="224"/>
      <c r="Y867" s="224"/>
    </row>
    <row r="868" spans="1:25" ht="15.75" hidden="1" customHeight="1" x14ac:dyDescent="0.2">
      <c r="A868" s="224"/>
      <c r="B868" s="217"/>
      <c r="C868" s="218"/>
      <c r="D868" s="218"/>
      <c r="E868" s="218"/>
      <c r="F868" s="170"/>
      <c r="G868" s="170"/>
      <c r="H868" s="170"/>
      <c r="I868" s="170"/>
      <c r="J868" s="216"/>
      <c r="K868" s="224"/>
      <c r="L868" s="224"/>
      <c r="M868" s="224"/>
      <c r="N868" s="224"/>
      <c r="O868" s="224"/>
      <c r="P868" s="224"/>
      <c r="Q868" s="224"/>
      <c r="R868" s="224"/>
      <c r="S868" s="224"/>
      <c r="T868" s="224"/>
      <c r="U868" s="224"/>
      <c r="V868" s="224"/>
      <c r="W868" s="224"/>
      <c r="X868" s="224"/>
      <c r="Y868" s="224"/>
    </row>
    <row r="869" spans="1:25" ht="15.75" hidden="1" customHeight="1" x14ac:dyDescent="0.2">
      <c r="A869" s="224"/>
      <c r="B869" s="217"/>
      <c r="C869" s="218"/>
      <c r="D869" s="218"/>
      <c r="E869" s="218"/>
      <c r="F869" s="170"/>
      <c r="G869" s="170"/>
      <c r="H869" s="170"/>
      <c r="I869" s="170"/>
      <c r="J869" s="216"/>
      <c r="K869" s="224"/>
      <c r="L869" s="224"/>
      <c r="M869" s="224"/>
      <c r="N869" s="224"/>
      <c r="O869" s="224"/>
      <c r="P869" s="224"/>
      <c r="Q869" s="224"/>
      <c r="R869" s="224"/>
      <c r="S869" s="224"/>
      <c r="T869" s="224"/>
      <c r="U869" s="224"/>
      <c r="V869" s="224"/>
      <c r="W869" s="224"/>
      <c r="X869" s="224"/>
      <c r="Y869" s="224"/>
    </row>
    <row r="870" spans="1:25" ht="15.75" hidden="1" customHeight="1" x14ac:dyDescent="0.2">
      <c r="A870" s="224"/>
      <c r="B870" s="217"/>
      <c r="C870" s="218"/>
      <c r="D870" s="218"/>
      <c r="E870" s="218"/>
      <c r="F870" s="170"/>
      <c r="G870" s="170"/>
      <c r="H870" s="170"/>
      <c r="I870" s="170"/>
      <c r="J870" s="216"/>
      <c r="K870" s="224"/>
      <c r="L870" s="224"/>
      <c r="M870" s="224"/>
      <c r="N870" s="224"/>
      <c r="O870" s="224"/>
      <c r="P870" s="224"/>
      <c r="Q870" s="224"/>
      <c r="R870" s="224"/>
      <c r="S870" s="224"/>
      <c r="T870" s="224"/>
      <c r="U870" s="224"/>
      <c r="V870" s="224"/>
      <c r="W870" s="224"/>
      <c r="X870" s="224"/>
      <c r="Y870" s="224"/>
    </row>
    <row r="871" spans="1:25" ht="15.75" hidden="1" customHeight="1" x14ac:dyDescent="0.2">
      <c r="A871" s="224"/>
      <c r="B871" s="217"/>
      <c r="C871" s="218"/>
      <c r="D871" s="218"/>
      <c r="E871" s="218"/>
      <c r="F871" s="170"/>
      <c r="G871" s="170"/>
      <c r="H871" s="170"/>
      <c r="I871" s="170"/>
      <c r="J871" s="216"/>
      <c r="K871" s="224"/>
      <c r="L871" s="224"/>
      <c r="M871" s="224"/>
      <c r="N871" s="224"/>
      <c r="O871" s="224"/>
      <c r="P871" s="224"/>
      <c r="Q871" s="224"/>
      <c r="R871" s="224"/>
      <c r="S871" s="224"/>
      <c r="T871" s="224"/>
      <c r="U871" s="224"/>
      <c r="V871" s="224"/>
      <c r="W871" s="224"/>
      <c r="X871" s="224"/>
      <c r="Y871" s="224"/>
    </row>
    <row r="872" spans="1:25" ht="15.75" hidden="1" customHeight="1" x14ac:dyDescent="0.2">
      <c r="A872" s="224"/>
      <c r="B872" s="217"/>
      <c r="C872" s="218"/>
      <c r="D872" s="218"/>
      <c r="E872" s="218"/>
      <c r="F872" s="170"/>
      <c r="G872" s="170"/>
      <c r="H872" s="170"/>
      <c r="I872" s="170"/>
      <c r="J872" s="216"/>
      <c r="K872" s="224"/>
      <c r="L872" s="224"/>
      <c r="M872" s="224"/>
      <c r="N872" s="224"/>
      <c r="O872" s="224"/>
      <c r="P872" s="224"/>
      <c r="Q872" s="224"/>
      <c r="R872" s="224"/>
      <c r="S872" s="224"/>
      <c r="T872" s="224"/>
      <c r="U872" s="224"/>
      <c r="V872" s="224"/>
      <c r="W872" s="224"/>
      <c r="X872" s="224"/>
      <c r="Y872" s="224"/>
    </row>
    <row r="873" spans="1:25" ht="15.75" hidden="1" customHeight="1" x14ac:dyDescent="0.2">
      <c r="A873" s="224"/>
      <c r="B873" s="217"/>
      <c r="C873" s="218"/>
      <c r="D873" s="218"/>
      <c r="E873" s="218"/>
      <c r="F873" s="170"/>
      <c r="G873" s="170"/>
      <c r="H873" s="170"/>
      <c r="I873" s="170"/>
      <c r="J873" s="216"/>
      <c r="K873" s="224"/>
      <c r="L873" s="224"/>
      <c r="M873" s="224"/>
      <c r="N873" s="224"/>
      <c r="O873" s="224"/>
      <c r="P873" s="224"/>
      <c r="Q873" s="224"/>
      <c r="R873" s="224"/>
      <c r="S873" s="224"/>
      <c r="T873" s="224"/>
      <c r="U873" s="224"/>
      <c r="V873" s="224"/>
      <c r="W873" s="224"/>
      <c r="X873" s="224"/>
      <c r="Y873" s="224"/>
    </row>
    <row r="874" spans="1:25" ht="15.75" hidden="1" customHeight="1" x14ac:dyDescent="0.2">
      <c r="A874" s="224"/>
      <c r="B874" s="217"/>
      <c r="C874" s="218"/>
      <c r="D874" s="218"/>
      <c r="E874" s="218"/>
      <c r="F874" s="170"/>
      <c r="G874" s="170"/>
      <c r="H874" s="170"/>
      <c r="I874" s="170"/>
      <c r="J874" s="216"/>
      <c r="K874" s="224"/>
      <c r="L874" s="224"/>
      <c r="M874" s="224"/>
      <c r="N874" s="224"/>
      <c r="O874" s="224"/>
      <c r="P874" s="224"/>
      <c r="Q874" s="224"/>
      <c r="R874" s="224"/>
      <c r="S874" s="224"/>
      <c r="T874" s="224"/>
      <c r="U874" s="224"/>
      <c r="V874" s="224"/>
      <c r="W874" s="224"/>
      <c r="X874" s="224"/>
      <c r="Y874" s="224"/>
    </row>
    <row r="875" spans="1:25" ht="15.75" hidden="1" customHeight="1" x14ac:dyDescent="0.2">
      <c r="A875" s="224"/>
      <c r="B875" s="217"/>
      <c r="C875" s="218"/>
      <c r="D875" s="218"/>
      <c r="E875" s="218"/>
      <c r="F875" s="170"/>
      <c r="G875" s="170"/>
      <c r="H875" s="170"/>
      <c r="I875" s="170"/>
      <c r="J875" s="216"/>
      <c r="K875" s="224"/>
      <c r="L875" s="224"/>
      <c r="M875" s="224"/>
      <c r="N875" s="224"/>
      <c r="O875" s="224"/>
      <c r="P875" s="224"/>
      <c r="Q875" s="224"/>
      <c r="R875" s="224"/>
      <c r="S875" s="224"/>
      <c r="T875" s="224"/>
      <c r="U875" s="224"/>
      <c r="V875" s="224"/>
      <c r="W875" s="224"/>
      <c r="X875" s="224"/>
      <c r="Y875" s="224"/>
    </row>
    <row r="876" spans="1:25" ht="15.75" hidden="1" customHeight="1" x14ac:dyDescent="0.2">
      <c r="A876" s="224"/>
      <c r="B876" s="217"/>
      <c r="C876" s="218"/>
      <c r="D876" s="218"/>
      <c r="E876" s="218"/>
      <c r="F876" s="170"/>
      <c r="G876" s="170"/>
      <c r="H876" s="170"/>
      <c r="I876" s="170"/>
      <c r="J876" s="216"/>
      <c r="K876" s="224"/>
      <c r="L876" s="224"/>
      <c r="M876" s="224"/>
      <c r="N876" s="224"/>
      <c r="O876" s="224"/>
      <c r="P876" s="224"/>
      <c r="Q876" s="224"/>
      <c r="R876" s="224"/>
      <c r="S876" s="224"/>
      <c r="T876" s="224"/>
      <c r="U876" s="224"/>
      <c r="V876" s="224"/>
      <c r="W876" s="224"/>
      <c r="X876" s="224"/>
      <c r="Y876" s="224"/>
    </row>
    <row r="877" spans="1:25" ht="15.75" hidden="1" customHeight="1" x14ac:dyDescent="0.2">
      <c r="A877" s="224"/>
      <c r="B877" s="217"/>
      <c r="C877" s="218"/>
      <c r="D877" s="218"/>
      <c r="E877" s="218"/>
      <c r="F877" s="170"/>
      <c r="G877" s="170"/>
      <c r="H877" s="170"/>
      <c r="I877" s="170"/>
      <c r="J877" s="216"/>
      <c r="K877" s="224"/>
      <c r="L877" s="224"/>
      <c r="M877" s="224"/>
      <c r="N877" s="224"/>
      <c r="O877" s="224"/>
      <c r="P877" s="224"/>
      <c r="Q877" s="224"/>
      <c r="R877" s="224"/>
      <c r="S877" s="224"/>
      <c r="T877" s="224"/>
      <c r="U877" s="224"/>
      <c r="V877" s="224"/>
      <c r="W877" s="224"/>
      <c r="X877" s="224"/>
      <c r="Y877" s="224"/>
    </row>
    <row r="878" spans="1:25" ht="15.75" hidden="1" customHeight="1" x14ac:dyDescent="0.2">
      <c r="A878" s="224"/>
      <c r="B878" s="217"/>
      <c r="C878" s="218"/>
      <c r="D878" s="218"/>
      <c r="E878" s="218"/>
      <c r="F878" s="170"/>
      <c r="G878" s="170"/>
      <c r="H878" s="170"/>
      <c r="I878" s="170"/>
      <c r="J878" s="216"/>
      <c r="K878" s="224"/>
      <c r="L878" s="224"/>
      <c r="M878" s="224"/>
      <c r="N878" s="224"/>
      <c r="O878" s="224"/>
      <c r="P878" s="224"/>
      <c r="Q878" s="224"/>
      <c r="R878" s="224"/>
      <c r="S878" s="224"/>
      <c r="T878" s="224"/>
      <c r="U878" s="224"/>
      <c r="V878" s="224"/>
      <c r="W878" s="224"/>
      <c r="X878" s="224"/>
      <c r="Y878" s="224"/>
    </row>
    <row r="879" spans="1:25" ht="15.75" hidden="1" customHeight="1" x14ac:dyDescent="0.2">
      <c r="A879" s="224"/>
      <c r="B879" s="217"/>
      <c r="C879" s="218"/>
      <c r="D879" s="218"/>
      <c r="E879" s="218"/>
      <c r="F879" s="170"/>
      <c r="G879" s="170"/>
      <c r="H879" s="170"/>
      <c r="I879" s="170"/>
      <c r="J879" s="216"/>
      <c r="K879" s="224"/>
      <c r="L879" s="224"/>
      <c r="M879" s="224"/>
      <c r="N879" s="224"/>
      <c r="O879" s="224"/>
      <c r="P879" s="224"/>
      <c r="Q879" s="224"/>
      <c r="R879" s="224"/>
      <c r="S879" s="224"/>
      <c r="T879" s="224"/>
      <c r="U879" s="224"/>
      <c r="V879" s="224"/>
      <c r="W879" s="224"/>
      <c r="X879" s="224"/>
      <c r="Y879" s="224"/>
    </row>
    <row r="880" spans="1:25" ht="15.75" hidden="1" customHeight="1" x14ac:dyDescent="0.2">
      <c r="A880" s="224"/>
      <c r="B880" s="217"/>
      <c r="C880" s="218"/>
      <c r="D880" s="218"/>
      <c r="E880" s="218"/>
      <c r="F880" s="170"/>
      <c r="G880" s="170"/>
      <c r="H880" s="170"/>
      <c r="I880" s="170"/>
      <c r="J880" s="216"/>
      <c r="K880" s="224"/>
      <c r="L880" s="224"/>
      <c r="M880" s="224"/>
      <c r="N880" s="224"/>
      <c r="O880" s="224"/>
      <c r="P880" s="224"/>
      <c r="Q880" s="224"/>
      <c r="R880" s="224"/>
      <c r="S880" s="224"/>
      <c r="T880" s="224"/>
      <c r="U880" s="224"/>
      <c r="V880" s="224"/>
      <c r="W880" s="224"/>
      <c r="X880" s="224"/>
      <c r="Y880" s="224"/>
    </row>
    <row r="881" spans="1:25" ht="15.75" hidden="1" customHeight="1" x14ac:dyDescent="0.2">
      <c r="A881" s="224"/>
      <c r="B881" s="217"/>
      <c r="C881" s="218"/>
      <c r="D881" s="218"/>
      <c r="E881" s="218"/>
      <c r="F881" s="170"/>
      <c r="G881" s="170"/>
      <c r="H881" s="170"/>
      <c r="I881" s="170"/>
      <c r="J881" s="216"/>
      <c r="K881" s="224"/>
      <c r="L881" s="224"/>
      <c r="M881" s="224"/>
      <c r="N881" s="224"/>
      <c r="O881" s="224"/>
      <c r="P881" s="224"/>
      <c r="Q881" s="224"/>
      <c r="R881" s="224"/>
      <c r="S881" s="224"/>
      <c r="T881" s="224"/>
      <c r="U881" s="224"/>
      <c r="V881" s="224"/>
      <c r="W881" s="224"/>
      <c r="X881" s="224"/>
      <c r="Y881" s="224"/>
    </row>
    <row r="882" spans="1:25" ht="15.75" hidden="1" customHeight="1" x14ac:dyDescent="0.2">
      <c r="A882" s="224"/>
      <c r="B882" s="217"/>
      <c r="C882" s="218"/>
      <c r="D882" s="218"/>
      <c r="E882" s="218"/>
      <c r="F882" s="170"/>
      <c r="G882" s="170"/>
      <c r="H882" s="170"/>
      <c r="I882" s="170"/>
      <c r="J882" s="216"/>
      <c r="K882" s="224"/>
      <c r="L882" s="224"/>
      <c r="M882" s="224"/>
      <c r="N882" s="224"/>
      <c r="O882" s="224"/>
      <c r="P882" s="224"/>
      <c r="Q882" s="224"/>
      <c r="R882" s="224"/>
      <c r="S882" s="224"/>
      <c r="T882" s="224"/>
      <c r="U882" s="224"/>
      <c r="V882" s="224"/>
      <c r="W882" s="224"/>
      <c r="X882" s="224"/>
      <c r="Y882" s="224"/>
    </row>
    <row r="883" spans="1:25" ht="15.75" hidden="1" customHeight="1" x14ac:dyDescent="0.2">
      <c r="A883" s="224"/>
      <c r="B883" s="217"/>
      <c r="C883" s="218"/>
      <c r="D883" s="218"/>
      <c r="E883" s="218"/>
      <c r="F883" s="170"/>
      <c r="G883" s="170"/>
      <c r="H883" s="170"/>
      <c r="I883" s="170"/>
      <c r="J883" s="216"/>
      <c r="K883" s="224"/>
      <c r="L883" s="224"/>
      <c r="M883" s="224"/>
      <c r="N883" s="224"/>
      <c r="O883" s="224"/>
      <c r="P883" s="224"/>
      <c r="Q883" s="224"/>
      <c r="R883" s="224"/>
      <c r="S883" s="224"/>
      <c r="T883" s="224"/>
      <c r="U883" s="224"/>
      <c r="V883" s="224"/>
      <c r="W883" s="224"/>
      <c r="X883" s="224"/>
      <c r="Y883" s="224"/>
    </row>
    <row r="884" spans="1:25" ht="15.75" hidden="1" customHeight="1" x14ac:dyDescent="0.2">
      <c r="A884" s="224"/>
      <c r="B884" s="217"/>
      <c r="C884" s="218"/>
      <c r="D884" s="218"/>
      <c r="E884" s="218"/>
      <c r="F884" s="170"/>
      <c r="G884" s="170"/>
      <c r="H884" s="170"/>
      <c r="I884" s="170"/>
      <c r="J884" s="216"/>
      <c r="K884" s="224"/>
      <c r="L884" s="224"/>
      <c r="M884" s="224"/>
      <c r="N884" s="224"/>
      <c r="O884" s="224"/>
      <c r="P884" s="224"/>
      <c r="Q884" s="224"/>
      <c r="R884" s="224"/>
      <c r="S884" s="224"/>
      <c r="T884" s="224"/>
      <c r="U884" s="224"/>
      <c r="V884" s="224"/>
      <c r="W884" s="224"/>
      <c r="X884" s="224"/>
      <c r="Y884" s="224"/>
    </row>
    <row r="885" spans="1:25" ht="15.75" hidden="1" customHeight="1" x14ac:dyDescent="0.2">
      <c r="A885" s="224"/>
      <c r="B885" s="217"/>
      <c r="C885" s="218"/>
      <c r="D885" s="218"/>
      <c r="E885" s="218"/>
      <c r="F885" s="170"/>
      <c r="G885" s="170"/>
      <c r="H885" s="170"/>
      <c r="I885" s="170"/>
      <c r="J885" s="216"/>
      <c r="K885" s="224"/>
      <c r="L885" s="224"/>
      <c r="M885" s="224"/>
      <c r="N885" s="224"/>
      <c r="O885" s="224"/>
      <c r="P885" s="224"/>
      <c r="Q885" s="224"/>
      <c r="R885" s="224"/>
      <c r="S885" s="224"/>
      <c r="T885" s="224"/>
      <c r="U885" s="224"/>
      <c r="V885" s="224"/>
      <c r="W885" s="224"/>
      <c r="X885" s="224"/>
      <c r="Y885" s="224"/>
    </row>
    <row r="886" spans="1:25" ht="15.75" hidden="1" customHeight="1" x14ac:dyDescent="0.2">
      <c r="A886" s="224"/>
      <c r="B886" s="217"/>
      <c r="C886" s="218"/>
      <c r="D886" s="218"/>
      <c r="E886" s="218"/>
      <c r="F886" s="170"/>
      <c r="G886" s="170"/>
      <c r="H886" s="170"/>
      <c r="I886" s="170"/>
      <c r="J886" s="216"/>
      <c r="K886" s="224"/>
      <c r="L886" s="224"/>
      <c r="M886" s="224"/>
      <c r="N886" s="224"/>
      <c r="O886" s="224"/>
      <c r="P886" s="224"/>
      <c r="Q886" s="224"/>
      <c r="R886" s="224"/>
      <c r="S886" s="224"/>
      <c r="T886" s="224"/>
      <c r="U886" s="224"/>
      <c r="V886" s="224"/>
      <c r="W886" s="224"/>
      <c r="X886" s="224"/>
      <c r="Y886" s="224"/>
    </row>
    <row r="887" spans="1:25" ht="15.75" hidden="1" customHeight="1" x14ac:dyDescent="0.2">
      <c r="A887" s="224"/>
      <c r="B887" s="217"/>
      <c r="C887" s="218"/>
      <c r="D887" s="218"/>
      <c r="E887" s="218"/>
      <c r="F887" s="170"/>
      <c r="G887" s="170"/>
      <c r="H887" s="170"/>
      <c r="I887" s="170"/>
      <c r="J887" s="216"/>
      <c r="K887" s="224"/>
      <c r="L887" s="224"/>
      <c r="M887" s="224"/>
      <c r="N887" s="224"/>
      <c r="O887" s="224"/>
      <c r="P887" s="224"/>
      <c r="Q887" s="224"/>
      <c r="R887" s="224"/>
      <c r="S887" s="224"/>
      <c r="T887" s="224"/>
      <c r="U887" s="224"/>
      <c r="V887" s="224"/>
      <c r="W887" s="224"/>
      <c r="X887" s="224"/>
      <c r="Y887" s="224"/>
    </row>
    <row r="888" spans="1:25" ht="15.75" hidden="1" customHeight="1" x14ac:dyDescent="0.2">
      <c r="A888" s="224"/>
      <c r="B888" s="217"/>
      <c r="C888" s="218"/>
      <c r="D888" s="218"/>
      <c r="E888" s="218"/>
      <c r="F888" s="170"/>
      <c r="G888" s="170"/>
      <c r="H888" s="170"/>
      <c r="I888" s="170"/>
      <c r="J888" s="216"/>
      <c r="K888" s="224"/>
      <c r="L888" s="224"/>
      <c r="M888" s="224"/>
      <c r="N888" s="224"/>
      <c r="O888" s="224"/>
      <c r="P888" s="224"/>
      <c r="Q888" s="224"/>
      <c r="R888" s="224"/>
      <c r="S888" s="224"/>
      <c r="T888" s="224"/>
      <c r="U888" s="224"/>
      <c r="V888" s="224"/>
      <c r="W888" s="224"/>
      <c r="X888" s="224"/>
      <c r="Y888" s="224"/>
    </row>
    <row r="889" spans="1:25" ht="15.75" hidden="1" customHeight="1" x14ac:dyDescent="0.2">
      <c r="A889" s="224"/>
      <c r="B889" s="217"/>
      <c r="C889" s="218"/>
      <c r="D889" s="218"/>
      <c r="E889" s="218"/>
      <c r="F889" s="170"/>
      <c r="G889" s="170"/>
      <c r="H889" s="170"/>
      <c r="I889" s="170"/>
      <c r="J889" s="216"/>
      <c r="K889" s="224"/>
      <c r="L889" s="224"/>
      <c r="M889" s="224"/>
      <c r="N889" s="224"/>
      <c r="O889" s="224"/>
      <c r="P889" s="224"/>
      <c r="Q889" s="224"/>
      <c r="R889" s="224"/>
      <c r="S889" s="224"/>
      <c r="T889" s="224"/>
      <c r="U889" s="224"/>
      <c r="V889" s="224"/>
      <c r="W889" s="224"/>
      <c r="X889" s="224"/>
      <c r="Y889" s="224"/>
    </row>
    <row r="890" spans="1:25" ht="15.75" hidden="1" customHeight="1" x14ac:dyDescent="0.2">
      <c r="A890" s="224"/>
      <c r="B890" s="217"/>
      <c r="C890" s="218"/>
      <c r="D890" s="218"/>
      <c r="E890" s="218"/>
      <c r="F890" s="170"/>
      <c r="G890" s="170"/>
      <c r="H890" s="170"/>
      <c r="I890" s="170"/>
      <c r="J890" s="216"/>
      <c r="K890" s="224"/>
      <c r="L890" s="224"/>
      <c r="M890" s="224"/>
      <c r="N890" s="224"/>
      <c r="O890" s="224"/>
      <c r="P890" s="224"/>
      <c r="Q890" s="224"/>
      <c r="R890" s="224"/>
      <c r="S890" s="224"/>
      <c r="T890" s="224"/>
      <c r="U890" s="224"/>
      <c r="V890" s="224"/>
      <c r="W890" s="224"/>
      <c r="X890" s="224"/>
      <c r="Y890" s="224"/>
    </row>
    <row r="891" spans="1:25" ht="15.75" hidden="1" customHeight="1" x14ac:dyDescent="0.2">
      <c r="A891" s="224"/>
      <c r="B891" s="217"/>
      <c r="C891" s="218"/>
      <c r="D891" s="218"/>
      <c r="E891" s="218"/>
      <c r="F891" s="170"/>
      <c r="G891" s="170"/>
      <c r="H891" s="170"/>
      <c r="I891" s="170"/>
      <c r="J891" s="216"/>
      <c r="K891" s="224"/>
      <c r="L891" s="224"/>
      <c r="M891" s="224"/>
      <c r="N891" s="224"/>
      <c r="O891" s="224"/>
      <c r="P891" s="224"/>
      <c r="Q891" s="224"/>
      <c r="R891" s="224"/>
      <c r="S891" s="224"/>
      <c r="T891" s="224"/>
      <c r="U891" s="224"/>
      <c r="V891" s="224"/>
      <c r="W891" s="224"/>
      <c r="X891" s="224"/>
      <c r="Y891" s="224"/>
    </row>
    <row r="892" spans="1:25" ht="15.75" hidden="1" customHeight="1" x14ac:dyDescent="0.2">
      <c r="A892" s="224"/>
      <c r="B892" s="217"/>
      <c r="C892" s="218"/>
      <c r="D892" s="218"/>
      <c r="E892" s="218"/>
      <c r="F892" s="170"/>
      <c r="G892" s="170"/>
      <c r="H892" s="170"/>
      <c r="I892" s="170"/>
      <c r="J892" s="216"/>
      <c r="K892" s="224"/>
      <c r="L892" s="224"/>
      <c r="M892" s="224"/>
      <c r="N892" s="224"/>
      <c r="O892" s="224"/>
      <c r="P892" s="224"/>
      <c r="Q892" s="224"/>
      <c r="R892" s="224"/>
      <c r="S892" s="224"/>
      <c r="T892" s="224"/>
      <c r="U892" s="224"/>
      <c r="V892" s="224"/>
      <c r="W892" s="224"/>
      <c r="X892" s="224"/>
      <c r="Y892" s="224"/>
    </row>
    <row r="893" spans="1:25" ht="15.75" hidden="1" customHeight="1" x14ac:dyDescent="0.2">
      <c r="A893" s="224"/>
      <c r="B893" s="217"/>
      <c r="C893" s="218"/>
      <c r="D893" s="218"/>
      <c r="E893" s="218"/>
      <c r="F893" s="170"/>
      <c r="G893" s="170"/>
      <c r="H893" s="170"/>
      <c r="I893" s="170"/>
      <c r="J893" s="216"/>
      <c r="K893" s="224"/>
      <c r="L893" s="224"/>
      <c r="M893" s="224"/>
      <c r="N893" s="224"/>
      <c r="O893" s="224"/>
      <c r="P893" s="224"/>
      <c r="Q893" s="224"/>
      <c r="R893" s="224"/>
      <c r="S893" s="224"/>
      <c r="T893" s="224"/>
      <c r="U893" s="224"/>
      <c r="V893" s="224"/>
      <c r="W893" s="224"/>
      <c r="X893" s="224"/>
      <c r="Y893" s="224"/>
    </row>
    <row r="894" spans="1:25" ht="15.75" hidden="1" customHeight="1" x14ac:dyDescent="0.2">
      <c r="A894" s="224"/>
      <c r="B894" s="217"/>
      <c r="C894" s="218"/>
      <c r="D894" s="218"/>
      <c r="E894" s="218"/>
      <c r="F894" s="170"/>
      <c r="G894" s="170"/>
      <c r="H894" s="170"/>
      <c r="I894" s="170"/>
      <c r="J894" s="216"/>
      <c r="K894" s="224"/>
      <c r="L894" s="224"/>
      <c r="M894" s="224"/>
      <c r="N894" s="224"/>
      <c r="O894" s="224"/>
      <c r="P894" s="224"/>
      <c r="Q894" s="224"/>
      <c r="R894" s="224"/>
      <c r="S894" s="224"/>
      <c r="T894" s="224"/>
      <c r="U894" s="224"/>
      <c r="V894" s="224"/>
      <c r="W894" s="224"/>
      <c r="X894" s="224"/>
      <c r="Y894" s="224"/>
    </row>
    <row r="895" spans="1:25" ht="15.75" hidden="1" customHeight="1" x14ac:dyDescent="0.2">
      <c r="A895" s="224"/>
      <c r="B895" s="217"/>
      <c r="C895" s="218"/>
      <c r="D895" s="218"/>
      <c r="E895" s="218"/>
      <c r="F895" s="170"/>
      <c r="G895" s="170"/>
      <c r="H895" s="170"/>
      <c r="I895" s="170"/>
      <c r="J895" s="216"/>
      <c r="K895" s="224"/>
      <c r="L895" s="224"/>
      <c r="M895" s="224"/>
      <c r="N895" s="224"/>
      <c r="O895" s="224"/>
      <c r="P895" s="224"/>
      <c r="Q895" s="224"/>
      <c r="R895" s="224"/>
      <c r="S895" s="224"/>
      <c r="T895" s="224"/>
      <c r="U895" s="224"/>
      <c r="V895" s="224"/>
      <c r="W895" s="224"/>
      <c r="X895" s="224"/>
      <c r="Y895" s="224"/>
    </row>
    <row r="896" spans="1:25" ht="15.75" hidden="1" customHeight="1" x14ac:dyDescent="0.2">
      <c r="A896" s="224"/>
      <c r="B896" s="217"/>
      <c r="C896" s="218"/>
      <c r="D896" s="218"/>
      <c r="E896" s="218"/>
      <c r="F896" s="170"/>
      <c r="G896" s="170"/>
      <c r="H896" s="170"/>
      <c r="I896" s="170"/>
      <c r="J896" s="216"/>
      <c r="K896" s="224"/>
      <c r="L896" s="224"/>
      <c r="M896" s="224"/>
      <c r="N896" s="224"/>
      <c r="O896" s="224"/>
      <c r="P896" s="224"/>
      <c r="Q896" s="224"/>
      <c r="R896" s="224"/>
      <c r="S896" s="224"/>
      <c r="T896" s="224"/>
      <c r="U896" s="224"/>
      <c r="V896" s="224"/>
      <c r="W896" s="224"/>
      <c r="X896" s="224"/>
      <c r="Y896" s="224"/>
    </row>
    <row r="897" spans="1:25" ht="15.75" hidden="1" customHeight="1" x14ac:dyDescent="0.2">
      <c r="A897" s="224"/>
      <c r="B897" s="217"/>
      <c r="C897" s="218"/>
      <c r="D897" s="218"/>
      <c r="E897" s="218"/>
      <c r="F897" s="170"/>
      <c r="G897" s="170"/>
      <c r="H897" s="170"/>
      <c r="I897" s="170"/>
      <c r="J897" s="216"/>
      <c r="K897" s="224"/>
      <c r="L897" s="224"/>
      <c r="M897" s="224"/>
      <c r="N897" s="224"/>
      <c r="O897" s="224"/>
      <c r="P897" s="224"/>
      <c r="Q897" s="224"/>
      <c r="R897" s="224"/>
      <c r="S897" s="224"/>
      <c r="T897" s="224"/>
      <c r="U897" s="224"/>
      <c r="V897" s="224"/>
      <c r="W897" s="224"/>
      <c r="X897" s="224"/>
      <c r="Y897" s="224"/>
    </row>
    <row r="898" spans="1:25" ht="15.75" hidden="1" customHeight="1" x14ac:dyDescent="0.2">
      <c r="A898" s="224"/>
      <c r="B898" s="217"/>
      <c r="C898" s="218"/>
      <c r="D898" s="218"/>
      <c r="E898" s="218"/>
      <c r="F898" s="170"/>
      <c r="G898" s="170"/>
      <c r="H898" s="170"/>
      <c r="I898" s="170"/>
      <c r="J898" s="216"/>
      <c r="K898" s="224"/>
      <c r="L898" s="224"/>
      <c r="M898" s="224"/>
      <c r="N898" s="224"/>
      <c r="O898" s="224"/>
      <c r="P898" s="224"/>
      <c r="Q898" s="224"/>
      <c r="R898" s="224"/>
      <c r="S898" s="224"/>
      <c r="T898" s="224"/>
      <c r="U898" s="224"/>
      <c r="V898" s="224"/>
      <c r="W898" s="224"/>
      <c r="X898" s="224"/>
      <c r="Y898" s="224"/>
    </row>
    <row r="899" spans="1:25" ht="15.75" hidden="1" customHeight="1" x14ac:dyDescent="0.2">
      <c r="A899" s="224"/>
      <c r="B899" s="217"/>
      <c r="C899" s="218"/>
      <c r="D899" s="218"/>
      <c r="E899" s="218"/>
      <c r="F899" s="170"/>
      <c r="G899" s="170"/>
      <c r="H899" s="170"/>
      <c r="I899" s="170"/>
      <c r="J899" s="216"/>
      <c r="K899" s="224"/>
      <c r="L899" s="224"/>
      <c r="M899" s="224"/>
      <c r="N899" s="224"/>
      <c r="O899" s="224"/>
      <c r="P899" s="224"/>
      <c r="Q899" s="224"/>
      <c r="R899" s="224"/>
      <c r="S899" s="224"/>
      <c r="T899" s="224"/>
      <c r="U899" s="224"/>
      <c r="V899" s="224"/>
      <c r="W899" s="224"/>
      <c r="X899" s="224"/>
      <c r="Y899" s="224"/>
    </row>
    <row r="900" spans="1:25" ht="15.75" hidden="1" customHeight="1" x14ac:dyDescent="0.2">
      <c r="A900" s="224"/>
      <c r="B900" s="217"/>
      <c r="C900" s="218"/>
      <c r="D900" s="218"/>
      <c r="E900" s="218"/>
      <c r="F900" s="170"/>
      <c r="G900" s="170"/>
      <c r="H900" s="170"/>
      <c r="I900" s="170"/>
      <c r="J900" s="216"/>
      <c r="K900" s="224"/>
      <c r="L900" s="224"/>
      <c r="M900" s="224"/>
      <c r="N900" s="224"/>
      <c r="O900" s="224"/>
      <c r="P900" s="224"/>
      <c r="Q900" s="224"/>
      <c r="R900" s="224"/>
      <c r="S900" s="224"/>
      <c r="T900" s="224"/>
      <c r="U900" s="224"/>
      <c r="V900" s="224"/>
      <c r="W900" s="224"/>
      <c r="X900" s="224"/>
      <c r="Y900" s="224"/>
    </row>
    <row r="901" spans="1:25" ht="15.75" hidden="1" customHeight="1" x14ac:dyDescent="0.2">
      <c r="A901" s="224"/>
      <c r="B901" s="217"/>
      <c r="C901" s="218"/>
      <c r="D901" s="218"/>
      <c r="E901" s="218"/>
      <c r="F901" s="170"/>
      <c r="G901" s="170"/>
      <c r="H901" s="170"/>
      <c r="I901" s="170"/>
      <c r="J901" s="216"/>
      <c r="K901" s="224"/>
      <c r="L901" s="224"/>
      <c r="M901" s="224"/>
      <c r="N901" s="224"/>
      <c r="O901" s="224"/>
      <c r="P901" s="224"/>
      <c r="Q901" s="224"/>
      <c r="R901" s="224"/>
      <c r="S901" s="224"/>
      <c r="T901" s="224"/>
      <c r="U901" s="224"/>
      <c r="V901" s="224"/>
      <c r="W901" s="224"/>
      <c r="X901" s="224"/>
      <c r="Y901" s="224"/>
    </row>
    <row r="902" spans="1:25" ht="15.75" hidden="1" customHeight="1" x14ac:dyDescent="0.2">
      <c r="A902" s="224"/>
      <c r="B902" s="217"/>
      <c r="C902" s="218"/>
      <c r="D902" s="218"/>
      <c r="E902" s="218"/>
      <c r="F902" s="170"/>
      <c r="G902" s="170"/>
      <c r="H902" s="170"/>
      <c r="I902" s="170"/>
      <c r="J902" s="216"/>
      <c r="K902" s="224"/>
      <c r="L902" s="224"/>
      <c r="M902" s="224"/>
      <c r="N902" s="224"/>
      <c r="O902" s="224"/>
      <c r="P902" s="224"/>
      <c r="Q902" s="224"/>
      <c r="R902" s="224"/>
      <c r="S902" s="224"/>
      <c r="T902" s="224"/>
      <c r="U902" s="224"/>
      <c r="V902" s="224"/>
      <c r="W902" s="224"/>
      <c r="X902" s="224"/>
      <c r="Y902" s="224"/>
    </row>
    <row r="903" spans="1:25" ht="15.75" hidden="1" customHeight="1" x14ac:dyDescent="0.2">
      <c r="A903" s="224"/>
      <c r="B903" s="217"/>
      <c r="C903" s="218"/>
      <c r="D903" s="218"/>
      <c r="E903" s="218"/>
      <c r="F903" s="170"/>
      <c r="G903" s="170"/>
      <c r="H903" s="170"/>
      <c r="I903" s="170"/>
      <c r="J903" s="216"/>
      <c r="K903" s="224"/>
      <c r="L903" s="224"/>
      <c r="M903" s="224"/>
      <c r="N903" s="224"/>
      <c r="O903" s="224"/>
      <c r="P903" s="224"/>
      <c r="Q903" s="224"/>
      <c r="R903" s="224"/>
      <c r="S903" s="224"/>
      <c r="T903" s="224"/>
      <c r="U903" s="224"/>
      <c r="V903" s="224"/>
      <c r="W903" s="224"/>
      <c r="X903" s="224"/>
      <c r="Y903" s="224"/>
    </row>
    <row r="904" spans="1:25" ht="15.75" hidden="1" customHeight="1" x14ac:dyDescent="0.2">
      <c r="A904" s="224"/>
      <c r="B904" s="217"/>
      <c r="C904" s="218"/>
      <c r="D904" s="218"/>
      <c r="E904" s="218"/>
      <c r="F904" s="170"/>
      <c r="G904" s="170"/>
      <c r="H904" s="170"/>
      <c r="I904" s="170"/>
      <c r="J904" s="216"/>
      <c r="K904" s="224"/>
      <c r="L904" s="224"/>
      <c r="M904" s="224"/>
      <c r="N904" s="224"/>
      <c r="O904" s="224"/>
      <c r="P904" s="224"/>
      <c r="Q904" s="224"/>
      <c r="R904" s="224"/>
      <c r="S904" s="224"/>
      <c r="T904" s="224"/>
      <c r="U904" s="224"/>
      <c r="V904" s="224"/>
      <c r="W904" s="224"/>
      <c r="X904" s="224"/>
      <c r="Y904" s="224"/>
    </row>
    <row r="905" spans="1:25" ht="15.75" hidden="1" customHeight="1" x14ac:dyDescent="0.2">
      <c r="A905" s="224"/>
      <c r="B905" s="217"/>
      <c r="C905" s="218"/>
      <c r="D905" s="218"/>
      <c r="E905" s="218"/>
      <c r="F905" s="170"/>
      <c r="G905" s="170"/>
      <c r="H905" s="170"/>
      <c r="I905" s="170"/>
      <c r="J905" s="216"/>
      <c r="K905" s="224"/>
      <c r="L905" s="224"/>
      <c r="M905" s="224"/>
      <c r="N905" s="224"/>
      <c r="O905" s="224"/>
      <c r="P905" s="224"/>
      <c r="Q905" s="224"/>
      <c r="R905" s="224"/>
      <c r="S905" s="224"/>
      <c r="T905" s="224"/>
      <c r="U905" s="224"/>
      <c r="V905" s="224"/>
      <c r="W905" s="224"/>
      <c r="X905" s="224"/>
      <c r="Y905" s="224"/>
    </row>
    <row r="906" spans="1:25" ht="15.75" hidden="1" customHeight="1" x14ac:dyDescent="0.2">
      <c r="A906" s="224"/>
      <c r="B906" s="217"/>
      <c r="C906" s="218"/>
      <c r="D906" s="218"/>
      <c r="E906" s="218"/>
      <c r="F906" s="170"/>
      <c r="G906" s="170"/>
      <c r="H906" s="170"/>
      <c r="I906" s="170"/>
      <c r="J906" s="216"/>
      <c r="K906" s="224"/>
      <c r="L906" s="224"/>
      <c r="M906" s="224"/>
      <c r="N906" s="224"/>
      <c r="O906" s="224"/>
      <c r="P906" s="224"/>
      <c r="Q906" s="224"/>
      <c r="R906" s="224"/>
      <c r="S906" s="224"/>
      <c r="T906" s="224"/>
      <c r="U906" s="224"/>
      <c r="V906" s="224"/>
      <c r="W906" s="224"/>
      <c r="X906" s="224"/>
      <c r="Y906" s="224"/>
    </row>
    <row r="907" spans="1:25" ht="15.75" hidden="1" customHeight="1" x14ac:dyDescent="0.2">
      <c r="A907" s="224"/>
      <c r="B907" s="217"/>
      <c r="C907" s="218"/>
      <c r="D907" s="218"/>
      <c r="E907" s="218"/>
      <c r="F907" s="170"/>
      <c r="G907" s="170"/>
      <c r="H907" s="170"/>
      <c r="I907" s="170"/>
      <c r="J907" s="216"/>
      <c r="K907" s="224"/>
      <c r="L907" s="224"/>
      <c r="M907" s="224"/>
      <c r="N907" s="224"/>
      <c r="O907" s="224"/>
      <c r="P907" s="224"/>
      <c r="Q907" s="224"/>
      <c r="R907" s="224"/>
      <c r="S907" s="224"/>
      <c r="T907" s="224"/>
      <c r="U907" s="224"/>
      <c r="V907" s="224"/>
      <c r="W907" s="224"/>
      <c r="X907" s="224"/>
      <c r="Y907" s="224"/>
    </row>
    <row r="908" spans="1:25" ht="15.75" hidden="1" customHeight="1" x14ac:dyDescent="0.2">
      <c r="A908" s="224"/>
      <c r="B908" s="217"/>
      <c r="C908" s="218"/>
      <c r="D908" s="218"/>
      <c r="E908" s="218"/>
      <c r="F908" s="170"/>
      <c r="G908" s="170"/>
      <c r="H908" s="170"/>
      <c r="I908" s="170"/>
      <c r="J908" s="216"/>
      <c r="K908" s="224"/>
      <c r="L908" s="224"/>
      <c r="M908" s="224"/>
      <c r="N908" s="224"/>
      <c r="O908" s="224"/>
      <c r="P908" s="224"/>
      <c r="Q908" s="224"/>
      <c r="R908" s="224"/>
      <c r="S908" s="224"/>
      <c r="T908" s="224"/>
      <c r="U908" s="224"/>
      <c r="V908" s="224"/>
      <c r="W908" s="224"/>
      <c r="X908" s="224"/>
      <c r="Y908" s="224"/>
    </row>
    <row r="909" spans="1:25" ht="15.75" hidden="1" customHeight="1" x14ac:dyDescent="0.2">
      <c r="A909" s="224"/>
      <c r="B909" s="217"/>
      <c r="C909" s="218"/>
      <c r="D909" s="218"/>
      <c r="E909" s="218"/>
      <c r="F909" s="170"/>
      <c r="G909" s="170"/>
      <c r="H909" s="170"/>
      <c r="I909" s="170"/>
      <c r="J909" s="216"/>
      <c r="K909" s="224"/>
      <c r="L909" s="224"/>
      <c r="M909" s="224"/>
      <c r="N909" s="224"/>
      <c r="O909" s="224"/>
      <c r="P909" s="224"/>
      <c r="Q909" s="224"/>
      <c r="R909" s="224"/>
      <c r="S909" s="224"/>
      <c r="T909" s="224"/>
      <c r="U909" s="224"/>
      <c r="V909" s="224"/>
      <c r="W909" s="224"/>
      <c r="X909" s="224"/>
      <c r="Y909" s="224"/>
    </row>
    <row r="910" spans="1:25" ht="15.75" hidden="1" customHeight="1" x14ac:dyDescent="0.2">
      <c r="A910" s="224"/>
      <c r="B910" s="217"/>
      <c r="C910" s="218"/>
      <c r="D910" s="218"/>
      <c r="E910" s="218"/>
      <c r="F910" s="170"/>
      <c r="G910" s="170"/>
      <c r="H910" s="170"/>
      <c r="I910" s="170"/>
      <c r="J910" s="216"/>
      <c r="K910" s="224"/>
      <c r="L910" s="224"/>
      <c r="M910" s="224"/>
      <c r="N910" s="224"/>
      <c r="O910" s="224"/>
      <c r="P910" s="224"/>
      <c r="Q910" s="224"/>
      <c r="R910" s="224"/>
      <c r="S910" s="224"/>
      <c r="T910" s="224"/>
      <c r="U910" s="224"/>
      <c r="V910" s="224"/>
      <c r="W910" s="224"/>
      <c r="X910" s="224"/>
      <c r="Y910" s="224"/>
    </row>
    <row r="911" spans="1:25" ht="15.75" hidden="1" customHeight="1" x14ac:dyDescent="0.2">
      <c r="A911" s="224"/>
      <c r="B911" s="217"/>
      <c r="C911" s="218"/>
      <c r="D911" s="218"/>
      <c r="E911" s="218"/>
      <c r="F911" s="170"/>
      <c r="G911" s="170"/>
      <c r="H911" s="170"/>
      <c r="I911" s="170"/>
      <c r="J911" s="216"/>
      <c r="K911" s="224"/>
      <c r="L911" s="224"/>
      <c r="M911" s="224"/>
      <c r="N911" s="224"/>
      <c r="O911" s="224"/>
      <c r="P911" s="224"/>
      <c r="Q911" s="224"/>
      <c r="R911" s="224"/>
      <c r="S911" s="224"/>
      <c r="T911" s="224"/>
      <c r="U911" s="224"/>
      <c r="V911" s="224"/>
      <c r="W911" s="224"/>
      <c r="X911" s="224"/>
      <c r="Y911" s="224"/>
    </row>
    <row r="912" spans="1:25" ht="15.75" hidden="1" customHeight="1" x14ac:dyDescent="0.2">
      <c r="A912" s="224"/>
      <c r="B912" s="217"/>
      <c r="C912" s="218"/>
      <c r="D912" s="218"/>
      <c r="E912" s="218"/>
      <c r="F912" s="170"/>
      <c r="G912" s="170"/>
      <c r="H912" s="170"/>
      <c r="I912" s="170"/>
      <c r="J912" s="216"/>
      <c r="K912" s="224"/>
      <c r="L912" s="224"/>
      <c r="M912" s="224"/>
      <c r="N912" s="224"/>
      <c r="O912" s="224"/>
      <c r="P912" s="224"/>
      <c r="Q912" s="224"/>
      <c r="R912" s="224"/>
      <c r="S912" s="224"/>
      <c r="T912" s="224"/>
      <c r="U912" s="224"/>
      <c r="V912" s="224"/>
      <c r="W912" s="224"/>
      <c r="X912" s="224"/>
      <c r="Y912" s="224"/>
    </row>
    <row r="913" spans="1:25" ht="15.75" hidden="1" customHeight="1" x14ac:dyDescent="0.2">
      <c r="A913" s="224"/>
      <c r="B913" s="217"/>
      <c r="C913" s="218"/>
      <c r="D913" s="218"/>
      <c r="E913" s="218"/>
      <c r="F913" s="170"/>
      <c r="G913" s="170"/>
      <c r="H913" s="170"/>
      <c r="I913" s="170"/>
      <c r="J913" s="216"/>
      <c r="K913" s="224"/>
      <c r="L913" s="224"/>
      <c r="M913" s="224"/>
      <c r="N913" s="224"/>
      <c r="O913" s="224"/>
      <c r="P913" s="224"/>
      <c r="Q913" s="224"/>
      <c r="R913" s="224"/>
      <c r="S913" s="224"/>
      <c r="T913" s="224"/>
      <c r="U913" s="224"/>
      <c r="V913" s="224"/>
      <c r="W913" s="224"/>
      <c r="X913" s="224"/>
      <c r="Y913" s="224"/>
    </row>
    <row r="914" spans="1:25" ht="15.75" hidden="1" customHeight="1" x14ac:dyDescent="0.2">
      <c r="A914" s="224"/>
      <c r="B914" s="217"/>
      <c r="C914" s="218"/>
      <c r="D914" s="218"/>
      <c r="E914" s="218"/>
      <c r="F914" s="170"/>
      <c r="G914" s="170"/>
      <c r="H914" s="170"/>
      <c r="I914" s="170"/>
      <c r="J914" s="216"/>
      <c r="K914" s="224"/>
      <c r="L914" s="224"/>
      <c r="M914" s="224"/>
      <c r="N914" s="224"/>
      <c r="O914" s="224"/>
      <c r="P914" s="224"/>
      <c r="Q914" s="224"/>
      <c r="R914" s="224"/>
      <c r="S914" s="224"/>
      <c r="T914" s="224"/>
      <c r="U914" s="224"/>
      <c r="V914" s="224"/>
      <c r="W914" s="224"/>
      <c r="X914" s="224"/>
      <c r="Y914" s="224"/>
    </row>
    <row r="915" spans="1:25" ht="15.75" hidden="1" customHeight="1" x14ac:dyDescent="0.2">
      <c r="A915" s="224"/>
      <c r="B915" s="217"/>
      <c r="C915" s="218"/>
      <c r="D915" s="218"/>
      <c r="E915" s="218"/>
      <c r="F915" s="170"/>
      <c r="G915" s="170"/>
      <c r="H915" s="170"/>
      <c r="I915" s="170"/>
      <c r="J915" s="216"/>
      <c r="K915" s="224"/>
      <c r="L915" s="224"/>
      <c r="M915" s="224"/>
      <c r="N915" s="224"/>
      <c r="O915" s="224"/>
      <c r="P915" s="224"/>
      <c r="Q915" s="224"/>
      <c r="R915" s="224"/>
      <c r="S915" s="224"/>
      <c r="T915" s="224"/>
      <c r="U915" s="224"/>
      <c r="V915" s="224"/>
      <c r="W915" s="224"/>
      <c r="X915" s="224"/>
      <c r="Y915" s="224"/>
    </row>
    <row r="916" spans="1:25" ht="15.75" hidden="1" customHeight="1" x14ac:dyDescent="0.2">
      <c r="A916" s="224"/>
      <c r="B916" s="217"/>
      <c r="C916" s="218"/>
      <c r="D916" s="218"/>
      <c r="E916" s="218"/>
      <c r="F916" s="170"/>
      <c r="G916" s="170"/>
      <c r="H916" s="170"/>
      <c r="I916" s="170"/>
      <c r="J916" s="216"/>
      <c r="K916" s="224"/>
      <c r="L916" s="224"/>
      <c r="M916" s="224"/>
      <c r="N916" s="224"/>
      <c r="O916" s="224"/>
      <c r="P916" s="224"/>
      <c r="Q916" s="224"/>
      <c r="R916" s="224"/>
      <c r="S916" s="224"/>
      <c r="T916" s="224"/>
      <c r="U916" s="224"/>
      <c r="V916" s="224"/>
      <c r="W916" s="224"/>
      <c r="X916" s="224"/>
      <c r="Y916" s="224"/>
    </row>
    <row r="917" spans="1:25" ht="15.75" hidden="1" customHeight="1" x14ac:dyDescent="0.2">
      <c r="A917" s="224"/>
      <c r="B917" s="217"/>
      <c r="C917" s="218"/>
      <c r="D917" s="218"/>
      <c r="E917" s="218"/>
      <c r="F917" s="170"/>
      <c r="G917" s="170"/>
      <c r="H917" s="170"/>
      <c r="I917" s="170"/>
      <c r="J917" s="216"/>
      <c r="K917" s="224"/>
      <c r="L917" s="224"/>
      <c r="M917" s="224"/>
      <c r="N917" s="224"/>
      <c r="O917" s="224"/>
      <c r="P917" s="224"/>
      <c r="Q917" s="224"/>
      <c r="R917" s="224"/>
      <c r="S917" s="224"/>
      <c r="T917" s="224"/>
      <c r="U917" s="224"/>
      <c r="V917" s="224"/>
      <c r="W917" s="224"/>
      <c r="X917" s="224"/>
      <c r="Y917" s="224"/>
    </row>
    <row r="918" spans="1:25" ht="15.75" hidden="1" customHeight="1" x14ac:dyDescent="0.2">
      <c r="A918" s="224"/>
      <c r="B918" s="217"/>
      <c r="C918" s="218"/>
      <c r="D918" s="218"/>
      <c r="E918" s="218"/>
      <c r="F918" s="170"/>
      <c r="G918" s="170"/>
      <c r="H918" s="170"/>
      <c r="I918" s="170"/>
      <c r="J918" s="216"/>
      <c r="K918" s="224"/>
      <c r="L918" s="224"/>
      <c r="M918" s="224"/>
      <c r="N918" s="224"/>
      <c r="O918" s="224"/>
      <c r="P918" s="224"/>
      <c r="Q918" s="224"/>
      <c r="R918" s="224"/>
      <c r="S918" s="224"/>
      <c r="T918" s="224"/>
      <c r="U918" s="224"/>
      <c r="V918" s="224"/>
      <c r="W918" s="224"/>
      <c r="X918" s="224"/>
      <c r="Y918" s="224"/>
    </row>
    <row r="919" spans="1:25" ht="15.75" hidden="1" customHeight="1" x14ac:dyDescent="0.2">
      <c r="A919" s="224"/>
      <c r="B919" s="217"/>
      <c r="C919" s="218"/>
      <c r="D919" s="218"/>
      <c r="E919" s="218"/>
      <c r="F919" s="170"/>
      <c r="G919" s="170"/>
      <c r="H919" s="170"/>
      <c r="I919" s="170"/>
      <c r="J919" s="216"/>
      <c r="K919" s="224"/>
      <c r="L919" s="224"/>
      <c r="M919" s="224"/>
      <c r="N919" s="224"/>
      <c r="O919" s="224"/>
      <c r="P919" s="224"/>
      <c r="Q919" s="224"/>
      <c r="R919" s="224"/>
      <c r="S919" s="224"/>
      <c r="T919" s="224"/>
      <c r="U919" s="224"/>
      <c r="V919" s="224"/>
      <c r="W919" s="224"/>
      <c r="X919" s="224"/>
      <c r="Y919" s="224"/>
    </row>
    <row r="920" spans="1:25" ht="15.75" hidden="1" customHeight="1" x14ac:dyDescent="0.2">
      <c r="A920" s="224"/>
      <c r="B920" s="217"/>
      <c r="C920" s="218"/>
      <c r="D920" s="218"/>
      <c r="E920" s="218"/>
      <c r="F920" s="170"/>
      <c r="G920" s="170"/>
      <c r="H920" s="170"/>
      <c r="I920" s="170"/>
      <c r="J920" s="216"/>
      <c r="K920" s="224"/>
      <c r="L920" s="224"/>
      <c r="M920" s="224"/>
      <c r="N920" s="224"/>
      <c r="O920" s="224"/>
      <c r="P920" s="224"/>
      <c r="Q920" s="224"/>
      <c r="R920" s="224"/>
      <c r="S920" s="224"/>
      <c r="T920" s="224"/>
      <c r="U920" s="224"/>
      <c r="V920" s="224"/>
      <c r="W920" s="224"/>
      <c r="X920" s="224"/>
      <c r="Y920" s="224"/>
    </row>
    <row r="921" spans="1:25" ht="15.75" hidden="1" customHeight="1" x14ac:dyDescent="0.2">
      <c r="A921" s="224"/>
      <c r="B921" s="217"/>
      <c r="C921" s="218"/>
      <c r="D921" s="218"/>
      <c r="E921" s="218"/>
      <c r="F921" s="170"/>
      <c r="G921" s="170"/>
      <c r="H921" s="170"/>
      <c r="I921" s="170"/>
      <c r="J921" s="216"/>
      <c r="K921" s="224"/>
      <c r="L921" s="224"/>
      <c r="M921" s="224"/>
      <c r="N921" s="224"/>
      <c r="O921" s="224"/>
      <c r="P921" s="224"/>
      <c r="Q921" s="224"/>
      <c r="R921" s="224"/>
      <c r="S921" s="224"/>
      <c r="T921" s="224"/>
      <c r="U921" s="224"/>
      <c r="V921" s="224"/>
      <c r="W921" s="224"/>
      <c r="X921" s="224"/>
      <c r="Y921" s="224"/>
    </row>
    <row r="922" spans="1:25" ht="15.75" hidden="1" customHeight="1" x14ac:dyDescent="0.2">
      <c r="A922" s="224"/>
      <c r="B922" s="217"/>
      <c r="C922" s="218"/>
      <c r="D922" s="218"/>
      <c r="E922" s="218"/>
      <c r="F922" s="170"/>
      <c r="G922" s="170"/>
      <c r="H922" s="170"/>
      <c r="I922" s="170"/>
      <c r="J922" s="216"/>
      <c r="K922" s="224"/>
      <c r="L922" s="224"/>
      <c r="M922" s="224"/>
      <c r="N922" s="224"/>
      <c r="O922" s="224"/>
      <c r="P922" s="224"/>
      <c r="Q922" s="224"/>
      <c r="R922" s="224"/>
      <c r="S922" s="224"/>
      <c r="T922" s="224"/>
      <c r="U922" s="224"/>
      <c r="V922" s="224"/>
      <c r="W922" s="224"/>
      <c r="X922" s="224"/>
      <c r="Y922" s="224"/>
    </row>
    <row r="923" spans="1:25" ht="15.75" hidden="1" customHeight="1" x14ac:dyDescent="0.2">
      <c r="A923" s="224"/>
      <c r="B923" s="217"/>
      <c r="C923" s="218"/>
      <c r="D923" s="218"/>
      <c r="E923" s="218"/>
      <c r="F923" s="170"/>
      <c r="G923" s="170"/>
      <c r="H923" s="170"/>
      <c r="I923" s="170"/>
      <c r="J923" s="216"/>
      <c r="K923" s="224"/>
      <c r="L923" s="224"/>
      <c r="M923" s="224"/>
      <c r="N923" s="224"/>
      <c r="O923" s="224"/>
      <c r="P923" s="224"/>
      <c r="Q923" s="224"/>
      <c r="R923" s="224"/>
      <c r="S923" s="224"/>
      <c r="T923" s="224"/>
      <c r="U923" s="224"/>
      <c r="V923" s="224"/>
      <c r="W923" s="224"/>
      <c r="X923" s="224"/>
      <c r="Y923" s="224"/>
    </row>
    <row r="924" spans="1:25" ht="15.75" hidden="1" customHeight="1" x14ac:dyDescent="0.2">
      <c r="A924" s="224"/>
      <c r="B924" s="217"/>
      <c r="C924" s="218"/>
      <c r="D924" s="218"/>
      <c r="E924" s="218"/>
      <c r="F924" s="170"/>
      <c r="G924" s="170"/>
      <c r="H924" s="170"/>
      <c r="I924" s="170"/>
      <c r="J924" s="216"/>
      <c r="K924" s="224"/>
      <c r="L924" s="224"/>
      <c r="M924" s="224"/>
      <c r="N924" s="224"/>
      <c r="O924" s="224"/>
      <c r="P924" s="224"/>
      <c r="Q924" s="224"/>
      <c r="R924" s="224"/>
      <c r="S924" s="224"/>
      <c r="T924" s="224"/>
      <c r="U924" s="224"/>
      <c r="V924" s="224"/>
      <c r="W924" s="224"/>
      <c r="X924" s="224"/>
      <c r="Y924" s="224"/>
    </row>
    <row r="925" spans="1:25" ht="15.75" hidden="1" customHeight="1" x14ac:dyDescent="0.2">
      <c r="A925" s="224"/>
      <c r="B925" s="217"/>
      <c r="C925" s="218"/>
      <c r="D925" s="218"/>
      <c r="E925" s="218"/>
      <c r="F925" s="170"/>
      <c r="G925" s="170"/>
      <c r="H925" s="170"/>
      <c r="I925" s="170"/>
      <c r="J925" s="216"/>
      <c r="K925" s="224"/>
      <c r="L925" s="224"/>
      <c r="M925" s="224"/>
      <c r="N925" s="224"/>
      <c r="O925" s="224"/>
      <c r="P925" s="224"/>
      <c r="Q925" s="224"/>
      <c r="R925" s="224"/>
      <c r="S925" s="224"/>
      <c r="T925" s="224"/>
      <c r="U925" s="224"/>
      <c r="V925" s="224"/>
      <c r="W925" s="224"/>
      <c r="X925" s="224"/>
      <c r="Y925" s="224"/>
    </row>
    <row r="926" spans="1:25" ht="15.75" hidden="1" customHeight="1" x14ac:dyDescent="0.2">
      <c r="A926" s="224"/>
      <c r="B926" s="217"/>
      <c r="C926" s="218"/>
      <c r="D926" s="218"/>
      <c r="E926" s="218"/>
      <c r="F926" s="170"/>
      <c r="G926" s="170"/>
      <c r="H926" s="170"/>
      <c r="I926" s="170"/>
      <c r="J926" s="216"/>
      <c r="K926" s="224"/>
      <c r="L926" s="224"/>
      <c r="M926" s="224"/>
      <c r="N926" s="224"/>
      <c r="O926" s="224"/>
      <c r="P926" s="224"/>
      <c r="Q926" s="224"/>
      <c r="R926" s="224"/>
      <c r="S926" s="224"/>
      <c r="T926" s="224"/>
      <c r="U926" s="224"/>
      <c r="V926" s="224"/>
      <c r="W926" s="224"/>
      <c r="X926" s="224"/>
      <c r="Y926" s="224"/>
    </row>
    <row r="927" spans="1:25" ht="15.75" hidden="1" customHeight="1" x14ac:dyDescent="0.2">
      <c r="A927" s="224"/>
      <c r="B927" s="217"/>
      <c r="C927" s="218"/>
      <c r="D927" s="218"/>
      <c r="E927" s="218"/>
      <c r="F927" s="170"/>
      <c r="G927" s="170"/>
      <c r="H927" s="170"/>
      <c r="I927" s="170"/>
      <c r="J927" s="216"/>
      <c r="K927" s="224"/>
      <c r="L927" s="224"/>
      <c r="M927" s="224"/>
      <c r="N927" s="224"/>
      <c r="O927" s="224"/>
      <c r="P927" s="224"/>
      <c r="Q927" s="224"/>
      <c r="R927" s="224"/>
      <c r="S927" s="224"/>
      <c r="T927" s="224"/>
      <c r="U927" s="224"/>
      <c r="V927" s="224"/>
      <c r="W927" s="224"/>
      <c r="X927" s="224"/>
      <c r="Y927" s="224"/>
    </row>
    <row r="928" spans="1:25" ht="15.75" hidden="1" customHeight="1" x14ac:dyDescent="0.2">
      <c r="A928" s="224"/>
      <c r="B928" s="217"/>
      <c r="C928" s="218"/>
      <c r="D928" s="218"/>
      <c r="E928" s="218"/>
      <c r="F928" s="170"/>
      <c r="G928" s="170"/>
      <c r="H928" s="170"/>
      <c r="I928" s="170"/>
      <c r="J928" s="216"/>
      <c r="K928" s="224"/>
      <c r="L928" s="224"/>
      <c r="M928" s="224"/>
      <c r="N928" s="224"/>
      <c r="O928" s="224"/>
      <c r="P928" s="224"/>
      <c r="Q928" s="224"/>
      <c r="R928" s="224"/>
      <c r="S928" s="224"/>
      <c r="T928" s="224"/>
      <c r="U928" s="224"/>
      <c r="V928" s="224"/>
      <c r="W928" s="224"/>
      <c r="X928" s="224"/>
      <c r="Y928" s="224"/>
    </row>
    <row r="929" spans="1:25" ht="15.75" hidden="1" customHeight="1" x14ac:dyDescent="0.2">
      <c r="A929" s="224"/>
      <c r="B929" s="217"/>
      <c r="C929" s="218"/>
      <c r="D929" s="218"/>
      <c r="E929" s="218"/>
      <c r="F929" s="170"/>
      <c r="G929" s="170"/>
      <c r="H929" s="170"/>
      <c r="I929" s="170"/>
      <c r="J929" s="216"/>
      <c r="K929" s="224"/>
      <c r="L929" s="224"/>
      <c r="M929" s="224"/>
      <c r="N929" s="224"/>
      <c r="O929" s="224"/>
      <c r="P929" s="224"/>
      <c r="Q929" s="224"/>
      <c r="R929" s="224"/>
      <c r="S929" s="224"/>
      <c r="T929" s="224"/>
      <c r="U929" s="224"/>
      <c r="V929" s="224"/>
      <c r="W929" s="224"/>
      <c r="X929" s="224"/>
      <c r="Y929" s="224"/>
    </row>
    <row r="930" spans="1:25" ht="15.75" hidden="1" customHeight="1" x14ac:dyDescent="0.2">
      <c r="A930" s="224"/>
      <c r="B930" s="217"/>
      <c r="C930" s="218"/>
      <c r="D930" s="218"/>
      <c r="E930" s="218"/>
      <c r="F930" s="170"/>
      <c r="G930" s="170"/>
      <c r="H930" s="170"/>
      <c r="I930" s="170"/>
      <c r="J930" s="216"/>
      <c r="K930" s="224"/>
      <c r="L930" s="224"/>
      <c r="M930" s="224"/>
      <c r="N930" s="224"/>
      <c r="O930" s="224"/>
      <c r="P930" s="224"/>
      <c r="Q930" s="224"/>
      <c r="R930" s="224"/>
      <c r="S930" s="224"/>
      <c r="T930" s="224"/>
      <c r="U930" s="224"/>
      <c r="V930" s="224"/>
      <c r="W930" s="224"/>
      <c r="X930" s="224"/>
      <c r="Y930" s="224"/>
    </row>
    <row r="931" spans="1:25" ht="15.75" hidden="1" customHeight="1" x14ac:dyDescent="0.2">
      <c r="A931" s="224"/>
      <c r="B931" s="217"/>
      <c r="C931" s="218"/>
      <c r="D931" s="218"/>
      <c r="E931" s="218"/>
      <c r="F931" s="170"/>
      <c r="G931" s="170"/>
      <c r="H931" s="170"/>
      <c r="I931" s="170"/>
      <c r="J931" s="216"/>
      <c r="K931" s="224"/>
      <c r="L931" s="224"/>
      <c r="M931" s="224"/>
      <c r="N931" s="224"/>
      <c r="O931" s="224"/>
      <c r="P931" s="224"/>
      <c r="Q931" s="224"/>
      <c r="R931" s="224"/>
      <c r="S931" s="224"/>
      <c r="T931" s="224"/>
      <c r="U931" s="224"/>
      <c r="V931" s="224"/>
      <c r="W931" s="224"/>
      <c r="X931" s="224"/>
      <c r="Y931" s="224"/>
    </row>
    <row r="932" spans="1:25" ht="15.75" hidden="1" customHeight="1" x14ac:dyDescent="0.2">
      <c r="A932" s="224"/>
      <c r="B932" s="217"/>
      <c r="C932" s="218"/>
      <c r="D932" s="218"/>
      <c r="E932" s="218"/>
      <c r="F932" s="170"/>
      <c r="G932" s="170"/>
      <c r="H932" s="170"/>
      <c r="I932" s="170"/>
      <c r="J932" s="216"/>
      <c r="K932" s="224"/>
      <c r="L932" s="224"/>
      <c r="M932" s="224"/>
      <c r="N932" s="224"/>
      <c r="O932" s="224"/>
      <c r="P932" s="224"/>
      <c r="Q932" s="224"/>
      <c r="R932" s="224"/>
      <c r="S932" s="224"/>
      <c r="T932" s="224"/>
      <c r="U932" s="224"/>
      <c r="V932" s="224"/>
      <c r="W932" s="224"/>
      <c r="X932" s="224"/>
      <c r="Y932" s="224"/>
    </row>
    <row r="933" spans="1:25" ht="15.75" hidden="1" customHeight="1" x14ac:dyDescent="0.2">
      <c r="A933" s="224"/>
      <c r="B933" s="217"/>
      <c r="C933" s="218"/>
      <c r="D933" s="218"/>
      <c r="E933" s="218"/>
      <c r="F933" s="170"/>
      <c r="G933" s="170"/>
      <c r="H933" s="170"/>
      <c r="I933" s="170"/>
      <c r="J933" s="216"/>
      <c r="K933" s="224"/>
      <c r="L933" s="224"/>
      <c r="M933" s="224"/>
      <c r="N933" s="224"/>
      <c r="O933" s="224"/>
      <c r="P933" s="224"/>
      <c r="Q933" s="224"/>
      <c r="R933" s="224"/>
      <c r="S933" s="224"/>
      <c r="T933" s="224"/>
      <c r="U933" s="224"/>
      <c r="V933" s="224"/>
      <c r="W933" s="224"/>
      <c r="X933" s="224"/>
      <c r="Y933" s="224"/>
    </row>
    <row r="934" spans="1:25" ht="15.75" hidden="1" customHeight="1" x14ac:dyDescent="0.2">
      <c r="A934" s="224"/>
      <c r="B934" s="217"/>
      <c r="C934" s="218"/>
      <c r="D934" s="218"/>
      <c r="E934" s="218"/>
      <c r="F934" s="170"/>
      <c r="G934" s="170"/>
      <c r="H934" s="170"/>
      <c r="I934" s="170"/>
      <c r="J934" s="216"/>
      <c r="K934" s="224"/>
      <c r="L934" s="224"/>
      <c r="M934" s="224"/>
      <c r="N934" s="224"/>
      <c r="O934" s="224"/>
      <c r="P934" s="224"/>
      <c r="Q934" s="224"/>
      <c r="R934" s="224"/>
      <c r="S934" s="224"/>
      <c r="T934" s="224"/>
      <c r="U934" s="224"/>
      <c r="V934" s="224"/>
      <c r="W934" s="224"/>
      <c r="X934" s="224"/>
      <c r="Y934" s="224"/>
    </row>
    <row r="935" spans="1:25" ht="15.75" hidden="1" customHeight="1" x14ac:dyDescent="0.2">
      <c r="A935" s="224"/>
      <c r="B935" s="217"/>
      <c r="C935" s="218"/>
      <c r="D935" s="218"/>
      <c r="E935" s="218"/>
      <c r="F935" s="170"/>
      <c r="G935" s="170"/>
      <c r="H935" s="170"/>
      <c r="I935" s="170"/>
      <c r="J935" s="216"/>
      <c r="K935" s="224"/>
      <c r="L935" s="224"/>
      <c r="M935" s="224"/>
      <c r="N935" s="224"/>
      <c r="O935" s="224"/>
      <c r="P935" s="224"/>
      <c r="Q935" s="224"/>
      <c r="R935" s="224"/>
      <c r="S935" s="224"/>
      <c r="T935" s="224"/>
      <c r="U935" s="224"/>
      <c r="V935" s="224"/>
      <c r="W935" s="224"/>
      <c r="X935" s="224"/>
      <c r="Y935" s="224"/>
    </row>
    <row r="936" spans="1:25" ht="15.75" hidden="1" customHeight="1" x14ac:dyDescent="0.2">
      <c r="A936" s="224"/>
      <c r="B936" s="217"/>
      <c r="C936" s="218"/>
      <c r="D936" s="218"/>
      <c r="E936" s="218"/>
      <c r="F936" s="170"/>
      <c r="G936" s="170"/>
      <c r="H936" s="170"/>
      <c r="I936" s="170"/>
      <c r="J936" s="216"/>
      <c r="K936" s="224"/>
      <c r="L936" s="224"/>
      <c r="M936" s="224"/>
      <c r="N936" s="224"/>
      <c r="O936" s="224"/>
      <c r="P936" s="224"/>
      <c r="Q936" s="224"/>
      <c r="R936" s="224"/>
      <c r="S936" s="224"/>
      <c r="T936" s="224"/>
      <c r="U936" s="224"/>
      <c r="V936" s="224"/>
      <c r="W936" s="224"/>
      <c r="X936" s="224"/>
      <c r="Y936" s="224"/>
    </row>
    <row r="937" spans="1:25" ht="15.75" hidden="1" customHeight="1" x14ac:dyDescent="0.2">
      <c r="A937" s="224"/>
      <c r="B937" s="217"/>
      <c r="C937" s="218"/>
      <c r="D937" s="218"/>
      <c r="E937" s="218"/>
      <c r="F937" s="170"/>
      <c r="G937" s="170"/>
      <c r="H937" s="170"/>
      <c r="I937" s="170"/>
      <c r="J937" s="216"/>
      <c r="K937" s="224"/>
      <c r="L937" s="224"/>
      <c r="M937" s="224"/>
      <c r="N937" s="224"/>
      <c r="O937" s="224"/>
      <c r="P937" s="224"/>
      <c r="Q937" s="224"/>
      <c r="R937" s="224"/>
      <c r="S937" s="224"/>
      <c r="T937" s="224"/>
      <c r="U937" s="224"/>
      <c r="V937" s="224"/>
      <c r="W937" s="224"/>
      <c r="X937" s="224"/>
      <c r="Y937" s="224"/>
    </row>
    <row r="938" spans="1:25" ht="15.75" hidden="1" customHeight="1" x14ac:dyDescent="0.2">
      <c r="A938" s="224"/>
      <c r="B938" s="217"/>
      <c r="C938" s="218"/>
      <c r="D938" s="218"/>
      <c r="E938" s="218"/>
      <c r="F938" s="170"/>
      <c r="G938" s="170"/>
      <c r="H938" s="170"/>
      <c r="I938" s="170"/>
      <c r="J938" s="216"/>
      <c r="K938" s="224"/>
      <c r="L938" s="224"/>
      <c r="M938" s="224"/>
      <c r="N938" s="224"/>
      <c r="O938" s="224"/>
      <c r="P938" s="224"/>
      <c r="Q938" s="224"/>
      <c r="R938" s="224"/>
      <c r="S938" s="224"/>
      <c r="T938" s="224"/>
      <c r="U938" s="224"/>
      <c r="V938" s="224"/>
      <c r="W938" s="224"/>
      <c r="X938" s="224"/>
      <c r="Y938" s="224"/>
    </row>
    <row r="939" spans="1:25" ht="15.75" hidden="1" customHeight="1" x14ac:dyDescent="0.2">
      <c r="A939" s="224"/>
      <c r="B939" s="217"/>
      <c r="C939" s="218"/>
      <c r="D939" s="218"/>
      <c r="E939" s="218"/>
      <c r="F939" s="170"/>
      <c r="G939" s="170"/>
      <c r="H939" s="170"/>
      <c r="I939" s="170"/>
      <c r="J939" s="216"/>
      <c r="K939" s="224"/>
      <c r="L939" s="224"/>
      <c r="M939" s="224"/>
      <c r="N939" s="224"/>
      <c r="O939" s="224"/>
      <c r="P939" s="224"/>
      <c r="Q939" s="224"/>
      <c r="R939" s="224"/>
      <c r="S939" s="224"/>
      <c r="T939" s="224"/>
      <c r="U939" s="224"/>
      <c r="V939" s="224"/>
      <c r="W939" s="224"/>
      <c r="X939" s="224"/>
      <c r="Y939" s="224"/>
    </row>
    <row r="940" spans="1:25" ht="15.75" hidden="1" customHeight="1" x14ac:dyDescent="0.2">
      <c r="A940" s="224"/>
      <c r="B940" s="217"/>
      <c r="C940" s="218"/>
      <c r="D940" s="218"/>
      <c r="E940" s="218"/>
      <c r="F940" s="170"/>
      <c r="G940" s="170"/>
      <c r="H940" s="170"/>
      <c r="I940" s="170"/>
      <c r="J940" s="216"/>
      <c r="K940" s="224"/>
      <c r="L940" s="224"/>
      <c r="M940" s="224"/>
      <c r="N940" s="224"/>
      <c r="O940" s="224"/>
      <c r="P940" s="224"/>
      <c r="Q940" s="224"/>
      <c r="R940" s="224"/>
      <c r="S940" s="224"/>
      <c r="T940" s="224"/>
      <c r="U940" s="224"/>
      <c r="V940" s="224"/>
      <c r="W940" s="224"/>
      <c r="X940" s="224"/>
      <c r="Y940" s="224"/>
    </row>
    <row r="941" spans="1:25" ht="15.75" hidden="1" customHeight="1" x14ac:dyDescent="0.2">
      <c r="A941" s="224"/>
      <c r="B941" s="217"/>
      <c r="C941" s="218"/>
      <c r="D941" s="218"/>
      <c r="E941" s="218"/>
      <c r="F941" s="170"/>
      <c r="G941" s="170"/>
      <c r="H941" s="170"/>
      <c r="I941" s="170"/>
      <c r="J941" s="216"/>
      <c r="K941" s="224"/>
      <c r="L941" s="224"/>
      <c r="M941" s="224"/>
      <c r="N941" s="224"/>
      <c r="O941" s="224"/>
      <c r="P941" s="224"/>
      <c r="Q941" s="224"/>
      <c r="R941" s="224"/>
      <c r="S941" s="224"/>
      <c r="T941" s="224"/>
      <c r="U941" s="224"/>
      <c r="V941" s="224"/>
      <c r="W941" s="224"/>
      <c r="X941" s="224"/>
      <c r="Y941" s="224"/>
    </row>
    <row r="942" spans="1:25" ht="15.75" hidden="1" customHeight="1" x14ac:dyDescent="0.2">
      <c r="A942" s="224"/>
      <c r="B942" s="217"/>
      <c r="C942" s="218"/>
      <c r="D942" s="218"/>
      <c r="E942" s="218"/>
      <c r="F942" s="170"/>
      <c r="G942" s="170"/>
      <c r="H942" s="170"/>
      <c r="I942" s="170"/>
      <c r="J942" s="216"/>
      <c r="K942" s="224"/>
      <c r="L942" s="224"/>
      <c r="M942" s="224"/>
      <c r="N942" s="224"/>
      <c r="O942" s="224"/>
      <c r="P942" s="224"/>
      <c r="Q942" s="224"/>
      <c r="R942" s="224"/>
      <c r="S942" s="224"/>
      <c r="T942" s="224"/>
      <c r="U942" s="224"/>
      <c r="V942" s="224"/>
      <c r="W942" s="224"/>
      <c r="X942" s="224"/>
      <c r="Y942" s="224"/>
    </row>
    <row r="943" spans="1:25" ht="15.75" hidden="1" customHeight="1" x14ac:dyDescent="0.2">
      <c r="A943" s="224"/>
      <c r="B943" s="217"/>
      <c r="C943" s="218"/>
      <c r="D943" s="218"/>
      <c r="E943" s="218"/>
      <c r="F943" s="170"/>
      <c r="G943" s="170"/>
      <c r="H943" s="170"/>
      <c r="I943" s="170"/>
      <c r="J943" s="216"/>
      <c r="K943" s="224"/>
      <c r="L943" s="224"/>
      <c r="M943" s="224"/>
      <c r="N943" s="224"/>
      <c r="O943" s="224"/>
      <c r="P943" s="224"/>
      <c r="Q943" s="224"/>
      <c r="R943" s="224"/>
      <c r="S943" s="224"/>
      <c r="T943" s="224"/>
      <c r="U943" s="224"/>
      <c r="V943" s="224"/>
      <c r="W943" s="224"/>
      <c r="X943" s="224"/>
      <c r="Y943" s="224"/>
    </row>
    <row r="944" spans="1:25" ht="15.75" hidden="1" customHeight="1" x14ac:dyDescent="0.2">
      <c r="A944" s="224"/>
      <c r="B944" s="217"/>
      <c r="C944" s="218"/>
      <c r="D944" s="218"/>
      <c r="E944" s="218"/>
      <c r="F944" s="170"/>
      <c r="G944" s="170"/>
      <c r="H944" s="170"/>
      <c r="I944" s="170"/>
      <c r="J944" s="216"/>
      <c r="K944" s="224"/>
      <c r="L944" s="224"/>
      <c r="M944" s="224"/>
      <c r="N944" s="224"/>
      <c r="O944" s="224"/>
      <c r="P944" s="224"/>
      <c r="Q944" s="224"/>
      <c r="R944" s="224"/>
      <c r="S944" s="224"/>
      <c r="T944" s="224"/>
      <c r="U944" s="224"/>
      <c r="V944" s="224"/>
      <c r="W944" s="224"/>
      <c r="X944" s="224"/>
      <c r="Y944" s="224"/>
    </row>
    <row r="945" spans="1:25" ht="15.75" hidden="1" customHeight="1" x14ac:dyDescent="0.2">
      <c r="A945" s="224"/>
      <c r="B945" s="217"/>
      <c r="C945" s="218"/>
      <c r="D945" s="218"/>
      <c r="E945" s="218"/>
      <c r="F945" s="170"/>
      <c r="G945" s="170"/>
      <c r="H945" s="170"/>
      <c r="I945" s="170"/>
      <c r="J945" s="216"/>
      <c r="K945" s="224"/>
      <c r="L945" s="224"/>
      <c r="M945" s="224"/>
      <c r="N945" s="224"/>
      <c r="O945" s="224"/>
      <c r="P945" s="224"/>
      <c r="Q945" s="224"/>
      <c r="R945" s="224"/>
      <c r="S945" s="224"/>
      <c r="T945" s="224"/>
      <c r="U945" s="224"/>
      <c r="V945" s="224"/>
      <c r="W945" s="224"/>
      <c r="X945" s="224"/>
      <c r="Y945" s="224"/>
    </row>
    <row r="946" spans="1:25" ht="15.75" hidden="1" customHeight="1" x14ac:dyDescent="0.2">
      <c r="A946" s="224"/>
      <c r="B946" s="217"/>
      <c r="C946" s="218"/>
      <c r="D946" s="218"/>
      <c r="E946" s="218"/>
      <c r="F946" s="170"/>
      <c r="G946" s="170"/>
      <c r="H946" s="170"/>
      <c r="I946" s="170"/>
      <c r="J946" s="216"/>
      <c r="K946" s="224"/>
      <c r="L946" s="224"/>
      <c r="M946" s="224"/>
      <c r="N946" s="224"/>
      <c r="O946" s="224"/>
      <c r="P946" s="224"/>
      <c r="Q946" s="224"/>
      <c r="R946" s="224"/>
      <c r="S946" s="224"/>
      <c r="T946" s="224"/>
      <c r="U946" s="224"/>
      <c r="V946" s="224"/>
      <c r="W946" s="224"/>
      <c r="X946" s="224"/>
      <c r="Y946" s="224"/>
    </row>
    <row r="947" spans="1:25" ht="15.75" hidden="1" customHeight="1" x14ac:dyDescent="0.2">
      <c r="A947" s="224"/>
      <c r="B947" s="217"/>
      <c r="C947" s="218"/>
      <c r="D947" s="218"/>
      <c r="E947" s="218"/>
      <c r="F947" s="170"/>
      <c r="G947" s="170"/>
      <c r="H947" s="170"/>
      <c r="I947" s="170"/>
      <c r="J947" s="216"/>
      <c r="K947" s="224"/>
      <c r="L947" s="224"/>
      <c r="M947" s="224"/>
      <c r="N947" s="224"/>
      <c r="O947" s="224"/>
      <c r="P947" s="224"/>
      <c r="Q947" s="224"/>
      <c r="R947" s="224"/>
      <c r="S947" s="224"/>
      <c r="T947" s="224"/>
      <c r="U947" s="224"/>
      <c r="V947" s="224"/>
      <c r="W947" s="224"/>
      <c r="X947" s="224"/>
      <c r="Y947" s="224"/>
    </row>
    <row r="948" spans="1:25" ht="15.75" hidden="1" customHeight="1" x14ac:dyDescent="0.2">
      <c r="A948" s="224"/>
      <c r="B948" s="217"/>
      <c r="C948" s="218"/>
      <c r="D948" s="218"/>
      <c r="E948" s="218"/>
      <c r="F948" s="170"/>
      <c r="G948" s="170"/>
      <c r="H948" s="170"/>
      <c r="I948" s="170"/>
      <c r="J948" s="216"/>
      <c r="K948" s="224"/>
      <c r="L948" s="224"/>
      <c r="M948" s="224"/>
      <c r="N948" s="224"/>
      <c r="O948" s="224"/>
      <c r="P948" s="224"/>
      <c r="Q948" s="224"/>
      <c r="R948" s="224"/>
      <c r="S948" s="224"/>
      <c r="T948" s="224"/>
      <c r="U948" s="224"/>
      <c r="V948" s="224"/>
      <c r="W948" s="224"/>
      <c r="X948" s="224"/>
      <c r="Y948" s="224"/>
    </row>
    <row r="949" spans="1:25" ht="15.75" hidden="1" customHeight="1" x14ac:dyDescent="0.2">
      <c r="A949" s="224"/>
      <c r="B949" s="217"/>
      <c r="C949" s="218"/>
      <c r="D949" s="218"/>
      <c r="E949" s="218"/>
      <c r="F949" s="170"/>
      <c r="G949" s="170"/>
      <c r="H949" s="170"/>
      <c r="I949" s="170"/>
      <c r="J949" s="216"/>
      <c r="K949" s="224"/>
      <c r="L949" s="224"/>
      <c r="M949" s="224"/>
      <c r="N949" s="224"/>
      <c r="O949" s="224"/>
      <c r="P949" s="224"/>
      <c r="Q949" s="224"/>
      <c r="R949" s="224"/>
      <c r="S949" s="224"/>
      <c r="T949" s="224"/>
      <c r="U949" s="224"/>
      <c r="V949" s="224"/>
      <c r="W949" s="224"/>
      <c r="X949" s="224"/>
      <c r="Y949" s="224"/>
    </row>
    <row r="950" spans="1:25" ht="15.75" hidden="1" customHeight="1" x14ac:dyDescent="0.2">
      <c r="A950" s="224"/>
      <c r="B950" s="217"/>
      <c r="C950" s="218"/>
      <c r="D950" s="218"/>
      <c r="E950" s="218"/>
      <c r="F950" s="170"/>
      <c r="G950" s="170"/>
      <c r="H950" s="170"/>
      <c r="I950" s="170"/>
      <c r="J950" s="216"/>
      <c r="K950" s="224"/>
      <c r="L950" s="224"/>
      <c r="M950" s="224"/>
      <c r="N950" s="224"/>
      <c r="O950" s="224"/>
      <c r="P950" s="224"/>
      <c r="Q950" s="224"/>
      <c r="R950" s="224"/>
      <c r="S950" s="224"/>
      <c r="T950" s="224"/>
      <c r="U950" s="224"/>
      <c r="V950" s="224"/>
      <c r="W950" s="224"/>
      <c r="X950" s="224"/>
      <c r="Y950" s="224"/>
    </row>
    <row r="951" spans="1:25" ht="15.75" hidden="1" customHeight="1" x14ac:dyDescent="0.2">
      <c r="A951" s="224"/>
      <c r="B951" s="217"/>
      <c r="C951" s="218"/>
      <c r="D951" s="218"/>
      <c r="E951" s="218"/>
      <c r="F951" s="170"/>
      <c r="G951" s="170"/>
      <c r="H951" s="170"/>
      <c r="I951" s="170"/>
      <c r="J951" s="216"/>
      <c r="K951" s="224"/>
      <c r="L951" s="224"/>
      <c r="M951" s="224"/>
      <c r="N951" s="224"/>
      <c r="O951" s="224"/>
      <c r="P951" s="224"/>
      <c r="Q951" s="224"/>
      <c r="R951" s="224"/>
      <c r="S951" s="224"/>
      <c r="T951" s="224"/>
      <c r="U951" s="224"/>
      <c r="V951" s="224"/>
      <c r="W951" s="224"/>
      <c r="X951" s="224"/>
      <c r="Y951" s="224"/>
    </row>
    <row r="952" spans="1:25" ht="15.75" hidden="1" customHeight="1" x14ac:dyDescent="0.2">
      <c r="A952" s="224"/>
      <c r="B952" s="217"/>
      <c r="C952" s="218"/>
      <c r="D952" s="218"/>
      <c r="E952" s="218"/>
      <c r="F952" s="170"/>
      <c r="G952" s="170"/>
      <c r="H952" s="170"/>
      <c r="I952" s="170"/>
      <c r="J952" s="216"/>
      <c r="K952" s="224"/>
      <c r="L952" s="224"/>
      <c r="M952" s="224"/>
      <c r="N952" s="224"/>
      <c r="O952" s="224"/>
      <c r="P952" s="224"/>
      <c r="Q952" s="224"/>
      <c r="R952" s="224"/>
      <c r="S952" s="224"/>
      <c r="T952" s="224"/>
      <c r="U952" s="224"/>
      <c r="V952" s="224"/>
      <c r="W952" s="224"/>
      <c r="X952" s="224"/>
      <c r="Y952" s="224"/>
    </row>
    <row r="953" spans="1:25" ht="15.75" hidden="1" customHeight="1" x14ac:dyDescent="0.2">
      <c r="A953" s="224"/>
      <c r="B953" s="217"/>
      <c r="C953" s="218"/>
      <c r="D953" s="218"/>
      <c r="E953" s="218"/>
      <c r="F953" s="170"/>
      <c r="G953" s="170"/>
      <c r="H953" s="170"/>
      <c r="I953" s="170"/>
      <c r="J953" s="216"/>
      <c r="K953" s="224"/>
      <c r="L953" s="224"/>
      <c r="M953" s="224"/>
      <c r="N953" s="224"/>
      <c r="O953" s="224"/>
      <c r="P953" s="224"/>
      <c r="Q953" s="224"/>
      <c r="R953" s="224"/>
      <c r="S953" s="224"/>
      <c r="T953" s="224"/>
      <c r="U953" s="224"/>
      <c r="V953" s="224"/>
      <c r="W953" s="224"/>
      <c r="X953" s="224"/>
      <c r="Y953" s="224"/>
    </row>
    <row r="954" spans="1:25" ht="15.75" hidden="1" customHeight="1" x14ac:dyDescent="0.2">
      <c r="A954" s="224"/>
      <c r="B954" s="217"/>
      <c r="C954" s="218"/>
      <c r="D954" s="218"/>
      <c r="E954" s="218"/>
      <c r="F954" s="170"/>
      <c r="G954" s="170"/>
      <c r="H954" s="170"/>
      <c r="I954" s="170"/>
      <c r="J954" s="216"/>
      <c r="K954" s="224"/>
      <c r="L954" s="224"/>
      <c r="M954" s="224"/>
      <c r="N954" s="224"/>
      <c r="O954" s="224"/>
      <c r="P954" s="224"/>
      <c r="Q954" s="224"/>
      <c r="R954" s="224"/>
      <c r="S954" s="224"/>
      <c r="T954" s="224"/>
      <c r="U954" s="224"/>
      <c r="V954" s="224"/>
      <c r="W954" s="224"/>
      <c r="X954" s="224"/>
      <c r="Y954" s="224"/>
    </row>
    <row r="955" spans="1:25" ht="15.75" hidden="1" customHeight="1" x14ac:dyDescent="0.2">
      <c r="A955" s="224"/>
      <c r="B955" s="217"/>
      <c r="C955" s="218"/>
      <c r="D955" s="218"/>
      <c r="E955" s="218"/>
      <c r="F955" s="170"/>
      <c r="G955" s="170"/>
      <c r="H955" s="170"/>
      <c r="I955" s="170"/>
      <c r="J955" s="216"/>
      <c r="K955" s="224"/>
      <c r="L955" s="224"/>
      <c r="M955" s="224"/>
      <c r="N955" s="224"/>
      <c r="O955" s="224"/>
      <c r="P955" s="224"/>
      <c r="Q955" s="224"/>
      <c r="R955" s="224"/>
      <c r="S955" s="224"/>
      <c r="T955" s="224"/>
      <c r="U955" s="224"/>
      <c r="V955" s="224"/>
      <c r="W955" s="224"/>
      <c r="X955" s="224"/>
      <c r="Y955" s="224"/>
    </row>
    <row r="956" spans="1:25" ht="15.75" hidden="1" customHeight="1" x14ac:dyDescent="0.2">
      <c r="A956" s="224"/>
      <c r="B956" s="217"/>
      <c r="C956" s="218"/>
      <c r="D956" s="218"/>
      <c r="E956" s="218"/>
      <c r="F956" s="170"/>
      <c r="G956" s="170"/>
      <c r="H956" s="170"/>
      <c r="I956" s="170"/>
      <c r="J956" s="216"/>
      <c r="K956" s="224"/>
      <c r="L956" s="224"/>
      <c r="M956" s="224"/>
      <c r="N956" s="224"/>
      <c r="O956" s="224"/>
      <c r="P956" s="224"/>
      <c r="Q956" s="224"/>
      <c r="R956" s="224"/>
      <c r="S956" s="224"/>
      <c r="T956" s="224"/>
      <c r="U956" s="224"/>
      <c r="V956" s="224"/>
      <c r="W956" s="224"/>
      <c r="X956" s="224"/>
      <c r="Y956" s="224"/>
    </row>
    <row r="957" spans="1:25" ht="15.75" hidden="1" customHeight="1" x14ac:dyDescent="0.2">
      <c r="A957" s="224"/>
      <c r="B957" s="217"/>
      <c r="C957" s="218"/>
      <c r="D957" s="218"/>
      <c r="E957" s="218"/>
      <c r="F957" s="170"/>
      <c r="G957" s="170"/>
      <c r="H957" s="170"/>
      <c r="I957" s="170"/>
      <c r="J957" s="216"/>
      <c r="K957" s="224"/>
      <c r="L957" s="224"/>
      <c r="M957" s="224"/>
      <c r="N957" s="224"/>
      <c r="O957" s="224"/>
      <c r="P957" s="224"/>
      <c r="Q957" s="224"/>
      <c r="R957" s="224"/>
      <c r="S957" s="224"/>
      <c r="T957" s="224"/>
      <c r="U957" s="224"/>
      <c r="V957" s="224"/>
      <c r="W957" s="224"/>
      <c r="X957" s="224"/>
      <c r="Y957" s="224"/>
    </row>
    <row r="958" spans="1:25" ht="15.75" hidden="1" customHeight="1" x14ac:dyDescent="0.2">
      <c r="A958" s="224"/>
      <c r="B958" s="217"/>
      <c r="C958" s="218"/>
      <c r="D958" s="218"/>
      <c r="E958" s="218"/>
      <c r="F958" s="170"/>
      <c r="G958" s="170"/>
      <c r="H958" s="170"/>
      <c r="I958" s="170"/>
      <c r="J958" s="216"/>
      <c r="K958" s="224"/>
      <c r="L958" s="224"/>
      <c r="M958" s="224"/>
      <c r="N958" s="224"/>
      <c r="O958" s="224"/>
      <c r="P958" s="224"/>
      <c r="Q958" s="224"/>
      <c r="R958" s="224"/>
      <c r="S958" s="224"/>
      <c r="T958" s="224"/>
      <c r="U958" s="224"/>
      <c r="V958" s="224"/>
      <c r="W958" s="224"/>
      <c r="X958" s="224"/>
      <c r="Y958" s="224"/>
    </row>
    <row r="959" spans="1:25" ht="15.75" hidden="1" customHeight="1" x14ac:dyDescent="0.2">
      <c r="A959" s="224"/>
      <c r="B959" s="217"/>
      <c r="C959" s="218"/>
      <c r="D959" s="218"/>
      <c r="E959" s="218"/>
      <c r="F959" s="170"/>
      <c r="G959" s="170"/>
      <c r="H959" s="170"/>
      <c r="I959" s="170"/>
      <c r="J959" s="216"/>
      <c r="K959" s="224"/>
      <c r="L959" s="224"/>
      <c r="M959" s="224"/>
      <c r="N959" s="224"/>
      <c r="O959" s="224"/>
      <c r="P959" s="224"/>
      <c r="Q959" s="224"/>
      <c r="R959" s="224"/>
      <c r="S959" s="224"/>
      <c r="T959" s="224"/>
      <c r="U959" s="224"/>
      <c r="V959" s="224"/>
      <c r="W959" s="224"/>
      <c r="X959" s="224"/>
      <c r="Y959" s="224"/>
    </row>
    <row r="960" spans="1:25" ht="15.75" hidden="1" customHeight="1" x14ac:dyDescent="0.2">
      <c r="A960" s="224"/>
      <c r="B960" s="217"/>
      <c r="C960" s="218"/>
      <c r="D960" s="218"/>
      <c r="E960" s="218"/>
      <c r="F960" s="170"/>
      <c r="G960" s="170"/>
      <c r="H960" s="170"/>
      <c r="I960" s="170"/>
      <c r="J960" s="216"/>
      <c r="K960" s="224"/>
      <c r="L960" s="224"/>
      <c r="M960" s="224"/>
      <c r="N960" s="224"/>
      <c r="O960" s="224"/>
      <c r="P960" s="224"/>
      <c r="Q960" s="224"/>
      <c r="R960" s="224"/>
      <c r="S960" s="224"/>
      <c r="T960" s="224"/>
      <c r="U960" s="224"/>
      <c r="V960" s="224"/>
      <c r="W960" s="224"/>
      <c r="X960" s="224"/>
      <c r="Y960" s="224"/>
    </row>
    <row r="961" spans="1:25" ht="15.75" hidden="1" customHeight="1" x14ac:dyDescent="0.2">
      <c r="A961" s="224"/>
      <c r="B961" s="217"/>
      <c r="C961" s="218"/>
      <c r="D961" s="218"/>
      <c r="E961" s="218"/>
      <c r="F961" s="170"/>
      <c r="G961" s="170"/>
      <c r="H961" s="170"/>
      <c r="I961" s="170"/>
      <c r="J961" s="216"/>
      <c r="K961" s="224"/>
      <c r="L961" s="224"/>
      <c r="M961" s="224"/>
      <c r="N961" s="224"/>
      <c r="O961" s="224"/>
      <c r="P961" s="224"/>
      <c r="Q961" s="224"/>
      <c r="R961" s="224"/>
      <c r="S961" s="224"/>
      <c r="T961" s="224"/>
      <c r="U961" s="224"/>
      <c r="V961" s="224"/>
      <c r="W961" s="224"/>
      <c r="X961" s="224"/>
      <c r="Y961" s="224"/>
    </row>
    <row r="962" spans="1:25" ht="15.75" hidden="1" customHeight="1" x14ac:dyDescent="0.2">
      <c r="A962" s="224"/>
      <c r="B962" s="217"/>
      <c r="C962" s="218"/>
      <c r="D962" s="218"/>
      <c r="E962" s="218"/>
      <c r="F962" s="170"/>
      <c r="G962" s="170"/>
      <c r="H962" s="170"/>
      <c r="I962" s="170"/>
      <c r="J962" s="216"/>
      <c r="K962" s="224"/>
      <c r="L962" s="224"/>
      <c r="M962" s="224"/>
      <c r="N962" s="224"/>
      <c r="O962" s="224"/>
      <c r="P962" s="224"/>
      <c r="Q962" s="224"/>
      <c r="R962" s="224"/>
      <c r="S962" s="224"/>
      <c r="T962" s="224"/>
      <c r="U962" s="224"/>
      <c r="V962" s="224"/>
      <c r="W962" s="224"/>
      <c r="X962" s="224"/>
      <c r="Y962" s="224"/>
    </row>
    <row r="963" spans="1:25" ht="15.75" hidden="1" customHeight="1" x14ac:dyDescent="0.2">
      <c r="A963" s="224"/>
      <c r="B963" s="217"/>
      <c r="C963" s="218"/>
      <c r="D963" s="218"/>
      <c r="E963" s="218"/>
      <c r="F963" s="170"/>
      <c r="G963" s="170"/>
      <c r="H963" s="170"/>
      <c r="I963" s="170"/>
      <c r="J963" s="216"/>
      <c r="K963" s="224"/>
      <c r="L963" s="224"/>
      <c r="M963" s="224"/>
      <c r="N963" s="224"/>
      <c r="O963" s="224"/>
      <c r="P963" s="224"/>
      <c r="Q963" s="224"/>
      <c r="R963" s="224"/>
      <c r="S963" s="224"/>
      <c r="T963" s="224"/>
      <c r="U963" s="224"/>
      <c r="V963" s="224"/>
      <c r="W963" s="224"/>
      <c r="X963" s="224"/>
      <c r="Y963" s="224"/>
    </row>
    <row r="964" spans="1:25" ht="15.75" hidden="1" customHeight="1" x14ac:dyDescent="0.2">
      <c r="A964" s="224"/>
      <c r="B964" s="217"/>
      <c r="C964" s="218"/>
      <c r="D964" s="218"/>
      <c r="E964" s="218"/>
      <c r="F964" s="170"/>
      <c r="G964" s="170"/>
      <c r="H964" s="170"/>
      <c r="I964" s="170"/>
      <c r="J964" s="216"/>
      <c r="K964" s="224"/>
      <c r="L964" s="224"/>
      <c r="M964" s="224"/>
      <c r="N964" s="224"/>
      <c r="O964" s="224"/>
      <c r="P964" s="224"/>
      <c r="Q964" s="224"/>
      <c r="R964" s="224"/>
      <c r="S964" s="224"/>
      <c r="T964" s="224"/>
      <c r="U964" s="224"/>
      <c r="V964" s="224"/>
      <c r="W964" s="224"/>
      <c r="X964" s="224"/>
      <c r="Y964" s="224"/>
    </row>
    <row r="965" spans="1:25" ht="15.75" hidden="1" customHeight="1" x14ac:dyDescent="0.2">
      <c r="A965" s="224"/>
      <c r="B965" s="217"/>
      <c r="C965" s="218"/>
      <c r="D965" s="218"/>
      <c r="E965" s="218"/>
      <c r="F965" s="170"/>
      <c r="G965" s="170"/>
      <c r="H965" s="170"/>
      <c r="I965" s="170"/>
      <c r="J965" s="216"/>
      <c r="K965" s="224"/>
      <c r="L965" s="224"/>
      <c r="M965" s="224"/>
      <c r="N965" s="224"/>
      <c r="O965" s="224"/>
      <c r="P965" s="224"/>
      <c r="Q965" s="224"/>
      <c r="R965" s="224"/>
      <c r="S965" s="224"/>
      <c r="T965" s="224"/>
      <c r="U965" s="224"/>
      <c r="V965" s="224"/>
      <c r="W965" s="224"/>
      <c r="X965" s="224"/>
      <c r="Y965" s="224"/>
    </row>
    <row r="966" spans="1:25" ht="15.75" hidden="1" customHeight="1" x14ac:dyDescent="0.2">
      <c r="A966" s="224"/>
      <c r="B966" s="217"/>
      <c r="C966" s="218"/>
      <c r="D966" s="218"/>
      <c r="E966" s="218"/>
      <c r="F966" s="170"/>
      <c r="G966" s="170"/>
      <c r="H966" s="170"/>
      <c r="I966" s="170"/>
      <c r="J966" s="216"/>
      <c r="K966" s="224"/>
      <c r="L966" s="224"/>
      <c r="M966" s="224"/>
      <c r="N966" s="224"/>
      <c r="O966" s="224"/>
      <c r="P966" s="224"/>
      <c r="Q966" s="224"/>
      <c r="R966" s="224"/>
      <c r="S966" s="224"/>
      <c r="T966" s="224"/>
      <c r="U966" s="224"/>
      <c r="V966" s="224"/>
      <c r="W966" s="224"/>
      <c r="X966" s="224"/>
      <c r="Y966" s="224"/>
    </row>
    <row r="967" spans="1:25" ht="15.75" hidden="1" customHeight="1" x14ac:dyDescent="0.2">
      <c r="A967" s="224"/>
      <c r="B967" s="217"/>
      <c r="C967" s="218"/>
      <c r="D967" s="218"/>
      <c r="E967" s="218"/>
      <c r="F967" s="170"/>
      <c r="G967" s="170"/>
      <c r="H967" s="170"/>
      <c r="I967" s="170"/>
      <c r="J967" s="216"/>
      <c r="K967" s="224"/>
      <c r="L967" s="224"/>
      <c r="M967" s="224"/>
      <c r="N967" s="224"/>
      <c r="O967" s="224"/>
      <c r="P967" s="224"/>
      <c r="Q967" s="224"/>
      <c r="R967" s="224"/>
      <c r="S967" s="224"/>
      <c r="T967" s="224"/>
      <c r="U967" s="224"/>
      <c r="V967" s="224"/>
      <c r="W967" s="224"/>
      <c r="X967" s="224"/>
      <c r="Y967" s="224"/>
    </row>
    <row r="968" spans="1:25" ht="15.75" hidden="1" customHeight="1" x14ac:dyDescent="0.2">
      <c r="A968" s="224"/>
      <c r="B968" s="217"/>
      <c r="C968" s="218"/>
      <c r="D968" s="218"/>
      <c r="E968" s="218"/>
      <c r="F968" s="170"/>
      <c r="G968" s="170"/>
      <c r="H968" s="170"/>
      <c r="I968" s="170"/>
      <c r="J968" s="216"/>
      <c r="K968" s="224"/>
      <c r="L968" s="224"/>
      <c r="M968" s="224"/>
      <c r="N968" s="224"/>
      <c r="O968" s="224"/>
      <c r="P968" s="224"/>
      <c r="Q968" s="224"/>
      <c r="R968" s="224"/>
      <c r="S968" s="224"/>
      <c r="T968" s="224"/>
      <c r="U968" s="224"/>
      <c r="V968" s="224"/>
      <c r="W968" s="224"/>
      <c r="X968" s="224"/>
      <c r="Y968" s="224"/>
    </row>
    <row r="969" spans="1:25" ht="15.75" hidden="1" customHeight="1" x14ac:dyDescent="0.2">
      <c r="A969" s="224"/>
      <c r="B969" s="217"/>
      <c r="C969" s="218"/>
      <c r="D969" s="218"/>
      <c r="E969" s="218"/>
      <c r="F969" s="170"/>
      <c r="G969" s="170"/>
      <c r="H969" s="170"/>
      <c r="I969" s="170"/>
      <c r="J969" s="216"/>
      <c r="K969" s="224"/>
      <c r="L969" s="224"/>
      <c r="M969" s="224"/>
      <c r="N969" s="224"/>
      <c r="O969" s="224"/>
      <c r="P969" s="224"/>
      <c r="Q969" s="224"/>
      <c r="R969" s="224"/>
      <c r="S969" s="224"/>
      <c r="T969" s="224"/>
      <c r="U969" s="224"/>
      <c r="V969" s="224"/>
      <c r="W969" s="224"/>
      <c r="X969" s="224"/>
      <c r="Y969" s="224"/>
    </row>
    <row r="970" spans="1:25" ht="15.75" hidden="1" customHeight="1" x14ac:dyDescent="0.2">
      <c r="A970" s="224"/>
      <c r="B970" s="217"/>
      <c r="C970" s="218"/>
      <c r="D970" s="218"/>
      <c r="E970" s="218"/>
      <c r="F970" s="170"/>
      <c r="G970" s="170"/>
      <c r="H970" s="170"/>
      <c r="I970" s="170"/>
      <c r="J970" s="216"/>
      <c r="K970" s="224"/>
      <c r="L970" s="224"/>
      <c r="M970" s="224"/>
      <c r="N970" s="224"/>
      <c r="O970" s="224"/>
      <c r="P970" s="224"/>
      <c r="Q970" s="224"/>
      <c r="R970" s="224"/>
      <c r="S970" s="224"/>
      <c r="T970" s="224"/>
      <c r="U970" s="224"/>
      <c r="V970" s="224"/>
      <c r="W970" s="224"/>
      <c r="X970" s="224"/>
      <c r="Y970" s="224"/>
    </row>
    <row r="971" spans="1:25" ht="15.75" hidden="1" customHeight="1" x14ac:dyDescent="0.2">
      <c r="A971" s="224"/>
      <c r="B971" s="217"/>
      <c r="C971" s="218"/>
      <c r="D971" s="218"/>
      <c r="E971" s="218"/>
      <c r="F971" s="170"/>
      <c r="G971" s="170"/>
      <c r="H971" s="170"/>
      <c r="I971" s="170"/>
      <c r="J971" s="216"/>
      <c r="K971" s="224"/>
      <c r="L971" s="224"/>
      <c r="M971" s="224"/>
      <c r="N971" s="224"/>
      <c r="O971" s="224"/>
      <c r="P971" s="224"/>
      <c r="Q971" s="224"/>
      <c r="R971" s="224"/>
      <c r="S971" s="224"/>
      <c r="T971" s="224"/>
      <c r="U971" s="224"/>
      <c r="V971" s="224"/>
      <c r="W971" s="224"/>
      <c r="X971" s="224"/>
      <c r="Y971" s="224"/>
    </row>
    <row r="972" spans="1:25" ht="15.75" hidden="1" customHeight="1" x14ac:dyDescent="0.2">
      <c r="A972" s="224"/>
      <c r="B972" s="217"/>
      <c r="C972" s="218"/>
      <c r="D972" s="218"/>
      <c r="E972" s="218"/>
      <c r="F972" s="170"/>
      <c r="G972" s="170"/>
      <c r="H972" s="170"/>
      <c r="I972" s="170"/>
      <c r="J972" s="216"/>
      <c r="K972" s="224"/>
      <c r="L972" s="224"/>
      <c r="M972" s="224"/>
      <c r="N972" s="224"/>
      <c r="O972" s="224"/>
      <c r="P972" s="224"/>
      <c r="Q972" s="224"/>
      <c r="R972" s="224"/>
      <c r="S972" s="224"/>
      <c r="T972" s="224"/>
      <c r="U972" s="224"/>
      <c r="V972" s="224"/>
      <c r="W972" s="224"/>
      <c r="X972" s="224"/>
      <c r="Y972" s="224"/>
    </row>
    <row r="973" spans="1:25" ht="15.75" hidden="1" customHeight="1" x14ac:dyDescent="0.2">
      <c r="A973" s="224"/>
      <c r="B973" s="217"/>
      <c r="C973" s="218"/>
      <c r="D973" s="218"/>
      <c r="E973" s="218"/>
      <c r="F973" s="170"/>
      <c r="G973" s="170"/>
      <c r="H973" s="170"/>
      <c r="I973" s="170"/>
      <c r="J973" s="216"/>
      <c r="K973" s="224"/>
      <c r="L973" s="224"/>
      <c r="M973" s="224"/>
      <c r="N973" s="224"/>
      <c r="O973" s="224"/>
      <c r="P973" s="224"/>
      <c r="Q973" s="224"/>
      <c r="R973" s="224"/>
      <c r="S973" s="224"/>
      <c r="T973" s="224"/>
      <c r="U973" s="224"/>
      <c r="V973" s="224"/>
      <c r="W973" s="224"/>
      <c r="X973" s="224"/>
      <c r="Y973" s="224"/>
    </row>
    <row r="974" spans="1:25" ht="15.75" hidden="1" customHeight="1" x14ac:dyDescent="0.2">
      <c r="A974" s="224"/>
      <c r="B974" s="217"/>
      <c r="C974" s="218"/>
      <c r="D974" s="218"/>
      <c r="E974" s="218"/>
      <c r="F974" s="170"/>
      <c r="G974" s="170"/>
      <c r="H974" s="170"/>
      <c r="I974" s="170"/>
      <c r="J974" s="216"/>
      <c r="K974" s="224"/>
      <c r="L974" s="224"/>
      <c r="M974" s="224"/>
      <c r="N974" s="224"/>
      <c r="O974" s="224"/>
      <c r="P974" s="224"/>
      <c r="Q974" s="224"/>
      <c r="R974" s="224"/>
      <c r="S974" s="224"/>
      <c r="T974" s="224"/>
      <c r="U974" s="224"/>
      <c r="V974" s="224"/>
      <c r="W974" s="224"/>
      <c r="X974" s="224"/>
      <c r="Y974" s="224"/>
    </row>
    <row r="975" spans="1:25" ht="15.75" hidden="1" customHeight="1" x14ac:dyDescent="0.2">
      <c r="A975" s="224"/>
      <c r="B975" s="217"/>
      <c r="C975" s="218"/>
      <c r="D975" s="218"/>
      <c r="E975" s="218"/>
      <c r="F975" s="170"/>
      <c r="G975" s="170"/>
      <c r="H975" s="170"/>
      <c r="I975" s="170"/>
      <c r="J975" s="216"/>
      <c r="K975" s="224"/>
      <c r="L975" s="224"/>
      <c r="M975" s="224"/>
      <c r="N975" s="224"/>
      <c r="O975" s="224"/>
      <c r="P975" s="224"/>
      <c r="Q975" s="224"/>
      <c r="R975" s="224"/>
      <c r="S975" s="224"/>
      <c r="T975" s="224"/>
      <c r="U975" s="224"/>
      <c r="V975" s="224"/>
      <c r="W975" s="224"/>
      <c r="X975" s="224"/>
      <c r="Y975" s="224"/>
    </row>
    <row r="976" spans="1:25" ht="15.75" hidden="1" customHeight="1" x14ac:dyDescent="0.2">
      <c r="A976" s="224"/>
      <c r="B976" s="217"/>
      <c r="C976" s="218"/>
      <c r="D976" s="218"/>
      <c r="E976" s="218"/>
      <c r="F976" s="170"/>
      <c r="G976" s="170"/>
      <c r="H976" s="170"/>
      <c r="I976" s="170"/>
      <c r="J976" s="216"/>
      <c r="K976" s="224"/>
      <c r="L976" s="224"/>
      <c r="M976" s="224"/>
      <c r="N976" s="224"/>
      <c r="O976" s="224"/>
      <c r="P976" s="224"/>
      <c r="Q976" s="224"/>
      <c r="R976" s="224"/>
      <c r="S976" s="224"/>
      <c r="T976" s="224"/>
      <c r="U976" s="224"/>
      <c r="V976" s="224"/>
      <c r="W976" s="224"/>
      <c r="X976" s="224"/>
      <c r="Y976" s="224"/>
    </row>
    <row r="977" spans="1:25" ht="15.75" hidden="1" customHeight="1" x14ac:dyDescent="0.2">
      <c r="A977" s="224"/>
      <c r="B977" s="217"/>
      <c r="C977" s="218"/>
      <c r="D977" s="218"/>
      <c r="E977" s="218"/>
      <c r="F977" s="170"/>
      <c r="G977" s="170"/>
      <c r="H977" s="170"/>
      <c r="I977" s="170"/>
      <c r="J977" s="216"/>
      <c r="K977" s="224"/>
      <c r="L977" s="224"/>
      <c r="M977" s="224"/>
      <c r="N977" s="224"/>
      <c r="O977" s="224"/>
      <c r="P977" s="224"/>
      <c r="Q977" s="224"/>
      <c r="R977" s="224"/>
      <c r="S977" s="224"/>
      <c r="T977" s="224"/>
      <c r="U977" s="224"/>
      <c r="V977" s="224"/>
      <c r="W977" s="224"/>
      <c r="X977" s="224"/>
      <c r="Y977" s="224"/>
    </row>
    <row r="978" spans="1:25" ht="15.75" hidden="1" customHeight="1" x14ac:dyDescent="0.2"/>
    <row r="979" spans="1:25" ht="15.75" hidden="1" customHeight="1" x14ac:dyDescent="0.2"/>
    <row r="980" spans="1:25" ht="15.75" hidden="1" customHeight="1" x14ac:dyDescent="0.2"/>
    <row r="981" spans="1:25" ht="15.75" hidden="1" customHeight="1" x14ac:dyDescent="0.2"/>
  </sheetData>
  <mergeCells count="16">
    <mergeCell ref="D20:E20"/>
    <mergeCell ref="C2:J2"/>
    <mergeCell ref="D4:J4"/>
    <mergeCell ref="D6:H6"/>
    <mergeCell ref="D8:H8"/>
    <mergeCell ref="B10:J10"/>
    <mergeCell ref="B11:B12"/>
    <mergeCell ref="C11:C12"/>
    <mergeCell ref="D11:D12"/>
    <mergeCell ref="E11:E12"/>
    <mergeCell ref="F11:F12"/>
    <mergeCell ref="G11:H11"/>
    <mergeCell ref="J11:J12"/>
    <mergeCell ref="B17:J17"/>
    <mergeCell ref="C18:F18"/>
    <mergeCell ref="D19:E19"/>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97C8F-5440-4448-94A5-32CE0B63B959}">
  <dimension ref="A2:C23"/>
  <sheetViews>
    <sheetView workbookViewId="0">
      <pane ySplit="6" topLeftCell="A7" activePane="bottomLeft" state="frozen"/>
      <selection activeCell="B6" sqref="B6:B7"/>
      <selection pane="bottomLeft" activeCell="B6" sqref="B6:B7"/>
    </sheetView>
  </sheetViews>
  <sheetFormatPr baseColWidth="10" defaultRowHeight="15" x14ac:dyDescent="0.25"/>
  <cols>
    <col min="1" max="1" width="8.28515625" customWidth="1"/>
    <col min="2" max="2" width="51.42578125" customWidth="1"/>
    <col min="3" max="3" width="104.7109375" customWidth="1"/>
  </cols>
  <sheetData>
    <row r="2" spans="1:3" x14ac:dyDescent="0.25">
      <c r="A2" s="32" t="s">
        <v>537</v>
      </c>
      <c r="B2" t="s">
        <v>538</v>
      </c>
    </row>
    <row r="3" spans="1:3" x14ac:dyDescent="0.25">
      <c r="B3" s="33" t="s">
        <v>539</v>
      </c>
    </row>
    <row r="4" spans="1:3" x14ac:dyDescent="0.25">
      <c r="B4" s="33" t="s">
        <v>540</v>
      </c>
    </row>
    <row r="5" spans="1:3" ht="15.75" thickBot="1" x14ac:dyDescent="0.3"/>
    <row r="6" spans="1:3" ht="21.75" customHeight="1" thickBot="1" x14ac:dyDescent="0.3">
      <c r="B6" s="34" t="s">
        <v>541</v>
      </c>
      <c r="C6" s="35" t="s">
        <v>542</v>
      </c>
    </row>
    <row r="7" spans="1:3" ht="60" x14ac:dyDescent="0.25">
      <c r="A7" s="36"/>
      <c r="B7" s="37" t="s">
        <v>543</v>
      </c>
      <c r="C7" s="38" t="s">
        <v>544</v>
      </c>
    </row>
    <row r="8" spans="1:3" ht="60" x14ac:dyDescent="0.25">
      <c r="A8" s="36"/>
      <c r="B8" s="39" t="s">
        <v>545</v>
      </c>
      <c r="C8" s="40" t="s">
        <v>546</v>
      </c>
    </row>
    <row r="9" spans="1:3" ht="60" x14ac:dyDescent="0.25">
      <c r="A9" s="36"/>
      <c r="B9" s="39" t="s">
        <v>547</v>
      </c>
      <c r="C9" s="40" t="s">
        <v>548</v>
      </c>
    </row>
    <row r="10" spans="1:3" ht="45" x14ac:dyDescent="0.25">
      <c r="A10" s="36"/>
      <c r="B10" s="39" t="s">
        <v>549</v>
      </c>
      <c r="C10" s="40" t="s">
        <v>550</v>
      </c>
    </row>
    <row r="11" spans="1:3" ht="60" x14ac:dyDescent="0.25">
      <c r="A11" s="36"/>
      <c r="B11" s="39" t="s">
        <v>551</v>
      </c>
      <c r="C11" s="40" t="s">
        <v>552</v>
      </c>
    </row>
    <row r="12" spans="1:3" ht="60" x14ac:dyDescent="0.25">
      <c r="A12" s="36"/>
      <c r="B12" s="39" t="s">
        <v>553</v>
      </c>
      <c r="C12" s="40" t="s">
        <v>554</v>
      </c>
    </row>
    <row r="13" spans="1:3" ht="60" x14ac:dyDescent="0.25">
      <c r="A13" s="36"/>
      <c r="B13" s="39" t="s">
        <v>555</v>
      </c>
      <c r="C13" s="40" t="s">
        <v>556</v>
      </c>
    </row>
    <row r="14" spans="1:3" ht="60" x14ac:dyDescent="0.25">
      <c r="A14" s="36"/>
      <c r="B14" s="39" t="s">
        <v>557</v>
      </c>
      <c r="C14" s="40" t="s">
        <v>558</v>
      </c>
    </row>
    <row r="15" spans="1:3" ht="60" x14ac:dyDescent="0.25">
      <c r="A15" s="36"/>
      <c r="B15" s="39" t="s">
        <v>559</v>
      </c>
      <c r="C15" s="40" t="s">
        <v>560</v>
      </c>
    </row>
    <row r="16" spans="1:3" ht="60" x14ac:dyDescent="0.25">
      <c r="A16" s="36"/>
      <c r="B16" s="39" t="s">
        <v>561</v>
      </c>
      <c r="C16" s="40" t="s">
        <v>562</v>
      </c>
    </row>
    <row r="17" spans="1:3" ht="60" x14ac:dyDescent="0.25">
      <c r="A17" s="36"/>
      <c r="B17" s="39" t="s">
        <v>563</v>
      </c>
      <c r="C17" s="40" t="s">
        <v>564</v>
      </c>
    </row>
    <row r="18" spans="1:3" ht="45" x14ac:dyDescent="0.25">
      <c r="A18" s="36"/>
      <c r="B18" s="39" t="s">
        <v>565</v>
      </c>
      <c r="C18" s="40" t="s">
        <v>566</v>
      </c>
    </row>
    <row r="19" spans="1:3" ht="60" x14ac:dyDescent="0.25">
      <c r="A19" s="36"/>
      <c r="B19" s="39" t="s">
        <v>567</v>
      </c>
      <c r="C19" s="40" t="s">
        <v>568</v>
      </c>
    </row>
    <row r="20" spans="1:3" ht="60" x14ac:dyDescent="0.25">
      <c r="A20" s="36"/>
      <c r="B20" s="39" t="s">
        <v>569</v>
      </c>
      <c r="C20" s="40" t="s">
        <v>570</v>
      </c>
    </row>
    <row r="21" spans="1:3" ht="75" x14ac:dyDescent="0.25">
      <c r="A21" s="36"/>
      <c r="B21" s="39" t="s">
        <v>571</v>
      </c>
      <c r="C21" s="40" t="s">
        <v>572</v>
      </c>
    </row>
    <row r="22" spans="1:3" ht="69" customHeight="1" x14ac:dyDescent="0.25">
      <c r="A22" s="36"/>
      <c r="B22" s="39" t="s">
        <v>573</v>
      </c>
      <c r="C22" s="40" t="s">
        <v>574</v>
      </c>
    </row>
    <row r="23" spans="1:3" ht="120.75" thickBot="1" x14ac:dyDescent="0.3">
      <c r="A23" s="36"/>
      <c r="B23" s="41" t="s">
        <v>575</v>
      </c>
      <c r="C23" s="42" t="s">
        <v>576</v>
      </c>
    </row>
  </sheetData>
  <hyperlinks>
    <hyperlink ref="B3" r:id="rId1" xr:uid="{4952D786-7392-4131-AFBF-21A12DB01ED0}"/>
    <hyperlink ref="B4" r:id="rId2" xr:uid="{191910E9-34A2-47B1-942F-CCA006C2CDA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4CEAA-73DE-4312-BC92-60ECA2BF34CC}">
  <sheetPr filterMode="1"/>
  <dimension ref="A1:C38"/>
  <sheetViews>
    <sheetView workbookViewId="0">
      <selection activeCell="B6" sqref="B6:B7"/>
    </sheetView>
  </sheetViews>
  <sheetFormatPr baseColWidth="10" defaultRowHeight="15" x14ac:dyDescent="0.25"/>
  <cols>
    <col min="2" max="2" width="115.28515625" customWidth="1"/>
    <col min="3" max="3" width="8.28515625" style="43" customWidth="1"/>
  </cols>
  <sheetData>
    <row r="1" spans="1:3" x14ac:dyDescent="0.25">
      <c r="A1" t="s">
        <v>577</v>
      </c>
      <c r="B1" t="s">
        <v>578</v>
      </c>
    </row>
    <row r="2" spans="1:3" x14ac:dyDescent="0.25">
      <c r="B2" s="33" t="s">
        <v>579</v>
      </c>
    </row>
    <row r="3" spans="1:3" x14ac:dyDescent="0.25">
      <c r="C3" s="44" t="s">
        <v>580</v>
      </c>
    </row>
    <row r="4" spans="1:3" x14ac:dyDescent="0.25">
      <c r="A4" s="45" t="s">
        <v>581</v>
      </c>
      <c r="B4" s="46" t="s">
        <v>582</v>
      </c>
      <c r="C4" s="44" t="s">
        <v>583</v>
      </c>
    </row>
    <row r="5" spans="1:3" ht="30" hidden="1" x14ac:dyDescent="0.25">
      <c r="A5" s="826" t="s">
        <v>584</v>
      </c>
      <c r="B5" s="47" t="s">
        <v>585</v>
      </c>
      <c r="C5" s="44" t="s">
        <v>586</v>
      </c>
    </row>
    <row r="6" spans="1:3" hidden="1" x14ac:dyDescent="0.25">
      <c r="A6" s="826"/>
      <c r="B6" s="47" t="s">
        <v>587</v>
      </c>
      <c r="C6" s="44" t="s">
        <v>586</v>
      </c>
    </row>
    <row r="7" spans="1:3" ht="45" x14ac:dyDescent="0.25">
      <c r="A7" s="826"/>
      <c r="B7" s="47" t="s">
        <v>588</v>
      </c>
      <c r="C7" s="44" t="s">
        <v>583</v>
      </c>
    </row>
    <row r="8" spans="1:3" ht="30" hidden="1" x14ac:dyDescent="0.25">
      <c r="A8" s="826"/>
      <c r="B8" s="47" t="s">
        <v>589</v>
      </c>
      <c r="C8" s="44" t="s">
        <v>586</v>
      </c>
    </row>
    <row r="9" spans="1:3" ht="30" x14ac:dyDescent="0.25">
      <c r="A9" s="826"/>
      <c r="B9" s="47" t="s">
        <v>590</v>
      </c>
      <c r="C9" s="44" t="s">
        <v>583</v>
      </c>
    </row>
    <row r="10" spans="1:3" hidden="1" x14ac:dyDescent="0.25">
      <c r="A10" s="826"/>
      <c r="B10" s="47" t="s">
        <v>591</v>
      </c>
      <c r="C10" s="44" t="s">
        <v>586</v>
      </c>
    </row>
    <row r="11" spans="1:3" ht="30" hidden="1" x14ac:dyDescent="0.25">
      <c r="A11" s="826"/>
      <c r="B11" s="47" t="s">
        <v>592</v>
      </c>
      <c r="C11" s="44" t="s">
        <v>586</v>
      </c>
    </row>
    <row r="12" spans="1:3" hidden="1" x14ac:dyDescent="0.25">
      <c r="A12" s="826"/>
      <c r="B12" s="47" t="s">
        <v>593</v>
      </c>
      <c r="C12" s="44" t="s">
        <v>586</v>
      </c>
    </row>
    <row r="13" spans="1:3" ht="30" x14ac:dyDescent="0.25">
      <c r="A13" s="826"/>
      <c r="B13" s="47" t="s">
        <v>594</v>
      </c>
      <c r="C13" s="44" t="s">
        <v>583</v>
      </c>
    </row>
    <row r="14" spans="1:3" x14ac:dyDescent="0.25">
      <c r="A14" s="826"/>
      <c r="B14" s="47" t="s">
        <v>595</v>
      </c>
      <c r="C14" s="44" t="s">
        <v>583</v>
      </c>
    </row>
    <row r="15" spans="1:3" hidden="1" x14ac:dyDescent="0.25">
      <c r="A15" s="826"/>
      <c r="B15" s="47" t="s">
        <v>596</v>
      </c>
      <c r="C15" s="44" t="s">
        <v>586</v>
      </c>
    </row>
    <row r="16" spans="1:3" ht="30" hidden="1" x14ac:dyDescent="0.25">
      <c r="A16" s="826"/>
      <c r="B16" s="47" t="s">
        <v>597</v>
      </c>
      <c r="C16" s="44" t="s">
        <v>586</v>
      </c>
    </row>
    <row r="17" spans="1:3" x14ac:dyDescent="0.25">
      <c r="A17" s="48" t="s">
        <v>598</v>
      </c>
      <c r="B17" s="46" t="s">
        <v>599</v>
      </c>
      <c r="C17" s="44" t="s">
        <v>583</v>
      </c>
    </row>
    <row r="18" spans="1:3" ht="30" hidden="1" x14ac:dyDescent="0.25">
      <c r="A18" s="826" t="s">
        <v>584</v>
      </c>
      <c r="B18" s="47" t="s">
        <v>600</v>
      </c>
      <c r="C18" s="44" t="s">
        <v>586</v>
      </c>
    </row>
    <row r="19" spans="1:3" ht="30" x14ac:dyDescent="0.25">
      <c r="A19" s="826"/>
      <c r="B19" s="47" t="s">
        <v>601</v>
      </c>
      <c r="C19" s="44" t="s">
        <v>583</v>
      </c>
    </row>
    <row r="20" spans="1:3" ht="30" hidden="1" x14ac:dyDescent="0.25">
      <c r="A20" s="826"/>
      <c r="B20" s="47" t="s">
        <v>602</v>
      </c>
      <c r="C20" s="44" t="s">
        <v>586</v>
      </c>
    </row>
    <row r="21" spans="1:3" ht="30" hidden="1" x14ac:dyDescent="0.25">
      <c r="A21" s="826"/>
      <c r="B21" s="47" t="s">
        <v>603</v>
      </c>
      <c r="C21" s="44" t="s">
        <v>586</v>
      </c>
    </row>
    <row r="22" spans="1:3" hidden="1" x14ac:dyDescent="0.25">
      <c r="A22" s="826"/>
      <c r="B22" s="47" t="s">
        <v>604</v>
      </c>
      <c r="C22" s="44" t="s">
        <v>586</v>
      </c>
    </row>
    <row r="23" spans="1:3" ht="30" x14ac:dyDescent="0.25">
      <c r="A23" s="826"/>
      <c r="B23" s="49" t="s">
        <v>605</v>
      </c>
      <c r="C23" s="44" t="s">
        <v>583</v>
      </c>
    </row>
    <row r="24" spans="1:3" ht="30" hidden="1" x14ac:dyDescent="0.25">
      <c r="A24" s="826"/>
      <c r="B24" s="47" t="s">
        <v>606</v>
      </c>
      <c r="C24" s="44" t="s">
        <v>586</v>
      </c>
    </row>
    <row r="25" spans="1:3" x14ac:dyDescent="0.25">
      <c r="A25" s="826"/>
      <c r="B25" s="47" t="s">
        <v>607</v>
      </c>
      <c r="C25" s="44" t="s">
        <v>583</v>
      </c>
    </row>
    <row r="26" spans="1:3" x14ac:dyDescent="0.25">
      <c r="A26" s="48" t="s">
        <v>608</v>
      </c>
      <c r="B26" s="46" t="s">
        <v>609</v>
      </c>
      <c r="C26" s="44" t="s">
        <v>583</v>
      </c>
    </row>
    <row r="27" spans="1:3" ht="30" hidden="1" x14ac:dyDescent="0.25">
      <c r="A27" s="826" t="s">
        <v>584</v>
      </c>
      <c r="B27" s="47" t="s">
        <v>610</v>
      </c>
      <c r="C27" s="44" t="s">
        <v>586</v>
      </c>
    </row>
    <row r="28" spans="1:3" ht="30" x14ac:dyDescent="0.25">
      <c r="A28" s="826"/>
      <c r="B28" s="47" t="s">
        <v>611</v>
      </c>
      <c r="C28" s="44" t="s">
        <v>583</v>
      </c>
    </row>
    <row r="29" spans="1:3" ht="30" x14ac:dyDescent="0.25">
      <c r="A29" s="826"/>
      <c r="B29" s="47" t="s">
        <v>612</v>
      </c>
      <c r="C29" s="44" t="s">
        <v>583</v>
      </c>
    </row>
    <row r="30" spans="1:3" ht="30" hidden="1" x14ac:dyDescent="0.25">
      <c r="A30" s="826"/>
      <c r="B30" s="47" t="s">
        <v>613</v>
      </c>
      <c r="C30" s="44" t="s">
        <v>586</v>
      </c>
    </row>
    <row r="31" spans="1:3" ht="30" hidden="1" x14ac:dyDescent="0.25">
      <c r="A31" s="826"/>
      <c r="B31" s="47" t="s">
        <v>614</v>
      </c>
      <c r="C31" s="44" t="s">
        <v>586</v>
      </c>
    </row>
    <row r="32" spans="1:3" hidden="1" x14ac:dyDescent="0.25">
      <c r="A32" s="48" t="s">
        <v>615</v>
      </c>
      <c r="B32" s="46" t="s">
        <v>616</v>
      </c>
      <c r="C32" s="44" t="s">
        <v>586</v>
      </c>
    </row>
    <row r="33" spans="1:3" ht="45" hidden="1" x14ac:dyDescent="0.25">
      <c r="A33" s="50" t="s">
        <v>584</v>
      </c>
      <c r="B33" s="47" t="s">
        <v>617</v>
      </c>
      <c r="C33" s="44" t="s">
        <v>586</v>
      </c>
    </row>
    <row r="34" spans="1:3" x14ac:dyDescent="0.25">
      <c r="A34" s="48" t="s">
        <v>618</v>
      </c>
      <c r="B34" s="46" t="s">
        <v>619</v>
      </c>
      <c r="C34" s="44" t="s">
        <v>583</v>
      </c>
    </row>
    <row r="35" spans="1:3" ht="30" x14ac:dyDescent="0.25">
      <c r="A35" s="826" t="s">
        <v>584</v>
      </c>
      <c r="B35" s="49" t="s">
        <v>620</v>
      </c>
      <c r="C35" s="44" t="s">
        <v>583</v>
      </c>
    </row>
    <row r="36" spans="1:3" ht="30" hidden="1" x14ac:dyDescent="0.25">
      <c r="A36" s="826"/>
      <c r="B36" s="49" t="s">
        <v>621</v>
      </c>
      <c r="C36" s="44" t="s">
        <v>586</v>
      </c>
    </row>
    <row r="37" spans="1:3" x14ac:dyDescent="0.25">
      <c r="A37" s="826"/>
      <c r="B37" s="49" t="s">
        <v>622</v>
      </c>
      <c r="C37" s="44" t="s">
        <v>583</v>
      </c>
    </row>
    <row r="38" spans="1:3" x14ac:dyDescent="0.25">
      <c r="A38" s="826"/>
      <c r="B38" s="49" t="s">
        <v>623</v>
      </c>
      <c r="C38" s="44" t="s">
        <v>583</v>
      </c>
    </row>
  </sheetData>
  <autoFilter ref="A3:C38" xr:uid="{00000000-0009-0000-0000-00000E000000}">
    <filterColumn colId="2">
      <filters>
        <filter val="Si"/>
      </filters>
    </filterColumn>
  </autoFilter>
  <mergeCells count="4">
    <mergeCell ref="A5:A16"/>
    <mergeCell ref="A18:A25"/>
    <mergeCell ref="A27:A31"/>
    <mergeCell ref="A35:A38"/>
  </mergeCells>
  <hyperlinks>
    <hyperlink ref="B2" r:id="rId1" xr:uid="{9E3F72FF-24ED-4003-A5D5-942B8E1CBBBA}"/>
  </hyperlinks>
  <pageMargins left="0.7" right="0.7" top="0.75" bottom="0.75" header="0.3" footer="0.3"/>
  <pageSetup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7D49-7EA2-468B-BDC9-B01357C5BE6D}">
  <dimension ref="A1:C21"/>
  <sheetViews>
    <sheetView workbookViewId="0">
      <selection activeCell="B6" sqref="B6:B7"/>
    </sheetView>
  </sheetViews>
  <sheetFormatPr baseColWidth="10" defaultRowHeight="15" x14ac:dyDescent="0.25"/>
  <cols>
    <col min="1" max="1" width="9.28515625" customWidth="1"/>
    <col min="2" max="3" width="37.85546875" style="51" customWidth="1"/>
  </cols>
  <sheetData>
    <row r="1" spans="1:3" ht="38.25" customHeight="1" x14ac:dyDescent="0.25">
      <c r="A1" s="43" t="s">
        <v>577</v>
      </c>
      <c r="B1" s="827" t="s">
        <v>624</v>
      </c>
      <c r="C1" s="827"/>
    </row>
    <row r="2" spans="1:3" ht="15.75" thickBot="1" x14ac:dyDescent="0.3"/>
    <row r="3" spans="1:3" ht="21.75" customHeight="1" thickBot="1" x14ac:dyDescent="0.3">
      <c r="B3" s="52" t="s">
        <v>625</v>
      </c>
      <c r="C3" s="53" t="s">
        <v>626</v>
      </c>
    </row>
    <row r="4" spans="1:3" x14ac:dyDescent="0.25">
      <c r="B4" s="828" t="s">
        <v>627</v>
      </c>
      <c r="C4" s="54" t="s">
        <v>628</v>
      </c>
    </row>
    <row r="5" spans="1:3" x14ac:dyDescent="0.25">
      <c r="B5" s="829"/>
      <c r="C5" s="55" t="s">
        <v>629</v>
      </c>
    </row>
    <row r="6" spans="1:3" ht="21" customHeight="1" x14ac:dyDescent="0.25">
      <c r="B6" s="829" t="s">
        <v>630</v>
      </c>
      <c r="C6" s="55" t="s">
        <v>631</v>
      </c>
    </row>
    <row r="7" spans="1:3" ht="30" x14ac:dyDescent="0.25">
      <c r="B7" s="829"/>
      <c r="C7" s="55" t="s">
        <v>632</v>
      </c>
    </row>
    <row r="8" spans="1:3" ht="30" x14ac:dyDescent="0.25">
      <c r="B8" s="829" t="s">
        <v>633</v>
      </c>
      <c r="C8" s="55" t="s">
        <v>634</v>
      </c>
    </row>
    <row r="9" spans="1:3" x14ac:dyDescent="0.25">
      <c r="B9" s="829"/>
      <c r="C9" s="55" t="s">
        <v>635</v>
      </c>
    </row>
    <row r="10" spans="1:3" x14ac:dyDescent="0.25">
      <c r="B10" s="829"/>
      <c r="C10" s="55" t="s">
        <v>636</v>
      </c>
    </row>
    <row r="11" spans="1:3" x14ac:dyDescent="0.25">
      <c r="B11" s="829"/>
      <c r="C11" s="55" t="s">
        <v>637</v>
      </c>
    </row>
    <row r="12" spans="1:3" x14ac:dyDescent="0.25">
      <c r="B12" s="829"/>
      <c r="C12" s="55" t="s">
        <v>638</v>
      </c>
    </row>
    <row r="13" spans="1:3" x14ac:dyDescent="0.25">
      <c r="B13" s="829"/>
      <c r="C13" s="55" t="s">
        <v>639</v>
      </c>
    </row>
    <row r="14" spans="1:3" x14ac:dyDescent="0.25">
      <c r="B14" s="829"/>
      <c r="C14" s="55" t="s">
        <v>640</v>
      </c>
    </row>
    <row r="15" spans="1:3" ht="30" x14ac:dyDescent="0.25">
      <c r="B15" s="829"/>
      <c r="C15" s="55" t="s">
        <v>641</v>
      </c>
    </row>
    <row r="16" spans="1:3" ht="30" x14ac:dyDescent="0.25">
      <c r="B16" s="56" t="s">
        <v>642</v>
      </c>
      <c r="C16" s="55" t="s">
        <v>643</v>
      </c>
    </row>
    <row r="17" spans="2:3" x14ac:dyDescent="0.25">
      <c r="B17" s="829" t="s">
        <v>644</v>
      </c>
      <c r="C17" s="55" t="s">
        <v>645</v>
      </c>
    </row>
    <row r="18" spans="2:3" ht="30" x14ac:dyDescent="0.25">
      <c r="B18" s="829"/>
      <c r="C18" s="55" t="s">
        <v>646</v>
      </c>
    </row>
    <row r="19" spans="2:3" x14ac:dyDescent="0.25">
      <c r="B19" s="829"/>
      <c r="C19" s="55" t="s">
        <v>647</v>
      </c>
    </row>
    <row r="20" spans="2:3" ht="30" x14ac:dyDescent="0.25">
      <c r="B20" s="56" t="s">
        <v>648</v>
      </c>
      <c r="C20" s="55" t="s">
        <v>648</v>
      </c>
    </row>
    <row r="21" spans="2:3" ht="15.75" thickBot="1" x14ac:dyDescent="0.3">
      <c r="B21" s="57" t="s">
        <v>649</v>
      </c>
      <c r="C21" s="58" t="s">
        <v>649</v>
      </c>
    </row>
  </sheetData>
  <mergeCells count="5">
    <mergeCell ref="B1:C1"/>
    <mergeCell ref="B4:B5"/>
    <mergeCell ref="B6:B7"/>
    <mergeCell ref="B8:B15"/>
    <mergeCell ref="B17:B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6609E-BD51-4C29-8789-FA26687F033A}">
  <dimension ref="A1:H23"/>
  <sheetViews>
    <sheetView workbookViewId="0">
      <selection activeCell="A19" sqref="A19"/>
    </sheetView>
  </sheetViews>
  <sheetFormatPr baseColWidth="10" defaultRowHeight="12" x14ac:dyDescent="0.2"/>
  <cols>
    <col min="1" max="1" width="59.140625" style="5" customWidth="1"/>
    <col min="2" max="2" width="2.5703125" style="5" customWidth="1"/>
    <col min="3" max="3" width="125.7109375" style="5" customWidth="1"/>
    <col min="4" max="4" width="5.140625" style="5" customWidth="1"/>
    <col min="5" max="7" width="4.5703125" style="5" customWidth="1"/>
    <col min="8" max="8" width="5.140625" style="5" customWidth="1"/>
    <col min="9" max="16384" width="11.42578125" style="5"/>
  </cols>
  <sheetData>
    <row r="1" spans="1:8" x14ac:dyDescent="0.2">
      <c r="D1" s="10" t="s">
        <v>65</v>
      </c>
      <c r="E1" s="10" t="s">
        <v>66</v>
      </c>
      <c r="F1" s="10" t="s">
        <v>67</v>
      </c>
      <c r="G1" s="10" t="s">
        <v>68</v>
      </c>
      <c r="H1" s="10" t="s">
        <v>69</v>
      </c>
    </row>
    <row r="2" spans="1:8" x14ac:dyDescent="0.2">
      <c r="A2" s="7" t="s">
        <v>42</v>
      </c>
      <c r="C2" s="7" t="s">
        <v>56</v>
      </c>
      <c r="D2" s="11" t="str">
        <f>+C3</f>
        <v>1. Consolidar una oferta de contenidos de interés ciudadano en diferentes formatos y plataformas que promuevan la participación de la ciudadanía.</v>
      </c>
      <c r="E2" s="11" t="str">
        <f>+C4</f>
        <v>2. Implementar prácticas de innovación en diseño, gestión, producción y circulación de contenidos para el posicionamiento del Sistema de Comunicación Pública en la Bogotá Región y la generación de múltiples audiencias ciudadanas.</v>
      </c>
      <c r="F2" s="11" t="str">
        <f>+C5</f>
        <v xml:space="preserve">3. Generar una cultura digital y de gestión del conocimiento para la optimización de los procesos internos y externos.  </v>
      </c>
      <c r="G2" s="11" t="str">
        <f>+C6</f>
        <v xml:space="preserve">4. Consolidar a Capital como una empresa que desarrolla nuevas estrategias de negocios de comunicación pública. </v>
      </c>
      <c r="H2" s="11" t="str">
        <f>+C7</f>
        <v xml:space="preserve">5. Fortalecer la capacidad organizacional de Capital para ser una empresa transparente, eficiente y sostenible. </v>
      </c>
    </row>
    <row r="3" spans="1:8" x14ac:dyDescent="0.2">
      <c r="A3" s="6" t="s">
        <v>45</v>
      </c>
      <c r="C3" s="6" t="s">
        <v>37</v>
      </c>
      <c r="D3" s="6" t="str">
        <f>+C10</f>
        <v>1. Diseñar y desarrollar actividades de cocreación con las audiencias y el sector para ser una marca querida por la ciudadanía, reconocida por la industria y creadora de contenidos innovadores y de calidad.</v>
      </c>
      <c r="E3" s="6" t="str">
        <f>+C10</f>
        <v>1. Diseñar y desarrollar actividades de cocreación con las audiencias y el sector para ser una marca querida por la ciudadanía, reconocida por la industria y creadora de contenidos innovadores y de calidad.</v>
      </c>
      <c r="F3" s="6" t="str">
        <f>+C14</f>
        <v>5. Realizar el diagnóstico, diseño e implementación de una estructura administrativa acorde a las necesidades de Capital.</v>
      </c>
      <c r="G3" s="6" t="str">
        <f>+C12</f>
        <v>3. Realizar el diseño, desarrollo, producción y programación en diferentes plataformas para audiencias por nichos.</v>
      </c>
      <c r="H3" s="6" t="str">
        <f>+C14</f>
        <v>5. Realizar el diagnóstico, diseño e implementación de una estructura administrativa acorde a las necesidades de Capital.</v>
      </c>
    </row>
    <row r="4" spans="1:8" x14ac:dyDescent="0.2">
      <c r="A4" s="6" t="s">
        <v>46</v>
      </c>
      <c r="C4" s="6" t="s">
        <v>38</v>
      </c>
      <c r="D4" s="6" t="str">
        <f>+C11</f>
        <v>2. Conocer audiencias potenciales de Bogotá-Región en las distintas plataformas. (Identificar, caracterizar y perfilar).</v>
      </c>
      <c r="E4" s="6" t="str">
        <f>+C13</f>
        <v>4. Diseñar y desarrollar mecanismos de apropiación de la marca Capital por parte de la ciudadanía.</v>
      </c>
      <c r="F4" s="6" t="str">
        <f>+C15</f>
        <v>6. Articular los procesos y flujos de trabajo a la estructura de Capital.</v>
      </c>
      <c r="G4" s="6" t="str">
        <f>+C13</f>
        <v>4. Diseñar y desarrollar mecanismos de apropiación de la marca Capital por parte de la ciudadanía.</v>
      </c>
      <c r="H4" s="6" t="str">
        <f>+C15</f>
        <v>6. Articular los procesos y flujos de trabajo a la estructura de Capital.</v>
      </c>
    </row>
    <row r="5" spans="1:8" x14ac:dyDescent="0.2">
      <c r="A5" s="6" t="s">
        <v>47</v>
      </c>
      <c r="C5" s="6" t="s">
        <v>39</v>
      </c>
      <c r="D5" s="6" t="str">
        <f>+C12</f>
        <v>3. Realizar el diseño, desarrollo, producción y programación en diferentes plataformas para audiencias por nichos.</v>
      </c>
      <c r="E5" s="6" t="str">
        <f>+C14</f>
        <v>5. Realizar el diagnóstico, diseño e implementación de una estructura administrativa acorde a las necesidades de Capital.</v>
      </c>
      <c r="F5" s="6" t="str">
        <f>+C16</f>
        <v>7. Adelantar fases de diagnóstico, actualización e implementación de una cultura digital y de gestión del conocimiento.</v>
      </c>
      <c r="G5" s="6" t="str">
        <f>+C17</f>
        <v>8. Lograr una articulación estratégica con aliados públicos y privados, gracias a la gestión de un modelo de industria eficiente, productiva y sostenible.</v>
      </c>
      <c r="H5" s="6" t="str">
        <f>+C16</f>
        <v>7. Adelantar fases de diagnóstico, actualización e implementación de una cultura digital y de gestión del conocimiento.</v>
      </c>
    </row>
    <row r="6" spans="1:8" x14ac:dyDescent="0.2">
      <c r="C6" s="6" t="s">
        <v>40</v>
      </c>
      <c r="D6" s="6" t="str">
        <f>+C13</f>
        <v>4. Diseñar y desarrollar mecanismos de apropiación de la marca Capital por parte de la ciudadanía.</v>
      </c>
      <c r="E6" s="6" t="str">
        <f>+C18</f>
        <v>9. Promover el relacionamiento con la ciudadanía y grupos poblacionales, a través de diferentes mecanismos, plataformas y herramientas.</v>
      </c>
      <c r="F6" s="6"/>
      <c r="G6" s="6" t="str">
        <f>+C18</f>
        <v>9. Promover el relacionamiento con la ciudadanía y grupos poblacionales, a través de diferentes mecanismos, plataformas y herramientas.</v>
      </c>
      <c r="H6" s="6"/>
    </row>
    <row r="7" spans="1:8" x14ac:dyDescent="0.2">
      <c r="A7" s="7" t="s">
        <v>44</v>
      </c>
      <c r="C7" s="6" t="s">
        <v>41</v>
      </c>
      <c r="D7" s="6" t="str">
        <f>+C18</f>
        <v>9. Promover el relacionamiento con la ciudadanía y grupos poblacionales, a través de diferentes mecanismos, plataformas y herramientas.</v>
      </c>
    </row>
    <row r="8" spans="1:8" x14ac:dyDescent="0.2">
      <c r="A8" s="6" t="s">
        <v>48</v>
      </c>
    </row>
    <row r="9" spans="1:8" x14ac:dyDescent="0.2">
      <c r="A9" s="6" t="s">
        <v>49</v>
      </c>
      <c r="C9" s="7" t="s">
        <v>57</v>
      </c>
    </row>
    <row r="10" spans="1:8" x14ac:dyDescent="0.2">
      <c r="A10" s="6" t="s">
        <v>50</v>
      </c>
      <c r="C10" s="6" t="s">
        <v>58</v>
      </c>
    </row>
    <row r="11" spans="1:8" x14ac:dyDescent="0.2">
      <c r="C11" s="6" t="s">
        <v>59</v>
      </c>
    </row>
    <row r="12" spans="1:8" x14ac:dyDescent="0.2">
      <c r="A12" s="7" t="s">
        <v>55</v>
      </c>
      <c r="C12" s="6" t="s">
        <v>62</v>
      </c>
    </row>
    <row r="13" spans="1:8" x14ac:dyDescent="0.2">
      <c r="A13" s="8" t="s">
        <v>51</v>
      </c>
      <c r="C13" s="6" t="s">
        <v>61</v>
      </c>
    </row>
    <row r="14" spans="1:8" x14ac:dyDescent="0.2">
      <c r="A14" s="8" t="s">
        <v>52</v>
      </c>
      <c r="C14" s="6" t="s">
        <v>87</v>
      </c>
    </row>
    <row r="15" spans="1:8" x14ac:dyDescent="0.2">
      <c r="A15" s="8" t="s">
        <v>53</v>
      </c>
      <c r="C15" s="6" t="s">
        <v>60</v>
      </c>
    </row>
    <row r="16" spans="1:8" x14ac:dyDescent="0.2">
      <c r="A16" s="8" t="s">
        <v>54</v>
      </c>
      <c r="C16" s="6" t="s">
        <v>64</v>
      </c>
    </row>
    <row r="17" spans="1:3" x14ac:dyDescent="0.2">
      <c r="C17" s="6" t="s">
        <v>63</v>
      </c>
    </row>
    <row r="18" spans="1:3" x14ac:dyDescent="0.2">
      <c r="A18" s="7" t="s">
        <v>1036</v>
      </c>
      <c r="C18" s="6" t="s">
        <v>804</v>
      </c>
    </row>
    <row r="19" spans="1:3" x14ac:dyDescent="0.2">
      <c r="A19" s="8" t="s">
        <v>1072</v>
      </c>
    </row>
    <row r="20" spans="1:3" x14ac:dyDescent="0.2">
      <c r="A20" s="8" t="s">
        <v>22</v>
      </c>
    </row>
    <row r="21" spans="1:3" x14ac:dyDescent="0.2">
      <c r="A21" s="8" t="s">
        <v>23</v>
      </c>
    </row>
    <row r="22" spans="1:3" x14ac:dyDescent="0.2">
      <c r="A22" s="8" t="s">
        <v>24</v>
      </c>
    </row>
    <row r="23" spans="1:3" x14ac:dyDescent="0.2">
      <c r="A23" s="8" t="s">
        <v>25</v>
      </c>
    </row>
  </sheetData>
  <phoneticPr fontId="3"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E802E-1286-4492-ADC1-406CD062867A}">
  <dimension ref="A1:T45"/>
  <sheetViews>
    <sheetView showGridLines="0" zoomScale="90" zoomScaleNormal="90" workbookViewId="0">
      <selection activeCell="J14" sqref="J14"/>
    </sheetView>
  </sheetViews>
  <sheetFormatPr baseColWidth="10" defaultColWidth="0" defaultRowHeight="15" customHeight="1" zeroHeight="1" x14ac:dyDescent="0.25"/>
  <cols>
    <col min="1" max="1" width="2.5703125" customWidth="1"/>
    <col min="2" max="2" width="5" customWidth="1"/>
    <col min="3" max="3" width="42.28515625" customWidth="1"/>
    <col min="4" max="8" width="13" customWidth="1"/>
    <col min="9" max="9" width="6" customWidth="1"/>
    <col min="10" max="10" width="20.7109375" customWidth="1"/>
    <col min="11" max="11" width="10.42578125" customWidth="1"/>
    <col min="12" max="12" width="5.85546875" customWidth="1"/>
    <col min="13" max="13" width="11.42578125" customWidth="1"/>
    <col min="14" max="14" width="17.5703125" customWidth="1"/>
    <col min="15" max="19" width="11.42578125" customWidth="1"/>
    <col min="20" max="20" width="2.5703125" customWidth="1"/>
    <col min="21" max="16384" width="11.42578125" hidden="1"/>
  </cols>
  <sheetData>
    <row r="1" spans="3:11" ht="7.5" customHeight="1" thickBot="1" x14ac:dyDescent="0.3"/>
    <row r="2" spans="3:11" ht="26.25" thickBot="1" x14ac:dyDescent="0.3">
      <c r="C2" s="420" t="s">
        <v>10</v>
      </c>
      <c r="D2" s="466" t="s">
        <v>1055</v>
      </c>
      <c r="E2" s="450" t="s">
        <v>24</v>
      </c>
      <c r="F2" s="451" t="s">
        <v>23</v>
      </c>
      <c r="G2" s="452" t="s">
        <v>22</v>
      </c>
      <c r="H2" s="453" t="s">
        <v>1037</v>
      </c>
    </row>
    <row r="3" spans="3:11" ht="42.75" customHeight="1" x14ac:dyDescent="0.25">
      <c r="C3" s="447" t="s">
        <v>1053</v>
      </c>
      <c r="D3" s="421">
        <v>10</v>
      </c>
      <c r="E3" s="422">
        <v>2</v>
      </c>
      <c r="F3" s="422" t="s">
        <v>1038</v>
      </c>
      <c r="G3" s="422" t="s">
        <v>1038</v>
      </c>
      <c r="H3" s="423">
        <v>1</v>
      </c>
    </row>
    <row r="4" spans="3:11" ht="68.25" customHeight="1" x14ac:dyDescent="0.25">
      <c r="C4" s="448" t="s">
        <v>1039</v>
      </c>
      <c r="D4" s="421">
        <v>4</v>
      </c>
      <c r="E4" s="422">
        <v>1</v>
      </c>
      <c r="F4" s="422" t="s">
        <v>1038</v>
      </c>
      <c r="G4" s="422" t="s">
        <v>1038</v>
      </c>
      <c r="H4" s="423" t="s">
        <v>1038</v>
      </c>
    </row>
    <row r="5" spans="3:11" ht="46.5" customHeight="1" x14ac:dyDescent="0.25">
      <c r="C5" s="448" t="s">
        <v>1040</v>
      </c>
      <c r="D5" s="421">
        <v>1</v>
      </c>
      <c r="E5" s="422">
        <v>1</v>
      </c>
      <c r="F5" s="422">
        <v>1</v>
      </c>
      <c r="G5" s="422" t="s">
        <v>1038</v>
      </c>
      <c r="H5" s="423">
        <v>2</v>
      </c>
    </row>
    <row r="6" spans="3:11" ht="60" customHeight="1" x14ac:dyDescent="0.25">
      <c r="C6" s="448" t="s">
        <v>1041</v>
      </c>
      <c r="D6" s="421">
        <v>13</v>
      </c>
      <c r="E6" s="422" t="s">
        <v>1038</v>
      </c>
      <c r="F6" s="422" t="s">
        <v>1038</v>
      </c>
      <c r="G6" s="422" t="s">
        <v>1038</v>
      </c>
      <c r="H6" s="423" t="s">
        <v>1038</v>
      </c>
    </row>
    <row r="7" spans="3:11" ht="42" customHeight="1" x14ac:dyDescent="0.25">
      <c r="C7" s="448" t="s">
        <v>1042</v>
      </c>
      <c r="D7" s="421">
        <v>3</v>
      </c>
      <c r="E7" s="422">
        <v>1</v>
      </c>
      <c r="F7" s="422" t="s">
        <v>1038</v>
      </c>
      <c r="G7" s="422">
        <v>2</v>
      </c>
      <c r="H7" s="423" t="s">
        <v>1038</v>
      </c>
    </row>
    <row r="8" spans="3:11" ht="30.75" customHeight="1" thickBot="1" x14ac:dyDescent="0.3">
      <c r="C8" s="449" t="s">
        <v>649</v>
      </c>
      <c r="D8" s="424">
        <v>2</v>
      </c>
      <c r="E8" s="425" t="s">
        <v>1038</v>
      </c>
      <c r="F8" s="425" t="s">
        <v>1038</v>
      </c>
      <c r="G8" s="425" t="s">
        <v>1038</v>
      </c>
      <c r="H8" s="426">
        <v>4</v>
      </c>
    </row>
    <row r="9" spans="3:11" x14ac:dyDescent="0.25"/>
    <row r="10" spans="3:11" x14ac:dyDescent="0.25">
      <c r="C10" s="427">
        <f>G16/(D16*F11)</f>
        <v>0.78645833333333337</v>
      </c>
      <c r="D10" s="428" t="s">
        <v>1043</v>
      </c>
      <c r="E10" s="428" t="s">
        <v>1044</v>
      </c>
      <c r="F10" s="429" t="s">
        <v>662</v>
      </c>
      <c r="G10" s="428" t="s">
        <v>1045</v>
      </c>
      <c r="J10" s="430" t="s">
        <v>1046</v>
      </c>
      <c r="K10" s="431">
        <v>0.3</v>
      </c>
    </row>
    <row r="11" spans="3:11" x14ac:dyDescent="0.25">
      <c r="C11" s="432" t="s">
        <v>25</v>
      </c>
      <c r="D11" s="428">
        <f>SUM(D3:D8)</f>
        <v>33</v>
      </c>
      <c r="E11" s="433">
        <f>D11/$D$16</f>
        <v>0.6875</v>
      </c>
      <c r="F11" s="44">
        <v>4</v>
      </c>
      <c r="G11" s="44">
        <f>D11*F11</f>
        <v>132</v>
      </c>
      <c r="J11" s="434" t="s">
        <v>23</v>
      </c>
      <c r="K11" s="431">
        <v>0.3</v>
      </c>
    </row>
    <row r="12" spans="3:11" x14ac:dyDescent="0.25">
      <c r="C12" s="435" t="s">
        <v>24</v>
      </c>
      <c r="D12" s="428">
        <f>SUM(E3:E8)</f>
        <v>5</v>
      </c>
      <c r="E12" s="433">
        <f t="shared" ref="E12:E15" si="0">D12/$D$16</f>
        <v>0.10416666666666667</v>
      </c>
      <c r="F12" s="44">
        <v>3</v>
      </c>
      <c r="G12" s="44">
        <f>D12*F12</f>
        <v>15</v>
      </c>
      <c r="J12" s="436" t="s">
        <v>24</v>
      </c>
      <c r="K12" s="431">
        <v>0.3</v>
      </c>
    </row>
    <row r="13" spans="3:11" x14ac:dyDescent="0.25">
      <c r="C13" s="437" t="s">
        <v>23</v>
      </c>
      <c r="D13" s="428">
        <f>SUM(F3:F8)</f>
        <v>1</v>
      </c>
      <c r="E13" s="433">
        <f t="shared" si="0"/>
        <v>2.0833333333333332E-2</v>
      </c>
      <c r="F13" s="44">
        <v>2</v>
      </c>
      <c r="G13" s="44">
        <f>D13*F13</f>
        <v>2</v>
      </c>
      <c r="J13" s="438" t="s">
        <v>25</v>
      </c>
      <c r="K13" s="431">
        <v>0.1</v>
      </c>
    </row>
    <row r="14" spans="3:11" x14ac:dyDescent="0.25">
      <c r="C14" s="439" t="s">
        <v>22</v>
      </c>
      <c r="D14" s="428">
        <f>SUM(G3:G8)</f>
        <v>2</v>
      </c>
      <c r="E14" s="433">
        <f t="shared" si="0"/>
        <v>4.1666666666666664E-2</v>
      </c>
      <c r="F14" s="44">
        <v>1</v>
      </c>
      <c r="G14" s="44">
        <f>D14*F14</f>
        <v>2</v>
      </c>
      <c r="J14" s="428" t="s">
        <v>1047</v>
      </c>
      <c r="K14" s="440">
        <f>SUM(K10:K13)</f>
        <v>0.99999999999999989</v>
      </c>
    </row>
    <row r="15" spans="3:11" x14ac:dyDescent="0.25">
      <c r="C15" s="454" t="s">
        <v>1037</v>
      </c>
      <c r="D15" s="428">
        <f>SUM(H3:H8)</f>
        <v>7</v>
      </c>
      <c r="E15" s="433">
        <f t="shared" si="0"/>
        <v>0.14583333333333334</v>
      </c>
      <c r="F15" s="44">
        <v>0</v>
      </c>
      <c r="G15" s="44">
        <f>D15*F15</f>
        <v>0</v>
      </c>
      <c r="J15" s="467"/>
      <c r="K15" s="468"/>
    </row>
    <row r="16" spans="3:11" x14ac:dyDescent="0.25">
      <c r="C16" s="441" t="s">
        <v>1047</v>
      </c>
      <c r="D16" s="442">
        <f>SUM(D11:D15)</f>
        <v>48</v>
      </c>
      <c r="E16" s="443"/>
      <c r="F16" s="36"/>
      <c r="G16" s="442">
        <f>SUM(G11:G15)</f>
        <v>151</v>
      </c>
      <c r="J16" s="444" t="s">
        <v>1048</v>
      </c>
      <c r="K16" s="499">
        <f>C10</f>
        <v>0.78645833333333337</v>
      </c>
    </row>
    <row r="17" spans="2:11" x14ac:dyDescent="0.25">
      <c r="J17" s="444" t="s">
        <v>1050</v>
      </c>
      <c r="K17" s="446">
        <f>K16-K18/2</f>
        <v>0.77645833333333336</v>
      </c>
    </row>
    <row r="18" spans="2:11" x14ac:dyDescent="0.25">
      <c r="C18" s="442" t="s">
        <v>1049</v>
      </c>
      <c r="D18" s="445">
        <f>C10*25%</f>
        <v>0.19661458333333334</v>
      </c>
      <c r="J18" s="444" t="s">
        <v>1051</v>
      </c>
      <c r="K18" s="500">
        <v>0.02</v>
      </c>
    </row>
    <row r="19" spans="2:11" x14ac:dyDescent="0.25">
      <c r="C19" s="442"/>
      <c r="D19" s="445"/>
      <c r="J19" s="444" t="s">
        <v>1052</v>
      </c>
      <c r="K19" s="446">
        <f>SUM(K10:K14)-K17-K18</f>
        <v>1.2035416666666663</v>
      </c>
    </row>
    <row r="20" spans="2:11" ht="15.75" thickBot="1" x14ac:dyDescent="0.3"/>
    <row r="21" spans="2:11" ht="26.25" thickBot="1" x14ac:dyDescent="0.3">
      <c r="B21" s="681" t="s">
        <v>1</v>
      </c>
      <c r="C21" s="682"/>
      <c r="D21" s="478" t="s">
        <v>1055</v>
      </c>
      <c r="E21" s="455" t="s">
        <v>24</v>
      </c>
      <c r="F21" s="456" t="s">
        <v>23</v>
      </c>
      <c r="G21" s="457" t="s">
        <v>22</v>
      </c>
      <c r="H21" s="473" t="s">
        <v>1037</v>
      </c>
      <c r="I21" s="474" t="s">
        <v>1047</v>
      </c>
      <c r="J21" s="475" t="s">
        <v>1057</v>
      </c>
      <c r="K21" s="476" t="s">
        <v>1056</v>
      </c>
    </row>
    <row r="22" spans="2:11" ht="58.5" customHeight="1" x14ac:dyDescent="0.25">
      <c r="B22" s="488" t="s">
        <v>1058</v>
      </c>
      <c r="C22" s="489" t="s">
        <v>37</v>
      </c>
      <c r="D22" s="479">
        <v>4</v>
      </c>
      <c r="E22" s="462">
        <v>1</v>
      </c>
      <c r="F22" s="462">
        <v>0</v>
      </c>
      <c r="G22" s="462">
        <v>0</v>
      </c>
      <c r="H22" s="462">
        <v>0</v>
      </c>
      <c r="I22" s="460">
        <f>SUM(D22:H22)</f>
        <v>5</v>
      </c>
      <c r="J22" s="477" t="s">
        <v>1055</v>
      </c>
      <c r="K22" s="472">
        <f>((D22*$F$11)+(E22*$F$12)+(F22*$F$13)+(G22*$F$14)+(H22*$F$15))/(I22*$F$11)</f>
        <v>0.95</v>
      </c>
    </row>
    <row r="23" spans="2:11" ht="83.25" customHeight="1" x14ac:dyDescent="0.25">
      <c r="B23" s="484" t="s">
        <v>1059</v>
      </c>
      <c r="C23" s="485" t="s">
        <v>38</v>
      </c>
      <c r="D23" s="480">
        <v>3</v>
      </c>
      <c r="E23" s="422">
        <v>0</v>
      </c>
      <c r="F23" s="422">
        <v>0</v>
      </c>
      <c r="G23" s="422">
        <v>0</v>
      </c>
      <c r="H23" s="422">
        <v>0</v>
      </c>
      <c r="I23" s="44">
        <f t="shared" ref="I23:I26" si="1">SUM(D23:H23)</f>
        <v>3</v>
      </c>
      <c r="J23" s="469" t="s">
        <v>1055</v>
      </c>
      <c r="K23" s="470">
        <f>((D23*$F$11)+(E23*$F$12)+(F23*$F$13)+(G23*$F$14)+(H23*$F$15))/(I23*$F$11)</f>
        <v>1</v>
      </c>
    </row>
    <row r="24" spans="2:11" ht="43.5" customHeight="1" x14ac:dyDescent="0.25">
      <c r="B24" s="484" t="s">
        <v>1060</v>
      </c>
      <c r="C24" s="485" t="s">
        <v>39</v>
      </c>
      <c r="D24" s="480">
        <v>5</v>
      </c>
      <c r="E24" s="422">
        <v>0</v>
      </c>
      <c r="F24" s="422">
        <v>0</v>
      </c>
      <c r="G24" s="422">
        <v>0</v>
      </c>
      <c r="H24" s="422">
        <v>0</v>
      </c>
      <c r="I24" s="44">
        <f t="shared" si="1"/>
        <v>5</v>
      </c>
      <c r="J24" s="469" t="s">
        <v>1055</v>
      </c>
      <c r="K24" s="470">
        <f>((D24*$F$11)+(E24*$F$12)+(F24*$F$13)+(G24*$F$14)+(H24*$F$15))/(I24*$F$11)</f>
        <v>1</v>
      </c>
    </row>
    <row r="25" spans="2:11" ht="43.5" customHeight="1" x14ac:dyDescent="0.25">
      <c r="B25" s="484" t="s">
        <v>1061</v>
      </c>
      <c r="C25" s="485" t="s">
        <v>40</v>
      </c>
      <c r="D25" s="480">
        <v>0</v>
      </c>
      <c r="E25" s="422">
        <v>1</v>
      </c>
      <c r="F25" s="422">
        <v>0</v>
      </c>
      <c r="G25" s="422">
        <v>0</v>
      </c>
      <c r="H25" s="422">
        <v>1</v>
      </c>
      <c r="I25" s="44">
        <f t="shared" si="1"/>
        <v>2</v>
      </c>
      <c r="J25" s="434" t="s">
        <v>23</v>
      </c>
      <c r="K25" s="482">
        <f>((D25*$F$11)+(E25*$F$12)+(F25*$F$13)+(G25*$F$14)+(H25*$F$15))/(I25*$F$11)</f>
        <v>0.375</v>
      </c>
    </row>
    <row r="26" spans="2:11" ht="46.5" customHeight="1" thickBot="1" x14ac:dyDescent="0.3">
      <c r="B26" s="486" t="s">
        <v>1062</v>
      </c>
      <c r="C26" s="487" t="s">
        <v>41</v>
      </c>
      <c r="D26" s="483">
        <v>21</v>
      </c>
      <c r="E26" s="425">
        <v>3</v>
      </c>
      <c r="F26" s="425">
        <v>1</v>
      </c>
      <c r="G26" s="425">
        <v>2</v>
      </c>
      <c r="H26" s="425">
        <v>6</v>
      </c>
      <c r="I26" s="461">
        <f t="shared" si="1"/>
        <v>33</v>
      </c>
      <c r="J26" s="481" t="s">
        <v>24</v>
      </c>
      <c r="K26" s="471">
        <f>((D26*$F$11)+(E26*$F$12)+(F26*$F$13)+(G26*$F$14)+(H26*$F$15))/(I26*$F$11)</f>
        <v>0.73484848484848486</v>
      </c>
    </row>
    <row r="27" spans="2:11" x14ac:dyDescent="0.25">
      <c r="D27" s="18">
        <f>SUM(D22:D26)</f>
        <v>33</v>
      </c>
      <c r="E27" s="18">
        <f>SUM(E22:E26)</f>
        <v>5</v>
      </c>
      <c r="F27" s="18">
        <f>SUM(F22:F26)</f>
        <v>1</v>
      </c>
      <c r="G27" s="18">
        <f>SUM(G22:G26)</f>
        <v>2</v>
      </c>
      <c r="H27" s="18">
        <f>SUM(H22:H26)</f>
        <v>7</v>
      </c>
      <c r="J27" s="444"/>
      <c r="K27" s="446"/>
    </row>
    <row r="28" spans="2:11" ht="15.75" thickBot="1" x14ac:dyDescent="0.3">
      <c r="J28" s="444"/>
      <c r="K28" s="446"/>
    </row>
    <row r="29" spans="2:11" ht="26.25" thickBot="1" x14ac:dyDescent="0.3">
      <c r="C29" s="420" t="s">
        <v>1054</v>
      </c>
      <c r="D29" s="466" t="s">
        <v>1055</v>
      </c>
      <c r="E29" s="450" t="s">
        <v>24</v>
      </c>
      <c r="F29" s="451" t="s">
        <v>23</v>
      </c>
      <c r="G29" s="452" t="s">
        <v>22</v>
      </c>
      <c r="H29" s="453" t="s">
        <v>1037</v>
      </c>
      <c r="I29" s="474" t="s">
        <v>1047</v>
      </c>
      <c r="J29" s="475" t="s">
        <v>1057</v>
      </c>
      <c r="K29" s="476" t="s">
        <v>1056</v>
      </c>
    </row>
    <row r="30" spans="2:11" ht="67.5" customHeight="1" x14ac:dyDescent="0.25">
      <c r="C30" s="447" t="s">
        <v>58</v>
      </c>
      <c r="D30" s="463">
        <v>2</v>
      </c>
      <c r="E30" s="464">
        <v>0</v>
      </c>
      <c r="F30" s="464">
        <v>0</v>
      </c>
      <c r="G30" s="464">
        <v>0</v>
      </c>
      <c r="H30" s="465">
        <v>0</v>
      </c>
      <c r="I30" s="492">
        <f>SUM(D30:H30)</f>
        <v>2</v>
      </c>
      <c r="J30" s="493" t="s">
        <v>1055</v>
      </c>
      <c r="K30" s="494">
        <f>((D30*$F$11)+(E30*$F$12)+(F30*$F$13)+(G30*$F$14)+(H30*$F$15))/(I30*$F$11)</f>
        <v>1</v>
      </c>
    </row>
    <row r="31" spans="2:11" ht="42" customHeight="1" x14ac:dyDescent="0.25">
      <c r="C31" s="448" t="s">
        <v>59</v>
      </c>
      <c r="D31" s="421">
        <v>2</v>
      </c>
      <c r="E31" s="422">
        <v>0</v>
      </c>
      <c r="F31" s="422">
        <v>0</v>
      </c>
      <c r="G31" s="422">
        <v>0</v>
      </c>
      <c r="H31" s="423">
        <v>0</v>
      </c>
      <c r="I31" s="459">
        <f t="shared" ref="I31:I38" si="2">SUM(D31:H31)</f>
        <v>2</v>
      </c>
      <c r="J31" s="477" t="s">
        <v>1055</v>
      </c>
      <c r="K31" s="472">
        <f t="shared" ref="K31:K38" si="3">((D31*$F$11)+(E31*$F$12)+(F31*$F$13)+(G31*$F$14)+(H31*$F$15))/(I31*$F$11)</f>
        <v>1</v>
      </c>
    </row>
    <row r="32" spans="2:11" ht="42.75" customHeight="1" x14ac:dyDescent="0.25">
      <c r="C32" s="448" t="s">
        <v>62</v>
      </c>
      <c r="D32" s="421">
        <v>1</v>
      </c>
      <c r="E32" s="422">
        <v>1</v>
      </c>
      <c r="F32" s="422">
        <v>0</v>
      </c>
      <c r="G32" s="422">
        <v>0</v>
      </c>
      <c r="H32" s="423">
        <v>0</v>
      </c>
      <c r="I32" s="459">
        <f t="shared" si="2"/>
        <v>2</v>
      </c>
      <c r="J32" s="490" t="s">
        <v>24</v>
      </c>
      <c r="K32" s="472">
        <f t="shared" si="3"/>
        <v>0.875</v>
      </c>
    </row>
    <row r="33" spans="3:11" ht="45" customHeight="1" x14ac:dyDescent="0.25">
      <c r="C33" s="448" t="s">
        <v>61</v>
      </c>
      <c r="D33" s="421">
        <v>1</v>
      </c>
      <c r="E33" s="422">
        <v>1</v>
      </c>
      <c r="F33" s="422">
        <v>0</v>
      </c>
      <c r="G33" s="422">
        <v>0</v>
      </c>
      <c r="H33" s="423">
        <v>0</v>
      </c>
      <c r="I33" s="459">
        <f t="shared" si="2"/>
        <v>2</v>
      </c>
      <c r="J33" s="490" t="s">
        <v>24</v>
      </c>
      <c r="K33" s="472">
        <f t="shared" si="3"/>
        <v>0.875</v>
      </c>
    </row>
    <row r="34" spans="3:11" ht="54.75" customHeight="1" x14ac:dyDescent="0.25">
      <c r="C34" s="448" t="s">
        <v>87</v>
      </c>
      <c r="D34" s="421">
        <v>8</v>
      </c>
      <c r="E34" s="422">
        <v>2</v>
      </c>
      <c r="F34" s="422">
        <v>0</v>
      </c>
      <c r="G34" s="422">
        <v>2</v>
      </c>
      <c r="H34" s="423">
        <v>1</v>
      </c>
      <c r="I34" s="459">
        <f t="shared" si="2"/>
        <v>13</v>
      </c>
      <c r="J34" s="490" t="s">
        <v>24</v>
      </c>
      <c r="K34" s="472">
        <f t="shared" si="3"/>
        <v>0.76923076923076927</v>
      </c>
    </row>
    <row r="35" spans="3:11" ht="39.75" customHeight="1" x14ac:dyDescent="0.25">
      <c r="C35" s="448" t="s">
        <v>60</v>
      </c>
      <c r="D35" s="421">
        <v>14</v>
      </c>
      <c r="E35" s="422">
        <v>0</v>
      </c>
      <c r="F35" s="422">
        <v>1</v>
      </c>
      <c r="G35" s="422">
        <v>0</v>
      </c>
      <c r="H35" s="423">
        <v>5</v>
      </c>
      <c r="I35" s="459">
        <f t="shared" si="2"/>
        <v>20</v>
      </c>
      <c r="J35" s="490" t="s">
        <v>24</v>
      </c>
      <c r="K35" s="472">
        <f t="shared" si="3"/>
        <v>0.72499999999999998</v>
      </c>
    </row>
    <row r="36" spans="3:11" ht="47.25" customHeight="1" x14ac:dyDescent="0.25">
      <c r="C36" s="448" t="s">
        <v>64</v>
      </c>
      <c r="D36" s="421">
        <v>3</v>
      </c>
      <c r="E36" s="422">
        <v>1</v>
      </c>
      <c r="F36" s="422">
        <v>0</v>
      </c>
      <c r="G36" s="422">
        <v>0</v>
      </c>
      <c r="H36" s="423">
        <v>0</v>
      </c>
      <c r="I36" s="459">
        <f t="shared" si="2"/>
        <v>4</v>
      </c>
      <c r="J36" s="477" t="s">
        <v>1055</v>
      </c>
      <c r="K36" s="472">
        <f t="shared" si="3"/>
        <v>0.9375</v>
      </c>
    </row>
    <row r="37" spans="3:11" ht="55.5" customHeight="1" x14ac:dyDescent="0.25">
      <c r="C37" s="448" t="s">
        <v>63</v>
      </c>
      <c r="D37" s="421">
        <v>0</v>
      </c>
      <c r="E37" s="422">
        <v>0</v>
      </c>
      <c r="F37" s="422">
        <v>0</v>
      </c>
      <c r="G37" s="422">
        <v>0</v>
      </c>
      <c r="H37" s="423">
        <v>1</v>
      </c>
      <c r="I37" s="459">
        <f t="shared" si="2"/>
        <v>1</v>
      </c>
      <c r="J37" s="491" t="s">
        <v>1037</v>
      </c>
      <c r="K37" s="498">
        <f t="shared" si="3"/>
        <v>0</v>
      </c>
    </row>
    <row r="38" spans="3:11" ht="57" customHeight="1" thickBot="1" x14ac:dyDescent="0.3">
      <c r="C38" s="458" t="s">
        <v>804</v>
      </c>
      <c r="D38" s="424">
        <v>2</v>
      </c>
      <c r="E38" s="425">
        <v>0</v>
      </c>
      <c r="F38" s="425">
        <v>0</v>
      </c>
      <c r="G38" s="425">
        <v>0</v>
      </c>
      <c r="H38" s="426">
        <v>0</v>
      </c>
      <c r="I38" s="495">
        <f t="shared" si="2"/>
        <v>2</v>
      </c>
      <c r="J38" s="496" t="s">
        <v>1055</v>
      </c>
      <c r="K38" s="497">
        <f t="shared" si="3"/>
        <v>1</v>
      </c>
    </row>
    <row r="39" spans="3:11" x14ac:dyDescent="0.25">
      <c r="D39" s="18">
        <v>33</v>
      </c>
      <c r="E39" s="18">
        <v>5</v>
      </c>
      <c r="F39" s="18">
        <v>1</v>
      </c>
      <c r="G39" s="18">
        <v>2</v>
      </c>
      <c r="H39" s="18">
        <v>7</v>
      </c>
      <c r="J39" s="444"/>
      <c r="K39" s="446"/>
    </row>
    <row r="40" spans="3:11" x14ac:dyDescent="0.25">
      <c r="J40" s="444"/>
      <c r="K40" s="446"/>
    </row>
    <row r="41" spans="3:11" x14ac:dyDescent="0.25">
      <c r="J41" s="444"/>
      <c r="K41" s="446"/>
    </row>
    <row r="42" spans="3:11" x14ac:dyDescent="0.25">
      <c r="J42" s="444"/>
      <c r="K42" s="446"/>
    </row>
    <row r="43" spans="3:11" x14ac:dyDescent="0.25">
      <c r="J43" s="444"/>
      <c r="K43" s="446"/>
    </row>
    <row r="44" spans="3:11" x14ac:dyDescent="0.25"/>
    <row r="45" spans="3:11" ht="15" customHeight="1" x14ac:dyDescent="0.25"/>
  </sheetData>
  <mergeCells count="1">
    <mergeCell ref="B21:C21"/>
  </mergeCells>
  <phoneticPr fontId="3" type="noConversion"/>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EA0F6-4E06-4D33-AA6E-0035788FED24}">
  <dimension ref="A1:T68"/>
  <sheetViews>
    <sheetView showGridLines="0" view="pageBreakPreview" zoomScale="85" zoomScaleNormal="85" zoomScaleSheetLayoutView="85" workbookViewId="0"/>
  </sheetViews>
  <sheetFormatPr baseColWidth="10" defaultColWidth="0" defaultRowHeight="0" customHeight="1" zeroHeight="1" x14ac:dyDescent="0.25"/>
  <cols>
    <col min="1" max="1" width="2.5703125" customWidth="1"/>
    <col min="2" max="2" width="5" customWidth="1"/>
    <col min="3" max="3" width="42.7109375" customWidth="1"/>
    <col min="4" max="7" width="13" customWidth="1"/>
    <col min="8" max="8" width="13.42578125" hidden="1" customWidth="1"/>
    <col min="9" max="9" width="6" customWidth="1"/>
    <col min="10" max="10" width="20.7109375" customWidth="1"/>
    <col min="11" max="11" width="10.42578125" customWidth="1"/>
    <col min="12" max="12" width="5.85546875" customWidth="1"/>
    <col min="13" max="13" width="11.42578125" customWidth="1"/>
    <col min="14" max="14" width="17.5703125" customWidth="1"/>
    <col min="15" max="17" width="11.42578125" customWidth="1"/>
    <col min="18" max="18" width="11.42578125" hidden="1" customWidth="1"/>
    <col min="19" max="20" width="0" hidden="1" customWidth="1"/>
    <col min="21" max="16384" width="11.42578125" hidden="1"/>
  </cols>
  <sheetData>
    <row r="1" spans="2:11" ht="7.5" customHeight="1" thickBot="1" x14ac:dyDescent="0.3"/>
    <row r="2" spans="2:11" ht="18.75" customHeight="1" thickBot="1" x14ac:dyDescent="0.3">
      <c r="B2" s="836" t="s">
        <v>1210</v>
      </c>
      <c r="C2" s="837"/>
      <c r="D2" s="837"/>
      <c r="E2" s="837"/>
      <c r="F2" s="837"/>
      <c r="G2" s="838"/>
    </row>
    <row r="3" spans="2:11" ht="34.5" customHeight="1" thickBot="1" x14ac:dyDescent="0.3">
      <c r="B3" s="849" t="s">
        <v>10</v>
      </c>
      <c r="C3" s="850"/>
      <c r="D3" s="466" t="s">
        <v>1055</v>
      </c>
      <c r="E3" s="450" t="s">
        <v>24</v>
      </c>
      <c r="F3" s="451" t="s">
        <v>23</v>
      </c>
      <c r="G3" s="547" t="s">
        <v>22</v>
      </c>
      <c r="H3" s="545" t="s">
        <v>1159</v>
      </c>
    </row>
    <row r="4" spans="2:11" ht="17.25" customHeight="1" x14ac:dyDescent="0.25">
      <c r="B4" s="851" t="s">
        <v>1132</v>
      </c>
      <c r="C4" s="852"/>
      <c r="D4" s="841">
        <f>COUNTIFS('Matriz de Seguimiento'!$AB$6:$AB$53,'Gráficos y Tablas'!$B4,'Matriz de Seguimiento'!$AR$6:$AR$53,'Gráficos y Tablas'!D$3)</f>
        <v>12</v>
      </c>
      <c r="E4" s="842">
        <f>COUNTIFS('Matriz de Seguimiento'!$AB$6:$AB$53,'Gráficos y Tablas'!$B4,'Matriz de Seguimiento'!$AR$6:$AR$53,'Gráficos y Tablas'!E$3)</f>
        <v>0</v>
      </c>
      <c r="F4" s="842">
        <f>COUNTIFS('Matriz de Seguimiento'!$AB$6:$AB$53,'Gráficos y Tablas'!$B4,'Matriz de Seguimiento'!$AR$6:$AR$53,'Gráficos y Tablas'!F$3)</f>
        <v>0</v>
      </c>
      <c r="G4" s="843">
        <f>COUNTIFS('Matriz de Seguimiento'!$AB$6:$AB$53,'Gráficos y Tablas'!$B4,'Matriz de Seguimiento'!$AR$6:$AR$53,'Gráficos y Tablas'!G$3)</f>
        <v>0</v>
      </c>
      <c r="H4" s="844">
        <f>COUNTIFS('Matriz de Seguimiento'!$AB$6:$AB$53,'Gráficos y Tablas'!$B4,'Matriz de Seguimiento'!$AR$6:$AR$53,'Gráficos y Tablas'!H$3)</f>
        <v>0</v>
      </c>
    </row>
    <row r="5" spans="2:11" ht="32.25" customHeight="1" x14ac:dyDescent="0.25">
      <c r="B5" s="845" t="s">
        <v>1125</v>
      </c>
      <c r="C5" s="846"/>
      <c r="D5" s="841"/>
      <c r="E5" s="842"/>
      <c r="F5" s="842"/>
      <c r="G5" s="843"/>
      <c r="H5" s="844"/>
    </row>
    <row r="6" spans="2:11" ht="17.25" customHeight="1" x14ac:dyDescent="0.25">
      <c r="B6" s="853" t="s">
        <v>1124</v>
      </c>
      <c r="C6" s="854"/>
      <c r="D6" s="841">
        <f>COUNTIFS('Matriz de Seguimiento'!$AB$6:$AB$53,'Gráficos y Tablas'!$B6,'Matriz de Seguimiento'!$AR$6:$AR$53,'Gráficos y Tablas'!D$3)</f>
        <v>2</v>
      </c>
      <c r="E6" s="842">
        <f>COUNTIFS('Matriz de Seguimiento'!$AB$6:$AB$53,'Gráficos y Tablas'!$B6,'Matriz de Seguimiento'!$AR$6:$AR$53,'Gráficos y Tablas'!E$3)</f>
        <v>3</v>
      </c>
      <c r="F6" s="842">
        <f>COUNTIFS('Matriz de Seguimiento'!$AB$6:$AB$53,'Gráficos y Tablas'!$B6,'Matriz de Seguimiento'!$AR$6:$AR$53,'Gráficos y Tablas'!F$3)</f>
        <v>0</v>
      </c>
      <c r="G6" s="843">
        <f>COUNTIFS('Matriz de Seguimiento'!$AB$6:$AB$53,'Gráficos y Tablas'!$B6,'Matriz de Seguimiento'!$AR$6:$AR$53,'Gráficos y Tablas'!G$3)</f>
        <v>0</v>
      </c>
      <c r="H6" s="844">
        <f>COUNTIFS('Matriz de Seguimiento'!$AB$6:$AB$53,'Gráficos y Tablas'!$B6,'Matriz de Seguimiento'!$AR$6:$AR$53,'Gráficos y Tablas'!H$3)</f>
        <v>0</v>
      </c>
    </row>
    <row r="7" spans="2:11" ht="32.25" customHeight="1" x14ac:dyDescent="0.25">
      <c r="B7" s="847" t="s">
        <v>1126</v>
      </c>
      <c r="C7" s="848"/>
      <c r="D7" s="841"/>
      <c r="E7" s="842"/>
      <c r="F7" s="842"/>
      <c r="G7" s="843"/>
      <c r="H7" s="844"/>
    </row>
    <row r="8" spans="2:11" ht="17.25" customHeight="1" x14ac:dyDescent="0.25">
      <c r="B8" s="853" t="s">
        <v>1127</v>
      </c>
      <c r="C8" s="855"/>
      <c r="D8" s="841">
        <f>COUNTIFS('Matriz de Seguimiento'!$AB$6:$AB$53,'Gráficos y Tablas'!$B8,'Matriz de Seguimiento'!$AR$6:$AR$53,'Gráficos y Tablas'!D$3)</f>
        <v>3</v>
      </c>
      <c r="E8" s="842">
        <f>COUNTIFS('Matriz de Seguimiento'!$AB$6:$AB$53,'Gráficos y Tablas'!$B8,'Matriz de Seguimiento'!$AR$6:$AR$53,'Gráficos y Tablas'!E$3)</f>
        <v>1</v>
      </c>
      <c r="F8" s="842">
        <f>COUNTIFS('Matriz de Seguimiento'!$AB$6:$AB$53,'Gráficos y Tablas'!$B8,'Matriz de Seguimiento'!$AR$6:$AR$53,'Gráficos y Tablas'!F$3)</f>
        <v>0</v>
      </c>
      <c r="G8" s="843">
        <f>COUNTIFS('Matriz de Seguimiento'!$AB$6:$AB$53,'Gráficos y Tablas'!$B8,'Matriz de Seguimiento'!$AR$6:$AR$53,'Gráficos y Tablas'!G$3)</f>
        <v>1</v>
      </c>
      <c r="H8" s="844">
        <f>COUNTIFS('Matriz de Seguimiento'!$AB$6:$AB$53,'Gráficos y Tablas'!$B8,'Matriz de Seguimiento'!$AR$6:$AR$53,'Gráficos y Tablas'!H$3)</f>
        <v>0</v>
      </c>
    </row>
    <row r="9" spans="2:11" ht="32.25" customHeight="1" x14ac:dyDescent="0.25">
      <c r="B9" s="845" t="s">
        <v>1135</v>
      </c>
      <c r="C9" s="846"/>
      <c r="D9" s="841"/>
      <c r="E9" s="842"/>
      <c r="F9" s="842"/>
      <c r="G9" s="843"/>
      <c r="H9" s="844"/>
    </row>
    <row r="10" spans="2:11" ht="17.25" customHeight="1" x14ac:dyDescent="0.25">
      <c r="B10" s="853" t="s">
        <v>1128</v>
      </c>
      <c r="C10" s="855"/>
      <c r="D10" s="841">
        <f>COUNTIFS('Matriz de Seguimiento'!$AB$6:$AB$53,'Gráficos y Tablas'!$B10,'Matriz de Seguimiento'!$AR$6:$AR$53,'Gráficos y Tablas'!D$3)</f>
        <v>13</v>
      </c>
      <c r="E10" s="842">
        <f>COUNTIFS('Matriz de Seguimiento'!$AB$6:$AB$53,'Gráficos y Tablas'!$B10,'Matriz de Seguimiento'!$AR$6:$AR$53,'Gráficos y Tablas'!E$3)</f>
        <v>0</v>
      </c>
      <c r="F10" s="842">
        <f>COUNTIFS('Matriz de Seguimiento'!$AB$6:$AB$53,'Gráficos y Tablas'!$B10,'Matriz de Seguimiento'!$AR$6:$AR$53,'Gráficos y Tablas'!F$3)</f>
        <v>0</v>
      </c>
      <c r="G10" s="843">
        <f>COUNTIFS('Matriz de Seguimiento'!$AB$6:$AB$53,'Gráficos y Tablas'!$B10,'Matriz de Seguimiento'!$AR$6:$AR$53,'Gráficos y Tablas'!G$3)</f>
        <v>0</v>
      </c>
      <c r="H10" s="844">
        <f>COUNTIFS('Matriz de Seguimiento'!$AB$6:$AB$53,'Gráficos y Tablas'!$B10,'Matriz de Seguimiento'!$AR$6:$AR$53,'Gráficos y Tablas'!H$3)</f>
        <v>0</v>
      </c>
    </row>
    <row r="11" spans="2:11" ht="32.25" customHeight="1" x14ac:dyDescent="0.25">
      <c r="B11" s="845" t="s">
        <v>1129</v>
      </c>
      <c r="C11" s="846"/>
      <c r="D11" s="841"/>
      <c r="E11" s="842"/>
      <c r="F11" s="842"/>
      <c r="G11" s="843"/>
      <c r="H11" s="844"/>
    </row>
    <row r="12" spans="2:11" ht="17.25" customHeight="1" x14ac:dyDescent="0.25">
      <c r="B12" s="853" t="s">
        <v>1130</v>
      </c>
      <c r="C12" s="855"/>
      <c r="D12" s="841">
        <f>COUNTIFS('Matriz de Seguimiento'!$AB$6:$AB$53,'Gráficos y Tablas'!$B12,'Matriz de Seguimiento'!$AR$6:$AR$53,'Gráficos y Tablas'!D$3)</f>
        <v>3</v>
      </c>
      <c r="E12" s="842">
        <f>COUNTIFS('Matriz de Seguimiento'!$AB$6:$AB$53,'Gráficos y Tablas'!$B12,'Matriz de Seguimiento'!$AR$6:$AR$53,'Gráficos y Tablas'!E$3)</f>
        <v>1</v>
      </c>
      <c r="F12" s="842">
        <f>COUNTIFS('Matriz de Seguimiento'!$AB$6:$AB$53,'Gráficos y Tablas'!$B12,'Matriz de Seguimiento'!$AR$6:$AR$53,'Gráficos y Tablas'!F$3)</f>
        <v>1</v>
      </c>
      <c r="G12" s="843">
        <f>COUNTIFS('Matriz de Seguimiento'!$AB$6:$AB$53,'Gráficos y Tablas'!$B12,'Matriz de Seguimiento'!$AR$6:$AR$53,'Gráficos y Tablas'!G$3)</f>
        <v>1</v>
      </c>
      <c r="H12" s="844">
        <f>COUNTIFS('Matriz de Seguimiento'!$AB$6:$AB$53,'Gráficos y Tablas'!$B12,'Matriz de Seguimiento'!$AR$6:$AR$53,'Gráficos y Tablas'!H$3)</f>
        <v>0</v>
      </c>
    </row>
    <row r="13" spans="2:11" ht="32.25" customHeight="1" x14ac:dyDescent="0.25">
      <c r="B13" s="845" t="s">
        <v>1131</v>
      </c>
      <c r="C13" s="846"/>
      <c r="D13" s="841"/>
      <c r="E13" s="842"/>
      <c r="F13" s="842"/>
      <c r="G13" s="843"/>
      <c r="H13" s="844"/>
    </row>
    <row r="14" spans="2:11" ht="30.75" customHeight="1" thickBot="1" x14ac:dyDescent="0.3">
      <c r="B14" s="856" t="s">
        <v>649</v>
      </c>
      <c r="C14" s="857"/>
      <c r="D14" s="424">
        <f>COUNTIFS('Matriz de Seguimiento'!$AB$6:$AB$53,'Gráficos y Tablas'!$B14,'Matriz de Seguimiento'!$AR$6:$AR$53,'Gráficos y Tablas'!D$3)</f>
        <v>5</v>
      </c>
      <c r="E14" s="425">
        <f>COUNTIFS('Matriz de Seguimiento'!$AB$6:$AB$53,'Gráficos y Tablas'!$B14,'Matriz de Seguimiento'!$AR$6:$AR$53,'Gráficos y Tablas'!E$3)</f>
        <v>0</v>
      </c>
      <c r="F14" s="425">
        <f>COUNTIFS('Matriz de Seguimiento'!$AB$6:$AB$53,'Gráficos y Tablas'!$B14,'Matriz de Seguimiento'!$AR$6:$AR$53,'Gráficos y Tablas'!F$3)</f>
        <v>1</v>
      </c>
      <c r="G14" s="426">
        <f>COUNTIFS('Matriz de Seguimiento'!$AB$6:$AB$53,'Gráficos y Tablas'!$B14,'Matriz de Seguimiento'!$AR$6:$AR$53,'Gráficos y Tablas'!G$3)</f>
        <v>0</v>
      </c>
      <c r="H14" s="546">
        <f>COUNTIFS('Matriz de Seguimiento'!$AB$6:$AB$53,'Gráficos y Tablas'!$B14,'Matriz de Seguimiento'!$AR$6:$AR$53,'Gráficos y Tablas'!H$3)</f>
        <v>0</v>
      </c>
    </row>
    <row r="15" spans="2:11" ht="15.75" thickBot="1" x14ac:dyDescent="0.3"/>
    <row r="16" spans="2:11" ht="15" x14ac:dyDescent="0.25">
      <c r="B16" s="858">
        <f>G22/(D22*F17)</f>
        <v>0.92021276595744683</v>
      </c>
      <c r="C16" s="859"/>
      <c r="D16" s="548" t="s">
        <v>1043</v>
      </c>
      <c r="E16" s="548" t="s">
        <v>1044</v>
      </c>
      <c r="F16" s="549" t="s">
        <v>662</v>
      </c>
      <c r="G16" s="550" t="s">
        <v>1045</v>
      </c>
      <c r="J16" s="430" t="s">
        <v>1046</v>
      </c>
      <c r="K16" s="431">
        <v>0.3</v>
      </c>
    </row>
    <row r="17" spans="2:11" ht="15" x14ac:dyDescent="0.25">
      <c r="B17" s="860" t="s">
        <v>1063</v>
      </c>
      <c r="C17" s="861"/>
      <c r="D17" s="428">
        <f>SUM(D4:D14)</f>
        <v>38</v>
      </c>
      <c r="E17" s="433">
        <f>D17/$D$22</f>
        <v>0.80851063829787229</v>
      </c>
      <c r="F17" s="44">
        <v>4</v>
      </c>
      <c r="G17" s="551">
        <f>D17*F17</f>
        <v>152</v>
      </c>
      <c r="J17" s="434" t="s">
        <v>23</v>
      </c>
      <c r="K17" s="431">
        <v>0.3</v>
      </c>
    </row>
    <row r="18" spans="2:11" ht="15" x14ac:dyDescent="0.25">
      <c r="B18" s="862" t="s">
        <v>1064</v>
      </c>
      <c r="C18" s="863"/>
      <c r="D18" s="428">
        <f>SUM(E4:E14)</f>
        <v>5</v>
      </c>
      <c r="E18" s="433">
        <f t="shared" ref="E18:E21" si="0">D18/$D$22</f>
        <v>0.10638297872340426</v>
      </c>
      <c r="F18" s="44">
        <v>3</v>
      </c>
      <c r="G18" s="551">
        <f>D18*F18</f>
        <v>15</v>
      </c>
      <c r="J18" s="436" t="s">
        <v>24</v>
      </c>
      <c r="K18" s="431">
        <v>0.3</v>
      </c>
    </row>
    <row r="19" spans="2:11" ht="15" x14ac:dyDescent="0.25">
      <c r="B19" s="864" t="s">
        <v>1065</v>
      </c>
      <c r="C19" s="865"/>
      <c r="D19" s="428">
        <f>SUM(F4:F14)</f>
        <v>2</v>
      </c>
      <c r="E19" s="433">
        <f t="shared" si="0"/>
        <v>4.2553191489361701E-2</v>
      </c>
      <c r="F19" s="44">
        <v>2</v>
      </c>
      <c r="G19" s="551">
        <f>D19*F19</f>
        <v>4</v>
      </c>
      <c r="J19" s="438" t="s">
        <v>25</v>
      </c>
      <c r="K19" s="431">
        <v>0.1</v>
      </c>
    </row>
    <row r="20" spans="2:11" ht="15.75" thickBot="1" x14ac:dyDescent="0.3">
      <c r="B20" s="866" t="s">
        <v>1066</v>
      </c>
      <c r="C20" s="867"/>
      <c r="D20" s="552">
        <f>SUM(G4:G14)</f>
        <v>2</v>
      </c>
      <c r="E20" s="553">
        <f t="shared" si="0"/>
        <v>4.2553191489361701E-2</v>
      </c>
      <c r="F20" s="461">
        <v>1</v>
      </c>
      <c r="G20" s="554">
        <f>D20*F20</f>
        <v>2</v>
      </c>
      <c r="J20" s="428" t="s">
        <v>1047</v>
      </c>
      <c r="K20" s="440">
        <f>SUM(K16:K19)</f>
        <v>0.99999999999999989</v>
      </c>
    </row>
    <row r="21" spans="2:11" ht="15.75" hidden="1" thickBot="1" x14ac:dyDescent="0.3">
      <c r="B21" s="868" t="s">
        <v>1159</v>
      </c>
      <c r="C21" s="869"/>
      <c r="D21" s="558">
        <f>SUM(H4:H14)</f>
        <v>0</v>
      </c>
      <c r="E21" s="559">
        <f t="shared" si="0"/>
        <v>0</v>
      </c>
      <c r="F21" s="560">
        <v>0</v>
      </c>
      <c r="G21" s="561">
        <f>D21*F21</f>
        <v>0</v>
      </c>
      <c r="J21" s="467"/>
      <c r="K21" s="468"/>
    </row>
    <row r="22" spans="2:11" ht="15" x14ac:dyDescent="0.25">
      <c r="B22" s="870" t="s">
        <v>1047</v>
      </c>
      <c r="C22" s="870"/>
      <c r="D22" s="442">
        <f>SUM(D17:D21)</f>
        <v>47</v>
      </c>
      <c r="E22" s="443"/>
      <c r="F22" s="36"/>
      <c r="G22" s="442">
        <f>SUM(G17:G21)</f>
        <v>173</v>
      </c>
      <c r="J22" s="444" t="s">
        <v>1048</v>
      </c>
      <c r="K22" s="499">
        <f>B16</f>
        <v>0.92021276595744683</v>
      </c>
    </row>
    <row r="23" spans="2:11" ht="15" x14ac:dyDescent="0.25">
      <c r="J23" s="444" t="s">
        <v>1050</v>
      </c>
      <c r="K23" s="446">
        <f>K22-K24/2</f>
        <v>0.91021276595744682</v>
      </c>
    </row>
    <row r="24" spans="2:11" ht="15" x14ac:dyDescent="0.25">
      <c r="B24" s="871" t="s">
        <v>1049</v>
      </c>
      <c r="C24" s="871"/>
      <c r="D24" s="509">
        <f>B16</f>
        <v>0.92021276595744683</v>
      </c>
      <c r="J24" s="444" t="s">
        <v>1051</v>
      </c>
      <c r="K24" s="500">
        <v>0.02</v>
      </c>
    </row>
    <row r="25" spans="2:11" ht="15.75" thickBot="1" x14ac:dyDescent="0.3">
      <c r="C25" s="442"/>
      <c r="D25" s="445"/>
      <c r="J25" s="444" t="s">
        <v>1052</v>
      </c>
      <c r="K25" s="446">
        <f>SUM(K16:K20)-K23-K24</f>
        <v>1.0697872340425529</v>
      </c>
    </row>
    <row r="26" spans="2:11" ht="18.75" customHeight="1" thickBot="1" x14ac:dyDescent="0.3">
      <c r="B26" s="836" t="s">
        <v>1209</v>
      </c>
      <c r="C26" s="837"/>
      <c r="D26" s="837"/>
      <c r="E26" s="837"/>
      <c r="F26" s="837"/>
      <c r="G26" s="837"/>
      <c r="H26" s="837"/>
      <c r="I26" s="837"/>
      <c r="J26" s="837"/>
      <c r="K26" s="838"/>
    </row>
    <row r="27" spans="2:11" ht="26.25" thickBot="1" x14ac:dyDescent="0.3">
      <c r="B27" s="839" t="s">
        <v>1</v>
      </c>
      <c r="C27" s="840"/>
      <c r="D27" s="515" t="s">
        <v>1055</v>
      </c>
      <c r="E27" s="501" t="s">
        <v>24</v>
      </c>
      <c r="F27" s="502" t="s">
        <v>23</v>
      </c>
      <c r="G27" s="503" t="s">
        <v>22</v>
      </c>
      <c r="H27" s="516" t="s">
        <v>1159</v>
      </c>
      <c r="I27" s="529" t="s">
        <v>1047</v>
      </c>
      <c r="J27" s="528" t="s">
        <v>1057</v>
      </c>
      <c r="K27" s="476" t="s">
        <v>1056</v>
      </c>
    </row>
    <row r="28" spans="2:11" ht="58.5" customHeight="1" x14ac:dyDescent="0.25">
      <c r="B28" s="506" t="s">
        <v>1058</v>
      </c>
      <c r="C28" s="517" t="s">
        <v>37</v>
      </c>
      <c r="D28" s="463">
        <f>COUNTIFS('Matriz de Seguimiento'!$F$6:$F$53,'Gráficos y Tablas'!$C28,'Matriz de Seguimiento'!$AR$6:$AR$53,'Gráficos y Tablas'!D$27)</f>
        <v>4</v>
      </c>
      <c r="E28" s="464">
        <f>COUNTIFS('Matriz de Seguimiento'!$F$6:$F$53,'Gráficos y Tablas'!$C28,'Matriz de Seguimiento'!$AR$6:$AR$53,'Gráficos y Tablas'!E$27)</f>
        <v>1</v>
      </c>
      <c r="F28" s="464">
        <f>COUNTIFS('Matriz de Seguimiento'!$F$6:$F$53,'Gráficos y Tablas'!$C28,'Matriz de Seguimiento'!$AR$6:$AR$53,'Gráficos y Tablas'!F$27)</f>
        <v>0</v>
      </c>
      <c r="G28" s="464">
        <f>COUNTIFS('Matriz de Seguimiento'!$F$6:$F$53,'Gráficos y Tablas'!$C28,'Matriz de Seguimiento'!$AR$6:$AR$53,'Gráficos y Tablas'!G$27)</f>
        <v>0</v>
      </c>
      <c r="H28" s="465">
        <f>COUNTIFS('Matriz de Seguimiento'!$F$6:$F$53,'Gráficos y Tablas'!$C28,'Matriz de Seguimiento'!$AR$6:$AR$53,'Gráficos y Tablas'!H$27)</f>
        <v>0</v>
      </c>
      <c r="I28" s="530">
        <f>SUM(D28:H28)</f>
        <v>5</v>
      </c>
      <c r="J28" s="466" t="s">
        <v>1055</v>
      </c>
      <c r="K28" s="536">
        <f>((D28*$F$17)+(E28*$F$18)+(F28*$F$19)+(G28*$F$20)+(H28*$F$21))/(I28*$F$17)</f>
        <v>0.95</v>
      </c>
    </row>
    <row r="29" spans="2:11" ht="77.25" customHeight="1" x14ac:dyDescent="0.25">
      <c r="B29" s="507" t="s">
        <v>1059</v>
      </c>
      <c r="C29" s="518" t="s">
        <v>38</v>
      </c>
      <c r="D29" s="421">
        <f>COUNTIFS('Matriz de Seguimiento'!$F$6:$F$53,'Gráficos y Tablas'!$C29,'Matriz de Seguimiento'!$AR$6:$AR$53,'Gráficos y Tablas'!D$27)</f>
        <v>1</v>
      </c>
      <c r="E29" s="422">
        <f>COUNTIFS('Matriz de Seguimiento'!$F$6:$F$53,'Gráficos y Tablas'!$C29,'Matriz de Seguimiento'!$AR$6:$AR$53,'Gráficos y Tablas'!E$27)</f>
        <v>1</v>
      </c>
      <c r="F29" s="422">
        <f>COUNTIFS('Matriz de Seguimiento'!$F$6:$F$53,'Gráficos y Tablas'!$C29,'Matriz de Seguimiento'!$AR$6:$AR$53,'Gráficos y Tablas'!F$27)</f>
        <v>0</v>
      </c>
      <c r="G29" s="422">
        <f>COUNTIFS('Matriz de Seguimiento'!$F$6:$F$53,'Gráficos y Tablas'!$C29,'Matriz de Seguimiento'!$AR$6:$AR$53,'Gráficos y Tablas'!G$27)</f>
        <v>0</v>
      </c>
      <c r="H29" s="423">
        <f>COUNTIFS('Matriz de Seguimiento'!$F$6:$F$53,'Gráficos y Tablas'!$C29,'Matriz de Seguimiento'!$AR$6:$AR$53,'Gráficos y Tablas'!H$27)</f>
        <v>0</v>
      </c>
      <c r="I29" s="531">
        <f>SUM(D29:H29)</f>
        <v>2</v>
      </c>
      <c r="J29" s="538" t="s">
        <v>24</v>
      </c>
      <c r="K29" s="527">
        <f t="shared" ref="K29:K32" si="1">((D29*$F$17)+(E29*$F$18)+(F29*$F$19)+(G29*$F$20)+(H29*$F$21))/(I29*$F$17)</f>
        <v>0.875</v>
      </c>
    </row>
    <row r="30" spans="2:11" ht="43.5" customHeight="1" x14ac:dyDescent="0.25">
      <c r="B30" s="507" t="s">
        <v>1060</v>
      </c>
      <c r="C30" s="518" t="s">
        <v>39</v>
      </c>
      <c r="D30" s="421">
        <f>COUNTIFS('Matriz de Seguimiento'!$F$6:$F$53,'Gráficos y Tablas'!$C30,'Matriz de Seguimiento'!$AR$6:$AR$53,'Gráficos y Tablas'!D$27)</f>
        <v>4</v>
      </c>
      <c r="E30" s="422">
        <f>COUNTIFS('Matriz de Seguimiento'!$F$6:$F$53,'Gráficos y Tablas'!$C30,'Matriz de Seguimiento'!$AR$6:$AR$53,'Gráficos y Tablas'!E$27)</f>
        <v>1</v>
      </c>
      <c r="F30" s="422">
        <f>COUNTIFS('Matriz de Seguimiento'!$F$6:$F$53,'Gráficos y Tablas'!$C30,'Matriz de Seguimiento'!$AR$6:$AR$53,'Gráficos y Tablas'!F$27)</f>
        <v>0</v>
      </c>
      <c r="G30" s="422">
        <f>COUNTIFS('Matriz de Seguimiento'!$F$6:$F$53,'Gráficos y Tablas'!$C30,'Matriz de Seguimiento'!$AR$6:$AR$53,'Gráficos y Tablas'!G$27)</f>
        <v>0</v>
      </c>
      <c r="H30" s="423">
        <f>COUNTIFS('Matriz de Seguimiento'!$F$6:$F$53,'Gráficos y Tablas'!$C30,'Matriz de Seguimiento'!$AR$6:$AR$53,'Gráficos y Tablas'!H$27)</f>
        <v>0</v>
      </c>
      <c r="I30" s="531">
        <f>SUM(D30:H30)</f>
        <v>5</v>
      </c>
      <c r="J30" s="534" t="s">
        <v>1055</v>
      </c>
      <c r="K30" s="542">
        <f t="shared" si="1"/>
        <v>0.95</v>
      </c>
    </row>
    <row r="31" spans="2:11" ht="43.5" customHeight="1" x14ac:dyDescent="0.25">
      <c r="B31" s="507" t="s">
        <v>1061</v>
      </c>
      <c r="C31" s="518" t="s">
        <v>40</v>
      </c>
      <c r="D31" s="421">
        <f>COUNTIFS('Matriz de Seguimiento'!$F$6:$F$53,'Gráficos y Tablas'!$C31,'Matriz de Seguimiento'!$AR$6:$AR$53,'Gráficos y Tablas'!D$27)</f>
        <v>2</v>
      </c>
      <c r="E31" s="422">
        <f>COUNTIFS('Matriz de Seguimiento'!$F$6:$F$53,'Gráficos y Tablas'!$C31,'Matriz de Seguimiento'!$AR$6:$AR$53,'Gráficos y Tablas'!E$27)</f>
        <v>0</v>
      </c>
      <c r="F31" s="422">
        <f>COUNTIFS('Matriz de Seguimiento'!$F$6:$F$53,'Gráficos y Tablas'!$C31,'Matriz de Seguimiento'!$AR$6:$AR$53,'Gráficos y Tablas'!F$27)</f>
        <v>0</v>
      </c>
      <c r="G31" s="422">
        <f>COUNTIFS('Matriz de Seguimiento'!$F$6:$F$53,'Gráficos y Tablas'!$C31,'Matriz de Seguimiento'!$AR$6:$AR$53,'Gráficos y Tablas'!G$27)</f>
        <v>0</v>
      </c>
      <c r="H31" s="423">
        <f>COUNTIFS('Matriz de Seguimiento'!$F$6:$F$53,'Gráficos y Tablas'!$C31,'Matriz de Seguimiento'!$AR$6:$AR$53,'Gráficos y Tablas'!H$27)</f>
        <v>0</v>
      </c>
      <c r="I31" s="531">
        <f>SUM(D31:H31)</f>
        <v>2</v>
      </c>
      <c r="J31" s="534" t="s">
        <v>1055</v>
      </c>
      <c r="K31" s="542">
        <f t="shared" si="1"/>
        <v>1</v>
      </c>
    </row>
    <row r="32" spans="2:11" ht="46.5" customHeight="1" thickBot="1" x14ac:dyDescent="0.3">
      <c r="B32" s="508" t="s">
        <v>1062</v>
      </c>
      <c r="C32" s="519" t="s">
        <v>41</v>
      </c>
      <c r="D32" s="424">
        <f>COUNTIFS('Matriz de Seguimiento'!$F$6:$F$53,'Gráficos y Tablas'!$C32,'Matriz de Seguimiento'!$AR$6:$AR$53,'Gráficos y Tablas'!D$27)</f>
        <v>27</v>
      </c>
      <c r="E32" s="425">
        <f>COUNTIFS('Matriz de Seguimiento'!$F$6:$F$53,'Gráficos y Tablas'!$C32,'Matriz de Seguimiento'!$AR$6:$AR$53,'Gráficos y Tablas'!E$27)</f>
        <v>2</v>
      </c>
      <c r="F32" s="425">
        <f>COUNTIFS('Matriz de Seguimiento'!$F$6:$F$53,'Gráficos y Tablas'!$C32,'Matriz de Seguimiento'!$AR$6:$AR$53,'Gráficos y Tablas'!F$27)</f>
        <v>2</v>
      </c>
      <c r="G32" s="425">
        <f>COUNTIFS('Matriz de Seguimiento'!$F$6:$F$53,'Gráficos y Tablas'!$C32,'Matriz de Seguimiento'!$AR$6:$AR$53,'Gráficos y Tablas'!G$27)</f>
        <v>2</v>
      </c>
      <c r="H32" s="426">
        <f>COUNTIFS('Matriz de Seguimiento'!$F$6:$F$53,'Gráficos y Tablas'!$C32,'Matriz de Seguimiento'!$AR$6:$AR$53,'Gráficos y Tablas'!H$27)</f>
        <v>0</v>
      </c>
      <c r="I32" s="532">
        <f>SUM(D32:H32)</f>
        <v>33</v>
      </c>
      <c r="J32" s="535" t="s">
        <v>1055</v>
      </c>
      <c r="K32" s="543">
        <f t="shared" si="1"/>
        <v>0.90909090909090906</v>
      </c>
    </row>
    <row r="33" spans="2:11" ht="15" x14ac:dyDescent="0.25">
      <c r="D33" s="18"/>
      <c r="E33" s="18"/>
      <c r="F33" s="18"/>
      <c r="G33" s="18"/>
      <c r="H33" s="18"/>
      <c r="J33" s="444"/>
      <c r="K33" s="446"/>
    </row>
    <row r="34" spans="2:11" ht="15.75" thickBot="1" x14ac:dyDescent="0.3">
      <c r="J34" s="444"/>
      <c r="K34" s="446"/>
    </row>
    <row r="35" spans="2:11" ht="18.75" customHeight="1" thickBot="1" x14ac:dyDescent="0.3">
      <c r="B35" s="836" t="s">
        <v>1211</v>
      </c>
      <c r="C35" s="837"/>
      <c r="D35" s="837"/>
      <c r="E35" s="837"/>
      <c r="F35" s="837"/>
      <c r="G35" s="837"/>
      <c r="H35" s="837"/>
      <c r="I35" s="837"/>
      <c r="J35" s="837"/>
      <c r="K35" s="838"/>
    </row>
    <row r="36" spans="2:11" ht="30.75" customHeight="1" thickBot="1" x14ac:dyDescent="0.3">
      <c r="B36" s="839" t="s">
        <v>1054</v>
      </c>
      <c r="C36" s="840"/>
      <c r="D36" s="515" t="s">
        <v>1055</v>
      </c>
      <c r="E36" s="501" t="s">
        <v>24</v>
      </c>
      <c r="F36" s="502" t="s">
        <v>23</v>
      </c>
      <c r="G36" s="503" t="s">
        <v>22</v>
      </c>
      <c r="H36" s="523" t="s">
        <v>1159</v>
      </c>
      <c r="I36" s="529" t="s">
        <v>1047</v>
      </c>
      <c r="J36" s="528" t="s">
        <v>1057</v>
      </c>
      <c r="K36" s="476" t="s">
        <v>1056</v>
      </c>
    </row>
    <row r="37" spans="2:11" ht="63" customHeight="1" x14ac:dyDescent="0.25">
      <c r="B37" s="834" t="s">
        <v>58</v>
      </c>
      <c r="C37" s="835"/>
      <c r="D37" s="463">
        <f>COUNTIFS('Matriz de Seguimiento'!$G$6:$G$53,'Gráficos y Tablas'!$B37,'Matriz de Seguimiento'!$AR$6:$AR$53,'Gráficos y Tablas'!D$36)</f>
        <v>1</v>
      </c>
      <c r="E37" s="464">
        <f>COUNTIFS('Matriz de Seguimiento'!$G$6:$G$53,'Gráficos y Tablas'!$B37,'Matriz de Seguimiento'!$AR$6:$AR$53,'Gráficos y Tablas'!E$36)</f>
        <v>1</v>
      </c>
      <c r="F37" s="464">
        <f>COUNTIFS('Matriz de Seguimiento'!$G$6:$G$53,'Gráficos y Tablas'!$B37,'Matriz de Seguimiento'!$AR$6:$AR$53,'Gráficos y Tablas'!F$36)</f>
        <v>0</v>
      </c>
      <c r="G37" s="464">
        <f>COUNTIFS('Matriz de Seguimiento'!$G$6:$G$53,'Gráficos y Tablas'!$B37,'Matriz de Seguimiento'!$AR$6:$AR$53,'Gráficos y Tablas'!G$36)</f>
        <v>0</v>
      </c>
      <c r="H37" s="524">
        <f>COUNTIFS('Matriz de Seguimiento'!$G$6:$G$53,'Gráficos y Tablas'!$B37,'Matriz de Seguimiento'!$AR$6:$AR$53,'Gráficos y Tablas'!H$36)</f>
        <v>0</v>
      </c>
      <c r="I37" s="533">
        <f>SUM(D37:H37)</f>
        <v>2</v>
      </c>
      <c r="J37" s="538" t="s">
        <v>24</v>
      </c>
      <c r="K37" s="544">
        <f t="shared" ref="K37:K45" si="2">((D37*$F$17)+(E37*$F$18)+(F37*$F$19)+(G37*$F$20)+(H37*$F$21))/(I37*$F$17)</f>
        <v>0.875</v>
      </c>
    </row>
    <row r="38" spans="2:11" ht="42" customHeight="1" x14ac:dyDescent="0.25">
      <c r="B38" s="830" t="s">
        <v>59</v>
      </c>
      <c r="C38" s="831"/>
      <c r="D38" s="421">
        <f>COUNTIFS('Matriz de Seguimiento'!$G$6:$G$53,'Gráficos y Tablas'!$B38,'Matriz de Seguimiento'!$AR$6:$AR$53,'Gráficos y Tablas'!D$36)</f>
        <v>2</v>
      </c>
      <c r="E38" s="422">
        <f>COUNTIFS('Matriz de Seguimiento'!$G$6:$G$53,'Gráficos y Tablas'!$B38,'Matriz de Seguimiento'!$AR$6:$AR$53,'Gráficos y Tablas'!E$36)</f>
        <v>0</v>
      </c>
      <c r="F38" s="422">
        <f>COUNTIFS('Matriz de Seguimiento'!$G$6:$G$53,'Gráficos y Tablas'!$B38,'Matriz de Seguimiento'!$AR$6:$AR$53,'Gráficos y Tablas'!F$36)</f>
        <v>0</v>
      </c>
      <c r="G38" s="422">
        <f>COUNTIFS('Matriz de Seguimiento'!$G$6:$G$53,'Gráficos y Tablas'!$B38,'Matriz de Seguimiento'!$AR$6:$AR$53,'Gráficos y Tablas'!G$36)</f>
        <v>0</v>
      </c>
      <c r="H38" s="525">
        <f>COUNTIFS('Matriz de Seguimiento'!$G$6:$G$53,'Gráficos y Tablas'!$B38,'Matriz de Seguimiento'!$AR$6:$AR$53,'Gráficos y Tablas'!H$36)</f>
        <v>0</v>
      </c>
      <c r="I38" s="531">
        <f t="shared" ref="I38:I45" si="3">SUM(D38:H38)</f>
        <v>2</v>
      </c>
      <c r="J38" s="534" t="s">
        <v>1055</v>
      </c>
      <c r="K38" s="522">
        <f t="shared" si="2"/>
        <v>1</v>
      </c>
    </row>
    <row r="39" spans="2:11" ht="42.75" customHeight="1" x14ac:dyDescent="0.25">
      <c r="B39" s="830" t="s">
        <v>62</v>
      </c>
      <c r="C39" s="831"/>
      <c r="D39" s="421">
        <f>COUNTIFS('Matriz de Seguimiento'!$G$6:$G$53,'Gráficos y Tablas'!$B39,'Matriz de Seguimiento'!$AR$6:$AR$53,'Gráficos y Tablas'!D$36)</f>
        <v>1</v>
      </c>
      <c r="E39" s="422">
        <f>COUNTIFS('Matriz de Seguimiento'!$G$6:$G$53,'Gráficos y Tablas'!$B39,'Matriz de Seguimiento'!$AR$6:$AR$53,'Gráficos y Tablas'!E$36)</f>
        <v>1</v>
      </c>
      <c r="F39" s="422">
        <f>COUNTIFS('Matriz de Seguimiento'!$G$6:$G$53,'Gráficos y Tablas'!$B39,'Matriz de Seguimiento'!$AR$6:$AR$53,'Gráficos y Tablas'!F$36)</f>
        <v>0</v>
      </c>
      <c r="G39" s="422">
        <f>COUNTIFS('Matriz de Seguimiento'!$G$6:$G$53,'Gráficos y Tablas'!$B39,'Matriz de Seguimiento'!$AR$6:$AR$53,'Gráficos y Tablas'!G$36)</f>
        <v>0</v>
      </c>
      <c r="H39" s="525">
        <f>COUNTIFS('Matriz de Seguimiento'!$G$6:$G$53,'Gráficos y Tablas'!$B39,'Matriz de Seguimiento'!$AR$6:$AR$53,'Gráficos y Tablas'!H$36)</f>
        <v>0</v>
      </c>
      <c r="I39" s="531">
        <f t="shared" si="3"/>
        <v>2</v>
      </c>
      <c r="J39" s="538" t="s">
        <v>24</v>
      </c>
      <c r="K39" s="527">
        <f t="shared" si="2"/>
        <v>0.875</v>
      </c>
    </row>
    <row r="40" spans="2:11" ht="39.75" customHeight="1" x14ac:dyDescent="0.25">
      <c r="B40" s="830" t="s">
        <v>61</v>
      </c>
      <c r="C40" s="831"/>
      <c r="D40" s="421">
        <f>COUNTIFS('Matriz de Seguimiento'!$G$6:$G$53,'Gráficos y Tablas'!$B40,'Matriz de Seguimiento'!$AR$6:$AR$53,'Gráficos y Tablas'!D$36)</f>
        <v>2</v>
      </c>
      <c r="E40" s="422">
        <f>COUNTIFS('Matriz de Seguimiento'!$G$6:$G$53,'Gráficos y Tablas'!$B40,'Matriz de Seguimiento'!$AR$6:$AR$53,'Gráficos y Tablas'!E$36)</f>
        <v>0</v>
      </c>
      <c r="F40" s="422">
        <f>COUNTIFS('Matriz de Seguimiento'!$G$6:$G$53,'Gráficos y Tablas'!$B40,'Matriz de Seguimiento'!$AR$6:$AR$53,'Gráficos y Tablas'!F$36)</f>
        <v>0</v>
      </c>
      <c r="G40" s="422">
        <f>COUNTIFS('Matriz de Seguimiento'!$G$6:$G$53,'Gráficos y Tablas'!$B40,'Matriz de Seguimiento'!$AR$6:$AR$53,'Gráficos y Tablas'!G$36)</f>
        <v>0</v>
      </c>
      <c r="H40" s="525">
        <f>COUNTIFS('Matriz de Seguimiento'!$G$6:$G$53,'Gráficos y Tablas'!$B40,'Matriz de Seguimiento'!$AR$6:$AR$53,'Gráficos y Tablas'!H$36)</f>
        <v>0</v>
      </c>
      <c r="I40" s="531">
        <f t="shared" si="3"/>
        <v>2</v>
      </c>
      <c r="J40" s="534" t="s">
        <v>1055</v>
      </c>
      <c r="K40" s="522">
        <f t="shared" si="2"/>
        <v>1</v>
      </c>
    </row>
    <row r="41" spans="2:11" ht="54.75" customHeight="1" x14ac:dyDescent="0.25">
      <c r="B41" s="830" t="s">
        <v>87</v>
      </c>
      <c r="C41" s="831"/>
      <c r="D41" s="421">
        <f>COUNTIFS('Matriz de Seguimiento'!$G$6:$G$53,'Gráficos y Tablas'!$B41,'Matriz de Seguimiento'!$AR$6:$AR$53,'Gráficos y Tablas'!D$36)</f>
        <v>9</v>
      </c>
      <c r="E41" s="422">
        <f>COUNTIFS('Matriz de Seguimiento'!$G$6:$G$53,'Gráficos y Tablas'!$B41,'Matriz de Seguimiento'!$AR$6:$AR$53,'Gráficos y Tablas'!E$36)</f>
        <v>2</v>
      </c>
      <c r="F41" s="422">
        <f>COUNTIFS('Matriz de Seguimiento'!$G$6:$G$53,'Gráficos y Tablas'!$B41,'Matriz de Seguimiento'!$AR$6:$AR$53,'Gráficos y Tablas'!F$36)</f>
        <v>1</v>
      </c>
      <c r="G41" s="422">
        <f>COUNTIFS('Matriz de Seguimiento'!$G$6:$G$53,'Gráficos y Tablas'!$B41,'Matriz de Seguimiento'!$AR$6:$AR$53,'Gráficos y Tablas'!G$36)</f>
        <v>1</v>
      </c>
      <c r="H41" s="525">
        <f>COUNTIFS('Matriz de Seguimiento'!$G$6:$G$53,'Gráficos y Tablas'!$B41,'Matriz de Seguimiento'!$AR$6:$AR$53,'Gráficos y Tablas'!H$36)</f>
        <v>0</v>
      </c>
      <c r="I41" s="531">
        <f t="shared" si="3"/>
        <v>13</v>
      </c>
      <c r="J41" s="538" t="s">
        <v>24</v>
      </c>
      <c r="K41" s="527">
        <f t="shared" si="2"/>
        <v>0.86538461538461542</v>
      </c>
    </row>
    <row r="42" spans="2:11" ht="39.75" customHeight="1" x14ac:dyDescent="0.25">
      <c r="B42" s="830" t="s">
        <v>60</v>
      </c>
      <c r="C42" s="831"/>
      <c r="D42" s="421">
        <f>COUNTIFS('Matriz de Seguimiento'!$G$6:$G$53,'Gráficos y Tablas'!$B42,'Matriz de Seguimiento'!$AR$6:$AR$53,'Gráficos y Tablas'!D$36)</f>
        <v>17</v>
      </c>
      <c r="E42" s="422">
        <f>COUNTIFS('Matriz de Seguimiento'!$G$6:$G$53,'Gráficos y Tablas'!$B42,'Matriz de Seguimiento'!$AR$6:$AR$53,'Gráficos y Tablas'!E$36)</f>
        <v>1</v>
      </c>
      <c r="F42" s="422">
        <f>COUNTIFS('Matriz de Seguimiento'!$G$6:$G$53,'Gráficos y Tablas'!$B42,'Matriz de Seguimiento'!$AR$6:$AR$53,'Gráficos y Tablas'!F$36)</f>
        <v>1</v>
      </c>
      <c r="G42" s="422">
        <f>COUNTIFS('Matriz de Seguimiento'!$G$6:$G$53,'Gráficos y Tablas'!$B42,'Matriz de Seguimiento'!$AR$6:$AR$53,'Gráficos y Tablas'!G$36)</f>
        <v>1</v>
      </c>
      <c r="H42" s="525">
        <f>COUNTIFS('Matriz de Seguimiento'!$G$6:$G$53,'Gráficos y Tablas'!$B42,'Matriz de Seguimiento'!$AR$6:$AR$53,'Gráficos y Tablas'!H$36)</f>
        <v>0</v>
      </c>
      <c r="I42" s="531">
        <f t="shared" si="3"/>
        <v>20</v>
      </c>
      <c r="J42" s="534" t="s">
        <v>1055</v>
      </c>
      <c r="K42" s="522">
        <f t="shared" si="2"/>
        <v>0.92500000000000004</v>
      </c>
    </row>
    <row r="43" spans="2:11" ht="47.25" customHeight="1" x14ac:dyDescent="0.25">
      <c r="B43" s="830" t="s">
        <v>64</v>
      </c>
      <c r="C43" s="831"/>
      <c r="D43" s="421">
        <f>COUNTIFS('Matriz de Seguimiento'!$G$6:$G$53,'Gráficos y Tablas'!$B43,'Matriz de Seguimiento'!$AR$6:$AR$53,'Gráficos y Tablas'!D$36)</f>
        <v>4</v>
      </c>
      <c r="E43" s="422">
        <f>COUNTIFS('Matriz de Seguimiento'!$G$6:$G$53,'Gráficos y Tablas'!$B43,'Matriz de Seguimiento'!$AR$6:$AR$53,'Gráficos y Tablas'!E$36)</f>
        <v>0</v>
      </c>
      <c r="F43" s="422">
        <f>COUNTIFS('Matriz de Seguimiento'!$G$6:$G$53,'Gráficos y Tablas'!$B43,'Matriz de Seguimiento'!$AR$6:$AR$53,'Gráficos y Tablas'!F$36)</f>
        <v>0</v>
      </c>
      <c r="G43" s="422">
        <f>COUNTIFS('Matriz de Seguimiento'!$G$6:$G$53,'Gráficos y Tablas'!$B43,'Matriz de Seguimiento'!$AR$6:$AR$53,'Gráficos y Tablas'!G$36)</f>
        <v>0</v>
      </c>
      <c r="H43" s="525">
        <f>COUNTIFS('Matriz de Seguimiento'!$G$6:$G$53,'Gráficos y Tablas'!$B43,'Matriz de Seguimiento'!$AR$6:$AR$53,'Gráficos y Tablas'!H$36)</f>
        <v>0</v>
      </c>
      <c r="I43" s="531">
        <f t="shared" si="3"/>
        <v>4</v>
      </c>
      <c r="J43" s="534" t="s">
        <v>1055</v>
      </c>
      <c r="K43" s="522">
        <f t="shared" si="2"/>
        <v>1</v>
      </c>
    </row>
    <row r="44" spans="2:11" ht="55.5" customHeight="1" x14ac:dyDescent="0.25">
      <c r="B44" s="830" t="s">
        <v>63</v>
      </c>
      <c r="C44" s="831"/>
      <c r="D44" s="421">
        <f>COUNTIFS('Matriz de Seguimiento'!$G$6:$G$53,'Gráficos y Tablas'!$B44,'Matriz de Seguimiento'!$AR$6:$AR$53,'Gráficos y Tablas'!D$36)</f>
        <v>1</v>
      </c>
      <c r="E44" s="422">
        <f>COUNTIFS('Matriz de Seguimiento'!$G$6:$G$53,'Gráficos y Tablas'!$B44,'Matriz de Seguimiento'!$AR$6:$AR$53,'Gráficos y Tablas'!E$36)</f>
        <v>0</v>
      </c>
      <c r="F44" s="422">
        <f>COUNTIFS('Matriz de Seguimiento'!$G$6:$G$53,'Gráficos y Tablas'!$B44,'Matriz de Seguimiento'!$AR$6:$AR$53,'Gráficos y Tablas'!F$36)</f>
        <v>0</v>
      </c>
      <c r="G44" s="422">
        <f>COUNTIFS('Matriz de Seguimiento'!$G$6:$G$53,'Gráficos y Tablas'!$B44,'Matriz de Seguimiento'!$AR$6:$AR$53,'Gráficos y Tablas'!G$36)</f>
        <v>0</v>
      </c>
      <c r="H44" s="525">
        <f>COUNTIFS('Matriz de Seguimiento'!$G$6:$G$53,'Gráficos y Tablas'!$B44,'Matriz de Seguimiento'!$AR$6:$AR$53,'Gráficos y Tablas'!H$36)</f>
        <v>0</v>
      </c>
      <c r="I44" s="531">
        <f t="shared" si="3"/>
        <v>1</v>
      </c>
      <c r="J44" s="534" t="s">
        <v>1055</v>
      </c>
      <c r="K44" s="522">
        <f t="shared" si="2"/>
        <v>1</v>
      </c>
    </row>
    <row r="45" spans="2:11" ht="57" customHeight="1" thickBot="1" x14ac:dyDescent="0.3">
      <c r="B45" s="832" t="s">
        <v>804</v>
      </c>
      <c r="C45" s="833"/>
      <c r="D45" s="424">
        <f>COUNTIFS('Matriz de Seguimiento'!$G$6:$G$53,'Gráficos y Tablas'!$B45,'Matriz de Seguimiento'!$AR$6:$AR$53,'Gráficos y Tablas'!D$36)</f>
        <v>1</v>
      </c>
      <c r="E45" s="425">
        <f>COUNTIFS('Matriz de Seguimiento'!$G$6:$G$53,'Gráficos y Tablas'!$B45,'Matriz de Seguimiento'!$AR$6:$AR$53,'Gráficos y Tablas'!E$36)</f>
        <v>0</v>
      </c>
      <c r="F45" s="425">
        <f>COUNTIFS('Matriz de Seguimiento'!$G$6:$G$53,'Gráficos y Tablas'!$B45,'Matriz de Seguimiento'!$AR$6:$AR$53,'Gráficos y Tablas'!F$36)</f>
        <v>0</v>
      </c>
      <c r="G45" s="425">
        <f>COUNTIFS('Matriz de Seguimiento'!$G$6:$G$53,'Gráficos y Tablas'!$B45,'Matriz de Seguimiento'!$AR$6:$AR$53,'Gráficos y Tablas'!G$36)</f>
        <v>0</v>
      </c>
      <c r="H45" s="526">
        <f>COUNTIFS('Matriz de Seguimiento'!$G$6:$G$53,'Gráficos y Tablas'!$B45,'Matriz de Seguimiento'!$AR$6:$AR$53,'Gráficos y Tablas'!H$36)</f>
        <v>0</v>
      </c>
      <c r="I45" s="532">
        <f t="shared" si="3"/>
        <v>1</v>
      </c>
      <c r="J45" s="535" t="s">
        <v>1055</v>
      </c>
      <c r="K45" s="539">
        <f t="shared" si="2"/>
        <v>1</v>
      </c>
    </row>
    <row r="46" spans="2:11" ht="10.5" customHeight="1" x14ac:dyDescent="0.25">
      <c r="D46" s="18"/>
      <c r="E46" s="18"/>
      <c r="F46" s="18"/>
      <c r="G46" s="18"/>
      <c r="H46" s="18"/>
      <c r="J46" s="444"/>
      <c r="K46" s="446"/>
    </row>
    <row r="47" spans="2:11" ht="10.5" customHeight="1" thickBot="1" x14ac:dyDescent="0.3">
      <c r="D47" s="18"/>
      <c r="E47" s="18"/>
      <c r="F47" s="18"/>
      <c r="G47" s="18"/>
      <c r="H47" s="18"/>
      <c r="J47" s="444"/>
      <c r="K47" s="446"/>
    </row>
    <row r="48" spans="2:11" ht="18.75" customHeight="1" thickBot="1" x14ac:dyDescent="0.3">
      <c r="B48" s="836" t="s">
        <v>1212</v>
      </c>
      <c r="C48" s="837"/>
      <c r="D48" s="837"/>
      <c r="E48" s="837"/>
      <c r="F48" s="837"/>
      <c r="G48" s="837"/>
      <c r="H48" s="837"/>
      <c r="I48" s="837"/>
      <c r="J48" s="837"/>
      <c r="K48" s="838"/>
    </row>
    <row r="49" spans="2:11" ht="30.75" customHeight="1" thickBot="1" x14ac:dyDescent="0.3">
      <c r="B49" s="839" t="s">
        <v>1213</v>
      </c>
      <c r="C49" s="840"/>
      <c r="D49" s="515" t="s">
        <v>1055</v>
      </c>
      <c r="E49" s="501" t="s">
        <v>24</v>
      </c>
      <c r="F49" s="502" t="s">
        <v>23</v>
      </c>
      <c r="G49" s="503" t="s">
        <v>22</v>
      </c>
      <c r="H49" s="523" t="s">
        <v>1159</v>
      </c>
      <c r="I49" s="529" t="s">
        <v>1047</v>
      </c>
      <c r="J49" s="528" t="s">
        <v>1057</v>
      </c>
      <c r="K49" s="476" t="s">
        <v>1056</v>
      </c>
    </row>
    <row r="50" spans="2:11" ht="19.5" customHeight="1" x14ac:dyDescent="0.25">
      <c r="B50" s="834" t="s">
        <v>1215</v>
      </c>
      <c r="C50" s="835"/>
      <c r="D50" s="463">
        <f>COUNTIFS('Matriz de Seguimiento'!$AC$6:$AC$53,'Gráficos y Tablas'!$B50,'Matriz de Seguimiento'!$AR$6:$AR$53,'Gráficos y Tablas'!D$49)</f>
        <v>5</v>
      </c>
      <c r="E50" s="464">
        <f>COUNTIFS('Matriz de Seguimiento'!$AC$6:$AC$53,'Gráficos y Tablas'!$B50,'Matriz de Seguimiento'!$AR$6:$AR$53,'Gráficos y Tablas'!E$49)</f>
        <v>0</v>
      </c>
      <c r="F50" s="464">
        <f>COUNTIFS('Matriz de Seguimiento'!$AC$6:$AC$53,'Gráficos y Tablas'!$B50,'Matriz de Seguimiento'!$AR$6:$AR$53,'Gráficos y Tablas'!F$49)</f>
        <v>0</v>
      </c>
      <c r="G50" s="465">
        <f>COUNTIFS('Matriz de Seguimiento'!$AC$6:$AC$53,'Gráficos y Tablas'!$B50,'Matriz de Seguimiento'!$AR$6:$AR$53,'Gráficos y Tablas'!G$49)</f>
        <v>0</v>
      </c>
      <c r="H50" s="555">
        <f>COUNTIFS('Matriz de Seguimiento'!$G$6:$G$53,'Gráficos y Tablas'!$B50,'Matriz de Seguimiento'!$AR$6:$AR$53,'Gráficos y Tablas'!H$36)</f>
        <v>0</v>
      </c>
      <c r="I50" s="533">
        <f>SUM(D50:H50)</f>
        <v>5</v>
      </c>
      <c r="J50" s="534" t="s">
        <v>1055</v>
      </c>
      <c r="K50" s="537">
        <f t="shared" ref="K50:K62" si="4">((D50*$F$17)+(E50*$F$18)+(F50*$F$19)+(G50*$F$20)+(H50*$F$21))/(I50*$F$17)</f>
        <v>1</v>
      </c>
    </row>
    <row r="51" spans="2:11" ht="19.5" customHeight="1" x14ac:dyDescent="0.25">
      <c r="B51" s="830" t="s">
        <v>1216</v>
      </c>
      <c r="C51" s="831"/>
      <c r="D51" s="421">
        <f>COUNTIFS('Matriz de Seguimiento'!$AC$6:$AC$53,'Gráficos y Tablas'!$B51,'Matriz de Seguimiento'!$AR$6:$AR$53,'Gráficos y Tablas'!D$49)</f>
        <v>5</v>
      </c>
      <c r="E51" s="422">
        <f>COUNTIFS('Matriz de Seguimiento'!$AC$6:$AC$53,'Gráficos y Tablas'!$B51,'Matriz de Seguimiento'!$AR$6:$AR$53,'Gráficos y Tablas'!E$49)</f>
        <v>0</v>
      </c>
      <c r="F51" s="422">
        <f>COUNTIFS('Matriz de Seguimiento'!$AC$6:$AC$53,'Gráficos y Tablas'!$B51,'Matriz de Seguimiento'!$AR$6:$AR$53,'Gráficos y Tablas'!F$49)</f>
        <v>0</v>
      </c>
      <c r="G51" s="423">
        <f>COUNTIFS('Matriz de Seguimiento'!$AC$6:$AC$53,'Gráficos y Tablas'!$B51,'Matriz de Seguimiento'!$AR$6:$AR$53,'Gráficos y Tablas'!G$49)</f>
        <v>0</v>
      </c>
      <c r="H51" s="556">
        <f>COUNTIFS('Matriz de Seguimiento'!$G$6:$G$53,'Gráficos y Tablas'!$B51,'Matriz de Seguimiento'!$AR$6:$AR$53,'Gráficos y Tablas'!H$36)</f>
        <v>0</v>
      </c>
      <c r="I51" s="531">
        <f t="shared" ref="I51:I62" si="5">SUM(D51:H51)</f>
        <v>5</v>
      </c>
      <c r="J51" s="534" t="s">
        <v>1055</v>
      </c>
      <c r="K51" s="522">
        <f t="shared" si="4"/>
        <v>1</v>
      </c>
    </row>
    <row r="52" spans="2:11" ht="19.5" customHeight="1" x14ac:dyDescent="0.25">
      <c r="B52" s="830" t="s">
        <v>1214</v>
      </c>
      <c r="C52" s="831"/>
      <c r="D52" s="421">
        <f>COUNTIFS('Matriz de Seguimiento'!$AC$6:$AC$53,'Gráficos y Tablas'!$B52,'Matriz de Seguimiento'!$AR$6:$AR$53,'Gráficos y Tablas'!D$49)</f>
        <v>2</v>
      </c>
      <c r="E52" s="422">
        <f>COUNTIFS('Matriz de Seguimiento'!$AC$6:$AC$53,'Gráficos y Tablas'!$B52,'Matriz de Seguimiento'!$AR$6:$AR$53,'Gráficos y Tablas'!E$49)</f>
        <v>0</v>
      </c>
      <c r="F52" s="422">
        <f>COUNTIFS('Matriz de Seguimiento'!$AC$6:$AC$53,'Gráficos y Tablas'!$B52,'Matriz de Seguimiento'!$AR$6:$AR$53,'Gráficos y Tablas'!F$49)</f>
        <v>0</v>
      </c>
      <c r="G52" s="423">
        <f>COUNTIFS('Matriz de Seguimiento'!$AC$6:$AC$53,'Gráficos y Tablas'!$B52,'Matriz de Seguimiento'!$AR$6:$AR$53,'Gráficos y Tablas'!G$49)</f>
        <v>0</v>
      </c>
      <c r="H52" s="556">
        <f>COUNTIFS('Matriz de Seguimiento'!$G$6:$G$53,'Gráficos y Tablas'!$B52,'Matriz de Seguimiento'!$AR$6:$AR$53,'Gráficos y Tablas'!H$36)</f>
        <v>0</v>
      </c>
      <c r="I52" s="531">
        <f t="shared" si="5"/>
        <v>2</v>
      </c>
      <c r="J52" s="534" t="s">
        <v>1055</v>
      </c>
      <c r="K52" s="522">
        <f t="shared" si="4"/>
        <v>1</v>
      </c>
    </row>
    <row r="53" spans="2:11" ht="19.5" customHeight="1" x14ac:dyDescent="0.25">
      <c r="B53" s="830" t="s">
        <v>1217</v>
      </c>
      <c r="C53" s="831"/>
      <c r="D53" s="421">
        <f>COUNTIFS('Matriz de Seguimiento'!$AC$6:$AC$53,'Gráficos y Tablas'!$B53,'Matriz de Seguimiento'!$AR$6:$AR$53,'Gráficos y Tablas'!D$49)</f>
        <v>1</v>
      </c>
      <c r="E53" s="422">
        <f>COUNTIFS('Matriz de Seguimiento'!$AC$6:$AC$53,'Gráficos y Tablas'!$B53,'Matriz de Seguimiento'!$AR$6:$AR$53,'Gráficos y Tablas'!E$49)</f>
        <v>1</v>
      </c>
      <c r="F53" s="422">
        <f>COUNTIFS('Matriz de Seguimiento'!$AC$6:$AC$53,'Gráficos y Tablas'!$B53,'Matriz de Seguimiento'!$AR$6:$AR$53,'Gráficos y Tablas'!F$49)</f>
        <v>0</v>
      </c>
      <c r="G53" s="423">
        <f>COUNTIFS('Matriz de Seguimiento'!$AC$6:$AC$53,'Gráficos y Tablas'!$B53,'Matriz de Seguimiento'!$AR$6:$AR$53,'Gráficos y Tablas'!G$49)</f>
        <v>0</v>
      </c>
      <c r="H53" s="556">
        <f>COUNTIFS('Matriz de Seguimiento'!$G$6:$G$53,'Gráficos y Tablas'!$B53,'Matriz de Seguimiento'!$AR$6:$AR$53,'Gráficos y Tablas'!H$36)</f>
        <v>0</v>
      </c>
      <c r="I53" s="531">
        <f t="shared" si="5"/>
        <v>2</v>
      </c>
      <c r="J53" s="538" t="s">
        <v>24</v>
      </c>
      <c r="K53" s="527">
        <f t="shared" si="4"/>
        <v>0.875</v>
      </c>
    </row>
    <row r="54" spans="2:11" ht="28.5" customHeight="1" x14ac:dyDescent="0.25">
      <c r="B54" s="830" t="s">
        <v>1218</v>
      </c>
      <c r="C54" s="831"/>
      <c r="D54" s="421">
        <f>COUNTIFS('Matriz de Seguimiento'!$AC$6:$AC$53,'Gráficos y Tablas'!$B54,'Matriz de Seguimiento'!$AR$6:$AR$53,'Gráficos y Tablas'!D$49)</f>
        <v>0</v>
      </c>
      <c r="E54" s="422">
        <f>COUNTIFS('Matriz de Seguimiento'!$AC$6:$AC$53,'Gráficos y Tablas'!$B54,'Matriz de Seguimiento'!$AR$6:$AR$53,'Gráficos y Tablas'!E$49)</f>
        <v>1</v>
      </c>
      <c r="F54" s="422">
        <f>COUNTIFS('Matriz de Seguimiento'!$AC$6:$AC$53,'Gráficos y Tablas'!$B54,'Matriz de Seguimiento'!$AR$6:$AR$53,'Gráficos y Tablas'!F$49)</f>
        <v>0</v>
      </c>
      <c r="G54" s="423">
        <f>COUNTIFS('Matriz de Seguimiento'!$AC$6:$AC$53,'Gráficos y Tablas'!$B54,'Matriz de Seguimiento'!$AR$6:$AR$53,'Gráficos y Tablas'!G$49)</f>
        <v>0</v>
      </c>
      <c r="H54" s="556">
        <f>COUNTIFS('Matriz de Seguimiento'!$G$6:$G$53,'Gráficos y Tablas'!$B54,'Matriz de Seguimiento'!$AR$6:$AR$53,'Gráficos y Tablas'!H$36)</f>
        <v>0</v>
      </c>
      <c r="I54" s="531">
        <f t="shared" si="5"/>
        <v>1</v>
      </c>
      <c r="J54" s="538" t="s">
        <v>24</v>
      </c>
      <c r="K54" s="527">
        <f t="shared" si="4"/>
        <v>0.75</v>
      </c>
    </row>
    <row r="55" spans="2:11" ht="30.75" customHeight="1" x14ac:dyDescent="0.25">
      <c r="B55" s="830" t="s">
        <v>1219</v>
      </c>
      <c r="C55" s="831"/>
      <c r="D55" s="421">
        <f>COUNTIFS('Matriz de Seguimiento'!$AC$6:$AC$53,'Gráficos y Tablas'!$B55,'Matriz de Seguimiento'!$AR$6:$AR$53,'Gráficos y Tablas'!D$49)</f>
        <v>0</v>
      </c>
      <c r="E55" s="422">
        <f>COUNTIFS('Matriz de Seguimiento'!$AC$6:$AC$53,'Gráficos y Tablas'!$B55,'Matriz de Seguimiento'!$AR$6:$AR$53,'Gráficos y Tablas'!E$49)</f>
        <v>1</v>
      </c>
      <c r="F55" s="422">
        <f>COUNTIFS('Matriz de Seguimiento'!$AC$6:$AC$53,'Gráficos y Tablas'!$B55,'Matriz de Seguimiento'!$AR$6:$AR$53,'Gráficos y Tablas'!F$49)</f>
        <v>0</v>
      </c>
      <c r="G55" s="423">
        <f>COUNTIFS('Matriz de Seguimiento'!$AC$6:$AC$53,'Gráficos y Tablas'!$B55,'Matriz de Seguimiento'!$AR$6:$AR$53,'Gráficos y Tablas'!G$49)</f>
        <v>0</v>
      </c>
      <c r="H55" s="556">
        <f>COUNTIFS('Matriz de Seguimiento'!$G$6:$G$53,'Gráficos y Tablas'!$B55,'Matriz de Seguimiento'!$AR$6:$AR$53,'Gráficos y Tablas'!H$36)</f>
        <v>0</v>
      </c>
      <c r="I55" s="531">
        <f t="shared" si="5"/>
        <v>1</v>
      </c>
      <c r="J55" s="538" t="s">
        <v>24</v>
      </c>
      <c r="K55" s="527">
        <f t="shared" si="4"/>
        <v>0.75</v>
      </c>
    </row>
    <row r="56" spans="2:11" ht="29.25" customHeight="1" x14ac:dyDescent="0.25">
      <c r="B56" s="830" t="s">
        <v>1220</v>
      </c>
      <c r="C56" s="831"/>
      <c r="D56" s="421">
        <f>COUNTIFS('Matriz de Seguimiento'!$AC$6:$AC$53,'Gráficos y Tablas'!$B56,'Matriz de Seguimiento'!$AR$6:$AR$53,'Gráficos y Tablas'!D$49)</f>
        <v>1</v>
      </c>
      <c r="E56" s="422">
        <f>COUNTIFS('Matriz de Seguimiento'!$AC$6:$AC$53,'Gráficos y Tablas'!$B56,'Matriz de Seguimiento'!$AR$6:$AR$53,'Gráficos y Tablas'!E$49)</f>
        <v>0</v>
      </c>
      <c r="F56" s="422">
        <f>COUNTIFS('Matriz de Seguimiento'!$AC$6:$AC$53,'Gráficos y Tablas'!$B56,'Matriz de Seguimiento'!$AR$6:$AR$53,'Gráficos y Tablas'!F$49)</f>
        <v>0</v>
      </c>
      <c r="G56" s="423">
        <f>COUNTIFS('Matriz de Seguimiento'!$AC$6:$AC$53,'Gráficos y Tablas'!$B56,'Matriz de Seguimiento'!$AR$6:$AR$53,'Gráficos y Tablas'!G$49)</f>
        <v>0</v>
      </c>
      <c r="H56" s="556">
        <f>COUNTIFS('Matriz de Seguimiento'!$G$6:$G$53,'Gráficos y Tablas'!$B56,'Matriz de Seguimiento'!$AR$6:$AR$53,'Gráficos y Tablas'!H$36)</f>
        <v>0</v>
      </c>
      <c r="I56" s="531">
        <f t="shared" si="5"/>
        <v>1</v>
      </c>
      <c r="J56" s="534" t="s">
        <v>1055</v>
      </c>
      <c r="K56" s="522">
        <f t="shared" si="4"/>
        <v>1</v>
      </c>
    </row>
    <row r="57" spans="2:11" ht="19.5" customHeight="1" x14ac:dyDescent="0.25">
      <c r="B57" s="830" t="s">
        <v>1221</v>
      </c>
      <c r="C57" s="831"/>
      <c r="D57" s="421">
        <f>COUNTIFS('Matriz de Seguimiento'!$AC$6:$AC$53,'Gráficos y Tablas'!$B57,'Matriz de Seguimiento'!$AR$6:$AR$53,'Gráficos y Tablas'!D$49)</f>
        <v>5</v>
      </c>
      <c r="E57" s="422">
        <f>COUNTIFS('Matriz de Seguimiento'!$AC$6:$AC$53,'Gráficos y Tablas'!$B57,'Matriz de Seguimiento'!$AR$6:$AR$53,'Gráficos y Tablas'!E$49)</f>
        <v>0</v>
      </c>
      <c r="F57" s="422">
        <f>COUNTIFS('Matriz de Seguimiento'!$AC$6:$AC$53,'Gráficos y Tablas'!$B57,'Matriz de Seguimiento'!$AR$6:$AR$53,'Gráficos y Tablas'!F$49)</f>
        <v>0</v>
      </c>
      <c r="G57" s="423">
        <f>COUNTIFS('Matriz de Seguimiento'!$AC$6:$AC$53,'Gráficos y Tablas'!$B57,'Matriz de Seguimiento'!$AR$6:$AR$53,'Gráficos y Tablas'!G$49)</f>
        <v>0</v>
      </c>
      <c r="H57" s="556">
        <f>COUNTIFS('Matriz de Seguimiento'!$G$6:$G$53,'Gráficos y Tablas'!$B57,'Matriz de Seguimiento'!$AR$6:$AR$53,'Gráficos y Tablas'!H$36)</f>
        <v>0</v>
      </c>
      <c r="I57" s="531">
        <f t="shared" si="5"/>
        <v>5</v>
      </c>
      <c r="J57" s="534" t="s">
        <v>1055</v>
      </c>
      <c r="K57" s="522">
        <f t="shared" si="4"/>
        <v>1</v>
      </c>
    </row>
    <row r="58" spans="2:11" ht="19.5" customHeight="1" x14ac:dyDescent="0.25">
      <c r="B58" s="830" t="s">
        <v>1222</v>
      </c>
      <c r="C58" s="831"/>
      <c r="D58" s="421">
        <f>COUNTIFS('Matriz de Seguimiento'!$AC$6:$AC$53,'Gráficos y Tablas'!$B58,'Matriz de Seguimiento'!$AR$6:$AR$53,'Gráficos y Tablas'!D$49)</f>
        <v>8</v>
      </c>
      <c r="E58" s="422">
        <f>COUNTIFS('Matriz de Seguimiento'!$AC$6:$AC$53,'Gráficos y Tablas'!$B58,'Matriz de Seguimiento'!$AR$6:$AR$53,'Gráficos y Tablas'!E$49)</f>
        <v>0</v>
      </c>
      <c r="F58" s="422">
        <f>COUNTIFS('Matriz de Seguimiento'!$AC$6:$AC$53,'Gráficos y Tablas'!$B58,'Matriz de Seguimiento'!$AR$6:$AR$53,'Gráficos y Tablas'!F$49)</f>
        <v>0</v>
      </c>
      <c r="G58" s="423">
        <f>COUNTIFS('Matriz de Seguimiento'!$AC$6:$AC$53,'Gráficos y Tablas'!$B58,'Matriz de Seguimiento'!$AR$6:$AR$53,'Gráficos y Tablas'!G$49)</f>
        <v>0</v>
      </c>
      <c r="H58" s="556">
        <f>COUNTIFS('Matriz de Seguimiento'!$G$6:$G$53,'Gráficos y Tablas'!$B58,'Matriz de Seguimiento'!$AR$6:$AR$53,'Gráficos y Tablas'!H$36)</f>
        <v>0</v>
      </c>
      <c r="I58" s="531">
        <f t="shared" ref="I58:I61" si="6">SUM(D58:H58)</f>
        <v>8</v>
      </c>
      <c r="J58" s="534" t="s">
        <v>1055</v>
      </c>
      <c r="K58" s="522">
        <f t="shared" ref="K58:K61" si="7">((D58*$F$17)+(E58*$F$18)+(F58*$F$19)+(G58*$F$20)+(H58*$F$21))/(I58*$F$17)</f>
        <v>1</v>
      </c>
    </row>
    <row r="59" spans="2:11" ht="19.5" customHeight="1" x14ac:dyDescent="0.25">
      <c r="B59" s="830" t="s">
        <v>1223</v>
      </c>
      <c r="C59" s="831"/>
      <c r="D59" s="421">
        <f>COUNTIFS('Matriz de Seguimiento'!$AC$6:$AC$53,'Gráficos y Tablas'!$B59,'Matriz de Seguimiento'!$AR$6:$AR$53,'Gráficos y Tablas'!D$49)</f>
        <v>3</v>
      </c>
      <c r="E59" s="422">
        <f>COUNTIFS('Matriz de Seguimiento'!$AC$6:$AC$53,'Gráficos y Tablas'!$B59,'Matriz de Seguimiento'!$AR$6:$AR$53,'Gráficos y Tablas'!E$49)</f>
        <v>1</v>
      </c>
      <c r="F59" s="422">
        <f>COUNTIFS('Matriz de Seguimiento'!$AC$6:$AC$53,'Gráficos y Tablas'!$B59,'Matriz de Seguimiento'!$AR$6:$AR$53,'Gráficos y Tablas'!F$49)</f>
        <v>1</v>
      </c>
      <c r="G59" s="423">
        <f>COUNTIFS('Matriz de Seguimiento'!$AC$6:$AC$53,'Gráficos y Tablas'!$B59,'Matriz de Seguimiento'!$AR$6:$AR$53,'Gráficos y Tablas'!G$49)</f>
        <v>1</v>
      </c>
      <c r="H59" s="556">
        <f>COUNTIFS('Matriz de Seguimiento'!$G$6:$G$53,'Gráficos y Tablas'!$B59,'Matriz de Seguimiento'!$AR$6:$AR$53,'Gráficos y Tablas'!H$36)</f>
        <v>0</v>
      </c>
      <c r="I59" s="531">
        <f t="shared" si="6"/>
        <v>6</v>
      </c>
      <c r="J59" s="538" t="s">
        <v>24</v>
      </c>
      <c r="K59" s="527">
        <f t="shared" si="7"/>
        <v>0.75</v>
      </c>
    </row>
    <row r="60" spans="2:11" ht="19.5" customHeight="1" x14ac:dyDescent="0.25">
      <c r="B60" s="830" t="s">
        <v>1224</v>
      </c>
      <c r="C60" s="831"/>
      <c r="D60" s="421">
        <f>COUNTIFS('Matriz de Seguimiento'!$AC$6:$AC$53,'Gráficos y Tablas'!$B60,'Matriz de Seguimiento'!$AR$6:$AR$53,'Gráficos y Tablas'!D$49)</f>
        <v>2</v>
      </c>
      <c r="E60" s="422">
        <f>COUNTIFS('Matriz de Seguimiento'!$AC$6:$AC$53,'Gráficos y Tablas'!$B60,'Matriz de Seguimiento'!$AR$6:$AR$53,'Gráficos y Tablas'!E$49)</f>
        <v>0</v>
      </c>
      <c r="F60" s="422">
        <f>COUNTIFS('Matriz de Seguimiento'!$AC$6:$AC$53,'Gráficos y Tablas'!$B60,'Matriz de Seguimiento'!$AR$6:$AR$53,'Gráficos y Tablas'!F$49)</f>
        <v>0</v>
      </c>
      <c r="G60" s="423">
        <f>COUNTIFS('Matriz de Seguimiento'!$AC$6:$AC$53,'Gráficos y Tablas'!$B60,'Matriz de Seguimiento'!$AR$6:$AR$53,'Gráficos y Tablas'!G$49)</f>
        <v>1</v>
      </c>
      <c r="H60" s="556">
        <f>COUNTIFS('Matriz de Seguimiento'!$G$6:$G$53,'Gráficos y Tablas'!$B60,'Matriz de Seguimiento'!$AR$6:$AR$53,'Gráficos y Tablas'!H$36)</f>
        <v>0</v>
      </c>
      <c r="I60" s="531">
        <f t="shared" si="6"/>
        <v>3</v>
      </c>
      <c r="J60" s="538" t="s">
        <v>24</v>
      </c>
      <c r="K60" s="527">
        <f t="shared" si="7"/>
        <v>0.75</v>
      </c>
    </row>
    <row r="61" spans="2:11" ht="19.5" customHeight="1" x14ac:dyDescent="0.25">
      <c r="B61" s="830" t="s">
        <v>1225</v>
      </c>
      <c r="C61" s="831"/>
      <c r="D61" s="421">
        <f>COUNTIFS('Matriz de Seguimiento'!$AC$6:$AC$53,'Gráficos y Tablas'!$B61,'Matriz de Seguimiento'!$AR$6:$AR$53,'Gráficos y Tablas'!D$49)</f>
        <v>1</v>
      </c>
      <c r="E61" s="422">
        <f>COUNTIFS('Matriz de Seguimiento'!$AC$6:$AC$53,'Gráficos y Tablas'!$B61,'Matriz de Seguimiento'!$AR$6:$AR$53,'Gráficos y Tablas'!E$49)</f>
        <v>1</v>
      </c>
      <c r="F61" s="422">
        <f>COUNTIFS('Matriz de Seguimiento'!$AC$6:$AC$53,'Gráficos y Tablas'!$B61,'Matriz de Seguimiento'!$AR$6:$AR$53,'Gráficos y Tablas'!F$49)</f>
        <v>0</v>
      </c>
      <c r="G61" s="423">
        <f>COUNTIFS('Matriz de Seguimiento'!$AC$6:$AC$53,'Gráficos y Tablas'!$B61,'Matriz de Seguimiento'!$AR$6:$AR$53,'Gráficos y Tablas'!G$49)</f>
        <v>0</v>
      </c>
      <c r="H61" s="556">
        <f>COUNTIFS('Matriz de Seguimiento'!$G$6:$G$53,'Gráficos y Tablas'!$B61,'Matriz de Seguimiento'!$AR$6:$AR$53,'Gráficos y Tablas'!H$36)</f>
        <v>0</v>
      </c>
      <c r="I61" s="531">
        <f t="shared" si="6"/>
        <v>2</v>
      </c>
      <c r="J61" s="538" t="s">
        <v>24</v>
      </c>
      <c r="K61" s="527">
        <f t="shared" si="7"/>
        <v>0.875</v>
      </c>
    </row>
    <row r="62" spans="2:11" ht="19.5" customHeight="1" thickBot="1" x14ac:dyDescent="0.3">
      <c r="B62" s="832" t="s">
        <v>1226</v>
      </c>
      <c r="C62" s="833"/>
      <c r="D62" s="424">
        <f>COUNTIFS('Matriz de Seguimiento'!$AC$6:$AC$53,'Gráficos y Tablas'!$B62,'Matriz de Seguimiento'!$AR$6:$AR$53,'Gráficos y Tablas'!D$49)</f>
        <v>5</v>
      </c>
      <c r="E62" s="425">
        <f>COUNTIFS('Matriz de Seguimiento'!$AC$6:$AC$53,'Gráficos y Tablas'!$B62,'Matriz de Seguimiento'!$AR$6:$AR$53,'Gráficos y Tablas'!E$49)</f>
        <v>0</v>
      </c>
      <c r="F62" s="425">
        <f>COUNTIFS('Matriz de Seguimiento'!$AC$6:$AC$53,'Gráficos y Tablas'!$B62,'Matriz de Seguimiento'!$AR$6:$AR$53,'Gráficos y Tablas'!F$49)</f>
        <v>1</v>
      </c>
      <c r="G62" s="426">
        <f>COUNTIFS('Matriz de Seguimiento'!$AC$6:$AC$53,'Gráficos y Tablas'!$B62,'Matriz de Seguimiento'!$AR$6:$AR$53,'Gráficos y Tablas'!G$49)</f>
        <v>0</v>
      </c>
      <c r="H62" s="557">
        <f>COUNTIFS('Matriz de Seguimiento'!$G$6:$G$53,'Gráficos y Tablas'!$B62,'Matriz de Seguimiento'!$AR$6:$AR$53,'Gráficos y Tablas'!H$36)</f>
        <v>0</v>
      </c>
      <c r="I62" s="532">
        <f t="shared" si="5"/>
        <v>6</v>
      </c>
      <c r="J62" s="535" t="s">
        <v>1055</v>
      </c>
      <c r="K62" s="539">
        <f t="shared" si="4"/>
        <v>0.91666666666666663</v>
      </c>
    </row>
    <row r="63" spans="2:11" ht="15" x14ac:dyDescent="0.25">
      <c r="D63" s="18"/>
      <c r="E63" s="18"/>
      <c r="F63" s="18"/>
      <c r="G63" s="18"/>
      <c r="H63" s="18"/>
      <c r="J63" s="444"/>
      <c r="K63" s="446"/>
    </row>
    <row r="64" spans="2:11" ht="15" x14ac:dyDescent="0.25">
      <c r="J64" s="444"/>
      <c r="K64" s="446"/>
    </row>
    <row r="65" spans="10:11" ht="15" x14ac:dyDescent="0.25">
      <c r="J65" s="444"/>
      <c r="K65" s="446"/>
    </row>
    <row r="66" spans="10:11" ht="15" x14ac:dyDescent="0.25">
      <c r="J66" s="444"/>
      <c r="K66" s="446"/>
    </row>
    <row r="67" spans="10:11" ht="15" x14ac:dyDescent="0.25"/>
    <row r="68" spans="10:11" ht="15" customHeight="1" x14ac:dyDescent="0.25"/>
  </sheetData>
  <mergeCells count="74">
    <mergeCell ref="B27:C27"/>
    <mergeCell ref="B3:C3"/>
    <mergeCell ref="B4:C4"/>
    <mergeCell ref="B6:C6"/>
    <mergeCell ref="B8:C8"/>
    <mergeCell ref="B10:C10"/>
    <mergeCell ref="B12:C12"/>
    <mergeCell ref="B14:C14"/>
    <mergeCell ref="B16:C16"/>
    <mergeCell ref="B17:C17"/>
    <mergeCell ref="B18:C18"/>
    <mergeCell ref="B19:C19"/>
    <mergeCell ref="B20:C20"/>
    <mergeCell ref="B21:C21"/>
    <mergeCell ref="B22:C22"/>
    <mergeCell ref="B24:C24"/>
    <mergeCell ref="B36:C36"/>
    <mergeCell ref="B37:C37"/>
    <mergeCell ref="B38:C38"/>
    <mergeCell ref="B39:C39"/>
    <mergeCell ref="B40:C40"/>
    <mergeCell ref="B41:C41"/>
    <mergeCell ref="B42:C42"/>
    <mergeCell ref="B43:C43"/>
    <mergeCell ref="B44:C44"/>
    <mergeCell ref="B45:C45"/>
    <mergeCell ref="B5:C5"/>
    <mergeCell ref="B7:C7"/>
    <mergeCell ref="B9:C9"/>
    <mergeCell ref="B11:C11"/>
    <mergeCell ref="B13:C13"/>
    <mergeCell ref="D4:D5"/>
    <mergeCell ref="E4:E5"/>
    <mergeCell ref="F4:F5"/>
    <mergeCell ref="G4:G5"/>
    <mergeCell ref="H4:H5"/>
    <mergeCell ref="E8:E9"/>
    <mergeCell ref="F8:F9"/>
    <mergeCell ref="G8:G9"/>
    <mergeCell ref="H8:H9"/>
    <mergeCell ref="D6:D7"/>
    <mergeCell ref="D8:D9"/>
    <mergeCell ref="E6:E7"/>
    <mergeCell ref="F6:F7"/>
    <mergeCell ref="G6:G7"/>
    <mergeCell ref="B26:K26"/>
    <mergeCell ref="B2:G2"/>
    <mergeCell ref="B35:K35"/>
    <mergeCell ref="B48:K48"/>
    <mergeCell ref="B49:C49"/>
    <mergeCell ref="D12:D13"/>
    <mergeCell ref="E12:E13"/>
    <mergeCell ref="F12:F13"/>
    <mergeCell ref="G12:G13"/>
    <mergeCell ref="H12:H13"/>
    <mergeCell ref="D10:D11"/>
    <mergeCell ref="E10:E11"/>
    <mergeCell ref="F10:F11"/>
    <mergeCell ref="G10:G11"/>
    <mergeCell ref="H10:H11"/>
    <mergeCell ref="H6:H7"/>
    <mergeCell ref="B50:C50"/>
    <mergeCell ref="B51:C51"/>
    <mergeCell ref="B52:C52"/>
    <mergeCell ref="B53:C53"/>
    <mergeCell ref="B54:C54"/>
    <mergeCell ref="B55:C55"/>
    <mergeCell ref="B56:C56"/>
    <mergeCell ref="B57:C57"/>
    <mergeCell ref="B62:C62"/>
    <mergeCell ref="B58:C58"/>
    <mergeCell ref="B59:C59"/>
    <mergeCell ref="B60:C60"/>
    <mergeCell ref="B61:C61"/>
  </mergeCells>
  <pageMargins left="0.23622047244094491" right="0.11811023622047245" top="0.39" bottom="0.32" header="0.19685039370078741" footer="0.19685039370078741"/>
  <pageSetup scale="65" orientation="landscape" r:id="rId1"/>
  <rowBreaks count="1" manualBreakCount="1">
    <brk id="33"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25C49-2F99-4F40-970A-63CCC9F0103C}">
  <dimension ref="A1:AT57"/>
  <sheetViews>
    <sheetView showGridLines="0" tabSelected="1" view="pageBreakPreview" zoomScale="80" zoomScaleNormal="80" zoomScaleSheetLayoutView="80" workbookViewId="0">
      <pane ySplit="5" topLeftCell="A6" activePane="bottomLeft" state="frozen"/>
      <selection pane="bottomLeft" activeCell="A6" sqref="A6"/>
    </sheetView>
  </sheetViews>
  <sheetFormatPr baseColWidth="10" defaultColWidth="11.42578125" defaultRowHeight="0" customHeight="1" zeroHeight="1" x14ac:dyDescent="0.2"/>
  <cols>
    <col min="1" max="1" width="8.140625" style="1" customWidth="1"/>
    <col min="2" max="4" width="26.42578125" style="1" hidden="1" customWidth="1"/>
    <col min="5" max="5" width="7.42578125" style="1" hidden="1" customWidth="1"/>
    <col min="6" max="7" width="25.5703125" style="1" hidden="1" customWidth="1"/>
    <col min="8" max="8" width="18.7109375" style="1" hidden="1" customWidth="1"/>
    <col min="9" max="9" width="17" style="1" customWidth="1"/>
    <col min="10" max="10" width="31.85546875" style="1" hidden="1" customWidth="1"/>
    <col min="11" max="11" width="17.140625" style="1" customWidth="1"/>
    <col min="12" max="12" width="19.42578125" style="1" hidden="1" customWidth="1"/>
    <col min="13" max="13" width="58.85546875" style="1" hidden="1" customWidth="1"/>
    <col min="14" max="15" width="15.140625" style="1" customWidth="1"/>
    <col min="16" max="17" width="24.42578125" style="1" hidden="1" customWidth="1"/>
    <col min="18" max="18" width="20.140625" style="1" hidden="1" customWidth="1"/>
    <col min="19" max="19" width="11.28515625" style="1" customWidth="1"/>
    <col min="20" max="20" width="65.28515625" style="1" customWidth="1"/>
    <col min="21" max="24" width="20.42578125" style="1" hidden="1" customWidth="1"/>
    <col min="25" max="25" width="75.140625" style="1" hidden="1" customWidth="1"/>
    <col min="26" max="26" width="19" style="1" hidden="1" customWidth="1"/>
    <col min="27" max="27" width="68.28515625" style="1" hidden="1" customWidth="1"/>
    <col min="28" max="28" width="13.5703125" style="1" customWidth="1"/>
    <col min="29" max="29" width="15.5703125" style="1" customWidth="1"/>
    <col min="30" max="32" width="9.7109375" style="1" customWidth="1"/>
    <col min="33" max="41" width="8.5703125" style="1" customWidth="1"/>
    <col min="42" max="43" width="240.7109375" style="1" customWidth="1"/>
    <col min="44" max="44" width="13.5703125" style="1" customWidth="1"/>
    <col min="45" max="45" width="3.7109375" style="1" customWidth="1"/>
    <col min="46" max="47" width="11.42578125" style="1" customWidth="1"/>
    <col min="48" max="16384" width="11.42578125" style="1"/>
  </cols>
  <sheetData>
    <row r="1" spans="1:46" ht="75" customHeight="1" thickBot="1" x14ac:dyDescent="0.25">
      <c r="A1" s="578" t="s">
        <v>1228</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80"/>
      <c r="AP1" s="578" t="str">
        <f>A1</f>
        <v>MATRIZ DE SEGUIMIENTO AL PLAN DE ACCIÓN INSTITUCIONAL
CAPITAL - SISTEMA DE COMUNICACIÓN PÚBLICA
Corte: 31 de diciembre de 2022
Fecha de informe: 31 de enero de 2023</v>
      </c>
      <c r="AQ1" s="579"/>
      <c r="AR1" s="580"/>
    </row>
    <row r="2" spans="1:46" ht="6.75" customHeight="1" thickBot="1" x14ac:dyDescent="0.25">
      <c r="A2" s="885"/>
      <c r="B2" s="886"/>
      <c r="C2" s="886"/>
      <c r="D2" s="886"/>
      <c r="E2" s="886"/>
      <c r="F2" s="886"/>
      <c r="G2" s="886"/>
      <c r="H2" s="886"/>
      <c r="I2" s="886"/>
      <c r="J2" s="886"/>
      <c r="K2" s="886"/>
      <c r="L2" s="886"/>
      <c r="M2" s="886"/>
      <c r="N2" s="886"/>
      <c r="O2" s="886"/>
      <c r="P2" s="886"/>
      <c r="Q2" s="886"/>
      <c r="R2" s="886"/>
      <c r="S2" s="886"/>
      <c r="T2" s="886"/>
      <c r="U2" s="886"/>
      <c r="V2" s="886"/>
      <c r="W2" s="886"/>
      <c r="X2" s="886"/>
      <c r="Y2" s="886"/>
      <c r="Z2" s="886"/>
      <c r="AA2" s="886"/>
      <c r="AB2" s="886"/>
      <c r="AC2" s="886"/>
      <c r="AD2" s="887"/>
      <c r="AE2" s="887"/>
      <c r="AF2" s="887"/>
      <c r="AG2" s="887"/>
      <c r="AH2" s="887"/>
      <c r="AI2" s="887"/>
      <c r="AJ2" s="887"/>
      <c r="AK2" s="887"/>
      <c r="AL2" s="887"/>
      <c r="AM2" s="887"/>
      <c r="AN2" s="887"/>
      <c r="AO2" s="887"/>
      <c r="AP2" s="887"/>
      <c r="AQ2" s="887"/>
      <c r="AR2" s="887"/>
    </row>
    <row r="3" spans="1:46" ht="16.5" hidden="1" customHeight="1" thickBot="1" x14ac:dyDescent="0.25">
      <c r="A3" s="415">
        <v>1</v>
      </c>
      <c r="B3" s="415">
        <v>2</v>
      </c>
      <c r="C3" s="415">
        <v>3</v>
      </c>
      <c r="D3" s="415">
        <v>4</v>
      </c>
      <c r="E3" s="415">
        <v>5</v>
      </c>
      <c r="F3" s="415">
        <v>6</v>
      </c>
      <c r="G3" s="415">
        <v>7</v>
      </c>
      <c r="H3" s="415">
        <v>8</v>
      </c>
      <c r="I3" s="415">
        <v>9</v>
      </c>
      <c r="J3" s="415">
        <v>10</v>
      </c>
      <c r="K3" s="415">
        <v>11</v>
      </c>
      <c r="L3" s="415">
        <v>12</v>
      </c>
      <c r="M3" s="415">
        <v>13</v>
      </c>
      <c r="N3" s="415">
        <v>14</v>
      </c>
      <c r="O3" s="415">
        <v>15</v>
      </c>
      <c r="P3" s="415">
        <v>16</v>
      </c>
      <c r="Q3" s="415">
        <v>17</v>
      </c>
      <c r="R3" s="415">
        <v>18</v>
      </c>
      <c r="S3" s="415">
        <v>19</v>
      </c>
      <c r="T3" s="415">
        <v>20</v>
      </c>
      <c r="U3" s="415">
        <v>21</v>
      </c>
      <c r="V3" s="415">
        <v>22</v>
      </c>
      <c r="W3" s="415">
        <v>23</v>
      </c>
      <c r="X3" s="415">
        <v>24</v>
      </c>
      <c r="Y3" s="415">
        <v>25</v>
      </c>
      <c r="Z3" s="415">
        <v>26</v>
      </c>
      <c r="AA3" s="415">
        <v>27</v>
      </c>
      <c r="AB3" s="415">
        <v>28</v>
      </c>
      <c r="AC3" s="415">
        <v>29</v>
      </c>
      <c r="AD3" s="415"/>
      <c r="AE3" s="415"/>
      <c r="AF3" s="415"/>
      <c r="AG3" s="415"/>
      <c r="AH3" s="415"/>
      <c r="AI3" s="415"/>
      <c r="AJ3" s="415"/>
      <c r="AK3" s="415"/>
      <c r="AL3" s="415"/>
      <c r="AM3" s="415"/>
      <c r="AN3" s="415"/>
      <c r="AO3" s="415"/>
      <c r="AP3" s="415"/>
      <c r="AQ3" s="415"/>
      <c r="AR3" s="415"/>
    </row>
    <row r="4" spans="1:46" ht="15" customHeight="1" x14ac:dyDescent="0.2">
      <c r="A4" s="583" t="s">
        <v>43</v>
      </c>
      <c r="B4" s="585" t="s">
        <v>14</v>
      </c>
      <c r="C4" s="585" t="s">
        <v>15</v>
      </c>
      <c r="D4" s="585" t="s">
        <v>16</v>
      </c>
      <c r="E4" s="585" t="s">
        <v>1</v>
      </c>
      <c r="F4" s="585"/>
      <c r="G4" s="585" t="s">
        <v>774</v>
      </c>
      <c r="H4" s="585" t="s">
        <v>43</v>
      </c>
      <c r="I4" s="585" t="s">
        <v>2</v>
      </c>
      <c r="J4" s="585" t="s">
        <v>20</v>
      </c>
      <c r="K4" s="585" t="s">
        <v>19</v>
      </c>
      <c r="L4" s="585" t="s">
        <v>21</v>
      </c>
      <c r="M4" s="587" t="s">
        <v>3</v>
      </c>
      <c r="N4" s="585" t="s">
        <v>4</v>
      </c>
      <c r="O4" s="585"/>
      <c r="P4" s="587" t="s">
        <v>6</v>
      </c>
      <c r="Q4" s="587" t="s">
        <v>29</v>
      </c>
      <c r="R4" s="587" t="s">
        <v>8</v>
      </c>
      <c r="S4" s="587" t="s">
        <v>30</v>
      </c>
      <c r="T4" s="587"/>
      <c r="U4" s="587" t="s">
        <v>26</v>
      </c>
      <c r="V4" s="587"/>
      <c r="W4" s="587"/>
      <c r="X4" s="587"/>
      <c r="Y4" s="587" t="s">
        <v>5</v>
      </c>
      <c r="Z4" s="587" t="s">
        <v>7</v>
      </c>
      <c r="AA4" s="587" t="s">
        <v>9</v>
      </c>
      <c r="AB4" s="585" t="s">
        <v>1133</v>
      </c>
      <c r="AC4" s="611" t="s">
        <v>1227</v>
      </c>
      <c r="AD4" s="583" t="s">
        <v>1033</v>
      </c>
      <c r="AE4" s="585"/>
      <c r="AF4" s="585"/>
      <c r="AG4" s="585"/>
      <c r="AH4" s="585"/>
      <c r="AI4" s="585"/>
      <c r="AJ4" s="585"/>
      <c r="AK4" s="585"/>
      <c r="AL4" s="585"/>
      <c r="AM4" s="585"/>
      <c r="AN4" s="585"/>
      <c r="AO4" s="589"/>
      <c r="AP4" s="618" t="s">
        <v>1034</v>
      </c>
      <c r="AQ4" s="589"/>
      <c r="AR4" s="614" t="s">
        <v>1035</v>
      </c>
      <c r="AT4" s="2"/>
    </row>
    <row r="5" spans="1:46" ht="15.75" customHeight="1" thickBot="1" x14ac:dyDescent="0.25">
      <c r="A5" s="584"/>
      <c r="B5" s="586"/>
      <c r="C5" s="586"/>
      <c r="D5" s="586"/>
      <c r="E5" s="586"/>
      <c r="F5" s="586"/>
      <c r="G5" s="586"/>
      <c r="H5" s="586"/>
      <c r="I5" s="586"/>
      <c r="J5" s="586"/>
      <c r="K5" s="588"/>
      <c r="L5" s="586"/>
      <c r="M5" s="588"/>
      <c r="N5" s="30" t="s">
        <v>27</v>
      </c>
      <c r="O5" s="30" t="s">
        <v>28</v>
      </c>
      <c r="P5" s="588"/>
      <c r="Q5" s="588"/>
      <c r="R5" s="588"/>
      <c r="S5" s="31" t="s">
        <v>31</v>
      </c>
      <c r="T5" s="31" t="s">
        <v>0</v>
      </c>
      <c r="U5" s="31" t="s">
        <v>22</v>
      </c>
      <c r="V5" s="31" t="s">
        <v>23</v>
      </c>
      <c r="W5" s="31" t="s">
        <v>24</v>
      </c>
      <c r="X5" s="31" t="s">
        <v>25</v>
      </c>
      <c r="Y5" s="588"/>
      <c r="Z5" s="588"/>
      <c r="AA5" s="588"/>
      <c r="AB5" s="586"/>
      <c r="AC5" s="612"/>
      <c r="AD5" s="570" t="s">
        <v>1021</v>
      </c>
      <c r="AE5" s="30" t="s">
        <v>1022</v>
      </c>
      <c r="AF5" s="30" t="s">
        <v>1023</v>
      </c>
      <c r="AG5" s="30" t="s">
        <v>1024</v>
      </c>
      <c r="AH5" s="30" t="s">
        <v>1025</v>
      </c>
      <c r="AI5" s="30" t="s">
        <v>1026</v>
      </c>
      <c r="AJ5" s="30" t="s">
        <v>1027</v>
      </c>
      <c r="AK5" s="30" t="s">
        <v>1028</v>
      </c>
      <c r="AL5" s="30" t="s">
        <v>1029</v>
      </c>
      <c r="AM5" s="30" t="s">
        <v>1030</v>
      </c>
      <c r="AN5" s="30" t="s">
        <v>1031</v>
      </c>
      <c r="AO5" s="571" t="s">
        <v>1032</v>
      </c>
      <c r="AP5" s="888" t="s">
        <v>1230</v>
      </c>
      <c r="AQ5" s="571" t="s">
        <v>1231</v>
      </c>
      <c r="AR5" s="616"/>
      <c r="AT5" s="2"/>
    </row>
    <row r="6" spans="1:46" ht="199.5" customHeight="1" x14ac:dyDescent="0.2">
      <c r="A6" s="877" t="str">
        <f>H6</f>
        <v>1.9.1</v>
      </c>
      <c r="B6" s="380" t="str">
        <f>'PAI 2022 - V4'!A8</f>
        <v>5. Igualdad de Género.
10. Reducción de las desigualdades.
11. Ciudades y comunidades sostenibles.
17. Alianzas para lograr los objetivos.</v>
      </c>
      <c r="C6" s="317" t="str">
        <f>'PAI 2022 - V4'!B8</f>
        <v>Propósito 1
Logro de ciudad: 3 - 9 - 10
Propósito 3
Logro de ciudad: 22 - 23
Propósito 5
Logro de ciudad: 30</v>
      </c>
      <c r="D6" s="317" t="str">
        <f>'PAI 2022 - V4'!C8</f>
        <v>Participación ciudadana en la gestión pública.</v>
      </c>
      <c r="E6" s="9" t="str">
        <f>'PAI 2022 - V4'!D8</f>
        <v>OE_1</v>
      </c>
      <c r="F6" s="317" t="str">
        <f>'PAI 2022 - V4'!E8</f>
        <v>1. Consolidar una oferta de contenidos de interés ciudadano en diferentes formatos y plataformas que promuevan la participación de la ciudadanía.</v>
      </c>
      <c r="G6" s="317" t="str">
        <f>'PAI 2022 - V4'!F8</f>
        <v>9. Promover el relacionamiento con la ciudadanía y grupos poblacionales, a través de diferentes mecanismos, plataformas y herramientas.</v>
      </c>
      <c r="H6" s="9" t="str">
        <f>'PAI 2022 - V4'!G8</f>
        <v>1.9.1</v>
      </c>
      <c r="I6" s="9" t="str">
        <f>'PAI 2022 - V4'!H8</f>
        <v>Capital plural</v>
      </c>
      <c r="J6" s="317" t="str">
        <f>'PAI 2022 - V4'!I8</f>
        <v>Desarrollar un plan de acción interno y externo para la transversalización de las políticas públicas poblacionales y de medios comunitarios, en las prácticas de gestión y misionales propias de Capital.</v>
      </c>
      <c r="K6" s="317" t="str">
        <f>'PAI 2022 - V4'!J8</f>
        <v>Gestión de compromisos poblacionales y de medios comunitarios.</v>
      </c>
      <c r="L6" s="317" t="str">
        <f>'PAI 2022 - V4'!K8</f>
        <v>1 Eficacia: Cumplimiento de metas</v>
      </c>
      <c r="M6" s="317" t="str">
        <f>'PAI 2022 - V4'!L8</f>
        <v>Medir las gestiones adelantadas para el cumplimiento de compromisos sobre políticas públicas poblacionales y medios comunitarios.
Se parte de la atención a los compromisos sobre 6 grupos étnicos, 7 grupos sociales, y medios comunitarios.</v>
      </c>
      <c r="N6" s="9" t="str">
        <f>'PAI 2022 - V4'!M8</f>
        <v>Actividades de gestión adelantadas sobre compromisos poblacionales y de medios comunitarios</v>
      </c>
      <c r="O6" s="9" t="str">
        <f>'PAI 2022 - V4'!N8</f>
        <v>Compromisos adquiridos para grupos poblacionales y de medios comunitarios.</v>
      </c>
      <c r="P6" s="9" t="str">
        <f>'PAI 2022 - V4'!O8</f>
        <v>Porcentaje (%).</v>
      </c>
      <c r="Q6" s="9" t="str">
        <f>'PAI 2022 - V4'!P8</f>
        <v>1 Creciente: El resultado tiende a crecer en el tiempo</v>
      </c>
      <c r="R6" s="16">
        <f>'PAI 2022 - V4'!Q8</f>
        <v>0.95</v>
      </c>
      <c r="S6" s="16">
        <f>'PAI 2022 - V4'!R8</f>
        <v>1</v>
      </c>
      <c r="T6" s="317" t="str">
        <f>'PAI 2022 - V4'!S8</f>
        <v>Atender el 100% de los compromisos adquiridos por parte de Capital en el marco de las políticas públicas poblacionales y medios comunitarios.</v>
      </c>
      <c r="U6" s="9" t="str">
        <f>'PAI 2022 - V4'!T8</f>
        <v>Menos de 70%</v>
      </c>
      <c r="V6" s="9" t="str">
        <f>'PAI 2022 - V4'!U8</f>
        <v>71% - 80%</v>
      </c>
      <c r="W6" s="9" t="str">
        <f>'PAI 2022 - V4'!V8</f>
        <v>81% - 99%</v>
      </c>
      <c r="X6" s="16">
        <f>'PAI 2022 - V4'!W8</f>
        <v>1</v>
      </c>
      <c r="Y6" s="317" t="str">
        <f>'PAI 2022 - V4'!X8</f>
        <v>• Gestionar la generación de contenidos por medio del desarrollo colectivo de proyectos en conjunto con los grupos poblacionales y gestión de recursos sostenibles.
* Apoyar la visibilización de las prácticas, liderazgos y productos de comunicación de los grupo poblacionales y medios comunitarios en las plataformas digitales, señal abierta y en los entornos sonoros.
* Acompañar el fortalecimiento de capacidades del equipo humano de capital en derechos humanos desde una perspectiva plural.
* Promover la transformación e implementación de procesos y procedimientos en el sistema de gestión para la transversalización de los enfoques de política pública orientados a las poblaciones y a la comunicación comunitaria.</v>
      </c>
      <c r="Z6" s="9" t="str">
        <f>'PAI 2022 - V4'!Y8</f>
        <v>3 Trimestral</v>
      </c>
      <c r="AA6" s="317" t="str">
        <f>'PAI 2022 - V4'!Z8</f>
        <v>Podrán reportarse acciones e iniciativas adicionales que se deriven del accionar estratégico de la entidad y que aportan a la visibilización y gestiones de los compromisos definidos.</v>
      </c>
      <c r="AB6" s="9" t="str">
        <f>'PAI 2022 - V4'!AA8</f>
        <v>Gerencia General</v>
      </c>
      <c r="AC6" s="416" t="str">
        <f>'PAI 2022 - V4'!AB8</f>
        <v>Planeación estratégica.</v>
      </c>
      <c r="AD6" s="902">
        <f>10/10</f>
        <v>1</v>
      </c>
      <c r="AE6" s="903"/>
      <c r="AF6" s="903"/>
      <c r="AG6" s="903">
        <f>10/10</f>
        <v>1</v>
      </c>
      <c r="AH6" s="903"/>
      <c r="AI6" s="903"/>
      <c r="AJ6" s="903">
        <f>10/10</f>
        <v>1</v>
      </c>
      <c r="AK6" s="903"/>
      <c r="AL6" s="903"/>
      <c r="AM6" s="903">
        <f>10/10</f>
        <v>1</v>
      </c>
      <c r="AN6" s="903"/>
      <c r="AO6" s="904"/>
      <c r="AP6" s="567" t="s">
        <v>1071</v>
      </c>
      <c r="AQ6" s="568" t="s">
        <v>1208</v>
      </c>
      <c r="AR6" s="905" t="s">
        <v>25</v>
      </c>
    </row>
    <row r="7" spans="1:46" ht="101.25" customHeight="1" x14ac:dyDescent="0.2">
      <c r="A7" s="877" t="str">
        <f t="shared" ref="A7:A53" si="0">H7</f>
        <v>1.2.2</v>
      </c>
      <c r="B7" s="315" t="str">
        <f>'PAI 2022 - V4'!A9</f>
        <v>3. Salud y bienestar.
4. Educación de calidad.
5. Igualdad de Género.
9. Industria, innovación e infraestructura.
10. Reducción de las desigualdades.
17. Alianzas para lograr los objetivos.</v>
      </c>
      <c r="C7" s="316" t="str">
        <f>'PAI 2022 - V4'!B9</f>
        <v>Propósito 1
Logro de ciudad: 3 - 9 - 10
Propósito 3
Logro de ciudad: 22 - 23
Propósito 5
Logro de ciudad: 30</v>
      </c>
      <c r="D7" s="316" t="str">
        <f>'PAI 2022 - V4'!C9</f>
        <v>Participación ciudadana en la gestión pública.</v>
      </c>
      <c r="E7" s="9" t="str">
        <f>'PAI 2022 - V4'!D9</f>
        <v>OE_1</v>
      </c>
      <c r="F7" s="317" t="str">
        <f>'PAI 2022 - V4'!E9</f>
        <v>1. Consolidar una oferta de contenidos de interés ciudadano en diferentes formatos y plataformas que promuevan la participación de la ciudadanía.</v>
      </c>
      <c r="G7" s="317" t="str">
        <f>'PAI 2022 - V4'!F9</f>
        <v>2. Conocer audiencias potenciales de Bogotá-Región en las distintas plataformas. (Identificar, caracterizar y perfilar).</v>
      </c>
      <c r="H7" s="9" t="str">
        <f>'PAI 2022 - V4'!G9</f>
        <v>1.2.2</v>
      </c>
      <c r="I7" s="9" t="str">
        <f>'PAI 2022 - V4'!H9</f>
        <v>Conocimiento de audiencias a través de la estrategia inbound (caracterización de audiencias)</v>
      </c>
      <c r="J7" s="317" t="str">
        <f>'PAI 2022 - V4'!I9</f>
        <v>Conocer y caracterizar las audiencias de Capital, para contar con información que permita desarrollar productos y contenidos enfocados al cliente final.</v>
      </c>
      <c r="K7" s="317" t="str">
        <f>'PAI 2022 - V4'!J9</f>
        <v>Audiencias caracterizadas</v>
      </c>
      <c r="L7" s="317" t="str">
        <f>'PAI 2022 - V4'!K9</f>
        <v>3 Efectividad: Impacto o beneficios generados.</v>
      </c>
      <c r="M7" s="317" t="str">
        <f>'PAI 2022 - V4'!L9</f>
        <v>Capital pretende identificar, a través de este indicador, la caracterización de nuestras audiencias para de esa manera producir y circular contenido de valor para cada una de ellas y sus necesidades. Asimismo, Capital podrá entregar contenido uno a uno con cada ciudadano o ciudadana interesados en la entidad.</v>
      </c>
      <c r="N7" s="9" t="str">
        <f>'PAI 2022 - V4'!M9</f>
        <v>Número de leads convertidos</v>
      </c>
      <c r="O7" s="9" t="str">
        <f>'PAI 2022 - V4'!N9</f>
        <v>Número de visitantes a las plataformas de Capital</v>
      </c>
      <c r="P7" s="9" t="str">
        <f>'PAI 2022 - V4'!O9</f>
        <v>Porcentaje (%)</v>
      </c>
      <c r="Q7" s="9" t="str">
        <f>'PAI 2022 - V4'!P9</f>
        <v>1 Creciente: El resultado tiende a crecer en el tiempo</v>
      </c>
      <c r="R7" s="16" t="str">
        <f>'PAI 2022 - V4'!Q9</f>
        <v>No aplica</v>
      </c>
      <c r="S7" s="318">
        <f>'PAI 2022 - V4'!R9</f>
        <v>1.0333333333333333E-4</v>
      </c>
      <c r="T7" s="317" t="str">
        <f>'PAI 2022 - V4'!S9</f>
        <v>Lograr una tasa de conversión de 0.01% de visitantes a los contenidos de Capital</v>
      </c>
      <c r="U7" s="9" t="str">
        <f>'PAI 2022 - V4'!T9</f>
        <v>&lt;0.0052%</v>
      </c>
      <c r="V7" s="319">
        <f>'PAI 2022 - V4'!U9</f>
        <v>5.1666666666666664E-5</v>
      </c>
      <c r="W7" s="319">
        <f>'PAI 2022 - V4'!V9</f>
        <v>7.2333333333333321E-5</v>
      </c>
      <c r="X7" s="319">
        <f>'PAI 2022 - V4'!W9</f>
        <v>9.8166666666666663E-5</v>
      </c>
      <c r="Y7" s="317" t="str">
        <f>'PAI 2022 - V4'!X9</f>
        <v>1. Diseñar formularios para el registro de datos de las audiencias de Capital.
2. Desarrollar landing pages con contenido atractivo para promover el intercambio de datos.
3. Implementar planes de pauta digital segmentada para cada uno de nuestros proyectos con el fin de finalizar visitantes y convertirlos en leads y leads calificados (sujeto a disponibilidad de recursos).</v>
      </c>
      <c r="Z7" s="9" t="str">
        <f>'PAI 2022 - V4'!Y9</f>
        <v>3 Trimestral</v>
      </c>
      <c r="AA7" s="317" t="str">
        <f>'PAI 2022 - V4'!Z9</f>
        <v>No aplica</v>
      </c>
      <c r="AB7" s="9" t="str">
        <f>'PAI 2022 - V4'!AA9</f>
        <v>Gerencia General</v>
      </c>
      <c r="AC7" s="416" t="str">
        <f>'PAI 2022 - V4'!AB9</f>
        <v>Gestión de las comunicaciones.</v>
      </c>
      <c r="AD7" s="889">
        <f>157/1177977</f>
        <v>1.3327934246593949E-4</v>
      </c>
      <c r="AE7" s="619"/>
      <c r="AF7" s="619"/>
      <c r="AG7" s="619">
        <f>2546/822916</f>
        <v>3.0938759241526475E-3</v>
      </c>
      <c r="AH7" s="619"/>
      <c r="AI7" s="619"/>
      <c r="AJ7" s="619">
        <f>3670/718816</f>
        <v>5.1056181275875882E-3</v>
      </c>
      <c r="AK7" s="619"/>
      <c r="AL7" s="619"/>
      <c r="AM7" s="619">
        <f>96/596014</f>
        <v>1.6107004197887968E-4</v>
      </c>
      <c r="AN7" s="619"/>
      <c r="AO7" s="890"/>
      <c r="AP7" s="562" t="s">
        <v>1136</v>
      </c>
      <c r="AQ7" s="563" t="s">
        <v>1165</v>
      </c>
      <c r="AR7" s="875" t="s">
        <v>25</v>
      </c>
    </row>
    <row r="8" spans="1:46" ht="409.5" customHeight="1" x14ac:dyDescent="0.2">
      <c r="A8" s="877" t="str">
        <f t="shared" si="0"/>
        <v>1.2.3</v>
      </c>
      <c r="B8" s="315" t="str">
        <f>'PAI 2022 - V4'!A10</f>
        <v>3. Salud y bienestar.
4. Educación de calidad.
5. Igualdad de Género.
9. Industria, innovación e infraestructura.
10. Reducción de las desigualdades.
17. Alianzas para lograr los objetivos.</v>
      </c>
      <c r="C8" s="316" t="str">
        <f>'PAI 2022 - V4'!B10</f>
        <v>Propósito 1
Logro de ciudad: 3 - 9 - 10
Propósito 3
Logro de ciudad: 22 - 23
Propósito 5
Logro de ciudad: 30</v>
      </c>
      <c r="D8" s="316" t="str">
        <f>'PAI 2022 - V4'!C10</f>
        <v>Participación ciudadana en la gestión pública.</v>
      </c>
      <c r="E8" s="9" t="str">
        <f>'PAI 2022 - V4'!D10</f>
        <v>OE_1</v>
      </c>
      <c r="F8" s="317" t="str">
        <f>'PAI 2022 - V4'!E10</f>
        <v>1. Consolidar una oferta de contenidos de interés ciudadano en diferentes formatos y plataformas que promuevan la participación de la ciudadanía.</v>
      </c>
      <c r="G8" s="317" t="str">
        <f>'PAI 2022 - V4'!F10</f>
        <v>2. Conocer audiencias potenciales de Bogotá-Región en las distintas plataformas. (Identificar, caracterizar y perfilar).</v>
      </c>
      <c r="H8" s="9" t="str">
        <f>'PAI 2022 - V4'!G10</f>
        <v>1.2.3</v>
      </c>
      <c r="I8" s="9" t="str">
        <f>'PAI 2022 - V4'!H10</f>
        <v>Conocimiento de audiencias a través de la estrategia inbound (desarrollo de proyectos)</v>
      </c>
      <c r="J8" s="317" t="str">
        <f>'PAI 2022 - V4'!I10</f>
        <v>Conocer y caracterizar las audiencias de Capital, para contar con información que permita desarrollar productos y contenidos enfocados al cliente final.</v>
      </c>
      <c r="K8" s="316" t="str">
        <f>'PAI 2022 - V4'!J10</f>
        <v>Proyectos desarrollados a través de la estrategia inbound</v>
      </c>
      <c r="L8" s="317" t="str">
        <f>'PAI 2022 - V4'!K10</f>
        <v>2 Eficiencia: Uso de los recursos.</v>
      </c>
      <c r="M8" s="316" t="str">
        <f>'PAI 2022 - V4'!L10</f>
        <v>Con este indicador, Capital quiere segmentar e identificar los intereses de la ciudadanía en cada uno de los proyectos que tiene la entidad y el estado de avance de los mismos.</v>
      </c>
      <c r="N8" s="266" t="str">
        <f>'PAI 2022 - V4'!M10</f>
        <v xml:space="preserve">Porcentaje de avance en los proyectos </v>
      </c>
      <c r="O8" s="266" t="str">
        <f>'PAI 2022 - V4'!N10</f>
        <v>Número de proyectos a adelantar en la vigencia</v>
      </c>
      <c r="P8" s="9" t="str">
        <f>'PAI 2022 - V4'!O10</f>
        <v>Porcentaje (%)</v>
      </c>
      <c r="Q8" s="9" t="str">
        <f>'PAI 2022 - V4'!P10</f>
        <v>1 Creciente: El resultado tiende a crecer en el tiempo</v>
      </c>
      <c r="R8" s="16" t="str">
        <f>'PAI 2022 - V4'!Q10</f>
        <v>No aplica</v>
      </c>
      <c r="S8" s="12">
        <f>'PAI 2022 - V4'!R10</f>
        <v>0.95</v>
      </c>
      <c r="T8" s="316" t="str">
        <f>'PAI 2022 - V4'!S10</f>
        <v xml:space="preserve">Lograr el 95% de avance en la ejecución de los proyectos de Capital </v>
      </c>
      <c r="U8" s="266" t="str">
        <f>'PAI 2022 - V4'!T10</f>
        <v>&lt;40%</v>
      </c>
      <c r="V8" s="266" t="str">
        <f>'PAI 2022 - V4'!U10</f>
        <v>40% - 70%</v>
      </c>
      <c r="W8" s="12" t="str">
        <f>'PAI 2022 - V4'!V10</f>
        <v>70% - 94%</v>
      </c>
      <c r="X8" s="12">
        <f>'PAI 2022 - V4'!W10</f>
        <v>0.95</v>
      </c>
      <c r="Y8" s="316" t="str">
        <f>'PAI 2022 - V4'!X10</f>
        <v>1. Adelantar 4 proyectos de inbound marketing para las áreas de Eureka, Comunicaciones y Proyectos estratégicos.
2. Semanalmente se adelantan comités de inbound marketing para analizar el avance en la implementación de los proyectos.
3. Trimestralmente se consolida y reporta el avance en los 4 proyectos.</v>
      </c>
      <c r="Z8" s="9" t="str">
        <f>'PAI 2022 - V4'!Y10</f>
        <v>3 Trimestral</v>
      </c>
      <c r="AA8" s="317" t="str">
        <f>'PAI 2022 - V4'!Z10</f>
        <v>No aplica</v>
      </c>
      <c r="AB8" s="9" t="str">
        <f>'PAI 2022 - V4'!AA10</f>
        <v>Gerencia General</v>
      </c>
      <c r="AC8" s="416" t="str">
        <f>'PAI 2022 - V4'!AB10</f>
        <v>Gestión de las comunicaciones.</v>
      </c>
      <c r="AD8" s="891">
        <f>((1*100%)+(1*100%)+(1*40%)+(1*40%))/4</f>
        <v>0.7</v>
      </c>
      <c r="AE8" s="617"/>
      <c r="AF8" s="617"/>
      <c r="AG8" s="617">
        <f>((1*100%)+(1*100%)+(1*80%)+(1*100%))/4</f>
        <v>0.95</v>
      </c>
      <c r="AH8" s="617"/>
      <c r="AI8" s="617"/>
      <c r="AJ8" s="617">
        <f>((1*100%)+(1*100%)+(1*80%)+(1*100%))/4</f>
        <v>0.95</v>
      </c>
      <c r="AK8" s="617"/>
      <c r="AL8" s="617"/>
      <c r="AM8" s="617">
        <f>((1*100%)+(1*100%))/2</f>
        <v>1</v>
      </c>
      <c r="AN8" s="617"/>
      <c r="AO8" s="892"/>
      <c r="AP8" s="562" t="s">
        <v>1137</v>
      </c>
      <c r="AQ8" s="563" t="s">
        <v>1166</v>
      </c>
      <c r="AR8" s="875" t="s">
        <v>25</v>
      </c>
    </row>
    <row r="9" spans="1:46" ht="198.75" customHeight="1" x14ac:dyDescent="0.2">
      <c r="A9" s="877" t="str">
        <f t="shared" si="0"/>
        <v>5.7.1</v>
      </c>
      <c r="B9" s="380" t="str">
        <f>'PAI 2022 - V4'!A11</f>
        <v>3. Salud y bienestar.
16. Paz, justicia e instituciones sólidas.</v>
      </c>
      <c r="C9" s="317" t="str">
        <f>'PAI 2022 - V4'!B11</f>
        <v>Propósito 1
Logro de ciudad: 3 - 5
Propósito 5
Logro de ciudad: 30</v>
      </c>
      <c r="D9" s="317" t="str">
        <f>'PAI 2022 - V4'!C11</f>
        <v>Gestión del conocimiento y la innovación.</v>
      </c>
      <c r="E9" s="9" t="str">
        <f>'PAI 2022 - V4'!D11</f>
        <v>OE_5</v>
      </c>
      <c r="F9" s="317" t="str">
        <f>'PAI 2022 - V4'!E11</f>
        <v xml:space="preserve">5. Fortalecer la capacidad organizacional de Capital para ser una empresa transparente, eficiente y sostenible. </v>
      </c>
      <c r="G9" s="317" t="str">
        <f>'PAI 2022 - V4'!F11</f>
        <v>7. Adelantar fases de diagnóstico, actualización e implementación de una cultura digital y de gestión del conocimiento.</v>
      </c>
      <c r="H9" s="9" t="str">
        <f>'PAI 2022 - V4'!G11</f>
        <v>5.7.1</v>
      </c>
      <c r="I9" s="9" t="str">
        <f>'PAI 2022 - V4'!H11</f>
        <v>Impulso y apropiación de herramientas de lecciones aprendidas.</v>
      </c>
      <c r="J9" s="317" t="str">
        <f>'PAI 2022 - V4'!I11</f>
        <v>Posicionar al interior de Capital la cultura de gestión del conocimiento</v>
      </c>
      <c r="K9" s="317" t="str">
        <f>'PAI 2022 - V4'!J11</f>
        <v>Lecciones aprendidas consolidadas.</v>
      </c>
      <c r="L9" s="317" t="str">
        <f>'PAI 2022 - V4'!K11</f>
        <v>1 Eficacia: Cumplimiento de metas</v>
      </c>
      <c r="M9" s="317" t="str">
        <f>'PAI 2022 - V4'!L11</f>
        <v>Medir la cantidad de lecciones aprendidas que se consolidan en la herramienta.</v>
      </c>
      <c r="N9" s="9" t="str">
        <f>'PAI 2022 - V4'!M11</f>
        <v>Lecciones aprendidas documentadas</v>
      </c>
      <c r="O9" s="9" t="str">
        <f>'PAI 2022 - V4'!N11</f>
        <v>Lecciones aprendidas identificadas para documentar.</v>
      </c>
      <c r="P9" s="9" t="str">
        <f>'PAI 2022 - V4'!O11</f>
        <v>Porcentaje (%)</v>
      </c>
      <c r="Q9" s="9" t="str">
        <f>'PAI 2022 - V4'!P11</f>
        <v>1 Creciente: El resultado tiende a crecer en el tiempo</v>
      </c>
      <c r="R9" s="9">
        <f>'PAI 2022 - V4'!Q11</f>
        <v>2</v>
      </c>
      <c r="S9" s="9">
        <f>'PAI 2022 - V4'!R11</f>
        <v>2</v>
      </c>
      <c r="T9" s="317" t="str">
        <f>'PAI 2022 - V4'!S11</f>
        <v>Adelantar la documentación y análisis de dos (2) experiencias al interior de la entidad que puedan ser catalogadas como lecciones aprendidas, de acuerdo con las gestiones adelantadas en la vigencia 2021 y experiencias de la vigencia 2022.</v>
      </c>
      <c r="U9" s="16">
        <f>'PAI 2022 - V4'!T11</f>
        <v>0.3</v>
      </c>
      <c r="V9" s="9" t="str">
        <f>'PAI 2022 - V4'!U11</f>
        <v>31% - 60%</v>
      </c>
      <c r="W9" s="9" t="str">
        <f>'PAI 2022 - V4'!V11</f>
        <v>61% - 90%</v>
      </c>
      <c r="X9" s="16">
        <f>'PAI 2022 - V4'!W11</f>
        <v>1</v>
      </c>
      <c r="Y9" s="317" t="str">
        <f>'PAI 2022 - V4'!X11</f>
        <v xml:space="preserve">1. Definición de los proyectos a los cuales se les documentará lecciones aprendidas.
2. Elaboración de los documentos de lecciones aprendidas.
3. Presentación de resultados. </v>
      </c>
      <c r="Z9" s="9" t="str">
        <f>'PAI 2022 - V4'!Y11</f>
        <v>3 Trimestral</v>
      </c>
      <c r="AA9" s="317" t="str">
        <f>'PAI 2022 - V4'!Z11</f>
        <v>Esta acción se llevará a cabo en colaboración con el área de sistemas de la Subdirección Administrativa.</v>
      </c>
      <c r="AB9" s="9" t="str">
        <f>'PAI 2022 - V4'!AA11</f>
        <v>Gerencia General</v>
      </c>
      <c r="AC9" s="416" t="str">
        <f>'PAI 2022 - V4'!AB11</f>
        <v>Planeación estratégica.</v>
      </c>
      <c r="AD9" s="891">
        <f>((1*40%)+(1*0%))/2</f>
        <v>0.2</v>
      </c>
      <c r="AE9" s="617"/>
      <c r="AF9" s="617"/>
      <c r="AG9" s="617">
        <f>((1*50%)+(1*20%))/2</f>
        <v>0.35</v>
      </c>
      <c r="AH9" s="617"/>
      <c r="AI9" s="617"/>
      <c r="AJ9" s="617">
        <f>((1*100%)+(1*80%))/2</f>
        <v>0.9</v>
      </c>
      <c r="AK9" s="617"/>
      <c r="AL9" s="617"/>
      <c r="AM9" s="617">
        <f>((1*100%)+(1*100%))/2</f>
        <v>1</v>
      </c>
      <c r="AN9" s="617"/>
      <c r="AO9" s="892"/>
      <c r="AP9" s="562" t="s">
        <v>1073</v>
      </c>
      <c r="AQ9" s="563" t="s">
        <v>1167</v>
      </c>
      <c r="AR9" s="875" t="s">
        <v>25</v>
      </c>
    </row>
    <row r="10" spans="1:46" ht="257.25" customHeight="1" x14ac:dyDescent="0.2">
      <c r="A10" s="877" t="str">
        <f t="shared" si="0"/>
        <v>5.6.2</v>
      </c>
      <c r="B10" s="315" t="str">
        <f>'PAI 2022 - V4'!A12</f>
        <v>16. Paz, justicia e instituciones sólidas.</v>
      </c>
      <c r="C10" s="316" t="str">
        <f>'PAI 2022 - V4'!B12</f>
        <v>Propósito 5 
Logro de ciudad: 30</v>
      </c>
      <c r="D10" s="316" t="str">
        <f>'PAI 2022 - V4'!C12</f>
        <v>Planeación estratégica.
Seguimiento y evaluación del desempeño institucional</v>
      </c>
      <c r="E10" s="266" t="str">
        <f>'PAI 2022 - V4'!D12</f>
        <v>OE_5</v>
      </c>
      <c r="F10" s="316" t="str">
        <f>'PAI 2022 - V4'!E12</f>
        <v xml:space="preserve">5. Fortalecer la capacidad organizacional de Capital para ser una empresa transparente, eficiente y sostenible. </v>
      </c>
      <c r="G10" s="316" t="str">
        <f>'PAI 2022 - V4'!F12</f>
        <v>6. Articular los procesos y flujos de trabajo a la estructura de Capital.</v>
      </c>
      <c r="H10" s="266" t="str">
        <f>'PAI 2022 - V4'!G12</f>
        <v>5.6.2</v>
      </c>
      <c r="I10" s="266" t="str">
        <f>'PAI 2022 - V4'!H12</f>
        <v>Plan de Fortalecimiento Institucional - PFI (Anexo 1)</v>
      </c>
      <c r="J10" s="316" t="str">
        <f>'PAI 2022 - V4'!I12</f>
        <v>Hacer seguimiento a la implementación de las acciones definidas para el cumplimiento del Modelo Integrado de Planeación y Gestión - MIPG, a través del Plan de Fortalecimiento Institucional - PFI.</v>
      </c>
      <c r="K10" s="316" t="str">
        <f>'PAI 2022 - V4'!J12</f>
        <v>Porcentaje de cumplimiento de los resultados del plan de fortalecimiento institucional.</v>
      </c>
      <c r="L10" s="316" t="str">
        <f>'PAI 2022 - V4'!K12</f>
        <v>2 Eficiencia: Uso de los recursos.</v>
      </c>
      <c r="M10" s="316" t="str">
        <f>'PAI 2022 - V4'!L12</f>
        <v>Realizar seguimientos sobre los avances mensuales a los resultados del plan de fortalecimiento institucional, con el fin de cumplir los requisitos de implementación y mantenimiento del Modelo Integrado de Planeación y Gestión - MIPG.</v>
      </c>
      <c r="N10" s="266" t="str">
        <f>'PAI 2022 - V4'!M12</f>
        <v>Porcentaje de avances ejecutado para el mes</v>
      </c>
      <c r="O10" s="266" t="str">
        <f>'PAI 2022 - V4'!N12</f>
        <v>Porcentaje de avances programado para el mes</v>
      </c>
      <c r="P10" s="266" t="str">
        <f>'PAI 2022 - V4'!O12</f>
        <v>Porcentaje (%)</v>
      </c>
      <c r="Q10" s="266" t="str">
        <f>'PAI 2022 - V4'!P12</f>
        <v>1 Creciente: El resultado tiende a crecer en el tiempo</v>
      </c>
      <c r="R10" s="13">
        <f>'PAI 2022 - V4'!Q12</f>
        <v>0.98629999999999995</v>
      </c>
      <c r="S10" s="12">
        <f>'PAI 2022 - V4'!R12</f>
        <v>0.9</v>
      </c>
      <c r="T10" s="316" t="str">
        <f>'PAI 2022 - V4'!S12</f>
        <v>Lograr como mínimo el cumplimiento del 90% de los compromisos establecidos en el Plan de Fortalecimiento Institucional - PFI para la implementación del Modelo Integrado de Planeación y Gestión en la vigencia 2022.</v>
      </c>
      <c r="U10" s="12">
        <f>'PAI 2022 - V4'!T12</f>
        <v>0.3</v>
      </c>
      <c r="V10" s="266" t="str">
        <f>'PAI 2022 - V4'!U12</f>
        <v>31% - 60%</v>
      </c>
      <c r="W10" s="266" t="str">
        <f>'PAI 2022 - V4'!V12</f>
        <v>61% - 90%</v>
      </c>
      <c r="X10" s="12">
        <f>'PAI 2022 - V4'!W12</f>
        <v>0.9</v>
      </c>
      <c r="Y10" s="316" t="str">
        <f>'PAI 2022 - V4'!X12</f>
        <v>1. Mensualmente adelantar seguimiento a los resultados del PFI para reporte al SPI.
2. Trimestralmente consolidar el avance para el reporte a proyectos de inversión en SEGPLAN.</v>
      </c>
      <c r="Z10" s="266" t="str">
        <f>'PAI 2022 - V4'!Y12</f>
        <v>1 Mensual</v>
      </c>
      <c r="AA10" s="316" t="str">
        <f>'PAI 2022 - V4'!Z12</f>
        <v>No aplica</v>
      </c>
      <c r="AB10" s="266" t="str">
        <f>'PAI 2022 - V4'!AA12</f>
        <v>Gerencia General</v>
      </c>
      <c r="AC10" s="417" t="str">
        <f>'PAI 2022 - V4'!AB12</f>
        <v>Planeación estratégica.</v>
      </c>
      <c r="AD10" s="893">
        <f>0.58/0.58</f>
        <v>1</v>
      </c>
      <c r="AE10" s="504">
        <f>5.37/5.37</f>
        <v>1</v>
      </c>
      <c r="AF10" s="504">
        <f>20.43/19.28</f>
        <v>1.0596473029045643</v>
      </c>
      <c r="AG10" s="504">
        <f>27.43/27.2</f>
        <v>1.0084558823529413</v>
      </c>
      <c r="AH10" s="504">
        <f>38/38.69</f>
        <v>0.98216593434996124</v>
      </c>
      <c r="AI10" s="504">
        <f>46.96/51.1</f>
        <v>0.91898238747553818</v>
      </c>
      <c r="AJ10" s="504">
        <f>55.4/59.92</f>
        <v>0.92456608811748997</v>
      </c>
      <c r="AK10" s="504">
        <f>64.27/69.8</f>
        <v>0.9207736389684813</v>
      </c>
      <c r="AL10" s="504">
        <f>78.06/81.07</f>
        <v>0.96287159245096843</v>
      </c>
      <c r="AM10" s="504">
        <f>88.4/90.61</f>
        <v>0.97560975609756106</v>
      </c>
      <c r="AN10" s="504">
        <f>96.55/94.96</f>
        <v>1.0167438921651222</v>
      </c>
      <c r="AO10" s="894">
        <f>98.93/100</f>
        <v>0.98930000000000007</v>
      </c>
      <c r="AP10" s="562" t="s">
        <v>1153</v>
      </c>
      <c r="AQ10" s="563" t="s">
        <v>1168</v>
      </c>
      <c r="AR10" s="875" t="s">
        <v>25</v>
      </c>
    </row>
    <row r="11" spans="1:46" ht="144.75" customHeight="1" x14ac:dyDescent="0.2">
      <c r="A11" s="877" t="str">
        <f t="shared" si="0"/>
        <v>5.5.3</v>
      </c>
      <c r="B11" s="315" t="str">
        <f>'PAI 2022 - V4'!A13</f>
        <v>5. Igualdad de Género.
10. Reducción de las desigualdades.
11. Ciudades y comunidades sostenibles.
16. Paz, justicia e instituciones sólidas.
17. Alianzas para lograr los objetivos.</v>
      </c>
      <c r="C11" s="316" t="str">
        <f>'PAI 2022 - V4'!B13</f>
        <v>Propósito 1
Logro de ciudad: 3 - 9 - 10
Propósito 3
Logro de ciudad: 22 - 23
Propósito 5
Logro de ciudad: 30</v>
      </c>
      <c r="D11" s="316" t="str">
        <f>'PAI 2022 - V4'!C13</f>
        <v>Planeación estratégica.
Seguimiento y evaluación del desempeño institucional
Participación ciudadana en la gestión pública.</v>
      </c>
      <c r="E11" s="266" t="str">
        <f>'PAI 2022 - V4'!D13</f>
        <v>OE_5</v>
      </c>
      <c r="F11" s="316" t="str">
        <f>'PAI 2022 - V4'!E13</f>
        <v xml:space="preserve">5. Fortalecer la capacidad organizacional de Capital para ser una empresa transparente, eficiente y sostenible. </v>
      </c>
      <c r="G11" s="316" t="str">
        <f>'PAI 2022 - V4'!F13</f>
        <v>5. Realizar el diagnóstico, diseño e implementación de una estructura administrativa acorde a las necesidades de Capital.</v>
      </c>
      <c r="H11" s="266" t="str">
        <f>'PAI 2022 - V4'!G13</f>
        <v>5.5.3</v>
      </c>
      <c r="I11" s="266" t="str">
        <f>'PAI 2022 - V4'!H13</f>
        <v xml:space="preserve">Implementación y seguimiento al cronograma de informes de segunda línea de defensa a cargo de planeación </v>
      </c>
      <c r="J11" s="316" t="str">
        <f>'PAI 2022 - V4'!I13</f>
        <v>Identificar las diferentes temáticas de gestión que se desarrollan desde planeación y que son articuladas en el cronograma de informes de segunda línea de defensa a cargo de planeación.</v>
      </c>
      <c r="K11" s="316" t="str">
        <f>'PAI 2022 - V4'!J13</f>
        <v xml:space="preserve">Porcentaje del cumplimiento oportuno del cronograma de informes a cargo de planeación </v>
      </c>
      <c r="L11" s="316" t="str">
        <f>'PAI 2022 - V4'!K13</f>
        <v>1 Eficacia: Cumplimiento de metas</v>
      </c>
      <c r="M11" s="316" t="str">
        <f>'PAI 2022 - V4'!L13</f>
        <v xml:space="preserve">Con este indicador se pretende medir la oportunidad en los reportes de información respecto a la planeación establecida para el seguimiento a las diferentes temáticas de planeación, permitiendo generar alertas tempranas a posibles incumplimientos. </v>
      </c>
      <c r="N11" s="266" t="str">
        <f>'PAI 2022 - V4'!M13</f>
        <v xml:space="preserve">Número de informes o reportes ejecutados oportunamente por planeación </v>
      </c>
      <c r="O11" s="266" t="str">
        <f>'PAI 2022 - V4'!N13</f>
        <v xml:space="preserve">Número de informes o reportes programados para ser ejecutados por planeación </v>
      </c>
      <c r="P11" s="266" t="str">
        <f>'PAI 2022 - V4'!O13</f>
        <v>Porcentaje (%)</v>
      </c>
      <c r="Q11" s="266" t="str">
        <f>'PAI 2022 - V4'!P13</f>
        <v>2 Constante: Se espera un valor o rango de resultado estable en el tiempo</v>
      </c>
      <c r="R11" s="13">
        <f>'PAI 2022 - V4'!Q13</f>
        <v>0.96699999999999997</v>
      </c>
      <c r="S11" s="12">
        <f>'PAI 2022 - V4'!R13</f>
        <v>1</v>
      </c>
      <c r="T11" s="316" t="str">
        <f>'PAI 2022 - V4'!S13</f>
        <v xml:space="preserve">Dar cumplimiento al 100% de los compromisos de planeación en la presentación de informes o reportes asignados al área  </v>
      </c>
      <c r="U11" s="12">
        <f>'PAI 2022 - V4'!T13</f>
        <v>0.3</v>
      </c>
      <c r="V11" s="266" t="str">
        <f>'PAI 2022 - V4'!U13</f>
        <v>31% - 70%</v>
      </c>
      <c r="W11" s="266" t="str">
        <f>'PAI 2022 - V4'!V13</f>
        <v>71% - 99%</v>
      </c>
      <c r="X11" s="12">
        <f>'PAI 2022 - V4'!W13</f>
        <v>1</v>
      </c>
      <c r="Y11" s="316" t="str">
        <f>'PAI 2022 - V4'!X13</f>
        <v>1. Publicar y socializar el cronograma de informes de segunda línea de defensa (20%). 
2. Llevar a cabo los seguimientos programados según las temáticas definidas a cargo de planeación (60%). 
3. Revisar y analizar posibles mejoras a partir de los seguimientos a través del Plan de Acción Institucional (20%).</v>
      </c>
      <c r="Z11" s="266" t="str">
        <f>'PAI 2022 - V4'!Y13</f>
        <v>3 Trimestral</v>
      </c>
      <c r="AA11" s="316" t="str">
        <f>'PAI 2022 - V4'!Z13</f>
        <v>No aplica</v>
      </c>
      <c r="AB11" s="266" t="str">
        <f>'PAI 2022 - V4'!AA13</f>
        <v>Gerencia General</v>
      </c>
      <c r="AC11" s="417" t="str">
        <f>'PAI 2022 - V4'!AB13</f>
        <v>Planeación estratégica.</v>
      </c>
      <c r="AD11" s="891">
        <f>35/35</f>
        <v>1</v>
      </c>
      <c r="AE11" s="617"/>
      <c r="AF11" s="617"/>
      <c r="AG11" s="617">
        <f>24/24</f>
        <v>1</v>
      </c>
      <c r="AH11" s="617"/>
      <c r="AI11" s="617"/>
      <c r="AJ11" s="617">
        <f>36/36</f>
        <v>1</v>
      </c>
      <c r="AK11" s="617"/>
      <c r="AL11" s="617"/>
      <c r="AM11" s="617">
        <f>23/23</f>
        <v>1</v>
      </c>
      <c r="AN11" s="617"/>
      <c r="AO11" s="892"/>
      <c r="AP11" s="562" t="s">
        <v>1154</v>
      </c>
      <c r="AQ11" s="563" t="s">
        <v>1169</v>
      </c>
      <c r="AR11" s="875" t="s">
        <v>25</v>
      </c>
    </row>
    <row r="12" spans="1:46" ht="158.25" customHeight="1" x14ac:dyDescent="0.2">
      <c r="A12" s="877" t="str">
        <f t="shared" si="0"/>
        <v>5.5.4</v>
      </c>
      <c r="B12" s="315" t="str">
        <f>'PAI 2022 - V4'!A14</f>
        <v>16. Paz, justicia e instituciones sólidas.</v>
      </c>
      <c r="C12" s="316" t="str">
        <f>'PAI 2022 - V4'!B14</f>
        <v>Propósito 5 
Logro de ciudad: 30</v>
      </c>
      <c r="D12" s="316" t="str">
        <f>'PAI 2022 - V4'!C14</f>
        <v>Planeación estratégica.
Seguimiento y evaluación del desempeño institucional</v>
      </c>
      <c r="E12" s="266" t="str">
        <f>'PAI 2022 - V4'!D14</f>
        <v>OE_5</v>
      </c>
      <c r="F12" s="316" t="str">
        <f>'PAI 2022 - V4'!E14</f>
        <v xml:space="preserve">5. Fortalecer la capacidad organizacional de Capital para ser una empresa transparente, eficiente y sostenible. </v>
      </c>
      <c r="G12" s="316" t="str">
        <f>'PAI 2022 - V4'!F14</f>
        <v>5. Realizar el diagnóstico, diseño e implementación de una estructura administrativa acorde a las necesidades de Capital.</v>
      </c>
      <c r="H12" s="266" t="str">
        <f>'PAI 2022 - V4'!G14</f>
        <v>5.5.4</v>
      </c>
      <c r="I12" s="266" t="str">
        <f>'PAI 2022 - V4'!H14</f>
        <v>Seguimiento a la ejecución de recursos del Plan Anual de Adquisiciones - PAA.</v>
      </c>
      <c r="J12" s="316" t="str">
        <f>'PAI 2022 - V4'!I14</f>
        <v>Medir el nivel de cumplimiento en la ejecución de los recursos sobre las adquisiciones planeadas para la vigencia</v>
      </c>
      <c r="K12" s="316" t="str">
        <f>'PAI 2022 - V4'!J14</f>
        <v xml:space="preserve">Porcentaje de cumplimiento del Plan Anual de Adquisiciones </v>
      </c>
      <c r="L12" s="316" t="str">
        <f>'PAI 2022 - V4'!K14</f>
        <v>2 Eficiencia: Uso de los recursos.</v>
      </c>
      <c r="M12" s="316" t="str">
        <f>'PAI 2022 - V4'!L14</f>
        <v>El Plan Anual de Adquisiciones - PAA es la herramienta de planeación institucional a través de la cual se identifican y proyectan las necesidades de productos y servicios requeridos para la correcta operación de la entidad a lo largo de la vigencia y facilita su seguimiento a lo largo del año en términos de verificar el nivel de cumplimiento en la ejecución del presupuesto asignado. 
Con este indicador se pretende establecer el nivel de cumplimiento del Plan Anual de Adquisiciones - PAA respecto a la programación que establece cada área, en su construcción y modificaciones.</v>
      </c>
      <c r="N12" s="266" t="str">
        <f>'PAI 2022 - V4'!M14</f>
        <v>Recursos ejecutados del Plan Anual de Adquisiciones - PAA de la vigencia 2022</v>
      </c>
      <c r="O12" s="266" t="str">
        <f>'PAI 2022 - V4'!N14</f>
        <v>Total de recursos programados en el Plan Anual de Adquisiciones - PAA para la vigencia 2022</v>
      </c>
      <c r="P12" s="266" t="str">
        <f>'PAI 2022 - V4'!O14</f>
        <v>Porcentaje (%)</v>
      </c>
      <c r="Q12" s="266" t="str">
        <f>'PAI 2022 - V4'!P14</f>
        <v>1 Creciente: El resultado tiende a crecer en el tiempo</v>
      </c>
      <c r="R12" s="13">
        <f>'PAI 2022 - V4'!Q14</f>
        <v>0.95240000000000002</v>
      </c>
      <c r="S12" s="12">
        <f>'PAI 2022 - V4'!R14</f>
        <v>0.9</v>
      </c>
      <c r="T12" s="316" t="str">
        <f>'PAI 2022 - V4'!S14</f>
        <v>Lograr la ejecución presupuestal como mínimo al 90% de acuerdo con la programación establecida en el Plan Anual de Adquisiciones - PAA.</v>
      </c>
      <c r="U12" s="12">
        <f>'PAI 2022 - V4'!T14</f>
        <v>0.3</v>
      </c>
      <c r="V12" s="266" t="str">
        <f>'PAI 2022 - V4'!U14</f>
        <v>31% - 60%</v>
      </c>
      <c r="W12" s="266" t="str">
        <f>'PAI 2022 - V4'!V14</f>
        <v>61% - 90%</v>
      </c>
      <c r="X12" s="12">
        <f>'PAI 2022 - V4'!W14</f>
        <v>0.9</v>
      </c>
      <c r="Y12" s="316" t="str">
        <f>'PAI 2022 - V4'!X14</f>
        <v>1. Elaboración del Plan Anual de Adquisiciones - PAA de acuerdo con el presupuesto (40%). 
2. Actualizar el Plan Anual de Adquisiciones - PAA de acuerdo con los reportes del BOGDATA (30%)
3. Actualizaciones del Plan Anual de Adquisiciones PAA según solicitudes generadas por la diferentes áreas (30%).</v>
      </c>
      <c r="Z12" s="266" t="str">
        <f>'PAI 2022 - V4'!Y14</f>
        <v>3 Trimestral</v>
      </c>
      <c r="AA12" s="316" t="str">
        <f>'PAI 2022 - V4'!Z14</f>
        <v xml:space="preserve">No aplica </v>
      </c>
      <c r="AB12" s="266" t="str">
        <f>'PAI 2022 - V4'!AA14</f>
        <v>Gerencia General</v>
      </c>
      <c r="AC12" s="417" t="str">
        <f>'PAI 2022 - V4'!AB14</f>
        <v>Planeación estratégica.</v>
      </c>
      <c r="AD12" s="891">
        <f>14992384843/29425936359</f>
        <v>0.50949559123934351</v>
      </c>
      <c r="AE12" s="617"/>
      <c r="AF12" s="617"/>
      <c r="AG12" s="617">
        <f>19511125262/33941050529</f>
        <v>0.57485331060478684</v>
      </c>
      <c r="AH12" s="617"/>
      <c r="AI12" s="617"/>
      <c r="AJ12" s="617">
        <f>27618533083/29085131243</f>
        <v>0.9495756732968853</v>
      </c>
      <c r="AK12" s="617"/>
      <c r="AL12" s="617"/>
      <c r="AM12" s="617">
        <f>40857325600/41442831958</f>
        <v>0.98587195106277059</v>
      </c>
      <c r="AN12" s="617"/>
      <c r="AO12" s="892"/>
      <c r="AP12" s="562" t="s">
        <v>1077</v>
      </c>
      <c r="AQ12" s="563" t="s">
        <v>1170</v>
      </c>
      <c r="AR12" s="875" t="s">
        <v>25</v>
      </c>
    </row>
    <row r="13" spans="1:46" ht="140.25" customHeight="1" x14ac:dyDescent="0.2">
      <c r="A13" s="877" t="str">
        <f t="shared" si="0"/>
        <v>2.9.1</v>
      </c>
      <c r="B13" s="315" t="str">
        <f>'PAI 2022 - V4'!A15</f>
        <v>11. Ciudades y comunidades sostenibles.
17. Alianzas para lograr los objetivos.</v>
      </c>
      <c r="C13" s="316" t="str">
        <f>'PAI 2022 - V4'!B15</f>
        <v>Propósito 5
Logro de ciudad: 27 - 30</v>
      </c>
      <c r="D13" s="316" t="str">
        <f>'PAI 2022 - V4'!C15</f>
        <v>Transparencia, acceso a la información y lucha contra la corrupción.</v>
      </c>
      <c r="E13" s="266" t="str">
        <f>'PAI 2022 - V4'!D15</f>
        <v>OE_2</v>
      </c>
      <c r="F13" s="316" t="str">
        <f>'PAI 2022 - V4'!E15</f>
        <v>2. Implementar prácticas de innovación en diseño, gestión, producción y circulación de contenidos para el posicionamiento del Sistema de Comunicación Pública en la Bogotá Región y la generación de múltiples audiencias ciudadanas.</v>
      </c>
      <c r="G13" s="316" t="str">
        <f>'PAI 2022 - V4'!F15</f>
        <v>9. Promover el relacionamiento con la ciudadanía y grupos poblacionales, a través de diferentes mecanismos, plataformas y herramientas.</v>
      </c>
      <c r="H13" s="266" t="str">
        <f>'PAI 2022 - V4'!G15</f>
        <v>2.9.1</v>
      </c>
      <c r="I13" s="266" t="str">
        <f>'PAI 2022 - V4'!H15</f>
        <v>Plan de Comunicaciones externas - informes mensuales de trabajo conjunto con entidades.</v>
      </c>
      <c r="J13" s="316" t="str">
        <f>'PAI 2022 - V4'!I15</f>
        <v>Impulsar el posicionamiento de Capital en las diferentes entidades del orden Distrital, Regional y Nacional.
Con este se busca crear trabajo conjunto con las áreas creativas de Capital, las entidades del Distrito, canales regionales y aliados.</v>
      </c>
      <c r="K13" s="382" t="str">
        <f>'PAI 2022 - V4'!J15</f>
        <v>Informe mensual que exponga el trabajo conjunto con las entidades.</v>
      </c>
      <c r="L13" s="316" t="str">
        <f>'PAI 2022 - V4'!K15</f>
        <v>2 Eficiencia: Uso de los recursos.</v>
      </c>
      <c r="M13" s="316" t="str">
        <f>'PAI 2022 - V4'!L15</f>
        <v>La medición para el producto propuesto consiste en la elaboración de un documento que reúna las actividades realizadas con insumos. (piezas, imágenes, links).</v>
      </c>
      <c r="N13" s="266" t="str">
        <f>'PAI 2022 - V4'!M15</f>
        <v>Informes elaborados, que den cuenta de las actividades adelantadas</v>
      </c>
      <c r="O13" s="266" t="str">
        <f>'PAI 2022 - V4'!N15</f>
        <v>Número de informes planeados.</v>
      </c>
      <c r="P13" s="266" t="str">
        <f>'PAI 2022 - V4'!O15</f>
        <v>Porcentaje (%).</v>
      </c>
      <c r="Q13" s="266" t="str">
        <f>'PAI 2022 - V4'!P15</f>
        <v>2 Constante: Se espera un valor o rango de resultado estable en el tiempo</v>
      </c>
      <c r="R13" s="266" t="str">
        <f>'PAI 2022 - V4'!Q15</f>
        <v>No aplica</v>
      </c>
      <c r="S13" s="266">
        <f>'PAI 2022 - V4'!R15</f>
        <v>12</v>
      </c>
      <c r="T13" s="316" t="str">
        <f>'PAI 2022 - V4'!S15</f>
        <v>Elaborar doce (12) informes, uno cada mes, con la información de la gestión realizada en cada uno de ellos. Estos informes son de carácter cuantitativo y cualitativo en tanto que responden a cifras y descripciones.</v>
      </c>
      <c r="U13" s="12">
        <f>'PAI 2022 - V4'!T15</f>
        <v>0.3</v>
      </c>
      <c r="V13" s="266" t="str">
        <f>'PAI 2022 - V4'!U15</f>
        <v>31%-60%</v>
      </c>
      <c r="W13" s="266" t="str">
        <f>'PAI 2022 - V4'!V15</f>
        <v>61%-90%</v>
      </c>
      <c r="X13" s="12">
        <f>'PAI 2022 - V4'!W15</f>
        <v>0.91</v>
      </c>
      <c r="Y13" s="316" t="str">
        <f>'PAI 2022 - V4'!X15</f>
        <v>1. Levantamiento base de datos de aliados, entidades distritales y canales regionales.
2. Acompañamiento trabajo conjunto áreas de Capital y entidades objetivo.</v>
      </c>
      <c r="Z13" s="266" t="str">
        <f>'PAI 2022 - V4'!Y15</f>
        <v>3 Trimestral</v>
      </c>
      <c r="AA13" s="316" t="str">
        <f>'PAI 2022 - V4'!Z15</f>
        <v>No aplica</v>
      </c>
      <c r="AB13" s="266" t="str">
        <f>'PAI 2022 - V4'!AA15</f>
        <v>Gerencia General</v>
      </c>
      <c r="AC13" s="417" t="str">
        <f>'PAI 2022 - V4'!AB15</f>
        <v>Gestión de las comunicaciones.</v>
      </c>
      <c r="AD13" s="891">
        <f>3/3</f>
        <v>1</v>
      </c>
      <c r="AE13" s="617"/>
      <c r="AF13" s="617"/>
      <c r="AG13" s="617">
        <f>10/10</f>
        <v>1</v>
      </c>
      <c r="AH13" s="617"/>
      <c r="AI13" s="617"/>
      <c r="AJ13" s="620"/>
      <c r="AK13" s="620"/>
      <c r="AL13" s="620"/>
      <c r="AM13" s="620"/>
      <c r="AN13" s="620"/>
      <c r="AO13" s="895"/>
      <c r="AP13" s="562" t="s">
        <v>1074</v>
      </c>
      <c r="AQ13" s="569" t="s">
        <v>1155</v>
      </c>
      <c r="AR13" s="521" t="s">
        <v>1158</v>
      </c>
    </row>
    <row r="14" spans="1:46" ht="147.75" customHeight="1" x14ac:dyDescent="0.2">
      <c r="A14" s="877" t="str">
        <f t="shared" si="0"/>
        <v>2.4.2</v>
      </c>
      <c r="B14" s="315" t="str">
        <f>'PAI 2022 - V4'!A16</f>
        <v>11. Ciudades y comunidades sostenibles.
17. Alianzas para lograr los objetivos.</v>
      </c>
      <c r="C14" s="316" t="str">
        <f>'PAI 2022 - V4'!B16</f>
        <v>Propósito 5
Logro de ciudad: 27 - 30</v>
      </c>
      <c r="D14" s="316" t="str">
        <f>'PAI 2022 - V4'!C16</f>
        <v>Transparencia, acceso a la información y lucha contra la corrupción.</v>
      </c>
      <c r="E14" s="266" t="str">
        <f>'PAI 2022 - V4'!D16</f>
        <v>OE_2</v>
      </c>
      <c r="F14" s="316" t="str">
        <f>'PAI 2022 - V4'!E16</f>
        <v>2. Implementar prácticas de innovación en diseño, gestión, producción y circulación de contenidos para el posicionamiento del Sistema de Comunicación Pública en la Bogotá Región y la generación de múltiples audiencias ciudadanas.</v>
      </c>
      <c r="G14" s="316" t="str">
        <f>'PAI 2022 - V4'!F16</f>
        <v>4. Diseñar y desarrollar mecanismos de apropiación de la marca Capital por parte de la ciudadanía.</v>
      </c>
      <c r="H14" s="266" t="str">
        <f>'PAI 2022 - V4'!G16</f>
        <v>2.4.2</v>
      </c>
      <c r="I14" s="266" t="str">
        <f>'PAI 2022 - V4'!H16</f>
        <v>Plan de Comunicaciones externas - Publicaciones free press</v>
      </c>
      <c r="J14" s="316" t="str">
        <f>'PAI 2022 - V4'!I16</f>
        <v>Convertir a Capital en referente para los medios de comunicación con relación a los temas de cultura, educación e información en Bogotá.
Con este se busca generar posicionamiento de Capital a través de la visibilización del contenido de la parrilla de programación, el talento y voceros designados.</v>
      </c>
      <c r="K14" s="382" t="str">
        <f>'PAI 2022 - V4'!J16</f>
        <v>Publicaciones free press gestionadas</v>
      </c>
      <c r="L14" s="316" t="str">
        <f>'PAI 2022 - V4'!K16</f>
        <v>1 Eficacia: Cumplimiento de metas</v>
      </c>
      <c r="M14" s="316" t="str">
        <f>'PAI 2022 - V4'!L16</f>
        <v>Publicaciones logradas por el trabajo de free press en los diferentes medios de comunicación.</v>
      </c>
      <c r="N14" s="266" t="str">
        <f>'PAI 2022 - V4'!M16</f>
        <v>Número de publicaciones alcanzadas</v>
      </c>
      <c r="O14" s="266" t="str">
        <f>'PAI 2022 - V4'!N16</f>
        <v>Número de publicaciones proyectadas</v>
      </c>
      <c r="P14" s="266" t="str">
        <f>'PAI 2022 - V4'!O16</f>
        <v>Porcentaje (%).</v>
      </c>
      <c r="Q14" s="266" t="str">
        <f>'PAI 2022 - V4'!P16</f>
        <v>1 Creciente: El resultado tiende a crecer en el tiempo</v>
      </c>
      <c r="R14" s="266">
        <f>'PAI 2022 - V4'!Q16</f>
        <v>331</v>
      </c>
      <c r="S14" s="266">
        <f>'PAI 2022 - V4'!R16</f>
        <v>320</v>
      </c>
      <c r="T14" s="316" t="str">
        <f>'PAI 2022 - V4'!S16</f>
        <v>Lograr 320 impactos positivos en distintos medios de comunicación.</v>
      </c>
      <c r="U14" s="12">
        <f>'PAI 2022 - V4'!T16</f>
        <v>0.3</v>
      </c>
      <c r="V14" s="266" t="str">
        <f>'PAI 2022 - V4'!U16</f>
        <v>31%-60%</v>
      </c>
      <c r="W14" s="266" t="str">
        <f>'PAI 2022 - V4'!V16</f>
        <v>61%-90%</v>
      </c>
      <c r="X14" s="12">
        <f>'PAI 2022 - V4'!W16</f>
        <v>0.91</v>
      </c>
      <c r="Y14" s="316" t="str">
        <f>'PAI 2022 - V4'!X16</f>
        <v>1. Recopilación de la información. 
2. Redacción de artículos / boletines.
3. Aprobación del producto.
4. Envío a medios.
5. Seguimiento.
6. Materialización de la publicación y/o entrevista.
7. Elaboración del informe de gestión.</v>
      </c>
      <c r="Z14" s="266" t="str">
        <f>'PAI 2022 - V4'!Y16</f>
        <v>3 Trimestral</v>
      </c>
      <c r="AA14" s="316" t="str">
        <f>'PAI 2022 - V4'!Z16</f>
        <v>No aplica</v>
      </c>
      <c r="AB14" s="266" t="str">
        <f>'PAI 2022 - V4'!AA16</f>
        <v>Gerencia General</v>
      </c>
      <c r="AC14" s="417" t="str">
        <f>'PAI 2022 - V4'!AB16</f>
        <v>Gestión de las comunicaciones.</v>
      </c>
      <c r="AD14" s="891">
        <f>101/80</f>
        <v>1.2625</v>
      </c>
      <c r="AE14" s="617"/>
      <c r="AF14" s="617"/>
      <c r="AG14" s="617">
        <f>151/80</f>
        <v>1.8875</v>
      </c>
      <c r="AH14" s="617"/>
      <c r="AI14" s="617"/>
      <c r="AJ14" s="617">
        <f>145/80</f>
        <v>1.8125</v>
      </c>
      <c r="AK14" s="617"/>
      <c r="AL14" s="617"/>
      <c r="AM14" s="617">
        <f>55/80</f>
        <v>0.6875</v>
      </c>
      <c r="AN14" s="617"/>
      <c r="AO14" s="892"/>
      <c r="AP14" s="562" t="s">
        <v>1075</v>
      </c>
      <c r="AQ14" s="563" t="s">
        <v>1171</v>
      </c>
      <c r="AR14" s="875" t="s">
        <v>25</v>
      </c>
    </row>
    <row r="15" spans="1:46" ht="93" customHeight="1" x14ac:dyDescent="0.2">
      <c r="A15" s="877" t="str">
        <f t="shared" si="0"/>
        <v>5.6.5</v>
      </c>
      <c r="B15" s="315" t="str">
        <f>'PAI 2022 - V4'!A17</f>
        <v>11. Ciudades y comunidades sostenibles.
17. Alianzas para lograr los objetivos.</v>
      </c>
      <c r="C15" s="316" t="str">
        <f>'PAI 2022 - V4'!B17</f>
        <v>Propósito 5
Logro de ciudad: 27 - 30</v>
      </c>
      <c r="D15" s="316" t="str">
        <f>'PAI 2022 - V4'!C17</f>
        <v>Transparencia, acceso a la información y lucha contra la corrupción.
Fortalecimiento organizacional y simplificación de procesos.</v>
      </c>
      <c r="E15" s="266" t="str">
        <f>'PAI 2022 - V4'!D17</f>
        <v>OE_5</v>
      </c>
      <c r="F15" s="316" t="str">
        <f>'PAI 2022 - V4'!E17</f>
        <v xml:space="preserve">5. Fortalecer la capacidad organizacional de Capital para ser una empresa transparente, eficiente y sostenible. </v>
      </c>
      <c r="G15" s="316" t="str">
        <f>'PAI 2022 - V4'!F17</f>
        <v>6. Articular los procesos y flujos de trabajo a la estructura de Capital.</v>
      </c>
      <c r="H15" s="266" t="str">
        <f>'PAI 2022 - V4'!G17</f>
        <v>5.6.5</v>
      </c>
      <c r="I15" s="15" t="str">
        <f>'PAI 2022 - V4'!H17</f>
        <v>Plan de Comunicaciones internas - Gestión de comunicaciones internas.</v>
      </c>
      <c r="J15" s="382" t="str">
        <f>'PAI 2022 - V4'!I17</f>
        <v>Definir un plan integral que incluya las acciones internas y externas, en lo concerniente al apoyo transversal y la asesoría de comunicación que se dé en el marco de las solicitudes de las distintas áreas de Capital.
Analizar, potenciar y crear, si es necesario y se cuenta con los recursos para ello, canales de comunicación interna que generen y compartan mensajes integrales, de pertenencia y de marca.</v>
      </c>
      <c r="K15" s="382" t="str">
        <f>'PAI 2022 - V4'!J17</f>
        <v>Gestión de comunicaciones internas adelantadas</v>
      </c>
      <c r="L15" s="316" t="str">
        <f>'PAI 2022 - V4'!K17</f>
        <v>3 Efectividad: Impacto o beneficios generados.</v>
      </c>
      <c r="M15" s="382" t="str">
        <f>'PAI 2022 - V4'!L17</f>
        <v>Realizar gestión oportuna sobre los requerimientos y necesidades internas de comunicación, recibida por parte de las áreas de Capital.</v>
      </c>
      <c r="N15" s="15" t="str">
        <f>'PAI 2022 - V4'!M17</f>
        <v>Número de solicitudes de comunicaciones internas atendidas</v>
      </c>
      <c r="O15" s="15" t="str">
        <f>'PAI 2022 - V4'!N17</f>
        <v xml:space="preserve">
Número de solicitudes de comunicaciones internas recibidas.</v>
      </c>
      <c r="P15" s="266" t="str">
        <f>'PAI 2022 - V4'!O17</f>
        <v>Porcentaje (%).</v>
      </c>
      <c r="Q15" s="266" t="str">
        <f>'PAI 2022 - V4'!P17</f>
        <v>2 Constante: Se espera un valor o rango de resultado estable en el tiempo</v>
      </c>
      <c r="R15" s="266" t="str">
        <f>'PAI 2022 - V4'!Q17</f>
        <v>No aplica</v>
      </c>
      <c r="S15" s="14">
        <f>'PAI 2022 - V4'!R17</f>
        <v>0.9</v>
      </c>
      <c r="T15" s="382" t="str">
        <f>'PAI 2022 - V4'!S17</f>
        <v>Se espera cumplir al menos, en un 90% de las solicitudes de comunicaciones internas recibidas</v>
      </c>
      <c r="U15" s="12">
        <f>'PAI 2022 - V4'!T17</f>
        <v>0.3</v>
      </c>
      <c r="V15" s="266" t="str">
        <f>'PAI 2022 - V4'!U17</f>
        <v>31%-60%</v>
      </c>
      <c r="W15" s="266" t="str">
        <f>'PAI 2022 - V4'!V17</f>
        <v>61%-90%</v>
      </c>
      <c r="X15" s="12">
        <f>'PAI 2022 - V4'!W17</f>
        <v>0.91</v>
      </c>
      <c r="Y15" s="316" t="str">
        <f>'PAI 2022 - V4'!X17</f>
        <v>Realizar Informes trimestrales que expongan el trabajo conjunto con las áreas transversales, las evidencias realizadas y el resultado de la medición de impacto (o percepción). También se adelantará encuesta de impacto trimestral que mida canal y comunicación. ¿Cuál canal tiene mejor acogida? ¿Por dónde se enteró…?
1. Aplicación de la encuesta
2. Análisis de medios 
3. Intervención - mejora</v>
      </c>
      <c r="Z15" s="266" t="str">
        <f>'PAI 2022 - V4'!Y17</f>
        <v>3 Trimestral</v>
      </c>
      <c r="AA15" s="316" t="str">
        <f>'PAI 2022 - V4'!Z17</f>
        <v>No aplica</v>
      </c>
      <c r="AB15" s="266" t="str">
        <f>'PAI 2022 - V4'!AA17</f>
        <v>Gerencia General</v>
      </c>
      <c r="AC15" s="417" t="str">
        <f>'PAI 2022 - V4'!AB17</f>
        <v>Gestión de las comunicaciones.</v>
      </c>
      <c r="AD15" s="891">
        <f>27/27</f>
        <v>1</v>
      </c>
      <c r="AE15" s="617"/>
      <c r="AF15" s="617"/>
      <c r="AG15" s="617">
        <f>36/36</f>
        <v>1</v>
      </c>
      <c r="AH15" s="617"/>
      <c r="AI15" s="617"/>
      <c r="AJ15" s="617">
        <f>84/87</f>
        <v>0.96551724137931039</v>
      </c>
      <c r="AK15" s="617"/>
      <c r="AL15" s="617"/>
      <c r="AM15" s="617">
        <f>40/44</f>
        <v>0.90909090909090906</v>
      </c>
      <c r="AN15" s="617"/>
      <c r="AO15" s="892"/>
      <c r="AP15" s="562" t="s">
        <v>1076</v>
      </c>
      <c r="AQ15" s="563" t="s">
        <v>1172</v>
      </c>
      <c r="AR15" s="875" t="s">
        <v>25</v>
      </c>
    </row>
    <row r="16" spans="1:46" ht="134.25" customHeight="1" x14ac:dyDescent="0.2">
      <c r="A16" s="877" t="str">
        <f t="shared" si="0"/>
        <v>5.6.6</v>
      </c>
      <c r="B16" s="315" t="str">
        <f>'PAI 2022 - V4'!A18</f>
        <v>11. Ciudades y comunidades sostenibles.
17. Alianzas para lograr los objetivos.</v>
      </c>
      <c r="C16" s="316" t="str">
        <f>'PAI 2022 - V4'!B18</f>
        <v>Propósito 5
Logro de ciudad: 27 - 30</v>
      </c>
      <c r="D16" s="316" t="str">
        <f>'PAI 2022 - V4'!C18</f>
        <v>Transparencia, acceso a la información y lucha contra la corrupción.
Fortalecimiento organizacional y simplificación de procesos.</v>
      </c>
      <c r="E16" s="266" t="str">
        <f>'PAI 2022 - V4'!D18</f>
        <v>OE_5</v>
      </c>
      <c r="F16" s="316" t="str">
        <f>'PAI 2022 - V4'!E18</f>
        <v xml:space="preserve">5. Fortalecer la capacidad organizacional de Capital para ser una empresa transparente, eficiente y sostenible. </v>
      </c>
      <c r="G16" s="316" t="str">
        <f>'PAI 2022 - V4'!F18</f>
        <v>6. Articular los procesos y flujos de trabajo a la estructura de Capital.</v>
      </c>
      <c r="H16" s="266" t="str">
        <f>'PAI 2022 - V4'!G18</f>
        <v>5.6.6</v>
      </c>
      <c r="I16" s="15" t="str">
        <f>'PAI 2022 - V4'!H18</f>
        <v>Plan de Comunicaciones - Sentido de pertenencia</v>
      </c>
      <c r="J16" s="316" t="str">
        <f>'PAI 2022 - V4'!I18</f>
        <v>Definir un plan integral que incluya las acciones internas y externas a desarrollarse en el año 2022, haciendo énfasis en el sentido de pertenencia por la marca.
Trabajar con el área de Talento Humano para fortalecer la Cultura Organizacional y fomentar el sentido de pertenencia</v>
      </c>
      <c r="K16" s="382" t="str">
        <f>'PAI 2022 - V4'!J18</f>
        <v>Gestión de comunicaciones internas adelantadas en el fortalecimiento de la Cultura Organizacional y el sentido de pertenencia.</v>
      </c>
      <c r="L16" s="316" t="str">
        <f>'PAI 2022 - V4'!K18</f>
        <v>1 Eficacia: Cumplimiento de metas</v>
      </c>
      <c r="M16" s="316" t="str">
        <f>'PAI 2022 - V4'!L18</f>
        <v>Realizar publicaciones, campañas, boletines y/o comunicados que ayuden a fomentar la cultura organizacional y el sentido de pertenencia.</v>
      </c>
      <c r="N16" s="15" t="str">
        <f>'PAI 2022 - V4'!M18</f>
        <v>Número de comunicaciones gestionadas sobre cultura organizacional y sentido de pertenencia</v>
      </c>
      <c r="O16" s="15" t="str">
        <f>'PAI 2022 - V4'!N18</f>
        <v>Número de solicitudes de comunicación recibidas sobre cultura organizacional y sentido de pertenencia.</v>
      </c>
      <c r="P16" s="266" t="str">
        <f>'PAI 2022 - V4'!O18</f>
        <v>Porcentaje (%).</v>
      </c>
      <c r="Q16" s="266" t="str">
        <f>'PAI 2022 - V4'!P18</f>
        <v>2 Constante: Se espera un valor o rango de resultado estable en el tiempo</v>
      </c>
      <c r="R16" s="12">
        <f>'PAI 2022 - V4'!Q18</f>
        <v>1</v>
      </c>
      <c r="S16" s="12">
        <f>'PAI 2022 - V4'!R18</f>
        <v>0.9</v>
      </c>
      <c r="T16" s="382" t="str">
        <f>'PAI 2022 - V4'!S18</f>
        <v>Se espera cumplir, al menos con el 90% de las solicitudes de comunicaciones internas recibidas sobre cultura organizacional y sentido de pertenencia.</v>
      </c>
      <c r="U16" s="12">
        <f>'PAI 2022 - V4'!T18</f>
        <v>0.3</v>
      </c>
      <c r="V16" s="266" t="str">
        <f>'PAI 2022 - V4'!U18</f>
        <v>31%-60%</v>
      </c>
      <c r="W16" s="266" t="str">
        <f>'PAI 2022 - V4'!V18</f>
        <v>61%-90%</v>
      </c>
      <c r="X16" s="12">
        <f>'PAI 2022 - V4'!W18</f>
        <v>0.91</v>
      </c>
      <c r="Y16" s="316" t="str">
        <f>'PAI 2022 - V4'!X18</f>
        <v>1. Definición de acciones con RRHH.
2. Recopilación de información
3. Realización de piezas gráficas.
4. Socialización</v>
      </c>
      <c r="Z16" s="266" t="str">
        <f>'PAI 2022 - V4'!Y18</f>
        <v>3 Trimestral</v>
      </c>
      <c r="AA16" s="316" t="str">
        <f>'PAI 2022 - V4'!Z18</f>
        <v>No aplica</v>
      </c>
      <c r="AB16" s="266" t="str">
        <f>'PAI 2022 - V4'!AA18</f>
        <v>Gerencia General</v>
      </c>
      <c r="AC16" s="417" t="str">
        <f>'PAI 2022 - V4'!AB18</f>
        <v>Gestión de las comunicaciones.</v>
      </c>
      <c r="AD16" s="891">
        <f>8/8</f>
        <v>1</v>
      </c>
      <c r="AE16" s="617"/>
      <c r="AF16" s="617"/>
      <c r="AG16" s="617">
        <f>17/17</f>
        <v>1</v>
      </c>
      <c r="AH16" s="617"/>
      <c r="AI16" s="617"/>
      <c r="AJ16" s="617">
        <f>18/18</f>
        <v>1</v>
      </c>
      <c r="AK16" s="617"/>
      <c r="AL16" s="617"/>
      <c r="AM16" s="617">
        <f>22/22</f>
        <v>1</v>
      </c>
      <c r="AN16" s="617"/>
      <c r="AO16" s="892"/>
      <c r="AP16" s="562" t="s">
        <v>1078</v>
      </c>
      <c r="AQ16" s="563" t="s">
        <v>1173</v>
      </c>
      <c r="AR16" s="875" t="s">
        <v>25</v>
      </c>
    </row>
    <row r="17" spans="1:44" ht="304.5" customHeight="1" x14ac:dyDescent="0.2">
      <c r="A17" s="877" t="str">
        <f t="shared" si="0"/>
        <v>4.4.1</v>
      </c>
      <c r="B17" s="315" t="str">
        <f>'PAI 2022 - V4'!A19</f>
        <v>3. Salud y bienestar.
4. Educación de calidad.
5. Igualdad de Género.
9. Industria, innovación e infraestructura.
10. Reducción de las desigualdades.
17. Alianzas para lograr los objetivos.</v>
      </c>
      <c r="C17" s="316" t="str">
        <f>'PAI 2022 - V4'!B19</f>
        <v>Propósito 1
Logro de ciudad: 3 - 9 - 10
Propósito 3
Logro de ciudad: 22 - 23
Propósito 5
Logro de ciudad: 30</v>
      </c>
      <c r="D17" s="316" t="str">
        <f>'PAI 2022 - V4'!C19</f>
        <v>Participación ciudadana en la gestión pública.</v>
      </c>
      <c r="E17" s="266" t="str">
        <f>'PAI 2022 - V4'!D19</f>
        <v>OE_4</v>
      </c>
      <c r="F17" s="316" t="str">
        <f>'PAI 2022 - V4'!E19</f>
        <v xml:space="preserve">4. Consolidar a Capital como una empresa que desarrolla nuevas estrategias de negocios de comunicación pública. </v>
      </c>
      <c r="G17" s="316" t="str">
        <f>'PAI 2022 - V4'!F19</f>
        <v>4. Diseñar y desarrollar mecanismos de apropiación de la marca Capital por parte de la ciudadanía.</v>
      </c>
      <c r="H17" s="266" t="str">
        <f>'PAI 2022 - V4'!G19</f>
        <v>4.4.1</v>
      </c>
      <c r="I17" s="266" t="str">
        <f>'PAI 2022 - V4'!H19</f>
        <v>Estrategia de marketing, Capital Social y relaciones públicas (avance en la estrategia).</v>
      </c>
      <c r="J17" s="316" t="str">
        <f>'PAI 2022 - V4'!I19</f>
        <v>Promover a Capital entre potenciales clientes / aliados y directivos del sector público, como una empresa idónea para el desarrollo de estrategias de comunicación y relaciones públicas, así mismo gestionar una estrategia de negocios bajo un modelo de "Capital Social".</v>
      </c>
      <c r="K17" s="317" t="str">
        <f>'PAI 2022 - V4'!J19</f>
        <v>Porcentaje de avance de la Estrategia Capital Social y relaciones públicas</v>
      </c>
      <c r="L17" s="317" t="str">
        <f>'PAI 2022 - V4'!K19</f>
        <v>1 Eficacia: Cumplimiento de metas</v>
      </c>
      <c r="M17" s="317" t="str">
        <f>'PAI 2022 - V4'!L19</f>
        <v>Con base en la Estrategia Capital Social y relaciones públicas 2022 se realizará el monitoreo de los resultados del indicador.
Los resultados parciales mensualmente definidos en la estratégica, serán sumados trimestralmente para obtener los resultados de este reporte. El resultado obtenido en diciembre de 2022 corresponderá a la sumatoria de los resultados trimestrales reportados.</v>
      </c>
      <c r="N17" s="9" t="str">
        <f>'PAI 2022 - V4'!M19</f>
        <v xml:space="preserve">Porcentaje de avance de la formulación y ejecución de la Estrategia Capital Social y relaciones públicas. </v>
      </c>
      <c r="O17" s="9" t="str">
        <f>'PAI 2022 - V4'!N19</f>
        <v xml:space="preserve">Porcentaje total de avance  planeada para 2022 para la  formulación y ejecución de la Estrategia Capital Social y relaciones públicas.  </v>
      </c>
      <c r="P17" s="9" t="str">
        <f>'PAI 2022 - V4'!O19</f>
        <v>Porcentaje (%).</v>
      </c>
      <c r="Q17" s="9" t="str">
        <f>'PAI 2022 - V4'!P19</f>
        <v>1 Creciente: El resultado tiende a crecer en el tiempo</v>
      </c>
      <c r="R17" s="16">
        <f>'PAI 2022 - V4'!Q19</f>
        <v>1</v>
      </c>
      <c r="S17" s="16">
        <f>'PAI 2022 - V4'!R19</f>
        <v>1</v>
      </c>
      <c r="T17" s="320" t="str">
        <f>'PAI 2022 - V4'!S19</f>
        <v>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Capital Social y relaciones públicas, aun no deben iniciar.
2. Los porcentajes de cada trimestre corresponderán al avance alcanzado de acuerdo con Estrategia Capital Social y relaciones públicas establecidas para la vigencia.
3. Al final de la vigencia, la sumatoria del resultado de cada trimestre corresponderá a la meta establecida, es decir 100 %. Los resultados parciales (cada trimestre) serán definidos de acuerdo Estrategia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Capital Social y relaciones públicas.</v>
      </c>
      <c r="U17" s="321" t="str">
        <f>'PAI 2022 - V4'!T19</f>
        <v>&lt; 70 %</v>
      </c>
      <c r="V17" s="321" t="str">
        <f>'PAI 2022 - V4'!U19</f>
        <v>70 % - 99,5 %</v>
      </c>
      <c r="W17" s="322" t="str">
        <f>'PAI 2022 - V4'!V19</f>
        <v>99,6 -100%</v>
      </c>
      <c r="X17" s="321" t="str">
        <f>'PAI 2022 - V4'!W19</f>
        <v>&gt; 100%</v>
      </c>
      <c r="Y17" s="317" t="str">
        <f>'PAI 2022 - V4'!X19</f>
        <v>La estrategia estará dividida en tres componentes, a continuación se describen las actividades definidas para cada uno de ellos:
Para el componente de Mejoramiento de los productos y servicios misionales:
1.  Organizar los procesos del área y del equipo 
Para el componente "Desarrollo de un modelo de negocio llamado "CAPITAL SOCIAL"
1. Estructuración del modelo de negocio.
2. Comercializadores.
3. Campaña de posicionamiento.
4. Inbound marketing.
5. Producción de comerciales CaSo.
6. Seguimiento de pauta CaSo.
7. Evaluación, divulgación del modelo y planeación 2023.
Para el componente "Estrategia de relaciones públicas con Directivas de entidades públicas"
1. Acercamiento a las entidades (Transmilenio, ERU, Movilidad, Metro, Desarrollo Económico e Integración social)
2. Activación de transmisiones y estrategias de promoción
3. Balance de la estrategia y planeación para 2023.</v>
      </c>
      <c r="Z17" s="9" t="str">
        <f>'PAI 2022 - V4'!Y19</f>
        <v>3 Trimestral</v>
      </c>
      <c r="AA17" s="316" t="str">
        <f>'PAI 2022 - V4'!Z19</f>
        <v>1. Los resultados serán calificados de acuerdo al estado de avance, como se describe a continuación:
*Ejecutado: corresponde a las acciones que se han realizado al 100% durante el periodo de reporte
*En Ejecución: corresponde a las acciones que se iniciaron en el periodo de reporte y aun se encuentran en curso para su ejecución.
*Por iniciar su gestión: corresponde a las acciones que, de acuerdo con la Estrategia de marketing, Capital Social y relaciones públicas, aun no deben iniciar.
2. Los porcentajes de cada trimestre corresponderán al avance alcanzado de acuerdo con Estrategia de marketing, Capital Social y relaciones públicas establecidas para la vigencia.
3. Al final de la vigencia, la sumatoria del resultado de cada trimestre corresponderá a la meta establecida, es decir 100 %. Los resultados parciales (cada trimestre) serán definidos de acuerdo Estrategia de marketing, Capital Social y relaciones públicas.
4. Los rangos de tolerancia establecidos solo aplicarán para el resultado final del indicador con corte a 31 de diciembre de 2022, por cuanto el porcentaje de avance de cada trimestre puede variar de acuerdo a las acciones definidas en  la Estrategia de marketing, Capital Social y relaciones públicas.</v>
      </c>
      <c r="AB17" s="266" t="str">
        <f>'PAI 2022 - V4'!AA19</f>
        <v>Gerencia General</v>
      </c>
      <c r="AC17" s="417" t="str">
        <f>'PAI 2022 - V4'!AB19</f>
        <v>Gestión de negocios y proyectos estratégicos.</v>
      </c>
      <c r="AD17" s="891">
        <f>(50%+19.16%+0%)/3</f>
        <v>0.23053333333333334</v>
      </c>
      <c r="AE17" s="617"/>
      <c r="AF17" s="617"/>
      <c r="AG17" s="617">
        <f>((50%+36%+15%)/3)+AD17</f>
        <v>0.56720000000000004</v>
      </c>
      <c r="AH17" s="617"/>
      <c r="AI17" s="617"/>
      <c r="AJ17" s="617">
        <f>AG17+(11%/100%)</f>
        <v>0.67720000000000002</v>
      </c>
      <c r="AK17" s="617"/>
      <c r="AL17" s="617"/>
      <c r="AM17" s="617">
        <f>(((6%+21%+64%)/3)+AJ17)/100%</f>
        <v>0.98053333333333337</v>
      </c>
      <c r="AN17" s="617"/>
      <c r="AO17" s="892"/>
      <c r="AP17" s="562" t="s">
        <v>1079</v>
      </c>
      <c r="AQ17" s="563" t="s">
        <v>1174</v>
      </c>
      <c r="AR17" s="875" t="s">
        <v>25</v>
      </c>
    </row>
    <row r="18" spans="1:44" ht="347.25" customHeight="1" x14ac:dyDescent="0.2">
      <c r="A18" s="877" t="str">
        <f t="shared" si="0"/>
        <v>4.8.2</v>
      </c>
      <c r="B18" s="315" t="str">
        <f>'PAI 2022 - V4'!A20</f>
        <v>3. Salud y bienestar.
4. Educación de calidad.
5. Igualdad de Género.
9. Industria, innovación e infraestructura.
10. Reducción de las desigualdades.
17. Alianzas para lograr los objetivos.</v>
      </c>
      <c r="C18" s="316" t="str">
        <f>'PAI 2022 - V4'!B20</f>
        <v>Propósito 1
Logro de ciudad: 3 - 9 - 10
Propósito 3
Logro de ciudad: 22 - 23
Propósito 5
Logro de ciudad: 30</v>
      </c>
      <c r="D18" s="316" t="str">
        <f>'PAI 2022 - V4'!C20</f>
        <v>Participación ciudadana en la gestión pública.</v>
      </c>
      <c r="E18" s="266" t="str">
        <f>'PAI 2022 - V4'!D20</f>
        <v>OE_4</v>
      </c>
      <c r="F18" s="316" t="str">
        <f>'PAI 2022 - V4'!E20</f>
        <v xml:space="preserve">4. Consolidar a Capital como una empresa que desarrolla nuevas estrategias de negocios de comunicación pública. </v>
      </c>
      <c r="G18" s="316" t="str">
        <f>'PAI 2022 - V4'!F20</f>
        <v>8. Lograr una articulación estratégica con aliados públicos y privados, gracias a la gestión de un modelo de industria eficiente, productiva y sostenible.</v>
      </c>
      <c r="H18" s="266" t="str">
        <f>'PAI 2022 - V4'!G20</f>
        <v>4.8.2</v>
      </c>
      <c r="I18" s="266" t="str">
        <f>'PAI 2022 - V4'!H20</f>
        <v>Estrategia de marketing, Capital Social y relaciones públicas (cumplimiento de ventas)</v>
      </c>
      <c r="J18" s="316" t="str">
        <f>'PAI 2022 - V4'!I20</f>
        <v>Promover a Capital entre potenciales clientes / aliados y directivos del sector público, como una empresa idónea para el desarrollo de estrategias de comunicación y relaciones públicas, así mismo gestionar una estrategia de negocios bajo un modelo de "Capital Social".</v>
      </c>
      <c r="K18" s="316" t="str">
        <f>'PAI 2022 - V4'!J20</f>
        <v>Porcentaje de cumplimiento de la meta de ventas para el 2022.</v>
      </c>
      <c r="L18" s="316" t="str">
        <f>'PAI 2022 - V4'!K20</f>
        <v>2 Eficiencia: Uso de los recursos.</v>
      </c>
      <c r="M18" s="317" t="str">
        <f>'PAI 2022 - V4'!L20</f>
        <v>Da cuenta del avance en las ventas a través de suscripción de contratos, adiciones contractuales, ofertas comerciales (comunicación pública, ATL, BTL, producción audiovisual, transmisiones audiovisuales, estrategias 360o) y recaudos de pauta digital en plataformas y redes sociales de Capital.</v>
      </c>
      <c r="N18" s="266" t="str">
        <f>'PAI 2022 - V4'!M20</f>
        <v xml:space="preserve">Valor en pesos de la venta cuatrimetral (BTL, ATL, Digital, pauta canal, transmisiones, proyecto audiovisual y recaudo pauta digital)
</v>
      </c>
      <c r="O18" s="266" t="str">
        <f>'PAI 2022 - V4'!N20</f>
        <v>Valor en pesos de las ventas proyectadas de Capital para la vigencia (BTL, ATL, Digital, pauta canal, transmisiones, proyecto audiovisual y recaudo pauta digital)</v>
      </c>
      <c r="P18" s="9" t="str">
        <f>'PAI 2022 - V4'!O20</f>
        <v>Porcentaje (%).</v>
      </c>
      <c r="Q18" s="9" t="str">
        <f>'PAI 2022 - V4'!P20</f>
        <v>1 Creciente: El resultado tiende a crecer en el tiempo</v>
      </c>
      <c r="R18" s="16" t="str">
        <f>'PAI 2022 - V4'!Q20</f>
        <v>0%
La línea base en cero ya que este indicador no fue medido en la vigencia 2021 y la dinámica de 2020 fue atípica para ser tenida en cuenta como línea base.</v>
      </c>
      <c r="S18" s="16" t="str">
        <f>'PAI 2022 - V4'!R20</f>
        <v>$13.300.000.000)</v>
      </c>
      <c r="T18" s="320" t="str">
        <f>'PAI 2022 - V4'!S20</f>
        <v>Este indicador se plantea con base en el cumplimiento de la meta de ventas establecida por Capital, para la vigencia 2022, a partir de un análisis histórico del comportamiento de las ventas, entre 2020 y 2021.
Este análisis también arroja que las ventas tienen un mejor comportamiento durante el segundo semestre que en el primer semestre de cada vigencia.
El valor reportado corresponderá a la gestión de contratos (suscritos) con los clientes durante la vigencia 2022, en el numerador se ingresará el valor de los contratos suscritos en el periodo de reporte sumado al valor reportado en los cuatrimestres anteriores (esto aplica para el 2do y 3er cuatrimestre) 
Nota 1: este resultado incluye el valor recaudado por pauta digital.
Nota 2: el valor de la meta anual y los rangos de tolerancia establecidos en la columna T, U, V y W de este archivo, corresponden a la meta anual y no a las esperadas para cada cuatrimestre ya que al ser un indicador creciente el resultado irá aumentando hasta alcanzar el 100%.
Nota 3: Los valores que se registrarán incluyen IVA, para efectos de validación de datos respecto al control de los contratos suscritos con los clientes.</v>
      </c>
      <c r="U18" s="321" t="str">
        <f>'PAI 2022 - V4'!T20</f>
        <v>&lt;20%</v>
      </c>
      <c r="V18" s="321" t="str">
        <f>'PAI 2022 - V4'!U20</f>
        <v>40% -89,9%</v>
      </c>
      <c r="W18" s="322" t="str">
        <f>'PAI 2022 - V4'!V20</f>
        <v>90 -100%</v>
      </c>
      <c r="X18" s="321" t="str">
        <f>'PAI 2022 - V4'!W20</f>
        <v>&gt; 100%</v>
      </c>
      <c r="Y18" s="317" t="str">
        <f>'PAI 2022 - V4'!X20</f>
        <v>* Diseñar la Estrategia Capital Social y relaciones públicas  de Capital.
* Ejecutar la Estrategia Capital Social y relaciones públicas  de Capital.
* Suscripción de contratos y ejecución según Estrategia Capital Social y relaciones públicas de Capital.</v>
      </c>
      <c r="Z18" s="9" t="str">
        <f>'PAI 2022 - V4'!Y20</f>
        <v>4 Cuatrimestral</v>
      </c>
      <c r="AA18" s="382" t="str">
        <f>'PAI 2022 - V4'!Z20</f>
        <v>Los valores registrados en las metas parciales pueden verse afectados por aspectos tales como:
1. Cambios en las prioridades presupuestales de los clientes.
2.Orden de austeridad en el gasto de los clientes distritales.
3. Restricciones de Ley, por las garantías en los procesos electorales.
4. Restricciones para participar en procesos licitatorios cuando exigen requisitos de indicadores financieros, que Capital no está en capacidad de cumplir.
5. Efectos colaterales a las medidas para la contención de la pandemia asociadas a COVID 19.
6. Implementación de nuevas prácticas o tecnologías implementadas por Capital o los clientes para la suscripción del contrato
Algunos de estos serán claves al momento del monitoreo y reporte, así como de la necesidad de ajuste a lo largo de la vigencia.</v>
      </c>
      <c r="AB18" s="266" t="str">
        <f>'PAI 2022 - V4'!AA20</f>
        <v>Gerencia General</v>
      </c>
      <c r="AC18" s="417" t="str">
        <f>'PAI 2022 - V4'!AB20</f>
        <v>Gestión de negocios y proyectos estratégicos.</v>
      </c>
      <c r="AD18" s="891">
        <f>1551221363/13300000000</f>
        <v>0.11663318518796993</v>
      </c>
      <c r="AE18" s="617"/>
      <c r="AF18" s="617"/>
      <c r="AG18" s="617"/>
      <c r="AH18" s="617">
        <f>(2507038825+1551221363)/13300000000</f>
        <v>0.30513234496240599</v>
      </c>
      <c r="AI18" s="617"/>
      <c r="AJ18" s="617"/>
      <c r="AK18" s="617"/>
      <c r="AL18" s="617">
        <f>(1551221363+2507038825+9306684715)/13300000000</f>
        <v>1.0048830754135338</v>
      </c>
      <c r="AM18" s="617"/>
      <c r="AN18" s="617"/>
      <c r="AO18" s="892"/>
      <c r="AP18" s="562" t="s">
        <v>1232</v>
      </c>
      <c r="AQ18" s="563" t="s">
        <v>1233</v>
      </c>
      <c r="AR18" s="875" t="s">
        <v>25</v>
      </c>
    </row>
    <row r="19" spans="1:44" ht="276" customHeight="1" x14ac:dyDescent="0.2">
      <c r="A19" s="877" t="str">
        <f t="shared" si="0"/>
        <v>2.1.3</v>
      </c>
      <c r="B19" s="315" t="str">
        <f>'PAI 2022 - V4'!A21</f>
        <v>3. Salud y bienestar.
4. Educación de calidad.
5. Igualdad de Género.
9. Industria, innovación e infraestructura.
10. Reducción de las desigualdades.
17. Alianzas para lograr los objetivos.</v>
      </c>
      <c r="C19" s="316" t="str">
        <f>'PAI 2022 - V4'!B21</f>
        <v>Propósito 1
Logro de ciudad: 3 - 9 - 10
Propósito 3
Logro de ciudad: 22 - 23
Propósito 5
Logro de ciudad: 30</v>
      </c>
      <c r="D19" s="316" t="str">
        <f>'PAI 2022 - V4'!C21</f>
        <v>Participación ciudadana en la gestión pública.</v>
      </c>
      <c r="E19" s="266" t="str">
        <f>'PAI 2022 - V4'!D21</f>
        <v>OE_2</v>
      </c>
      <c r="F19" s="316" t="str">
        <f>'PAI 2022 - V4'!E21</f>
        <v>2. Implementar prácticas de innovación en diseño, gestión, producción y circulación de contenidos para el posicionamiento del Sistema de Comunicación Pública en la Bogotá Región y la generación de múltiples audiencias ciudadanas.</v>
      </c>
      <c r="G19" s="316" t="str">
        <f>'PAI 2022 - V4'!F21</f>
        <v>1. Diseñar y desarrollar actividades de cocreación con las audiencias y el sector para ser una marca querida por la ciudadanía, reconocida por la industria y creadora de contenidos innovadores y de calidad.</v>
      </c>
      <c r="H19" s="266" t="str">
        <f>'PAI 2022 - V4'!G21</f>
        <v>2.1.3</v>
      </c>
      <c r="I19" s="355" t="str">
        <f>'PAI 2022 - V4'!H21</f>
        <v>Proyecto audiovisual de cocreación de contenidos con el sector audiovisual local.</v>
      </c>
      <c r="J19" s="591" t="str">
        <f>'PAI 2022 - V4'!I21</f>
        <v>Realizar llamados públicos  en búsqueda de invitar al sector audiovisual local para Cocrear (a partir de un detonante creativo generado por Capital) proyectos audiovisuales que deberán ser ejecutados bajo la supervisión de Capital.</v>
      </c>
      <c r="K19" s="316" t="str">
        <f>'PAI 2022 - V4'!J21</f>
        <v>Gestión presupuestal para llamados públicos</v>
      </c>
      <c r="L19" s="316" t="str">
        <f>'PAI 2022 - V4'!K21</f>
        <v>1 Eficacia: Cumplimiento de metas</v>
      </c>
      <c r="M19" s="316" t="str">
        <f>'PAI 2022 - V4'!L21</f>
        <v>Garantizar un mínimo de recursos presupuestales destinados para la cocreación con el sector audiovisual local.
Porcentaje mínimo del presupuesto destinado para la cocreación de contenidos propios en Capital (fuentes hacienda y FuTic plan de inversión) que se comprometerá como consecuencia de llamados públicos que involucre cocreación con el sector audiovisual local, es decir, a partir de un detonante creativo definido por Capital.</v>
      </c>
      <c r="N19" s="266" t="str">
        <f>'PAI 2022 - V4'!M21</f>
        <v xml:space="preserve">Presupuesto diseñado, apropiado y/o comprometido para llamados públicos de cocreación con sector audiovisual local </v>
      </c>
      <c r="O19" s="266" t="str">
        <f>'PAI 2022 - V4'!N21</f>
        <v>Presupuesto total para la producción de contenidos propios recursos hacienda y FuTic plan de inversión</v>
      </c>
      <c r="P19" s="266" t="str">
        <f>'PAI 2022 - V4'!O21</f>
        <v>Porcentaje (%).</v>
      </c>
      <c r="Q19" s="266" t="str">
        <f>'PAI 2022 - V4'!P21</f>
        <v>2 Constante: Se espera un valor o rango de resultado estable en el tiempo</v>
      </c>
      <c r="R19" s="266" t="str">
        <f>'PAI 2022 - V4'!Q21</f>
        <v>Rango entre 25 % al 40%</v>
      </c>
      <c r="S19" s="266" t="str">
        <f>'PAI 2022 - V4'!R21</f>
        <v>Rango entre 25 % al 35,9 %</v>
      </c>
      <c r="T19" s="316" t="str">
        <f>'PAI 2022 - V4'!S21</f>
        <v>Se realizará la medición teniendo en cuenta el intervalo de cumplimiento entre 25 % al 35,9 % del presupuesto total asignado a la Dirección Operativa, asignado a los llamados públicos.</v>
      </c>
      <c r="U19" s="266" t="str">
        <f>'PAI 2022 - V4'!T21</f>
        <v>&lt; 23 %</v>
      </c>
      <c r="V19" s="266" t="str">
        <f>'PAI 2022 - V4'!U21</f>
        <v>23 % al 24,9 %</v>
      </c>
      <c r="W19" s="266" t="str">
        <f>'PAI 2022 - V4'!V21</f>
        <v>Rango entre 25 % al 35,9 %</v>
      </c>
      <c r="X19" s="266" t="str">
        <f>'PAI 2022 - V4'!W21</f>
        <v>Entre 36 % y 40 %</v>
      </c>
      <c r="Y19" s="385" t="str">
        <f>'PAI 2022 - V4'!X21</f>
        <v>1. Con base en la disponibilidad presupuestal establecida en el plan de adquisiciones aprobado para la Dirección Operativa en la vigencia, elaborar los llamados públicos (documentos técnicos y precontractuales), de acuerdo con los lineamientos establecidos para la contratación en Capital
2. Publicación de condiciones de participación, llamados a cotizar o presentación de propuestas de acuerdo con el procedimiento que determine el manual de contratación de Capital para efectuar los llamados públicos
3. Contratación de proyectos como consecuencia de llamados públicos que garanticen la meta de porcentaje presupuestal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v>
      </c>
      <c r="Z19" s="266" t="str">
        <f>'PAI 2022 - V4'!Y21</f>
        <v>3 Trimestral</v>
      </c>
      <c r="AA19" s="316" t="str">
        <f>'PAI 2022 - V4'!Z21</f>
        <v>La expresión diseñado: hará referencia al diseño del plan anual de adquisiciones y la inclusión allí de los valores (presupuesto) a comprometer durante la vigencia asociadas a los llamados públicos de cocreación con sector audiovisual local
La expresión apropiado: hará referencia a la etapa precontractual realizada para efectuar los llamados públicos de cocreación con sector audiovisual local
La expresión comprometido: hará  referencia a los contratos suscritos con el sector audiovisual local</v>
      </c>
      <c r="AB19" s="266" t="str">
        <f>'PAI 2022 - V4'!AA21</f>
        <v>Dirección Operativa</v>
      </c>
      <c r="AC19" s="417" t="str">
        <f>'PAI 2022 - V4'!AB21</f>
        <v>Producción de Contenidos.</v>
      </c>
      <c r="AD19" s="891">
        <f>4522000000/15280132250</f>
        <v>0.2959398469865992</v>
      </c>
      <c r="AE19" s="617"/>
      <c r="AF19" s="617"/>
      <c r="AG19" s="617">
        <f>4132000000/11738998505</f>
        <v>0.35198914100210971</v>
      </c>
      <c r="AH19" s="617"/>
      <c r="AI19" s="617"/>
      <c r="AJ19" s="617">
        <f>4122441211/11402247546</f>
        <v>0.36154637007913282</v>
      </c>
      <c r="AK19" s="617"/>
      <c r="AL19" s="617"/>
      <c r="AM19" s="617">
        <f>4131137551/11995162442</f>
        <v>0.34440030061912186</v>
      </c>
      <c r="AN19" s="617"/>
      <c r="AO19" s="892"/>
      <c r="AP19" s="562" t="s">
        <v>1156</v>
      </c>
      <c r="AQ19" s="563" t="s">
        <v>1175</v>
      </c>
      <c r="AR19" s="875" t="s">
        <v>24</v>
      </c>
    </row>
    <row r="20" spans="1:44" ht="171" customHeight="1" x14ac:dyDescent="0.2">
      <c r="A20" s="877" t="str">
        <f t="shared" si="0"/>
        <v>1.3.4</v>
      </c>
      <c r="B20" s="315" t="str">
        <f>'PAI 2022 - V4'!A22</f>
        <v>3. Salud y bienestar.
4. Educación de calidad.
5. Igualdad de Género.
9. Industria, innovación e infraestructura.
10. Reducción de las desigualdades.
17. Alianzas para lograr los objetivos.</v>
      </c>
      <c r="C20" s="316" t="str">
        <f>'PAI 2022 - V4'!B22</f>
        <v>Propósito 1
Logro de ciudad: 3 - 9 - 10
Propósito 3
Logro de ciudad: 22 - 23
Propósito 5
Logro de ciudad: 30</v>
      </c>
      <c r="D20" s="316" t="str">
        <f>'PAI 2022 - V4'!C22</f>
        <v>Participación ciudadana en la gestión pública.</v>
      </c>
      <c r="E20" s="266" t="str">
        <f>'PAI 2022 - V4'!D22</f>
        <v>OE_1</v>
      </c>
      <c r="F20" s="316" t="str">
        <f>'PAI 2022 - V4'!E22</f>
        <v>1. Consolidar una oferta de contenidos de interés ciudadano en diferentes formatos y plataformas que promuevan la participación de la ciudadanía.</v>
      </c>
      <c r="G20" s="316" t="str">
        <f>'PAI 2022 - V4'!F22</f>
        <v>3. Realizar el diseño, desarrollo, producción y programación en diferentes plataformas para audiencias por nichos.</v>
      </c>
      <c r="H20" s="266" t="str">
        <f>'PAI 2022 - V4'!G22</f>
        <v>1.3.4</v>
      </c>
      <c r="I20" s="355" t="str">
        <f>'PAI 2022 - V4'!H21</f>
        <v>Proyecto audiovisual de cocreación de contenidos con el sector audiovisual local.</v>
      </c>
      <c r="J20" s="591" t="str">
        <f>'PAI 2022 - V4'!I21</f>
        <v>Realizar llamados públicos  en búsqueda de invitar al sector audiovisual local para Cocrear (a partir de un detonante creativo generado por Capital) proyectos audiovisuales que deberán ser ejecutados bajo la supervisión de Capital.</v>
      </c>
      <c r="K20" s="316" t="str">
        <f>'PAI 2022 - V4'!J22</f>
        <v>Programación infantil y adolescentes en la pantalla principal de Capital</v>
      </c>
      <c r="L20" s="316" t="str">
        <f>'PAI 2022 - V4'!K22</f>
        <v>1 Eficacia: Cumplimiento de metas</v>
      </c>
      <c r="M20" s="382" t="str">
        <f>'PAI 2022 - V4'!L22</f>
        <v>Medir la participación de la programación infantil y adolescente en la pantalla principal de Capital, en cumplimiento del objeto del proceso de Diseño y ejecución de la estrategía de circulación de contenidos y el desarrollo de las actividades descritas en el procedimiento "MDCC-PD-002 GESTIÓN DE PROGRAMACIÓN PARA EL SERVICIO DE TELEVISIÓN", en cuanto se refiere a la programación mensual.</v>
      </c>
      <c r="N20" s="266" t="str">
        <f>'PAI 2022 - V4'!M22</f>
        <v>(Promedio de horas de contenido infantil emitidas en el trimestre + promedio de horas de contenido para adolescente emitidas en el trimestre)</v>
      </c>
      <c r="O20" s="266" t="str">
        <f>'PAI 2022 - V4'!N22</f>
        <v>(Promedio de horas totales emitidos en el trimestre)</v>
      </c>
      <c r="P20" s="266" t="str">
        <f>'PAI 2022 - V4'!O22</f>
        <v>Porcentaje (%)</v>
      </c>
      <c r="Q20" s="266" t="str">
        <f>'PAI 2022 - V4'!P22</f>
        <v>2 Constante: Se espera un valor o rango de resultado estable en el tiempo</v>
      </c>
      <c r="R20" s="266" t="str">
        <f>'PAI 2022 - V4'!Q22</f>
        <v>Rango entre 
20 % al 30 %</v>
      </c>
      <c r="S20" s="266" t="str">
        <f>'PAI 2022 - V4'!R22</f>
        <v>Rango entre 
20 % al 30 %</v>
      </c>
      <c r="T20" s="316" t="str">
        <f>'PAI 2022 - V4'!S22</f>
        <v>Emitir programación infantil y adolescente en la pantalla principal de Capital, de tal manera que entre el 20 % y el 30 % de los contenidos que están en pantalla entre las 6:00 y las 24:00 correspondan a este tipo de programación.</v>
      </c>
      <c r="U20" s="266" t="str">
        <f>'PAI 2022 - V4'!T22</f>
        <v>&lt; 15 %</v>
      </c>
      <c r="V20" s="266" t="str">
        <f>'PAI 2022 - V4'!U22</f>
        <v>15 % al 19.9 %</v>
      </c>
      <c r="W20" s="266" t="str">
        <f>'PAI 2022 - V4'!V22</f>
        <v>20 % al 30 %</v>
      </c>
      <c r="X20" s="266" t="str">
        <f>'PAI 2022 - V4'!W22</f>
        <v>entre 31 % y 40 %</v>
      </c>
      <c r="Y20" s="316" t="str">
        <f>'PAI 2022 - V4'!X22</f>
        <v>1. Cumplimiento del objeto del proceso de Diseño y ejecución de la estrategía de circulación de contenidos "Ofrecer a las audiencias una programación de contenidos de calidad que planteen la transformación de la sociedad hacia un modelo participativo e incluyente" desarrollar las actividades descritas en el procedimiento de " MDCC-PD-002 GESTIÓN DE PROGRAMACIÓN PARA EL SERVICIO DE TELEVISIÓN en cuanto se refiere a la programación mensual.</v>
      </c>
      <c r="Z20" s="266" t="str">
        <f>'PAI 2022 - V4'!Y22</f>
        <v>3 Trimestral</v>
      </c>
      <c r="AA20" s="316" t="str">
        <f>'PAI 2022 - V4'!Z22</f>
        <v>Para el reporte de esta actividad se tendrá en cuenta el total de horas emitidas se tomará con base en 18 horas del total de la programación (de 6 am a las 23:59) emitidas en la pantalla principal de Capital (no incluye los indicadores del Canal Eureka)</v>
      </c>
      <c r="AB20" s="266" t="str">
        <f>'PAI 2022 - V4'!AA22</f>
        <v>Dirección Operativa</v>
      </c>
      <c r="AC20" s="417" t="str">
        <f>'PAI 2022 - V4'!AB22</f>
        <v>Diseño y ejecución de la estrategia de circulación de contenidos.</v>
      </c>
      <c r="AD20" s="891">
        <f>130.33/546.33</f>
        <v>0.23855545183314114</v>
      </c>
      <c r="AE20" s="617"/>
      <c r="AF20" s="617"/>
      <c r="AG20" s="617">
        <f>187/555</f>
        <v>0.33693693693693694</v>
      </c>
      <c r="AH20" s="617"/>
      <c r="AI20" s="617"/>
      <c r="AJ20" s="617">
        <f>127/555</f>
        <v>0.22882882882882882</v>
      </c>
      <c r="AK20" s="617"/>
      <c r="AL20" s="617"/>
      <c r="AM20" s="617">
        <f>148/555</f>
        <v>0.26666666666666666</v>
      </c>
      <c r="AN20" s="617"/>
      <c r="AO20" s="892"/>
      <c r="AP20" s="562" t="s">
        <v>1093</v>
      </c>
      <c r="AQ20" s="563" t="s">
        <v>1176</v>
      </c>
      <c r="AR20" s="875" t="s">
        <v>24</v>
      </c>
    </row>
    <row r="21" spans="1:44" ht="367.5" customHeight="1" x14ac:dyDescent="0.2">
      <c r="A21" s="877" t="str">
        <f t="shared" si="0"/>
        <v>1.1.5</v>
      </c>
      <c r="B21" s="315" t="str">
        <f>'PAI 2022 - V4'!A23</f>
        <v>3. Salud y bienestar.
4. Educación de calidad.
5. Igualdad de Género.
9. Industria, innovación e infraestructura.
10. Reducción de las desigualdades.
17. Alianzas para lograr los objetivos.</v>
      </c>
      <c r="C21" s="316" t="str">
        <f>'PAI 2022 - V4'!B23</f>
        <v>Propósito 1
Logro de ciudad: 3 - 9 - 10
Propósito 3
Logro de ciudad: 22 - 23
Propósito 5
Logro de ciudad: 30</v>
      </c>
      <c r="D21" s="316" t="str">
        <f>'PAI 2022 - V4'!C23</f>
        <v>Participación ciudadana en la gestión pública.
Gestión del conocimiento y la innovación.
Gobierno Abierto.</v>
      </c>
      <c r="E21" s="266" t="str">
        <f>'PAI 2022 - V4'!D23</f>
        <v>OE_1</v>
      </c>
      <c r="F21" s="316" t="str">
        <f>'PAI 2022 - V4'!E23</f>
        <v>1. Consolidar una oferta de contenidos de interés ciudadano en diferentes formatos y plataformas que promuevan la participación de la ciudadanía.</v>
      </c>
      <c r="G21" s="316" t="str">
        <f>'PAI 2022 - V4'!F23</f>
        <v>1. Diseñar y desarrollar actividades de cocreación con las audiencias y el sector para ser una marca querida por la ciudadanía, reconocida por la industria y creadora de contenidos innovadores y de calidad.</v>
      </c>
      <c r="H21" s="266" t="str">
        <f>'PAI 2022 - V4'!G23</f>
        <v>1.1.5</v>
      </c>
      <c r="I21" s="266" t="str">
        <f>'PAI 2022 - V4'!H23</f>
        <v xml:space="preserve">Estrategia de cocreación de contenidos con la ciudadanía </v>
      </c>
      <c r="J21" s="316" t="str">
        <f>'PAI 2022 - V4'!I23</f>
        <v xml:space="preserve">Gestionar una estrategia que incluya la participación activa de la ciudadania infantil en el diseño, producción y/o circulación del contenidos de Capital y de Eureka </v>
      </c>
      <c r="K21" s="316" t="str">
        <f>'PAI 2022 - V4'!J23</f>
        <v>Porcentaje de avance de la estrategia que incluya la participación activa de la ciudadanía infantil en alguna o varias etapas definidas para su ejecución</v>
      </c>
      <c r="L21" s="316" t="str">
        <f>'PAI 2022 - V4'!K23</f>
        <v>1 Eficacia: Cumplimiento de metas</v>
      </c>
      <c r="M21" s="316" t="str">
        <f>'PAI 2022 - V4'!L23</f>
        <v>Garantizar la puesta en marcha de un proyecto audiovisual que incluya la participación activa de la ciudadanía. Este indicador  tendrá un avance conforme las siguientes etapas según corresponda:
Etapa de diseñado: hará referencia a la estructuración de la propuesta técnica que podría tener el proyecto audiovisual de cocreación.
Etapa de producción: hará referencia a la contratación de los elementos que se requieran para la producción del proyecto audiovisual de cocreación.
Etapa circulación: hará referencia a la puesta en pantalla del contenido audiovisual de cocreación, puede incluir el preestreno de al menos un capítulo en el caso de proyectos series.
Estrategia de cocreación o retroalimentación: Generación eureka
Nota: Las etapas a realizar dependerán de la disponibilidad de recursos y viabilidad jurídica y contractual</v>
      </c>
      <c r="N21" s="266" t="str">
        <f>'PAI 2022 - V4'!M23</f>
        <v>Porcentaje de avance en la ejecución del proyecto que incluya participación ciudadana infantil</v>
      </c>
      <c r="O21" s="266" t="str">
        <f>'PAI 2022 - V4'!N23</f>
        <v>Porcentaje total planeado de ejecución del proyecto audiovisual que incluyen la participación activa de la ciudadanía infantil</v>
      </c>
      <c r="P21" s="266" t="str">
        <f>'PAI 2022 - V4'!O23</f>
        <v>Porcentaje (%).</v>
      </c>
      <c r="Q21" s="266" t="str">
        <f>'PAI 2022 - V4'!P23</f>
        <v>1 Creciente: El resultado tiende a crecer en el tiempo</v>
      </c>
      <c r="R21" s="17">
        <f>'PAI 2022 - V4'!Q23</f>
        <v>1</v>
      </c>
      <c r="S21" s="17">
        <f>'PAI 2022 - V4'!R23</f>
        <v>1</v>
      </c>
      <c r="T21" s="316" t="str">
        <f>'PAI 2022 - V4'!S23</f>
        <v>Lograr el cumplimiento al 100% para la  ejecución del proyecto audiovisual que incluya la participación activa de la ciudadanía infantil</v>
      </c>
      <c r="U21" s="266" t="str">
        <f>'PAI 2022 - V4'!T23</f>
        <v>&lt; 70 %</v>
      </c>
      <c r="V21" s="266" t="str">
        <f>'PAI 2022 - V4'!U23</f>
        <v>70 % - 99,9 %</v>
      </c>
      <c r="W21" s="266">
        <f>'PAI 2022 - V4'!V23</f>
        <v>1</v>
      </c>
      <c r="X21" s="266" t="str">
        <f>'PAI 2022 - V4'!W23</f>
        <v>&gt; 100%</v>
      </c>
      <c r="Y21" s="316" t="str">
        <f>'PAI 2022 - V4'!X23</f>
        <v>1. Elaboración de las condiciones técnicas y precontractuales del proyecto, según aplique
2. Contratación de recursos para la ejecución del proyecto, según aplique
3. Producción del proyecto, según aplique
4. Circulación del proyecto, según aplique
Nota 1: La persona designada por la Dirección Operativa para la consolidación y reporte de este indicador será el contratista que asesora los procesos que pertenecen a dicha instancia.
Nota 2: El Director Operativo, los equipos de producción, equipo financiero y apoyo administrativo de la Dirección Operativa o de la coordinación de producción, según aplique y de acuerdo con la etapa de desarrollo del indicador, serán los responsables de producir y comunicar el dato o información a suministrar a planeación al momento de realizar la medición, análisis y reporte del indicador.</v>
      </c>
      <c r="Z21" s="266" t="str">
        <f>'PAI 2022 - V4'!Y23</f>
        <v>3 Trimestral</v>
      </c>
      <c r="AA21" s="382" t="str">
        <f>'PAI 2022 - V4'!Z23</f>
        <v>Nota aclaratorias: 
1. Los porcentajes de cada trimestre corresponden al avance alcanzado de acuerdo con el cronograma y disposiciones administrativas para la consecución del proyecto. 
2. Al final de la vigencia la sumatoria del resultado de cada trimestre corresponderá a la meta establecida, es decir 100 %.
3. Los rangos de tolerancia establecidos solo aplicarán para el resultado final del indicador con corte a 31 de diciembre de 2022, por cuanto el porcentaje de avance de cada trimestre puede variar de acuerdo a las condiciones del proyecto.</v>
      </c>
      <c r="AB21" s="266" t="str">
        <f>'PAI 2022 - V4'!AA23</f>
        <v>Dirección Operativa</v>
      </c>
      <c r="AC21" s="417" t="str">
        <f>'PAI 2022 - V4'!AB23</f>
        <v>Producción de Contenidos.</v>
      </c>
      <c r="AD21" s="891">
        <f>25/25</f>
        <v>1</v>
      </c>
      <c r="AE21" s="617"/>
      <c r="AF21" s="617"/>
      <c r="AG21" s="617">
        <f>25/25</f>
        <v>1</v>
      </c>
      <c r="AH21" s="617"/>
      <c r="AI21" s="617"/>
      <c r="AJ21" s="617">
        <f>25/25</f>
        <v>1</v>
      </c>
      <c r="AK21" s="617"/>
      <c r="AL21" s="617"/>
      <c r="AM21" s="617">
        <f>25/25</f>
        <v>1</v>
      </c>
      <c r="AN21" s="617"/>
      <c r="AO21" s="892"/>
      <c r="AP21" s="562" t="s">
        <v>1091</v>
      </c>
      <c r="AQ21" s="563" t="s">
        <v>1177</v>
      </c>
      <c r="AR21" s="875" t="s">
        <v>25</v>
      </c>
    </row>
    <row r="22" spans="1:44" ht="180.75" customHeight="1" x14ac:dyDescent="0.2">
      <c r="A22" s="877" t="str">
        <f t="shared" si="0"/>
        <v>3.3.1</v>
      </c>
      <c r="B22" s="315" t="str">
        <f>'PAI 2022 - V4'!A24</f>
        <v>9. Industria, innovación e infraestructura.
16. Paz, justicia e instituciones sólidas.</v>
      </c>
      <c r="C22" s="316" t="str">
        <f>'PAI 2022 - V4'!B24</f>
        <v>Propósito 1
Logro de ciudad: 5
Propósito 5
Logro de ciudad: 29 - 30</v>
      </c>
      <c r="D22" s="316" t="str">
        <f>'PAI 2022 - V4'!C24</f>
        <v>Gobierno Digital.</v>
      </c>
      <c r="E22" s="266" t="str">
        <f>'PAI 2022 - V4'!D24</f>
        <v>OE_3</v>
      </c>
      <c r="F22" s="316" t="str">
        <f>'PAI 2022 - V4'!E24</f>
        <v xml:space="preserve">3. Generar una cultura digital y de gestión del conocimiento para la optimización de los procesos internos y externos.  </v>
      </c>
      <c r="G22" s="316" t="str">
        <f>'PAI 2022 - V4'!F24</f>
        <v>3. Realizar el diseño, desarrollo, producción y programación en diferentes plataformas para audiencias por nichos.</v>
      </c>
      <c r="H22" s="266" t="str">
        <f>'PAI 2022 - V4'!G24</f>
        <v>3.3.1</v>
      </c>
      <c r="I22" s="266" t="str">
        <f>'PAI 2022 - V4'!H24</f>
        <v xml:space="preserve">Rediseño de página web y optimización del canal de YouTube de capital </v>
      </c>
      <c r="J22" s="316" t="str">
        <f>'PAI 2022 - V4'!I24</f>
        <v>Realizar acciones que potencialicen los recursos internos disponibles por Capital para unificar las páginas web de capital en una sola y cumplir con los lineamientos de gobierno en línea</v>
      </c>
      <c r="K22" s="316" t="str">
        <f>'PAI 2022 - V4'!J24</f>
        <v>Porcentaje de avance en las plataformas digitales optimizadas para la publicación de contenidos (2)</v>
      </c>
      <c r="L22" s="316" t="str">
        <f>'PAI 2022 - V4'!K24</f>
        <v>1 Eficacia: Cumplimiento de metas</v>
      </c>
      <c r="M22" s="316" t="str">
        <f>'PAI 2022 - V4'!L24</f>
        <v>Hace referencia al porcentaje de avance en las actividades de intervención de las plataformas tecnológicas, durante la vigencia, para  unificar las páginas web de capital en una sola que cumpla con los lineamientos de gobierno en línea, así como del canal de YouTube.</v>
      </c>
      <c r="N22" s="266" t="str">
        <f>'PAI 2022 - V4'!M24</f>
        <v>Porcentaje de avance en la intervención de las plataformas</v>
      </c>
      <c r="O22" s="266" t="str">
        <f>'PAI 2022 - V4'!N24</f>
        <v>Porcentaje programado para 2022 de actividades de rediseño en las plataformas a intervenir (página web y canal de YouTube)</v>
      </c>
      <c r="P22" s="266" t="str">
        <f>'PAI 2022 - V4'!O24</f>
        <v>Porcentaje (%).</v>
      </c>
      <c r="Q22" s="266" t="str">
        <f>'PAI 2022 - V4'!P24</f>
        <v>1 Creciente: El resultado tiende a crecer en el tiempo</v>
      </c>
      <c r="R22" s="17">
        <f>'PAI 2022 - V4'!Q24</f>
        <v>1</v>
      </c>
      <c r="S22" s="17">
        <f>'PAI 2022 - V4'!R24</f>
        <v>1</v>
      </c>
      <c r="T22" s="316" t="str">
        <f>'PAI 2022 - V4'!S24</f>
        <v>Lograr el cumplimiento al 100% de las actividades de rediseño en las plataformas a intervenir para la vigencia 2022.</v>
      </c>
      <c r="U22" s="266" t="str">
        <f>'PAI 2022 - V4'!T24</f>
        <v>&lt; 70 %</v>
      </c>
      <c r="V22" s="266" t="str">
        <f>'PAI 2022 - V4'!U24</f>
        <v>70 % - 99,9 %</v>
      </c>
      <c r="W22" s="12">
        <f>'PAI 2022 - V4'!V24</f>
        <v>1</v>
      </c>
      <c r="X22" s="266" t="str">
        <f>'PAI 2022 - V4'!W24</f>
        <v>&gt; 100%</v>
      </c>
      <c r="Y22" s="316" t="str">
        <f>'PAI 2022 - V4'!X24</f>
        <v>1. Definir plan de trabajo interno para el rediseño de la página web y el correspondiente a la fortalecimiento del canal de YouTube respecto a los recursos y decisiones administrativas de Capital
2. Ejecutar plan de trabajo de intervención de las plataformas a optimizar
3. Realizar las etapas técnicas concernientes a la producción de las plataformas.
Nota 1: La persona designada por la Dirección Operativa para la consolidación y reporte de este indicador será el contratista que asesora los procesos que pertenecen a dicha instancia.
Nota 2: El equipo de producción digital, equipo financiero y apoyo administrativo de la Dirección Operativa o de la coordinación de producción o programación, según aplique y de acuerdo con la etapa de desarrollo del indicador, serán los responsables de producir y comunicar el dato o información a suministrar a planeación al momento de realizar la medición, análisis y reporte del indicador.</v>
      </c>
      <c r="Z22" s="266" t="str">
        <f>'PAI 2022 - V4'!Y24</f>
        <v>3 Trimestral</v>
      </c>
      <c r="AA22" s="382" t="str">
        <f>'PAI 2022 - V4'!Z24</f>
        <v>1. Los rangos de tolerancia establecidos solo aplicarán para el resultado final del indicador con corte a 31 de diciembre de 2022, por cuanto el porcentaje de avance de cada trimestre puede variar de acuerdo a las condiciones del proyecto.</v>
      </c>
      <c r="AB22" s="266" t="str">
        <f>'PAI 2022 - V4'!AA24</f>
        <v>Dirección Operativa</v>
      </c>
      <c r="AC22" s="417" t="str">
        <f>'PAI 2022 - V4'!AB24</f>
        <v>Gestión digital para la creación, circulación y optimización de contenidos.</v>
      </c>
      <c r="AD22" s="891">
        <f>25/25</f>
        <v>1</v>
      </c>
      <c r="AE22" s="617"/>
      <c r="AF22" s="617"/>
      <c r="AG22" s="617">
        <f>25/25</f>
        <v>1</v>
      </c>
      <c r="AH22" s="617"/>
      <c r="AI22" s="617"/>
      <c r="AJ22" s="617">
        <f>25/25</f>
        <v>1</v>
      </c>
      <c r="AK22" s="617"/>
      <c r="AL22" s="617"/>
      <c r="AM22" s="617">
        <f>25/25</f>
        <v>1</v>
      </c>
      <c r="AN22" s="617"/>
      <c r="AO22" s="892"/>
      <c r="AP22" s="562" t="s">
        <v>1092</v>
      </c>
      <c r="AQ22" s="563" t="s">
        <v>1178</v>
      </c>
      <c r="AR22" s="875" t="s">
        <v>25</v>
      </c>
    </row>
    <row r="23" spans="1:44" ht="162" customHeight="1" x14ac:dyDescent="0.2">
      <c r="A23" s="877" t="str">
        <f t="shared" si="0"/>
        <v>3.6.2</v>
      </c>
      <c r="B23" s="315" t="str">
        <f>'PAI 2022 - V4'!A25</f>
        <v>9. Industria, innovación e infraestructura.
16. Paz, justicia e instituciones sólidas.</v>
      </c>
      <c r="C23" s="316" t="str">
        <f>'PAI 2022 - V4'!B25</f>
        <v>Propósito 1
Logro de ciudad: 5
Propósito 5
Logro de ciudad: 29 - 30</v>
      </c>
      <c r="D23" s="316" t="str">
        <f>'PAI 2022 - V4'!C25</f>
        <v>Gobierno Digital.
Seguridad Digital.</v>
      </c>
      <c r="E23" s="266" t="str">
        <f>'PAI 2022 - V4'!D25</f>
        <v>OE_3</v>
      </c>
      <c r="F23" s="316" t="str">
        <f>'PAI 2022 - V4'!E25</f>
        <v xml:space="preserve">3. Generar una cultura digital y de gestión del conocimiento para la optimización de los procesos internos y externos.  </v>
      </c>
      <c r="G23" s="316" t="str">
        <f>'PAI 2022 - V4'!F25</f>
        <v>6. Articular los procesos y flujos de trabajo a la estructura de Capital.</v>
      </c>
      <c r="H23" s="266" t="str">
        <f>'PAI 2022 - V4'!G25</f>
        <v>3.6.2</v>
      </c>
      <c r="I23" s="266" t="str">
        <f>'PAI 2022 - V4'!H25</f>
        <v>Medición de la continuidad del servicio.</v>
      </c>
      <c r="J23" s="316" t="str">
        <f>'PAI 2022 - V4'!I25</f>
        <v>Garantizar la calidad y continuidad de la señal de transmisión del canal, evaluando y monitoreando el correcto funcionamiento de los equipos técnicos que intervienen en la cadena de emisión y transmisión.</v>
      </c>
      <c r="K23" s="316" t="str">
        <f>'PAI 2022 - V4'!J25</f>
        <v>Continuidad en la prestación del servicio</v>
      </c>
      <c r="L23" s="316" t="str">
        <f>'PAI 2022 - V4'!K25</f>
        <v>3 Efectividad: Impacto o beneficios generados.</v>
      </c>
      <c r="M23" s="316" t="str">
        <f>'PAI 2022 - V4'!L25</f>
        <v>Evaluar la estabilidad de la señal emitida, a través de la verificación de la continuidad y calidad de la misma.
El indicador mide el porcentaje de fallas que se presentan durante el periodo de medición y por ende permitirá determinar la estabilidad en la prestación del servicio. 
Este corresponde al tiempo en que el canal garantiza la entrega de señal para radiodifusión (TDT) y señal digital (Streaming).</v>
      </c>
      <c r="N23" s="266" t="str">
        <f>'PAI 2022 - V4'!M25</f>
        <v>100 - ((∑(Tiempo en minutos de falla de la seña del periodo reportado)</v>
      </c>
      <c r="O23" s="266" t="str">
        <f>'PAI 2022 - V4'!N25</f>
        <v>∑(tiempo en minutos de la señal programa total))100%</v>
      </c>
      <c r="P23" s="266" t="str">
        <f>'PAI 2022 - V4'!O25</f>
        <v>Porcentaje (%)</v>
      </c>
      <c r="Q23" s="266" t="str">
        <f>'PAI 2022 - V4'!P25</f>
        <v>2 Constante: Se espera un valor o rango de resultado estable en el tiempo</v>
      </c>
      <c r="R23" s="266" t="str">
        <f>'PAI 2022 - V4'!Q25</f>
        <v>99 % - 100 %</v>
      </c>
      <c r="S23" s="17">
        <f>'PAI 2022 - V4'!R25</f>
        <v>1</v>
      </c>
      <c r="T23" s="316" t="str">
        <f>'PAI 2022 - V4'!S25</f>
        <v>Realizar mediciones y seguimientos en procura de mantener la disponibilidad de la señal en promedio cercana al 100%.</v>
      </c>
      <c r="U23" s="17">
        <f>'PAI 2022 - V4'!T25</f>
        <v>0.85</v>
      </c>
      <c r="V23" s="266" t="str">
        <f>'PAI 2022 - V4'!U25</f>
        <v>86 % - 95 %</v>
      </c>
      <c r="W23" s="266" t="str">
        <f>'PAI 2022 - V4'!V25</f>
        <v>96 % - 100 %</v>
      </c>
      <c r="X23" s="266" t="str">
        <f>'PAI 2022 - V4'!W25</f>
        <v>&gt; 100 %</v>
      </c>
      <c r="Y23" s="316" t="str">
        <f>'PAI 2022 - V4'!X25</f>
        <v>1. Realizar diariamente el monitoreo de la señal de aire a través de los diferentes puntos de retorno, haciendo consolidación de datos diarios de las fallas identificadas en el formato "MECN-FT-048 Registro Monitoreo de novedades en la Señal de Aire - pestaña registro monitoreo señal fuera del aire". En aquellos periodos en los que no se presente fallas no se hará registro alguno en esta pestaña del formato 
2. Realizar mensualmente el diligenciamiento del formato "MECN-FT-048 Registro Monitoreo de novedades en la Señal de Aire  - pestaña registro mensual novedades en la señal de aire" indicando el consolidado de fallas presentadas en el mes. Cuando no se presenten fallas, esto se indicará  en el resultado.</v>
      </c>
      <c r="Z23" s="266" t="str">
        <f>'PAI 2022 - V4'!Y25</f>
        <v>1 Mensual</v>
      </c>
      <c r="AA23" s="316" t="str">
        <f>'PAI 2022 - V4'!Z25</f>
        <v>1. Se tendrán como exclusiones en la medición los mantenimientos programados que afecten el retorno de señal en alguno de los puntos de monitoreo.
2. El reporte se realizará a planeación de manera trimestral, sin embargo los datos serán reflejados en el reporte por cada uno de los meses.</v>
      </c>
      <c r="AB23" s="266" t="str">
        <f>'PAI 2022 - V4'!AA25</f>
        <v>Dirección Operativa</v>
      </c>
      <c r="AC23" s="417" t="str">
        <f>'PAI 2022 - V4'!AB25</f>
        <v>Gestión técnica de la realización y circulación de contenidos.</v>
      </c>
      <c r="AD23" s="893">
        <f>100%-(0/44640)</f>
        <v>1</v>
      </c>
      <c r="AE23" s="504">
        <f>100%-(0/40320)</f>
        <v>1</v>
      </c>
      <c r="AF23" s="504">
        <f>100%-(0/44640)</f>
        <v>1</v>
      </c>
      <c r="AG23" s="504">
        <f>100%-(0/43200)</f>
        <v>1</v>
      </c>
      <c r="AH23" s="504">
        <f t="shared" ref="AH23" si="1">100%-(0/44640)</f>
        <v>1</v>
      </c>
      <c r="AI23" s="504">
        <f>100%-(45.4/43200)</f>
        <v>0.99894907407407407</v>
      </c>
      <c r="AJ23" s="504">
        <f>100%-(107.01/44640)</f>
        <v>0.99760282258064514</v>
      </c>
      <c r="AK23" s="504">
        <f>100%-(10/44640)</f>
        <v>0.99977598566308246</v>
      </c>
      <c r="AL23" s="504">
        <f>100%-(1.03/43200)</f>
        <v>0.99997615740740742</v>
      </c>
      <c r="AM23" s="504">
        <f>100%-(16.1/44623.9)</f>
        <v>0.99963920679277252</v>
      </c>
      <c r="AN23" s="504">
        <f>100%-(1.03/43200)</f>
        <v>0.99997615740740742</v>
      </c>
      <c r="AO23" s="894">
        <f>100%-(1.03/44640)</f>
        <v>0.9999769265232975</v>
      </c>
      <c r="AP23" s="562" t="s">
        <v>1094</v>
      </c>
      <c r="AQ23" s="563" t="s">
        <v>1179</v>
      </c>
      <c r="AR23" s="875" t="s">
        <v>24</v>
      </c>
    </row>
    <row r="24" spans="1:44" ht="132.75" customHeight="1" x14ac:dyDescent="0.2">
      <c r="A24" s="877" t="str">
        <f t="shared" si="0"/>
        <v>3.7.3</v>
      </c>
      <c r="B24" s="315" t="str">
        <f>'PAI 2022 - V4'!A26</f>
        <v>9. Industria, innovación e infraestructura.
16. Paz, justicia e instituciones sólidas.</v>
      </c>
      <c r="C24" s="316" t="str">
        <f>'PAI 2022 - V4'!B26</f>
        <v>Propósito 1
Logro de ciudad: 5
Propósito 5
Logro de ciudad: 29 - 30</v>
      </c>
      <c r="D24" s="316" t="str">
        <f>'PAI 2022 - V4'!C26</f>
        <v>Gobierno Digital.
Seguridad Digital.</v>
      </c>
      <c r="E24" s="266" t="str">
        <f>'PAI 2022 - V4'!D26</f>
        <v>OE_3</v>
      </c>
      <c r="F24" s="316" t="str">
        <f>'PAI 2022 - V4'!E26</f>
        <v xml:space="preserve">3. Generar una cultura digital y de gestión del conocimiento para la optimización de los procesos internos y externos.  </v>
      </c>
      <c r="G24" s="316" t="str">
        <f>'PAI 2022 - V4'!F26</f>
        <v>7. Adelantar fases de diagnóstico, actualización e implementación de una cultura digital y de gestión del conocimiento.</v>
      </c>
      <c r="H24" s="266" t="str">
        <f>'PAI 2022 - V4'!G26</f>
        <v>3.7.3</v>
      </c>
      <c r="I24" s="266" t="str">
        <f>'PAI 2022 - V4'!H26</f>
        <v>Plan Estratégico de Tecnologías de la Información - PETI 2022 (Anexo 2)</v>
      </c>
      <c r="J24" s="316" t="str">
        <f>'PAI 2022 - V4'!I26</f>
        <v>Continuar con la planificación estratégica de las tecnologías de la información de Capital, para el período 2022, acordes con las necesidades de la Entidad y los lineamientos de la Política de Gobierno Digital, a partir de la planeación estratégica apalancada en las tecnologías de la información y la implementación de políticas de gestión y desempeño institucional que contribuya al logro de los objetivos institucionales, apoyando todas las actividades y proyectos de Capital.</v>
      </c>
      <c r="K24" s="316" t="str">
        <f>'PAI 2022 - V4'!J26</f>
        <v>Cumplimiento de actividades del Plan Estratégico de Tecnologías de la Información - PETI 2022</v>
      </c>
      <c r="L24" s="316" t="str">
        <f>'PAI 2022 - V4'!K26</f>
        <v>2 Eficiencia: Uso de los recursos.</v>
      </c>
      <c r="M24" s="316" t="str">
        <f>'PAI 2022 - V4'!L26</f>
        <v>Realizar el seguimiento al cumplimiento de las actividades programadas en el Plan Estratégico de tecnologías de la información - PETI</v>
      </c>
      <c r="N24" s="266" t="str">
        <f>'PAI 2022 - V4'!M26</f>
        <v xml:space="preserve">Porcentaje de avances de las acciones programadas en el Plan Estratégico de tecnologías de la información - PETI </v>
      </c>
      <c r="O24" s="266" t="str">
        <f>'PAI 2022 - V4'!N26</f>
        <v xml:space="preserve">Porcentaje programado de acciones del Plan Estratégico de tecnologías de la información - PETI para la vigencia </v>
      </c>
      <c r="P24" s="266" t="str">
        <f>'PAI 2022 - V4'!O26</f>
        <v>Porcentaje (%).</v>
      </c>
      <c r="Q24" s="266" t="str">
        <f>'PAI 2022 - V4'!P26</f>
        <v>1 Creciente: El resultado tiende a crecer en el tiempo</v>
      </c>
      <c r="R24" s="17">
        <f>'PAI 2022 - V4'!Q26</f>
        <v>0.9</v>
      </c>
      <c r="S24" s="17">
        <f>'PAI 2022 - V4'!R26</f>
        <v>0.95</v>
      </c>
      <c r="T24" s="316" t="str">
        <f>'PAI 2022 - V4'!S26</f>
        <v>Ejecutar como mínimo el 95% de las actividades programadas en el plan de tecnologías de la información (Plan Estratégico de Tecnologías de la Información - PETI).</v>
      </c>
      <c r="U24" s="266" t="str">
        <f>'PAI 2022 - V4'!T26</f>
        <v>&lt;30%</v>
      </c>
      <c r="V24" s="266" t="str">
        <f>'PAI 2022 - V4'!U26</f>
        <v>31% - 70%</v>
      </c>
      <c r="W24" s="266" t="str">
        <f>'PAI 2022 - V4'!V26</f>
        <v>71% - 94%</v>
      </c>
      <c r="X24" s="266" t="str">
        <f>'PAI 2022 - V4'!W26</f>
        <v>&gt;95%</v>
      </c>
      <c r="Y24" s="316" t="str">
        <f>'PAI 2022 - V4'!X26</f>
        <v>1. Planificación (20%)
2. Ejecución (80%)
3. Seguimiento al cumplimiento
4. Análisis y mejoramiento</v>
      </c>
      <c r="Z24" s="266" t="str">
        <f>'PAI 2022 - V4'!Y26</f>
        <v>3 Trimestral</v>
      </c>
      <c r="AA24" s="316" t="str">
        <f>'PAI 2022 - V4'!Z26</f>
        <v xml:space="preserve">No aplica </v>
      </c>
      <c r="AB24" s="266" t="str">
        <f>'PAI 2022 - V4'!AA26</f>
        <v>Subdirección Administrativa</v>
      </c>
      <c r="AC24" s="417" t="str">
        <f>'PAI 2022 - V4'!AB26</f>
        <v>Gestión de recursos administrativos.</v>
      </c>
      <c r="AD24" s="891">
        <f>23/95</f>
        <v>0.24210526315789474</v>
      </c>
      <c r="AE24" s="617"/>
      <c r="AF24" s="617"/>
      <c r="AG24" s="617">
        <f>46/95</f>
        <v>0.48421052631578948</v>
      </c>
      <c r="AH24" s="617"/>
      <c r="AI24" s="617"/>
      <c r="AJ24" s="617">
        <f>69/95</f>
        <v>0.72631578947368425</v>
      </c>
      <c r="AK24" s="617"/>
      <c r="AL24" s="617"/>
      <c r="AM24" s="617">
        <f>95/95</f>
        <v>1</v>
      </c>
      <c r="AN24" s="617"/>
      <c r="AO24" s="892"/>
      <c r="AP24" s="562" t="s">
        <v>1112</v>
      </c>
      <c r="AQ24" s="563" t="s">
        <v>1180</v>
      </c>
      <c r="AR24" s="875" t="s">
        <v>25</v>
      </c>
    </row>
    <row r="25" spans="1:44" ht="132" customHeight="1" x14ac:dyDescent="0.2">
      <c r="A25" s="877" t="str">
        <f t="shared" si="0"/>
        <v>3.7.4</v>
      </c>
      <c r="B25" s="315" t="str">
        <f>'PAI 2022 - V4'!A27</f>
        <v>9. Industria, innovación e infraestructura.
16. Paz, justicia e instituciones sólidas.</v>
      </c>
      <c r="C25" s="316" t="str">
        <f>'PAI 2022 - V4'!B27</f>
        <v>Propósito 1
Logro de ciudad: 5
Propósito 5
Logro de ciudad: 29 - 30</v>
      </c>
      <c r="D25" s="316" t="str">
        <f>'PAI 2022 - V4'!C27</f>
        <v>Gobierno Digital.
Seguridad Digital.</v>
      </c>
      <c r="E25" s="266" t="str">
        <f>'PAI 2022 - V4'!D27</f>
        <v>OE_3</v>
      </c>
      <c r="F25" s="316" t="str">
        <f>'PAI 2022 - V4'!E27</f>
        <v xml:space="preserve">3. Generar una cultura digital y de gestión del conocimiento para la optimización de los procesos internos y externos.  </v>
      </c>
      <c r="G25" s="316" t="str">
        <f>'PAI 2022 - V4'!F27</f>
        <v>7. Adelantar fases de diagnóstico, actualización e implementación de una cultura digital y de gestión del conocimiento.</v>
      </c>
      <c r="H25" s="266" t="str">
        <f>'PAI 2022 - V4'!G27</f>
        <v>3.7.4</v>
      </c>
      <c r="I25" s="266" t="str">
        <f>'PAI 2022 - V4'!H27</f>
        <v>Plan de Seguridad y Privacidad de la Información 2022 - PSPI (Anexo 3)</v>
      </c>
      <c r="J25" s="316" t="str">
        <f>'PAI 2022 - V4'!I27</f>
        <v xml:space="preserve">Fortalecer la plataforma tecnológica de la Entidad (Hardware y Software), manteniendo un esquema de alta disponibilidad y seguridad. </v>
      </c>
      <c r="K25" s="316" t="str">
        <f>'PAI 2022 - V4'!J27</f>
        <v>Cumplimiento de actividades del Plan de seguridad y privacidad de la información</v>
      </c>
      <c r="L25" s="316" t="str">
        <f>'PAI 2022 - V4'!K27</f>
        <v>2 Eficiencia: Uso de los recursos.</v>
      </c>
      <c r="M25" s="316" t="str">
        <f>'PAI 2022 - V4'!L27</f>
        <v>Realizar el seguimiento al cumplimiento de las actividades programadas en el Plan de seguridad y privacidad de la información</v>
      </c>
      <c r="N25" s="266" t="str">
        <f>'PAI 2022 - V4'!M27</f>
        <v xml:space="preserve">Porcentaje de avances de las acciones programadas en el Plan de seguridad y privacidad de la información </v>
      </c>
      <c r="O25" s="266" t="str">
        <f>'PAI 2022 - V4'!N27</f>
        <v>Porcentaje programado de acciones del Plan de seguridad y privacidad de la información para la vigencia</v>
      </c>
      <c r="P25" s="266" t="str">
        <f>'PAI 2022 - V4'!O27</f>
        <v>Porcentaje (%).</v>
      </c>
      <c r="Q25" s="266" t="str">
        <f>'PAI 2022 - V4'!P27</f>
        <v>1 Creciente: El resultado tiende a crecer en el tiempo</v>
      </c>
      <c r="R25" s="17">
        <f>'PAI 2022 - V4'!Q27</f>
        <v>0.9</v>
      </c>
      <c r="S25" s="17">
        <f>'PAI 2022 - V4'!R27</f>
        <v>0.95</v>
      </c>
      <c r="T25" s="316" t="str">
        <f>'PAI 2022 - V4'!S27</f>
        <v xml:space="preserve">Ejecutar como mínimo el 95% de las actividades programadas en el Plan de Seguridad y Privacidad de la Información </v>
      </c>
      <c r="U25" s="266" t="str">
        <f>'PAI 2022 - V4'!T27</f>
        <v>&lt;30%</v>
      </c>
      <c r="V25" s="266" t="str">
        <f>'PAI 2022 - V4'!U27</f>
        <v>31% - 70%</v>
      </c>
      <c r="W25" s="266" t="str">
        <f>'PAI 2022 - V4'!V27</f>
        <v>71% - 94%</v>
      </c>
      <c r="X25" s="266" t="str">
        <f>'PAI 2022 - V4'!W27</f>
        <v>&gt;95%</v>
      </c>
      <c r="Y25" s="316" t="str">
        <f>'PAI 2022 - V4'!X27</f>
        <v>1. Planificación (20%)
2. Ejecución (80%)
3. Seguimiento al cumplimiento
4. Análisis y mejoramiento</v>
      </c>
      <c r="Z25" s="266" t="str">
        <f>'PAI 2022 - V4'!Y27</f>
        <v>3 Trimestral</v>
      </c>
      <c r="AA25" s="316" t="str">
        <f>'PAI 2022 - V4'!Z27</f>
        <v xml:space="preserve">No aplica </v>
      </c>
      <c r="AB25" s="266" t="str">
        <f>'PAI 2022 - V4'!AA27</f>
        <v>Subdirección Administrativa</v>
      </c>
      <c r="AC25" s="417" t="str">
        <f>'PAI 2022 - V4'!AB27</f>
        <v>Gestión de recursos administrativos.</v>
      </c>
      <c r="AD25" s="891">
        <f>23/95</f>
        <v>0.24210526315789474</v>
      </c>
      <c r="AE25" s="617"/>
      <c r="AF25" s="617"/>
      <c r="AG25" s="617">
        <f>46/95</f>
        <v>0.48421052631578948</v>
      </c>
      <c r="AH25" s="617"/>
      <c r="AI25" s="617"/>
      <c r="AJ25" s="617">
        <f>69/95</f>
        <v>0.72631578947368425</v>
      </c>
      <c r="AK25" s="617"/>
      <c r="AL25" s="617"/>
      <c r="AM25" s="617">
        <f>95/95</f>
        <v>1</v>
      </c>
      <c r="AN25" s="617"/>
      <c r="AO25" s="892"/>
      <c r="AP25" s="562" t="s">
        <v>1113</v>
      </c>
      <c r="AQ25" s="563" t="s">
        <v>1181</v>
      </c>
      <c r="AR25" s="875" t="s">
        <v>25</v>
      </c>
    </row>
    <row r="26" spans="1:44" ht="143.25" customHeight="1" x14ac:dyDescent="0.2">
      <c r="A26" s="877" t="str">
        <f t="shared" si="0"/>
        <v>3.7.5</v>
      </c>
      <c r="B26" s="315" t="str">
        <f>'PAI 2022 - V4'!A28</f>
        <v>9. Industria, innovación e infraestructura.
16. Paz, justicia e instituciones sólidas.</v>
      </c>
      <c r="C26" s="316" t="str">
        <f>'PAI 2022 - V4'!B28</f>
        <v>Propósito 1
Logro de ciudad: 5
Propósito 5
Logro de ciudad: 29 - 30</v>
      </c>
      <c r="D26" s="316" t="str">
        <f>'PAI 2022 - V4'!C28</f>
        <v>Gobierno Digital.
Seguridad Digital.</v>
      </c>
      <c r="E26" s="266" t="str">
        <f>'PAI 2022 - V4'!D28</f>
        <v>OE_3</v>
      </c>
      <c r="F26" s="316" t="str">
        <f>'PAI 2022 - V4'!E28</f>
        <v xml:space="preserve">3. Generar una cultura digital y de gestión del conocimiento para la optimización de los procesos internos y externos.  </v>
      </c>
      <c r="G26" s="316" t="str">
        <f>'PAI 2022 - V4'!F28</f>
        <v>7. Adelantar fases de diagnóstico, actualización e implementación de una cultura digital y de gestión del conocimiento.</v>
      </c>
      <c r="H26" s="266" t="str">
        <f>'PAI 2022 - V4'!G28</f>
        <v>3.7.5</v>
      </c>
      <c r="I26" s="266" t="str">
        <f>'PAI 2022 - V4'!H28</f>
        <v>Plan de tratamiento de riesgos de seguridad y privacidad de la información 2022 - PTRSI (Anexo 4)</v>
      </c>
      <c r="J26" s="382" t="str">
        <f>'PAI 2022 - V4'!I28</f>
        <v xml:space="preserve">Fortalecer la gestión y tratamiento de riesgos de seguridad digital en las plataformas tecnológicas de la Entidad (Hardware y Software), manteniendo un esquema de alta disponibilidad y seguridad. </v>
      </c>
      <c r="K26" s="316" t="str">
        <f>'PAI 2022 - V4'!J28</f>
        <v>Cumplimiento de actividades del Plan de tratamiento de riesgos de seguridad y privacidad de la información</v>
      </c>
      <c r="L26" s="316" t="str">
        <f>'PAI 2022 - V4'!K28</f>
        <v>2 Eficiencia: Uso de los recursos.</v>
      </c>
      <c r="M26" s="316" t="str">
        <f>'PAI 2022 - V4'!L28</f>
        <v>Realizar el seguimiento al cumplimiento de las actividades programadas en el Plan de tratamiento de riesgos de seguridad y privacidad de la información</v>
      </c>
      <c r="N26" s="266" t="str">
        <f>'PAI 2022 - V4'!M28</f>
        <v>Porcentaje de avances de las acciones programadas en el Plan de tratamiento de riesgos de seguridad y privacidad de la información.</v>
      </c>
      <c r="O26" s="266" t="str">
        <f>'PAI 2022 - V4'!N28</f>
        <v>Porcentaje programado de acciones del Plan de tratamiento de riesgos de  seguridad y privacidad de la información para la vigencia</v>
      </c>
      <c r="P26" s="266" t="str">
        <f>'PAI 2022 - V4'!O28</f>
        <v>Porcentaje (%).</v>
      </c>
      <c r="Q26" s="266" t="str">
        <f>'PAI 2022 - V4'!P28</f>
        <v>1 Creciente: El resultado tiende a crecer en el tiempo</v>
      </c>
      <c r="R26" s="17">
        <f>'PAI 2022 - V4'!Q28</f>
        <v>0.9</v>
      </c>
      <c r="S26" s="17">
        <f>'PAI 2022 - V4'!R28</f>
        <v>0.95</v>
      </c>
      <c r="T26" s="316" t="str">
        <f>'PAI 2022 - V4'!S28</f>
        <v>Ejecutar como mínimo el 95% de las actividades programadas en el Plan de tratamiento de riesgos de seguridad y privacidad de la información.</v>
      </c>
      <c r="U26" s="266" t="str">
        <f>'PAI 2022 - V4'!T28</f>
        <v>&lt;30%</v>
      </c>
      <c r="V26" s="266" t="str">
        <f>'PAI 2022 - V4'!U28</f>
        <v>31% - 70%</v>
      </c>
      <c r="W26" s="266" t="str">
        <f>'PAI 2022 - V4'!V28</f>
        <v>71% - 94%</v>
      </c>
      <c r="X26" s="266" t="str">
        <f>'PAI 2022 - V4'!W28</f>
        <v>&gt;95%</v>
      </c>
      <c r="Y26" s="316" t="str">
        <f>'PAI 2022 - V4'!X28</f>
        <v>1. Planificación (20%)
2. Ejecución (80%)
3. Seguimiento al cumplimiento
4. Análisis y mejoramiento</v>
      </c>
      <c r="Z26" s="266" t="str">
        <f>'PAI 2022 - V4'!Y28</f>
        <v>3 Trimestral</v>
      </c>
      <c r="AA26" s="316" t="str">
        <f>'PAI 2022 - V4'!Z28</f>
        <v xml:space="preserve">No aplica </v>
      </c>
      <c r="AB26" s="266" t="str">
        <f>'PAI 2022 - V4'!AA28</f>
        <v>Subdirección Administrativa</v>
      </c>
      <c r="AC26" s="417" t="str">
        <f>'PAI 2022 - V4'!AB28</f>
        <v>Gestión de recursos administrativos.</v>
      </c>
      <c r="AD26" s="891">
        <f>23/95</f>
        <v>0.24210526315789474</v>
      </c>
      <c r="AE26" s="617"/>
      <c r="AF26" s="617"/>
      <c r="AG26" s="617">
        <f>46/95</f>
        <v>0.48421052631578948</v>
      </c>
      <c r="AH26" s="617"/>
      <c r="AI26" s="617"/>
      <c r="AJ26" s="617">
        <f>69/95</f>
        <v>0.72631578947368425</v>
      </c>
      <c r="AK26" s="617"/>
      <c r="AL26" s="617"/>
      <c r="AM26" s="617">
        <f>95/95</f>
        <v>1</v>
      </c>
      <c r="AN26" s="617"/>
      <c r="AO26" s="892"/>
      <c r="AP26" s="562" t="s">
        <v>1114</v>
      </c>
      <c r="AQ26" s="563" t="s">
        <v>1182</v>
      </c>
      <c r="AR26" s="875" t="s">
        <v>25</v>
      </c>
    </row>
    <row r="27" spans="1:44" ht="120" customHeight="1" x14ac:dyDescent="0.2">
      <c r="A27" s="877" t="str">
        <f t="shared" si="0"/>
        <v>5.5.7</v>
      </c>
      <c r="B27" s="381" t="str">
        <f>'PAI 2022 - V4'!A29</f>
        <v>6. Agua limpia y saneamiento.
7. Energía asequible y no contaminante.
12. Producción  y consumo responsable.
13. Acción por el clima.
15. Vida de ecosistemas terrestres.</v>
      </c>
      <c r="C27" s="316" t="str">
        <f>'PAI 2022 - V4'!B29</f>
        <v>Propósito 2
Logro de ciudad: 14 - 18 - 20
Propósito 5
Logro de ciudad: 30</v>
      </c>
      <c r="D27" s="382" t="str">
        <f>'PAI 2022 - V4'!C29</f>
        <v>Gestión Ambiental</v>
      </c>
      <c r="E27" s="266" t="str">
        <f>'PAI 2022 - V4'!D29</f>
        <v>OE_5</v>
      </c>
      <c r="F27" s="316" t="str">
        <f>'PAI 2022 - V4'!E29</f>
        <v xml:space="preserve">5. Fortalecer la capacidad organizacional de Capital para ser una empresa transparente, eficiente y sostenible. </v>
      </c>
      <c r="G27" s="316" t="str">
        <f>'PAI 2022 - V4'!F29</f>
        <v>5. Realizar el diagnóstico, diseño e implementación de una estructura administrativa acorde a las necesidades de capital.</v>
      </c>
      <c r="H27" s="266" t="str">
        <f>'PAI 2022 - V4'!G29</f>
        <v>5.5.7</v>
      </c>
      <c r="I27" s="266" t="str">
        <f>'PAI 2022 - V4'!H29</f>
        <v>Plan institucional de Gestión Ambiental - PIGA</v>
      </c>
      <c r="J27" s="316" t="str">
        <f>'PAI 2022 - V4'!I29</f>
        <v>Llevar a cabo las acciones programadas en el plan de acción PIGA para cada vigencia con relación a los siguientes programas: 
* Ahorro y uso eficiente del agua
* Ahorro y uso eficiente de la energía 
* Gestión integral de residuos 
* Consumo sostenible
Implementación de prácticas sostenible</v>
      </c>
      <c r="K27" s="316" t="str">
        <f>'PAI 2022 - V4'!J29</f>
        <v>Cumplimiento del Plan Institucional de Gestión Ambiental - PIGA</v>
      </c>
      <c r="L27" s="316" t="str">
        <f>'PAI 2022 - V4'!K29</f>
        <v>2 Eficiencia: Uso de los recursos.</v>
      </c>
      <c r="M27" s="316" t="str">
        <f>'PAI 2022 - V4'!L29</f>
        <v>Se espera llevar el seguimiento de la implementación de las acciones establecidas en el Plan de Acción PIGA para cada vigencia en coherencia con la concertación para el periodo 2021-2024</v>
      </c>
      <c r="N27" s="266" t="str">
        <f>'PAI 2022 - V4'!M29</f>
        <v>Número de actividades ejecutadas del Plan Institucional de Gestión Ambiental - PIGA</v>
      </c>
      <c r="O27" s="266" t="str">
        <f>'PAI 2022 - V4'!N29</f>
        <v>Número de actividades programadas del Plan Institucional de Gestión Ambiental - PIGA</v>
      </c>
      <c r="P27" s="266" t="str">
        <f>'PAI 2022 - V4'!O29</f>
        <v>Porcentaje (%)</v>
      </c>
      <c r="Q27" s="266" t="str">
        <f>'PAI 2022 - V4'!P29</f>
        <v>1 Creciente: El resultado tiende a crecer en el tiempo</v>
      </c>
      <c r="R27" s="17">
        <f>'PAI 2022 - V4'!Q29</f>
        <v>0.91</v>
      </c>
      <c r="S27" s="17">
        <f>'PAI 2022 - V4'!R29</f>
        <v>0.9</v>
      </c>
      <c r="T27" s="316" t="str">
        <f>'PAI 2022 - V4'!S29</f>
        <v xml:space="preserve">Se pretende dar cumplimiento como mínimo al 90% de las actividades establecidas en el plan de acción PIGA para la vigencia 2022 atendiendo la capacidad operativa y financiera así como los cambios establecidos en el contexto interno y externo de la organización. </v>
      </c>
      <c r="U27" s="266" t="str">
        <f>'PAI 2022 - V4'!T29</f>
        <v>&lt;30%</v>
      </c>
      <c r="V27" s="266" t="str">
        <f>'PAI 2022 - V4'!U29</f>
        <v>31% - 70%</v>
      </c>
      <c r="W27" s="266" t="str">
        <f>'PAI 2022 - V4'!V29</f>
        <v>71% - 89%</v>
      </c>
      <c r="X27" s="266" t="str">
        <f>'PAI 2022 - V4'!W29</f>
        <v>&gt;90%</v>
      </c>
      <c r="Y27" s="316" t="str">
        <f>'PAI 2022 - V4'!X29</f>
        <v>Formulación del Plan de Acción anual PIGA (10%)
Ejecución de las actividades programadas (80%)
Seguimiento semestral del Plan de Acción para informes ante la SDA. (10%)</v>
      </c>
      <c r="Z27" s="266" t="str">
        <f>'PAI 2022 - V4'!Y29</f>
        <v>3 Trimestral</v>
      </c>
      <c r="AA27" s="316" t="str">
        <f>'PAI 2022 - V4'!Z29</f>
        <v xml:space="preserve">No aplica </v>
      </c>
      <c r="AB27" s="266" t="str">
        <f>'PAI 2022 - V4'!AA29</f>
        <v>Subdirección Administrativa</v>
      </c>
      <c r="AC27" s="417" t="str">
        <f>'PAI 2022 - V4'!AB29</f>
        <v>Gestión de recursos administrativos.</v>
      </c>
      <c r="AD27" s="891">
        <f>8/8</f>
        <v>1</v>
      </c>
      <c r="AE27" s="617"/>
      <c r="AF27" s="617"/>
      <c r="AG27" s="617">
        <f>22.3/23</f>
        <v>0.96956521739130441</v>
      </c>
      <c r="AH27" s="617"/>
      <c r="AI27" s="617"/>
      <c r="AJ27" s="617">
        <f>27.2/24.2</f>
        <v>1.1239669421487604</v>
      </c>
      <c r="AK27" s="617"/>
      <c r="AL27" s="617"/>
      <c r="AM27" s="617">
        <f>12.15/12.15</f>
        <v>1</v>
      </c>
      <c r="AN27" s="617"/>
      <c r="AO27" s="892"/>
      <c r="AP27" s="562" t="s">
        <v>1115</v>
      </c>
      <c r="AQ27" s="563" t="s">
        <v>1183</v>
      </c>
      <c r="AR27" s="875" t="s">
        <v>25</v>
      </c>
    </row>
    <row r="28" spans="1:44" ht="114" customHeight="1" x14ac:dyDescent="0.2">
      <c r="A28" s="877" t="str">
        <f t="shared" si="0"/>
        <v>5.6.8</v>
      </c>
      <c r="B28" s="315" t="str">
        <f>'PAI 2022 - V4'!A30</f>
        <v>11. Ciudades y comunidades sostenibles.
17. Alianzas para lograr los objetivos.</v>
      </c>
      <c r="C28" s="316" t="str">
        <f>'PAI 2022 - V4'!B30</f>
        <v>Propósito 5
Logro de ciudad: 27 - 30</v>
      </c>
      <c r="D28" s="316" t="str">
        <f>'PAI 2022 - V4'!C30</f>
        <v>Gestión documental y archivo.
Seguimiento y evaluación del desempeño institucional.</v>
      </c>
      <c r="E28" s="266" t="str">
        <f>'PAI 2022 - V4'!D30</f>
        <v>OE_5</v>
      </c>
      <c r="F28" s="316" t="str">
        <f>'PAI 2022 - V4'!E30</f>
        <v xml:space="preserve">5. Fortalecer la capacidad organizacional de Capital para ser una empresa transparente, eficiente y sostenible. </v>
      </c>
      <c r="G28" s="316" t="str">
        <f>'PAI 2022 - V4'!F30</f>
        <v>6. Articular los procesos y flujos de trabajo a la estructura de Capital.</v>
      </c>
      <c r="H28" s="266" t="str">
        <f>'PAI 2022 - V4'!G30</f>
        <v>5.6.8</v>
      </c>
      <c r="I28" s="266" t="str">
        <f>'PAI 2022 - V4'!H30</f>
        <v>Plan Institucional de Archivos - PINAR (Anexo 5)</v>
      </c>
      <c r="J28" s="316" t="str">
        <f>'PAI 2022 - V4'!I30</f>
        <v>Ejecutar los planes y proyectos definidos en el Plan Institucional de Archivos PINAR de Canal Capital</v>
      </c>
      <c r="K28" s="316" t="str">
        <f>'PAI 2022 - V4'!J30</f>
        <v>Cumplimiento de lo establecido en el Plan Institucional de Archivos PINAR para la vigencia 2022</v>
      </c>
      <c r="L28" s="316" t="str">
        <f>'PAI 2022 - V4'!K30</f>
        <v>1 Eficacia: Cumplimiento de metas</v>
      </c>
      <c r="M28" s="316" t="str">
        <f>'PAI 2022 - V4'!L30</f>
        <v>En relación a lo definido en el PINAR se presente ejecutar las actividades en cumplimiento de los cronogramas establecidos.</v>
      </c>
      <c r="N28" s="266" t="str">
        <f>'PAI 2022 - V4'!M30</f>
        <v>Número de actividades ejecutadas del Plan Institucional de Archivos PINAR</v>
      </c>
      <c r="O28" s="266" t="str">
        <f>'PAI 2022 - V4'!N30</f>
        <v>Número de actividades programadas del Plan Institucional de Archivos PINAR</v>
      </c>
      <c r="P28" s="266" t="str">
        <f>'PAI 2022 - V4'!O30</f>
        <v>Porcentaje (%).</v>
      </c>
      <c r="Q28" s="266" t="str">
        <f>'PAI 2022 - V4'!P30</f>
        <v>1 Creciente: El resultado tiende a crecer en el tiempo</v>
      </c>
      <c r="R28" s="17">
        <f>'PAI 2022 - V4'!Q30</f>
        <v>0.2</v>
      </c>
      <c r="S28" s="17">
        <f>'PAI 2022 - V4'!R30</f>
        <v>0.9</v>
      </c>
      <c r="T28" s="316" t="str">
        <f>'PAI 2022 - V4'!S30</f>
        <v>Se pretende dar cumplimiento como mínimo al 90% de las actividades establecidas en el Plan Institucional de Archivos PINAR para la vigencia 2022</v>
      </c>
      <c r="U28" s="266" t="str">
        <f>'PAI 2022 - V4'!T30</f>
        <v>&lt;30%</v>
      </c>
      <c r="V28" s="266" t="str">
        <f>'PAI 2022 - V4'!U30</f>
        <v>31% - 70%</v>
      </c>
      <c r="W28" s="266" t="str">
        <f>'PAI 2022 - V4'!V30</f>
        <v>71% - 89%</v>
      </c>
      <c r="X28" s="266" t="str">
        <f>'PAI 2022 - V4'!W30</f>
        <v>&gt;90%</v>
      </c>
      <c r="Y28" s="316" t="str">
        <f>'PAI 2022 - V4'!X30</f>
        <v>1. Actualización Tabla de Retención Documental. (35%)
2. Implementación y ejecución del SGDEA. (35%)
3. Seguimiento al cumplimiento de los planes proyectados.(30%)</v>
      </c>
      <c r="Z28" s="266" t="str">
        <f>'PAI 2022 - V4'!Y30</f>
        <v>3 Trimestral</v>
      </c>
      <c r="AA28" s="316" t="str">
        <f>'PAI 2022 - V4'!Z30</f>
        <v xml:space="preserve">No aplica </v>
      </c>
      <c r="AB28" s="266" t="str">
        <f>'PAI 2022 - V4'!AA30</f>
        <v>Subdirección Administrativa</v>
      </c>
      <c r="AC28" s="417" t="str">
        <f>'PAI 2022 - V4'!AB30</f>
        <v>Gestión de recursos administrativos.</v>
      </c>
      <c r="AD28" s="891">
        <f>15/15</f>
        <v>1</v>
      </c>
      <c r="AE28" s="617"/>
      <c r="AF28" s="617"/>
      <c r="AG28" s="617">
        <f>20/25</f>
        <v>0.8</v>
      </c>
      <c r="AH28" s="617"/>
      <c r="AI28" s="617"/>
      <c r="AJ28" s="617">
        <f>40/40</f>
        <v>1</v>
      </c>
      <c r="AK28" s="617"/>
      <c r="AL28" s="617"/>
      <c r="AM28" s="617">
        <f>5/5</f>
        <v>1</v>
      </c>
      <c r="AN28" s="617"/>
      <c r="AO28" s="892"/>
      <c r="AP28" s="562" t="s">
        <v>1116</v>
      </c>
      <c r="AQ28" s="563" t="s">
        <v>1184</v>
      </c>
      <c r="AR28" s="875" t="s">
        <v>25</v>
      </c>
    </row>
    <row r="29" spans="1:44" ht="158.25" customHeight="1" x14ac:dyDescent="0.2">
      <c r="A29" s="877" t="str">
        <f t="shared" si="0"/>
        <v>5.5.9</v>
      </c>
      <c r="B29" s="315" t="str">
        <f>'PAI 2022 - V4'!A31</f>
        <v>11. Ciudades y comunidades sostenibles.
17. Alianzas para lograr los objetivos.</v>
      </c>
      <c r="C29" s="316" t="str">
        <f>'PAI 2022 - V4'!B31</f>
        <v>Propósito 5
Logro de ciudad: 29 - 30</v>
      </c>
      <c r="D29" s="316" t="str">
        <f>'PAI 2022 - V4'!C31</f>
        <v>Gestión presupuestal y eficiencia del gasto público.
Seguimiento y evaluación del desempeño institucional.</v>
      </c>
      <c r="E29" s="266" t="str">
        <f>'PAI 2022 - V4'!D31</f>
        <v>OE_5</v>
      </c>
      <c r="F29" s="316" t="str">
        <f>'PAI 2022 - V4'!E31</f>
        <v xml:space="preserve">5. Fortalecer la capacidad organizacional de Capital para ser una empresa transparente, eficiente y sostenible. </v>
      </c>
      <c r="G29" s="316" t="str">
        <f>'PAI 2022 - V4'!F31</f>
        <v>5. Realizar el diagnóstico, diseño e implementación de una estructura administrativa acorde a las necesidades de capital.</v>
      </c>
      <c r="H29" s="266" t="str">
        <f>'PAI 2022 - V4'!G31</f>
        <v>5.5.9</v>
      </c>
      <c r="I29" s="355" t="str">
        <f>'PAI 2022 - V4'!H31</f>
        <v>Plan de Fortalecimiento a la gestión administrativa y operativa de Servicios Administrativos</v>
      </c>
      <c r="J29" s="316" t="str">
        <f>'PAI 2022 - V4'!I31</f>
        <v>Garantizar condiciones adecuadas en la infraestructura física de Canal Capital en sus dos sedes.</v>
      </c>
      <c r="K29" s="316" t="str">
        <f>'PAI 2022 - V4'!J31</f>
        <v>Cumplimiento en los mantenimientos, adecuaciones o reparaciones locativas en la vigencia 2022</v>
      </c>
      <c r="L29" s="316" t="str">
        <f>'PAI 2022 - V4'!K31</f>
        <v>1 Eficacia: Cumplimiento de metas</v>
      </c>
      <c r="M29" s="316" t="str">
        <f>'PAI 2022 - V4'!L31</f>
        <v>Se espera medir el avance en el cumplimiento de las actividades programadas para garantizar y mantener en condiciones adecuadas la infraestructura física de la entidad.</v>
      </c>
      <c r="N29" s="266" t="str">
        <f>'PAI 2022 - V4'!M31</f>
        <v>Número de adecuaciones, mantenimientos o reparaciones ejecutadas</v>
      </c>
      <c r="O29" s="266" t="str">
        <f>'PAI 2022 - V4'!N31</f>
        <v>Número de adecuaciones, mantenimientos o reparaciones programadas</v>
      </c>
      <c r="P29" s="266" t="str">
        <f>'PAI 2022 - V4'!O31</f>
        <v>Porcentaje (%)</v>
      </c>
      <c r="Q29" s="266" t="str">
        <f>'PAI 2022 - V4'!P31</f>
        <v>1 Creciente: El resultado tiende a crecer en el tiempo</v>
      </c>
      <c r="R29" s="17">
        <f>'PAI 2022 - V4'!Q31</f>
        <v>1.1000000000000001</v>
      </c>
      <c r="S29" s="17">
        <f>'PAI 2022 - V4'!R31</f>
        <v>1</v>
      </c>
      <c r="T29" s="316" t="str">
        <f>'PAI 2022 - V4'!S31</f>
        <v>Se pretende mantener en adecuadas condiciones de infraestructura física ambas sedes del canal asegurando espacios idóneos para el normal funcionamiento de la entidad.</v>
      </c>
      <c r="U29" s="266" t="str">
        <f>'PAI 2022 - V4'!T31</f>
        <v>&lt;30%</v>
      </c>
      <c r="V29" s="266" t="str">
        <f>'PAI 2022 - V4'!U31</f>
        <v>31% - 70%</v>
      </c>
      <c r="W29" s="266" t="str">
        <f>'PAI 2022 - V4'!V31</f>
        <v>71% - 99%</v>
      </c>
      <c r="X29" s="12">
        <f>'PAI 2022 - V4'!W31</f>
        <v>1</v>
      </c>
      <c r="Y29" s="316" t="str">
        <f>'PAI 2022 - V4'!X31</f>
        <v>1. Compra e instalación de una cocina integral para el inmueble (50%)
2. Mantenimientos, adecuaciones y/o reparaciones correctivas tanto a la sede calle 26 como al inmueble. (10%)
3. Mantenimientos locativos preventivos tanto a la sede calle 26 como al inmueble (40%)</v>
      </c>
      <c r="Z29" s="266" t="str">
        <f>'PAI 2022 - V4'!Y31</f>
        <v>3 Trimestral</v>
      </c>
      <c r="AA29" s="316" t="str">
        <f>'PAI 2022 - V4'!Z31</f>
        <v>Para ejecutar de manera adecuada las actividades descritas, dependerá de los recursos que se destinen para tal fin y de contar con el personal idóneo para realizarlas.</v>
      </c>
      <c r="AB29" s="266" t="str">
        <f>'PAI 2022 - V4'!AA31</f>
        <v>Subdirección Administrativa</v>
      </c>
      <c r="AC29" s="417" t="str">
        <f>'PAI 2022 - V4'!AB31</f>
        <v>Gestión de recursos administrativos.</v>
      </c>
      <c r="AD29" s="891">
        <f>3/3</f>
        <v>1</v>
      </c>
      <c r="AE29" s="617"/>
      <c r="AF29" s="617"/>
      <c r="AG29" s="617">
        <f>6/6</f>
        <v>1</v>
      </c>
      <c r="AH29" s="617"/>
      <c r="AI29" s="617"/>
      <c r="AJ29" s="617">
        <f>5/5</f>
        <v>1</v>
      </c>
      <c r="AK29" s="617"/>
      <c r="AL29" s="617"/>
      <c r="AM29" s="617">
        <f>7/7</f>
        <v>1</v>
      </c>
      <c r="AN29" s="617"/>
      <c r="AO29" s="892"/>
      <c r="AP29" s="562" t="s">
        <v>1117</v>
      </c>
      <c r="AQ29" s="563" t="s">
        <v>1185</v>
      </c>
      <c r="AR29" s="875" t="s">
        <v>25</v>
      </c>
    </row>
    <row r="30" spans="1:44" ht="99" customHeight="1" x14ac:dyDescent="0.2">
      <c r="A30" s="877" t="str">
        <f t="shared" si="0"/>
        <v>5.5.10</v>
      </c>
      <c r="B30" s="315" t="str">
        <f>'PAI 2022 - V4'!A32</f>
        <v>11. Ciudades y comunidades sostenibles.
17. Alianzas para lograr los objetivos.</v>
      </c>
      <c r="C30" s="316" t="str">
        <f>'PAI 2022 - V4'!B32</f>
        <v>Propósito 5
Logro de ciudad: 29 - 30</v>
      </c>
      <c r="D30" s="316" t="str">
        <f>'PAI 2022 - V4'!C32</f>
        <v>Gestión presupuestal y eficiencia del gasto público.
Seguimiento y evaluación del desempeño institucional.</v>
      </c>
      <c r="E30" s="266" t="str">
        <f>'PAI 2022 - V4'!D32</f>
        <v>OE_5</v>
      </c>
      <c r="F30" s="316" t="str">
        <f>'PAI 2022 - V4'!E32</f>
        <v xml:space="preserve">5. Fortalecer la capacidad organizacional de Capital para ser una empresa transparente, eficiente y sostenible. </v>
      </c>
      <c r="G30" s="316" t="str">
        <f>'PAI 2022 - V4'!F32</f>
        <v>5. Realizar el diagnóstico, diseño e implementación de una estructura administrativa acorde a las necesidades de capital.</v>
      </c>
      <c r="H30" s="266" t="str">
        <f>'PAI 2022 - V4'!G32</f>
        <v>5.5.10</v>
      </c>
      <c r="I30" s="355" t="str">
        <f>'PAI 2022 - V4'!H31</f>
        <v>Plan de Fortalecimiento a la gestión administrativa y operativa de Servicios Administrativos</v>
      </c>
      <c r="J30" s="316" t="str">
        <f>'PAI 2022 - V4'!I32</f>
        <v>Salvaguardar el patrimonio de bienes muebles de Canal Capital evitando detrimentos patrimoniales a la entidad</v>
      </c>
      <c r="K30" s="316" t="str">
        <f>'PAI 2022 - V4'!J32</f>
        <v>Cumplimiento de los cronogramas de Tomas Físicas de Inventarios en la vigencia 2022</v>
      </c>
      <c r="L30" s="316" t="str">
        <f>'PAI 2022 - V4'!K32</f>
        <v>1 Eficacia: Cumplimiento de metas</v>
      </c>
      <c r="M30" s="316" t="str">
        <f>'PAI 2022 - V4'!L32</f>
        <v>Se espera medir el avance en el cumplimiento de las actividades programadas para salvaguardar el patrimonio de bienes muebles de la entidad</v>
      </c>
      <c r="N30" s="266" t="str">
        <f>'PAI 2022 - V4'!M32</f>
        <v xml:space="preserve">Número de tomas físicas ejecutadas </v>
      </c>
      <c r="O30" s="266" t="str">
        <f>'PAI 2022 - V4'!N32</f>
        <v>Número de áreas programadas para tomas físicas</v>
      </c>
      <c r="P30" s="266" t="str">
        <f>'PAI 2022 - V4'!O32</f>
        <v>Porcentaje (%)</v>
      </c>
      <c r="Q30" s="266" t="str">
        <f>'PAI 2022 - V4'!P32</f>
        <v>1 Creciente: El resultado tiende a crecer en el tiempo</v>
      </c>
      <c r="R30" s="12">
        <f>'PAI 2022 - V4'!Q32</f>
        <v>1</v>
      </c>
      <c r="S30" s="17">
        <f>'PAI 2022 - V4'!R32</f>
        <v>1</v>
      </c>
      <c r="T30" s="316" t="str">
        <f>'PAI 2022 - V4'!S32</f>
        <v>Se pretende cuidar y proteger el patrimonio de la entidad realizando revisiones física periódicas.</v>
      </c>
      <c r="U30" s="266" t="str">
        <f>'PAI 2022 - V4'!T32</f>
        <v>&lt;30%</v>
      </c>
      <c r="V30" s="266" t="str">
        <f>'PAI 2022 - V4'!U32</f>
        <v>31% - 70%</v>
      </c>
      <c r="W30" s="266" t="str">
        <f>'PAI 2022 - V4'!V32</f>
        <v>71% - 99%</v>
      </c>
      <c r="X30" s="12">
        <f>'PAI 2022 - V4'!W32</f>
        <v>1</v>
      </c>
      <c r="Y30" s="316" t="str">
        <f>'PAI 2022 - V4'!X32</f>
        <v>1. Realizar una toma física de inventarios a los elementos catalogados como Consumo Controlado de Canal Capital (20%)
2. Realizar una toma física aleatoria a los bienes catalogados como Propiedad, Planta y Equipo de Canal Capital. (20%)
3. Realizar una toma física completa a los bienes catalogados como Propiedad, Planta y Equipo de Canal Capital (60%)</v>
      </c>
      <c r="Z30" s="266" t="str">
        <f>'PAI 2022 - V4'!Y32</f>
        <v>3 Trimestral</v>
      </c>
      <c r="AA30" s="316" t="str">
        <f>'PAI 2022 - V4'!Z32</f>
        <v xml:space="preserve">No aplica </v>
      </c>
      <c r="AB30" s="266" t="str">
        <f>'PAI 2022 - V4'!AA32</f>
        <v>Subdirección Administrativa</v>
      </c>
      <c r="AC30" s="417" t="str">
        <f>'PAI 2022 - V4'!AB32</f>
        <v>Gestión de recursos administrativos.</v>
      </c>
      <c r="AD30" s="891">
        <f>1/1</f>
        <v>1</v>
      </c>
      <c r="AE30" s="617"/>
      <c r="AF30" s="617"/>
      <c r="AG30" s="617">
        <f>1/1</f>
        <v>1</v>
      </c>
      <c r="AH30" s="617"/>
      <c r="AI30" s="617"/>
      <c r="AJ30" s="617">
        <f>5/5</f>
        <v>1</v>
      </c>
      <c r="AK30" s="617"/>
      <c r="AL30" s="617"/>
      <c r="AM30" s="617">
        <f>72/72</f>
        <v>1</v>
      </c>
      <c r="AN30" s="617"/>
      <c r="AO30" s="892"/>
      <c r="AP30" s="562" t="s">
        <v>1118</v>
      </c>
      <c r="AQ30" s="563" t="s">
        <v>1186</v>
      </c>
      <c r="AR30" s="875" t="s">
        <v>25</v>
      </c>
    </row>
    <row r="31" spans="1:44" ht="110.25" customHeight="1" x14ac:dyDescent="0.2">
      <c r="A31" s="877" t="str">
        <f t="shared" si="0"/>
        <v>5.6.11</v>
      </c>
      <c r="B31" s="315" t="str">
        <f>'PAI 2022 - V4'!A33</f>
        <v>3. Salud y bienestar.
16. Paz, justicia e instituciones sólidas.</v>
      </c>
      <c r="C31" s="316" t="str">
        <f>'PAI 2022 - V4'!B33</f>
        <v>Propósito 1
Logro de ciudad: 3 - 5
Propósito 5
Logro de ciudad: 30</v>
      </c>
      <c r="D31" s="316" t="str">
        <f>'PAI 2022 - V4'!C33</f>
        <v>Gestión estratégica del talento humano.
Integridad
Gestión del conocimiento y la innovación.</v>
      </c>
      <c r="E31" s="266" t="str">
        <f>'PAI 2022 - V4'!D33</f>
        <v>OE_5</v>
      </c>
      <c r="F31" s="316" t="str">
        <f>'PAI 2022 - V4'!E33</f>
        <v xml:space="preserve">5. Fortalecer la capacidad organizacional de Capital para ser una empresa transparente, eficiente y sostenible. </v>
      </c>
      <c r="G31" s="316" t="str">
        <f>'PAI 2022 - V4'!F33</f>
        <v>6. Articular los procesos y flujos de trabajo a la estructura de Capital.</v>
      </c>
      <c r="H31" s="266" t="str">
        <f>'PAI 2022 - V4'!G33</f>
        <v>5.6.11</v>
      </c>
      <c r="I31" s="266" t="str">
        <f>'PAI 2022 - V4'!H33</f>
        <v>Plan Institucional de Capacitación - PIC (Anexo 6)</v>
      </c>
      <c r="J31" s="316" t="str">
        <f>'PAI 2022 - V4'!I33</f>
        <v>Fomentar espacios de difusión del conocimiento interno, encaminados a fortalecer las competencias individuales y colectivas de los colaboradores, generando mejores prácticas de gestión.</v>
      </c>
      <c r="K31" s="316" t="str">
        <f>'PAI 2022 - V4'!J33</f>
        <v>Porcentaje de avance en la implementación del plan institucional de capacitación</v>
      </c>
      <c r="L31" s="316" t="str">
        <f>'PAI 2022 - V4'!K33</f>
        <v>1 Eficacia: Cumplimiento de metas</v>
      </c>
      <c r="M31" s="316" t="str">
        <f>'PAI 2022 - V4'!L33</f>
        <v>Realizar el seguimiento al cumplimiento de las acciones definidas en el Plan Institucional de Capacitación de la vigencia 2022.</v>
      </c>
      <c r="N31" s="266" t="str">
        <f>'PAI 2022 - V4'!M33</f>
        <v>Porcentaje de avances en las acciones programadas del Plan Institucional de Capacitación</v>
      </c>
      <c r="O31" s="266" t="str">
        <f>'PAI 2022 - V4'!N33</f>
        <v>Porcentaje programado de acciones del Plan Institucional de Capacitación para la vigencia</v>
      </c>
      <c r="P31" s="266" t="str">
        <f>'PAI 2022 - V4'!O33</f>
        <v>Porcentaje (%)</v>
      </c>
      <c r="Q31" s="266" t="str">
        <f>'PAI 2022 - V4'!P33</f>
        <v>1 Creciente: El resultado tiende a crecer en el tiempo</v>
      </c>
      <c r="R31" s="17">
        <f>'PAI 2022 - V4'!Q33</f>
        <v>1</v>
      </c>
      <c r="S31" s="17">
        <f>'PAI 2022 - V4'!R33</f>
        <v>1</v>
      </c>
      <c r="T31" s="316" t="str">
        <f>'PAI 2022 - V4'!S33</f>
        <v>Se pretende dar cumplimiento al 100% de las actividades establecidas en el plan de capacitación PIC para la vigencia 2022 atendiendo las necesidades de los diferentes grupos de trabajo de la entidad, las ofertas institucionales y el cumplimiento normativo cuando se requiera.</v>
      </c>
      <c r="U31" s="266" t="str">
        <f>'PAI 2022 - V4'!T33</f>
        <v>&lt;30%</v>
      </c>
      <c r="V31" s="266" t="str">
        <f>'PAI 2022 - V4'!U33</f>
        <v>31% - 70%</v>
      </c>
      <c r="W31" s="266" t="str">
        <f>'PAI 2022 - V4'!V33</f>
        <v>71% - 99%</v>
      </c>
      <c r="X31" s="12">
        <f>'PAI 2022 - V4'!W33</f>
        <v>1</v>
      </c>
      <c r="Y31" s="316" t="str">
        <f>'PAI 2022 - V4'!X33</f>
        <v>1.Identificación de necesidades de capacitación (20%)
2.Formulación del Plan de capacitación (10%)
3.Ejecución de las actividades programadas (50%)
4.Seguimiento al plan de capacitación. (20%)</v>
      </c>
      <c r="Z31" s="266" t="str">
        <f>'PAI 2022 - V4'!Y33</f>
        <v>3 Trimestral</v>
      </c>
      <c r="AA31" s="316" t="str">
        <f>'PAI 2022 - V4'!Z33</f>
        <v>No aplica</v>
      </c>
      <c r="AB31" s="266" t="str">
        <f>'PAI 2022 - V4'!AA33</f>
        <v>Subdirección Administrativa</v>
      </c>
      <c r="AC31" s="417" t="str">
        <f>'PAI 2022 - V4'!AB33</f>
        <v>Gestión del talento humano.</v>
      </c>
      <c r="AD31" s="891">
        <f>100/100</f>
        <v>1</v>
      </c>
      <c r="AE31" s="617"/>
      <c r="AF31" s="617"/>
      <c r="AG31" s="617">
        <f>100/100</f>
        <v>1</v>
      </c>
      <c r="AH31" s="617"/>
      <c r="AI31" s="617"/>
      <c r="AJ31" s="617">
        <f>100/100</f>
        <v>1</v>
      </c>
      <c r="AK31" s="617"/>
      <c r="AL31" s="617"/>
      <c r="AM31" s="617">
        <f>100/100</f>
        <v>1</v>
      </c>
      <c r="AN31" s="617"/>
      <c r="AO31" s="892"/>
      <c r="AP31" s="562" t="s">
        <v>1119</v>
      </c>
      <c r="AQ31" s="563" t="s">
        <v>1187</v>
      </c>
      <c r="AR31" s="875" t="s">
        <v>25</v>
      </c>
    </row>
    <row r="32" spans="1:44" ht="186" customHeight="1" x14ac:dyDescent="0.2">
      <c r="A32" s="877" t="str">
        <f t="shared" si="0"/>
        <v>5.6.12</v>
      </c>
      <c r="B32" s="315" t="str">
        <f>'PAI 2022 - V4'!A34</f>
        <v>3. Salud y bienestar.
8. Trabajo decente y crecimiento económico.
11. Ciudades y comunidades sostenibles.
16. Paz, justicia e instituciones sólidas.</v>
      </c>
      <c r="C32" s="316" t="str">
        <f>'PAI 2022 - V4'!B34</f>
        <v>Propósito 1
Logro de ciudad: 3
Propósito 5
Logro de ciudad: 30</v>
      </c>
      <c r="D32" s="316" t="str">
        <f>'PAI 2022 - V4'!C34</f>
        <v>Gestión estratégica del talento humano.
Integridad</v>
      </c>
      <c r="E32" s="266" t="str">
        <f>'PAI 2022 - V4'!D34</f>
        <v>OE_5</v>
      </c>
      <c r="F32" s="316" t="str">
        <f>'PAI 2022 - V4'!E34</f>
        <v xml:space="preserve">5. Fortalecer la capacidad organizacional de Capital para ser una empresa transparente, eficiente y sostenible. </v>
      </c>
      <c r="G32" s="316" t="str">
        <f>'PAI 2022 - V4'!F34</f>
        <v>6. Articular los procesos y flujos de trabajo a la estructura de Capital.</v>
      </c>
      <c r="H32" s="266" t="str">
        <f>'PAI 2022 - V4'!G34</f>
        <v>5.6.12</v>
      </c>
      <c r="I32" s="266" t="str">
        <f>'PAI 2022 - V4'!H34</f>
        <v>Plan estratégico de Recursos Humanos - PERH (Anexo 7)</v>
      </c>
      <c r="J32" s="316" t="str">
        <f>'PAI 2022 - V4'!I34</f>
        <v>Contribuir al Mejoramiento de la Calidad de vida de los colaboradores de la Entidad, formulando y desarrollando programas que fomenten un ambiente de trabajo positivo generando así articulación y cumplimiento de los diferentes procesos internos.</v>
      </c>
      <c r="K32" s="316" t="str">
        <f>'PAI 2022 - V4'!J34</f>
        <v>Promedio de implementación de resultados del Plan estratégico de Recursos Humanos para las vigencias de medición.</v>
      </c>
      <c r="L32" s="316" t="str">
        <f>'PAI 2022 - V4'!K34</f>
        <v>2 Eficiencia: Uso de los recursos.</v>
      </c>
      <c r="M32" s="316" t="str">
        <f>'PAI 2022 - V4'!L34</f>
        <v>Realizar seguimiento al cumplimiento de las acciones definidas en el Plan Estratégico de Recursos Humanos de la vigencia 2022.</v>
      </c>
      <c r="N32" s="266" t="str">
        <f>'PAI 2022 - V4'!M34</f>
        <v>Porcentaje de avances en las acciones programadas en el Plan Estratégico de Recursos Humanos</v>
      </c>
      <c r="O32" s="266" t="str">
        <f>'PAI 2022 - V4'!N34</f>
        <v>Porcentaje programado de acciones del Plan Estratégico de Recursos Humanos para la vigencia</v>
      </c>
      <c r="P32" s="266" t="str">
        <f>'PAI 2022 - V4'!O34</f>
        <v>Porcentaje (%)</v>
      </c>
      <c r="Q32" s="266" t="str">
        <f>'PAI 2022 - V4'!P34</f>
        <v>1 Creciente: El resultado tiende a crecer en el tiempo</v>
      </c>
      <c r="R32" s="17">
        <f>'PAI 2022 - V4'!Q34</f>
        <v>1</v>
      </c>
      <c r="S32" s="17">
        <f>'PAI 2022 - V4'!R34</f>
        <v>0.9</v>
      </c>
      <c r="T32" s="316" t="str">
        <f>'PAI 2022 - V4'!S34</f>
        <v xml:space="preserve">
Se pretende dar cumplimiento como mínimo del 90% de las actividades establecidas en el plan estratégico de recursos humanos para la vigencia 2022 partiendo de los avances realizados en las vigencias anteriores y la consecución de los objetivos establecidos </v>
      </c>
      <c r="U32" s="266" t="str">
        <f>'PAI 2022 - V4'!T34</f>
        <v>&lt;30%</v>
      </c>
      <c r="V32" s="266" t="str">
        <f>'PAI 2022 - V4'!U34</f>
        <v>31% - 70%</v>
      </c>
      <c r="W32" s="266" t="str">
        <f>'PAI 2022 - V4'!V34</f>
        <v>71% - 89%</v>
      </c>
      <c r="X32" s="266" t="str">
        <f>'PAI 2022 - V4'!W34</f>
        <v>&gt;89%</v>
      </c>
      <c r="Y32" s="316" t="str">
        <f>'PAI 2022 - V4'!X34</f>
        <v>1.Analisis de los resultados obtenidos vigencias anteriores(30%)
3.Ejecución de las actividades programadas (50%)
4.Seguimiento al plan de integridad. (20%)</v>
      </c>
      <c r="Z32" s="266" t="str">
        <f>'PAI 2022 - V4'!Y34</f>
        <v>3 Trimestral</v>
      </c>
      <c r="AA32" s="316" t="str">
        <f>'PAI 2022 - V4'!Z34</f>
        <v>No aplica</v>
      </c>
      <c r="AB32" s="266" t="str">
        <f>'PAI 2022 - V4'!AA34</f>
        <v>Subdirección Administrativa</v>
      </c>
      <c r="AC32" s="417" t="str">
        <f>'PAI 2022 - V4'!AB34</f>
        <v>Gestión del talento humano.</v>
      </c>
      <c r="AD32" s="891">
        <f>50/50</f>
        <v>1</v>
      </c>
      <c r="AE32" s="617"/>
      <c r="AF32" s="617"/>
      <c r="AG32" s="617">
        <f>70/70</f>
        <v>1</v>
      </c>
      <c r="AH32" s="617"/>
      <c r="AI32" s="617"/>
      <c r="AJ32" s="617">
        <f>80/80</f>
        <v>1</v>
      </c>
      <c r="AK32" s="617"/>
      <c r="AL32" s="617"/>
      <c r="AM32" s="617">
        <f>90/90</f>
        <v>1</v>
      </c>
      <c r="AN32" s="617"/>
      <c r="AO32" s="892"/>
      <c r="AP32" s="562" t="s">
        <v>1120</v>
      </c>
      <c r="AQ32" s="563" t="s">
        <v>1188</v>
      </c>
      <c r="AR32" s="875" t="s">
        <v>25</v>
      </c>
    </row>
    <row r="33" spans="1:44" ht="103.5" customHeight="1" x14ac:dyDescent="0.2">
      <c r="A33" s="877" t="str">
        <f t="shared" si="0"/>
        <v>5.6.13</v>
      </c>
      <c r="B33" s="315" t="str">
        <f>'PAI 2022 - V4'!A35</f>
        <v>3. Salud y bienestar.
8. Trabajo decente y crecimiento económico.
11. Ciudades y comunidades sostenibles.
16. Paz, justicia e instituciones sólidas.</v>
      </c>
      <c r="C33" s="316" t="str">
        <f>'PAI 2022 - V4'!B35</f>
        <v>Propósito 1
Logro de ciudad: 3
Propósito 5
Logro de ciudad: 30</v>
      </c>
      <c r="D33" s="316" t="str">
        <f>'PAI 2022 - V4'!C35</f>
        <v>Gestión estratégica del talento humano.
Integridad</v>
      </c>
      <c r="E33" s="266" t="str">
        <f>'PAI 2022 - V4'!D35</f>
        <v>OE_5</v>
      </c>
      <c r="F33" s="316" t="str">
        <f>'PAI 2022 - V4'!E35</f>
        <v xml:space="preserve">5. Fortalecer la capacidad organizacional de Capital para ser una empresa transparente, eficiente y sostenible. </v>
      </c>
      <c r="G33" s="316" t="str">
        <f>'PAI 2022 - V4'!F35</f>
        <v>6. Articular los procesos y flujos de trabajo a la estructura de Capital.</v>
      </c>
      <c r="H33" s="266" t="str">
        <f>'PAI 2022 - V4'!G35</f>
        <v>5.6.13</v>
      </c>
      <c r="I33" s="266" t="str">
        <f>'PAI 2022 - V4'!H35</f>
        <v>Plan de bienestar e incentivos - PBI (Anexo 8)</v>
      </c>
      <c r="J33" s="316" t="str">
        <f>'PAI 2022 - V4'!I35</f>
        <v>Contribuir al desarrollo integral de los colaboradores y al mejoramiento de su calidad de vida y la de su familia a través del diseño e implementación de programas encaminados a mejorar el nivel de satisfacción, motivación, eficacia y efectividad, así como el sentido de pertenencia del servidor público con su entidad, así generando el cumplimiento de los objetivos personales y misionales.</v>
      </c>
      <c r="K33" s="316" t="str">
        <f>'PAI 2022 - V4'!J35</f>
        <v>Cumplimiento del Plan de Bienestar e Incentivos</v>
      </c>
      <c r="L33" s="316" t="str">
        <f>'PAI 2022 - V4'!K35</f>
        <v>1 Eficacia: Cumplimiento de metas</v>
      </c>
      <c r="M33" s="316" t="str">
        <f>'PAI 2022 - V4'!L35</f>
        <v>Realizar el seguimiento al cumplimiento de las acciones definidas en el Plan de Bienestar e incentivos de la vigencia 2022.</v>
      </c>
      <c r="N33" s="266" t="str">
        <f>'PAI 2022 - V4'!M35</f>
        <v>Porcentaje de avances en las acciones programadas en el Plan de bienestar e inventivos</v>
      </c>
      <c r="O33" s="266" t="str">
        <f>'PAI 2022 - V4'!N35</f>
        <v>Porcentaje programado de acciones del Plan de Bienestar e incentivos para la vigencia</v>
      </c>
      <c r="P33" s="266" t="str">
        <f>'PAI 2022 - V4'!O35</f>
        <v>Porcentaje (%)</v>
      </c>
      <c r="Q33" s="266" t="str">
        <f>'PAI 2022 - V4'!P35</f>
        <v>1 Creciente: El resultado tiende a crecer en el tiempo</v>
      </c>
      <c r="R33" s="17">
        <f>'PAI 2022 - V4'!Q35</f>
        <v>1</v>
      </c>
      <c r="S33" s="17">
        <f>'PAI 2022 - V4'!R35</f>
        <v>0.9</v>
      </c>
      <c r="T33" s="316" t="str">
        <f>'PAI 2022 - V4'!S35</f>
        <v xml:space="preserve">Se pretende dar cumplimiento al 90% de las actividades establecidas en el plan de bienestar e incentivos vigencia 2022, identificando las actividades que generan mayor impacto sobre los colaboradores de la entidad y que la evolución de la emergencia sanitaria permita desarrollar.
</v>
      </c>
      <c r="U33" s="266" t="str">
        <f>'PAI 2022 - V4'!T35</f>
        <v>&lt;30%</v>
      </c>
      <c r="V33" s="266" t="str">
        <f>'PAI 2022 - V4'!U35</f>
        <v>31% - 70%</v>
      </c>
      <c r="W33" s="266" t="str">
        <f>'PAI 2022 - V4'!V35</f>
        <v>71% - 89%</v>
      </c>
      <c r="X33" s="266" t="str">
        <f>'PAI 2022 - V4'!W35</f>
        <v>&gt;90%</v>
      </c>
      <c r="Y33" s="316" t="str">
        <f>'PAI 2022 - V4'!X35</f>
        <v>1.Formulación del Plan de bienestar e incentivos (30%)
3.Ejecución de las actividades programadas (50%)
4.Seguimiento al plan de bienestar. (20%)</v>
      </c>
      <c r="Z33" s="266" t="str">
        <f>'PAI 2022 - V4'!Y35</f>
        <v>3 Trimestral</v>
      </c>
      <c r="AA33" s="316" t="str">
        <f>'PAI 2022 - V4'!Z35</f>
        <v>No aplica</v>
      </c>
      <c r="AB33" s="266" t="str">
        <f>'PAI 2022 - V4'!AA35</f>
        <v>Subdirección Administrativa</v>
      </c>
      <c r="AC33" s="417" t="str">
        <f>'PAI 2022 - V4'!AB35</f>
        <v>Gestión del talento humano.</v>
      </c>
      <c r="AD33" s="891">
        <f>100/100</f>
        <v>1</v>
      </c>
      <c r="AE33" s="617"/>
      <c r="AF33" s="617"/>
      <c r="AG33" s="617">
        <f>100/100</f>
        <v>1</v>
      </c>
      <c r="AH33" s="617"/>
      <c r="AI33" s="617"/>
      <c r="AJ33" s="617">
        <f>100/100</f>
        <v>1</v>
      </c>
      <c r="AK33" s="617"/>
      <c r="AL33" s="617"/>
      <c r="AM33" s="617">
        <f>100/100</f>
        <v>1</v>
      </c>
      <c r="AN33" s="617"/>
      <c r="AO33" s="892"/>
      <c r="AP33" s="562" t="s">
        <v>1121</v>
      </c>
      <c r="AQ33" s="563" t="s">
        <v>1189</v>
      </c>
      <c r="AR33" s="875" t="s">
        <v>25</v>
      </c>
    </row>
    <row r="34" spans="1:44" ht="112.5" customHeight="1" x14ac:dyDescent="0.2">
      <c r="A34" s="877" t="str">
        <f t="shared" si="0"/>
        <v>5.6.14</v>
      </c>
      <c r="B34" s="315" t="str">
        <f>'PAI 2022 - V4'!A36</f>
        <v>3. Salud y bienestar.
8. Trabajo decente y crecimiento económico.
11. Ciudades y comunidades sostenibles.
16. Paz, justicia e instituciones sólidas.</v>
      </c>
      <c r="C34" s="316" t="str">
        <f>'PAI 2022 - V4'!B36</f>
        <v>Propósito 1
Logro de ciudad: 3
Propósito 5
Logro de ciudad: 30</v>
      </c>
      <c r="D34" s="316" t="str">
        <f>'PAI 2022 - V4'!C36</f>
        <v>Gestión estratégica del talento humano.
Integridad</v>
      </c>
      <c r="E34" s="266" t="str">
        <f>'PAI 2022 - V4'!D36</f>
        <v>OE_5</v>
      </c>
      <c r="F34" s="316" t="str">
        <f>'PAI 2022 - V4'!E36</f>
        <v xml:space="preserve">5. Fortalecer la capacidad organizacional de Capital para ser una empresa transparente, eficiente y sostenible. </v>
      </c>
      <c r="G34" s="316" t="str">
        <f>'PAI 2022 - V4'!F36</f>
        <v>6. Articular los procesos y flujos de trabajo a la estructura de Capital.</v>
      </c>
      <c r="H34" s="266" t="str">
        <f>'PAI 2022 - V4'!G36</f>
        <v>5.6.14</v>
      </c>
      <c r="I34" s="266" t="str">
        <f>'PAI 2022 - V4'!H36</f>
        <v xml:space="preserve"> Plan del Subsistema de Gestión de Seguridad y Salud en el Trabajo, SG-SST (Anexo 9)</v>
      </c>
      <c r="J34" s="316" t="str">
        <f>'PAI 2022 - V4'!I36</f>
        <v>Implementar el Plan de Trabajo Anual de Seguridad y Salud en el Trabajo para el  año 2022, con el fin de alcanzar cada uno de los objetivos propuestos del SGSST, en concordancia con los Estándares Mínimos del Sistema Obligatorio de Garantía de Calidad del Sistema General de Riesgos Labores.</v>
      </c>
      <c r="K34" s="316" t="str">
        <f>'PAI 2022 - V4'!J36</f>
        <v>Cumplimiento del Plan de Seguridad y Salud formulado e implementado.</v>
      </c>
      <c r="L34" s="316" t="str">
        <f>'PAI 2022 - V4'!K36</f>
        <v>1 Eficacia: Cumplimiento de metas</v>
      </c>
      <c r="M34" s="316" t="str">
        <f>'PAI 2022 - V4'!L36</f>
        <v>Realizar el seguimiento al cumplimiento de las acciones definidas en el Plan de Seguridad y Salud en el trabajo de la vigencia 2022.</v>
      </c>
      <c r="N34" s="266" t="str">
        <f>'PAI 2022 - V4'!M36</f>
        <v>Porcentaje de avances en las acciones programadas en el Plan de Seguridad y Seguridad en el trabajo</v>
      </c>
      <c r="O34" s="266" t="str">
        <f>'PAI 2022 - V4'!N36</f>
        <v>Porcentaje programado de acciones del Plan de Seguridad y Salud en el Trabajo para la vigencia</v>
      </c>
      <c r="P34" s="266" t="str">
        <f>'PAI 2022 - V4'!O36</f>
        <v>Porcentaje (%)</v>
      </c>
      <c r="Q34" s="266" t="str">
        <f>'PAI 2022 - V4'!P36</f>
        <v>1 Creciente: El resultado tiende a crecer en el tiempo</v>
      </c>
      <c r="R34" s="17">
        <f>'PAI 2022 - V4'!Q36</f>
        <v>1</v>
      </c>
      <c r="S34" s="17">
        <f>'PAI 2022 - V4'!R36</f>
        <v>0.9</v>
      </c>
      <c r="T34" s="316" t="str">
        <f>'PAI 2022 - V4'!S36</f>
        <v>Se pretende mantener como mínimo el 90% de avance en la implementación del SGSST con el mantenimiento de acciones adelantadas en vigencias anteriores y el cumplimiento del plan de trabajo proyectado en la vigencia 2022.</v>
      </c>
      <c r="U34" s="266" t="str">
        <f>'PAI 2022 - V4'!T36</f>
        <v>&lt;30%</v>
      </c>
      <c r="V34" s="266" t="str">
        <f>'PAI 2022 - V4'!U36</f>
        <v>31% - 70%</v>
      </c>
      <c r="W34" s="266" t="str">
        <f>'PAI 2022 - V4'!V36</f>
        <v>71% - 89%</v>
      </c>
      <c r="X34" s="266" t="str">
        <f>'PAI 2022 - V4'!W36</f>
        <v>&gt;90%</v>
      </c>
      <c r="Y34" s="316" t="str">
        <f>'PAI 2022 - V4'!X36</f>
        <v>1. Formulación del Plan de reinversión con ARL (150%)
2. Formulación del Plan de trabajo SST  (15%) 
3. Ejecución de las actividades programadas (50%)
4. Seguimiento al plan de trabajo. (20%)</v>
      </c>
      <c r="Z34" s="266" t="str">
        <f>'PAI 2022 - V4'!Y36</f>
        <v>3 Trimestral</v>
      </c>
      <c r="AA34" s="316" t="str">
        <f>'PAI 2022 - V4'!Z36</f>
        <v>No aplica</v>
      </c>
      <c r="AB34" s="266" t="str">
        <f>'PAI 2022 - V4'!AA36</f>
        <v>Subdirección Administrativa</v>
      </c>
      <c r="AC34" s="417" t="str">
        <f>'PAI 2022 - V4'!AB36</f>
        <v>Gestión del talento humano.</v>
      </c>
      <c r="AD34" s="891">
        <f>100/100</f>
        <v>1</v>
      </c>
      <c r="AE34" s="617"/>
      <c r="AF34" s="617"/>
      <c r="AG34" s="617">
        <f>90/100</f>
        <v>0.9</v>
      </c>
      <c r="AH34" s="617"/>
      <c r="AI34" s="617"/>
      <c r="AJ34" s="617">
        <f>95/100</f>
        <v>0.95</v>
      </c>
      <c r="AK34" s="617"/>
      <c r="AL34" s="617"/>
      <c r="AM34" s="617">
        <f>95/100</f>
        <v>0.95</v>
      </c>
      <c r="AN34" s="617"/>
      <c r="AO34" s="892"/>
      <c r="AP34" s="562" t="s">
        <v>1122</v>
      </c>
      <c r="AQ34" s="563" t="s">
        <v>1190</v>
      </c>
      <c r="AR34" s="875" t="s">
        <v>25</v>
      </c>
    </row>
    <row r="35" spans="1:44" ht="151.5" customHeight="1" x14ac:dyDescent="0.2">
      <c r="A35" s="877" t="str">
        <f t="shared" si="0"/>
        <v>5.6.15</v>
      </c>
      <c r="B35" s="315" t="str">
        <f>'PAI 2022 - V4'!A37</f>
        <v>3. Salud y bienestar.
8. Trabajo decente y crecimiento económico.
11. Ciudades y comunidades sostenibles.
16. Paz, justicia e instituciones sólidas.</v>
      </c>
      <c r="C35" s="316" t="str">
        <f>'PAI 2022 - V4'!B37</f>
        <v>Propósito 1
Logro de ciudad: 3
Propósito 5
Logro de ciudad: 30</v>
      </c>
      <c r="D35" s="316" t="str">
        <f>'PAI 2022 - V4'!C37</f>
        <v>Gestión estratégica del talento humano.
Integridad</v>
      </c>
      <c r="E35" s="266" t="str">
        <f>'PAI 2022 - V4'!D37</f>
        <v>OE_5</v>
      </c>
      <c r="F35" s="316" t="str">
        <f>'PAI 2022 - V4'!E37</f>
        <v xml:space="preserve">5. Fortalecer la capacidad organizacional de Capital para ser una empresa transparente, eficiente y sostenible. </v>
      </c>
      <c r="G35" s="316" t="str">
        <f>'PAI 2022 - V4'!F37</f>
        <v>6. Articular los procesos y flujos de trabajo a la estructura de Capital.</v>
      </c>
      <c r="H35" s="266" t="str">
        <f>'PAI 2022 - V4'!G37</f>
        <v>5.6.15</v>
      </c>
      <c r="I35" s="266" t="str">
        <f>'PAI 2022 - V4'!H37</f>
        <v>Plan de Integridad</v>
      </c>
      <c r="J35" s="316" t="str">
        <f>'PAI 2022 - V4'!I37</f>
        <v>Identificar las acciones encaminadas a la socialización y fortalecimiento del Código de Integridad de Canal Capital.</v>
      </c>
      <c r="K35" s="316" t="str">
        <f>'PAI 2022 - V4'!J37</f>
        <v>Cumplimiento del plan de integridad</v>
      </c>
      <c r="L35" s="316" t="str">
        <f>'PAI 2022 - V4'!K37</f>
        <v>1 Eficacia: Cumplimiento de metas</v>
      </c>
      <c r="M35" s="316" t="str">
        <f>'PAI 2022 - V4'!L37</f>
        <v>Realizar el seguimiento al cumplimiento de las acciones definidas en el Plan de integridad de la vigencia 2022.</v>
      </c>
      <c r="N35" s="266" t="str">
        <f>'PAI 2022 - V4'!M37</f>
        <v>Porcentaje de avances en las acciones programadas en el Plan de integridad</v>
      </c>
      <c r="O35" s="266" t="str">
        <f>'PAI 2022 - V4'!N37</f>
        <v>Porcentaje programado de acciones del Plan de Integridad para la vigencia</v>
      </c>
      <c r="P35" s="266" t="str">
        <f>'PAI 2022 - V4'!O37</f>
        <v>Porcentaje (%)</v>
      </c>
      <c r="Q35" s="266" t="str">
        <f>'PAI 2022 - V4'!P37</f>
        <v>1 Creciente: El resultado tiende a crecer en el tiempo</v>
      </c>
      <c r="R35" s="17">
        <f>'PAI 2022 - V4'!Q37</f>
        <v>1</v>
      </c>
      <c r="S35" s="17">
        <f>'PAI 2022 - V4'!R37</f>
        <v>1</v>
      </c>
      <c r="T35" s="316" t="str">
        <f>'PAI 2022 - V4'!S37</f>
        <v>Se pretende dar cumplimiento al 100% de las actividades establecidas en el plan de integridad vigencia 2022, identificando la apropiación del plan y las actividades que generan mayor impacto sobre los colaboradores de la entidad.</v>
      </c>
      <c r="U35" s="266" t="str">
        <f>'PAI 2022 - V4'!T37</f>
        <v>&lt;30%</v>
      </c>
      <c r="V35" s="266" t="str">
        <f>'PAI 2022 - V4'!U37</f>
        <v>31% - 70%</v>
      </c>
      <c r="W35" s="266" t="str">
        <f>'PAI 2022 - V4'!V37</f>
        <v>71% - 99%</v>
      </c>
      <c r="X35" s="12">
        <f>'PAI 2022 - V4'!W37</f>
        <v>1</v>
      </c>
      <c r="Y35" s="316" t="str">
        <f>'PAI 2022 - V4'!X37</f>
        <v>1.Formulación del Plan de integridad (30%)
3.Ejecución de las actividades programadas (50%)
4.Seguimiento al plan de integridad. (20%)</v>
      </c>
      <c r="Z35" s="266" t="str">
        <f>'PAI 2022 - V4'!Y37</f>
        <v>3 Trimestral</v>
      </c>
      <c r="AA35" s="316" t="str">
        <f>'PAI 2022 - V4'!Z37</f>
        <v>No aplica</v>
      </c>
      <c r="AB35" s="266" t="str">
        <f>'PAI 2022 - V4'!AA37</f>
        <v>Subdirección Administrativa</v>
      </c>
      <c r="AC35" s="417" t="str">
        <f>'PAI 2022 - V4'!AB37</f>
        <v>Gestión del talento humano.</v>
      </c>
      <c r="AD35" s="891">
        <f>100/100</f>
        <v>1</v>
      </c>
      <c r="AE35" s="617"/>
      <c r="AF35" s="617"/>
      <c r="AG35" s="617">
        <f>100/100</f>
        <v>1</v>
      </c>
      <c r="AH35" s="617"/>
      <c r="AI35" s="617"/>
      <c r="AJ35" s="617">
        <f>100/100</f>
        <v>1</v>
      </c>
      <c r="AK35" s="617"/>
      <c r="AL35" s="617"/>
      <c r="AM35" s="617">
        <f>100/100</f>
        <v>1</v>
      </c>
      <c r="AN35" s="617"/>
      <c r="AO35" s="892"/>
      <c r="AP35" s="562" t="s">
        <v>1123</v>
      </c>
      <c r="AQ35" s="563" t="s">
        <v>1191</v>
      </c>
      <c r="AR35" s="875" t="s">
        <v>25</v>
      </c>
    </row>
    <row r="36" spans="1:44" ht="156.75" customHeight="1" x14ac:dyDescent="0.2">
      <c r="A36" s="877" t="str">
        <f t="shared" si="0"/>
        <v>5.6.16</v>
      </c>
      <c r="B36" s="315" t="str">
        <f>'PAI 2022 - V4'!A38</f>
        <v>3. Salud y bienestar.
8. Trabajo decente y crecimiento económico.
11. Ciudades y comunidades sostenibles.
16. Paz, justicia e instituciones sólidas.</v>
      </c>
      <c r="C36" s="316" t="str">
        <f>'PAI 2022 - V4'!B38</f>
        <v>Propósito 1
Logro de ciudad: 3
Propósito 5
Logro de ciudad: 30</v>
      </c>
      <c r="D36" s="316" t="str">
        <f>'PAI 2022 - V4'!C38</f>
        <v>Gestión estratégica del talento humano.
Integridad
Gestión presupuestal y eficiencia del gasto público.</v>
      </c>
      <c r="E36" s="266" t="str">
        <f>'PAI 2022 - V4'!D38</f>
        <v>OE_5</v>
      </c>
      <c r="F36" s="316" t="str">
        <f>'PAI 2022 - V4'!E38</f>
        <v xml:space="preserve">5. Fortalecer la capacidad organizacional de Capital para ser una empresa transparente, eficiente y sostenible. </v>
      </c>
      <c r="G36" s="316" t="str">
        <f>'PAI 2022 - V4'!F38</f>
        <v>6. Articular los procesos y flujos de trabajo a la estructura de Capital.</v>
      </c>
      <c r="H36" s="266" t="str">
        <f>'PAI 2022 - V4'!G38</f>
        <v>5.6.16</v>
      </c>
      <c r="I36" s="266" t="str">
        <f>'PAI 2022 - V4'!H38</f>
        <v>Plan de Austeridad</v>
      </c>
      <c r="J36" s="316" t="str">
        <f>'PAI 2022 - V4'!I38</f>
        <v xml:space="preserve">implementar el Plan de Austeridad en el gasto para la vigencia 2022 </v>
      </c>
      <c r="K36" s="316" t="str">
        <f>'PAI 2022 - V4'!J38</f>
        <v>Cumplimiento del plan de austeridad</v>
      </c>
      <c r="L36" s="316" t="str">
        <f>'PAI 2022 - V4'!K38</f>
        <v>1 Eficacia: Cumplimiento de metas</v>
      </c>
      <c r="M36" s="316" t="str">
        <f>'PAI 2022 - V4'!L38</f>
        <v>Realizar seguimiento a los componentes objeto de austeridad.</v>
      </c>
      <c r="N36" s="266" t="str">
        <f>'PAI 2022 - V4'!M38</f>
        <v>Número de acciones adelantadas con relación al plan de austeridad para la vigencia</v>
      </c>
      <c r="O36" s="266" t="str">
        <f>'PAI 2022 - V4'!N38</f>
        <v>Número de acciones programadas para realizar con relación al plan de austeridad para la vigencia</v>
      </c>
      <c r="P36" s="266" t="str">
        <f>'PAI 2022 - V4'!O38</f>
        <v>Porcentaje (%)</v>
      </c>
      <c r="Q36" s="266" t="str">
        <f>'PAI 2022 - V4'!P38</f>
        <v>1 Creciente: El resultado tiende a crecer en el tiempo</v>
      </c>
      <c r="R36" s="17" t="str">
        <f>'PAI 2022 - V4'!Q38</f>
        <v>No aplica.</v>
      </c>
      <c r="S36" s="17">
        <f>'PAI 2022 - V4'!R38</f>
        <v>1</v>
      </c>
      <c r="T36" s="316" t="str">
        <f>'PAI 2022 - V4'!S38</f>
        <v>se pretende dar cumplimiento en el 100% en lo relacionado con el seguimiento en la implementación del plan de austeridad y sus componentes</v>
      </c>
      <c r="U36" s="266" t="str">
        <f>'PAI 2022 - V4'!T38</f>
        <v>&lt;30%</v>
      </c>
      <c r="V36" s="266" t="str">
        <f>'PAI 2022 - V4'!U38</f>
        <v>31% - 70%</v>
      </c>
      <c r="W36" s="266" t="str">
        <f>'PAI 2022 - V4'!V38</f>
        <v>71% - 89%</v>
      </c>
      <c r="X36" s="266" t="str">
        <f>'PAI 2022 - V4'!W38</f>
        <v>&gt;89%</v>
      </c>
      <c r="Y36" s="316" t="str">
        <f>'PAI 2022 - V4'!X38</f>
        <v>Formulación del plan de Austeridad 20%
Socialización del plan de austeridad 10%
Realizar informes 70%</v>
      </c>
      <c r="Z36" s="266" t="str">
        <f>'PAI 2022 - V4'!Y38</f>
        <v>3 Trimestral</v>
      </c>
      <c r="AA36" s="316" t="str">
        <f>'PAI 2022 - V4'!Z38</f>
        <v>En cumplimiento con el Decreto 492 de 2019 los informes se deben realizar cada semestre.</v>
      </c>
      <c r="AB36" s="266" t="str">
        <f>'PAI 2022 - V4'!AA38</f>
        <v>Subdirección Administrativa</v>
      </c>
      <c r="AC36" s="417" t="str">
        <f>'PAI 2022 - V4'!AB38</f>
        <v>Gestión de recursos administrativos.</v>
      </c>
      <c r="AD36" s="891">
        <f>4/4</f>
        <v>1</v>
      </c>
      <c r="AE36" s="617"/>
      <c r="AF36" s="617"/>
      <c r="AG36" s="617">
        <f>2/2</f>
        <v>1</v>
      </c>
      <c r="AH36" s="617"/>
      <c r="AI36" s="617"/>
      <c r="AJ36" s="617">
        <f>4/2</f>
        <v>2</v>
      </c>
      <c r="AK36" s="617"/>
      <c r="AL36" s="617"/>
      <c r="AM36" s="617">
        <f>4/4</f>
        <v>1</v>
      </c>
      <c r="AN36" s="617"/>
      <c r="AO36" s="892"/>
      <c r="AP36" s="562" t="s">
        <v>1134</v>
      </c>
      <c r="AQ36" s="563" t="s">
        <v>1192</v>
      </c>
      <c r="AR36" s="875" t="s">
        <v>25</v>
      </c>
    </row>
    <row r="37" spans="1:44" ht="117.75" customHeight="1" x14ac:dyDescent="0.2">
      <c r="A37" s="877" t="str">
        <f t="shared" si="0"/>
        <v>5.5.17</v>
      </c>
      <c r="B37" s="315" t="str">
        <f>'PAI 2022 - V4'!A39</f>
        <v>8. Trabajo decente y crecimiento económico.
16. Paz, justicia e instituciones sólidas.</v>
      </c>
      <c r="C37" s="316" t="str">
        <f>'PAI 2022 - V4'!B39</f>
        <v>Propósito 5
Logro de ciudad: 30</v>
      </c>
      <c r="D37" s="316" t="str">
        <f>'PAI 2022 - V4'!C39</f>
        <v>Gestión presupuestal y eficiencia del gasto público.</v>
      </c>
      <c r="E37" s="266" t="str">
        <f>'PAI 2022 - V4'!D39</f>
        <v>OE_5</v>
      </c>
      <c r="F37" s="316" t="str">
        <f>'PAI 2022 - V4'!E39</f>
        <v xml:space="preserve">5. Fortalecer la capacidad organizacional de Capital para ser una empresa transparente, eficiente y sostenible. </v>
      </c>
      <c r="G37" s="316" t="str">
        <f>'PAI 2022 - V4'!F39</f>
        <v>5. Realizar el diagnóstico, diseño e implementación de una estructura administrativa acorde a las necesidades de capital.</v>
      </c>
      <c r="H37" s="266" t="str">
        <f>'PAI 2022 - V4'!G39</f>
        <v>5.5.17</v>
      </c>
      <c r="I37" s="266" t="str">
        <f>'PAI 2022 - V4'!H39</f>
        <v>Equilibrio Presupuestal</v>
      </c>
      <c r="J37" s="316" t="str">
        <f>'PAI 2022 - V4'!I39</f>
        <v>Controlar que exista equilibrio presupuestal en las operaciones de la empresa.</v>
      </c>
      <c r="K37" s="316" t="str">
        <f>'PAI 2022 - V4'!J39</f>
        <v>Optimización de recursos</v>
      </c>
      <c r="L37" s="316" t="str">
        <f>'PAI 2022 - V4'!K39</f>
        <v>1 Eficacia: Cumplimiento de metas</v>
      </c>
      <c r="M37" s="316" t="str">
        <f>'PAI 2022 - V4'!L39</f>
        <v>Medir el recaudo de los ingresos frente a los compromisos suscritos</v>
      </c>
      <c r="N37" s="266" t="str">
        <f>'PAI 2022 - V4'!M39</f>
        <v xml:space="preserve">Recaudo Acumulado de Recursos Propios </v>
      </c>
      <c r="O37" s="266" t="str">
        <f>'PAI 2022 - V4'!N39</f>
        <v xml:space="preserve">Compromisos Acumulados de Recursos Propios </v>
      </c>
      <c r="P37" s="266" t="str">
        <f>'PAI 2022 - V4'!O39</f>
        <v>Porcentaje (%).</v>
      </c>
      <c r="Q37" s="266" t="str">
        <f>'PAI 2022 - V4'!P39</f>
        <v>1 Creciente: El resultado tiende a crecer en el tiempo</v>
      </c>
      <c r="R37" s="266">
        <f>'PAI 2022 - V4'!Q39</f>
        <v>1</v>
      </c>
      <c r="S37" s="266" t="str">
        <f>'PAI 2022 - V4'!R39</f>
        <v>≥ 100%</v>
      </c>
      <c r="T37" s="316" t="str">
        <f>'PAI 2022 - V4'!S39</f>
        <v>Comparar el ingreso frente al gasto de recursos propios y generar alertas.</v>
      </c>
      <c r="U37" s="266" t="str">
        <f>'PAI 2022 - V4'!T39</f>
        <v>&lt;90%</v>
      </c>
      <c r="V37" s="266">
        <f>'PAI 2022 - V4'!U39</f>
        <v>1</v>
      </c>
      <c r="W37" s="266" t="str">
        <f>'PAI 2022 - V4'!V39</f>
        <v>≥ 100%</v>
      </c>
      <c r="X37" s="266" t="str">
        <f>'PAI 2022 - V4'!W39</f>
        <v>&gt;100%</v>
      </c>
      <c r="Y37" s="316" t="str">
        <f>'PAI 2022 - V4'!X39</f>
        <v>Comparar el ingreso frente al gasto de recursos propios y generar alertas.</v>
      </c>
      <c r="Z37" s="266" t="str">
        <f>'PAI 2022 - V4'!Y39</f>
        <v>Trimestral.</v>
      </c>
      <c r="AA37" s="316" t="str">
        <f>'PAI 2022 - V4'!Z39</f>
        <v xml:space="preserve">La meta del indicador el igual o mayor a 100% no obstante el comportamiento histórico ha evidenciado que el resultado en los períodos intermedios se encuentra por debajo de la meta. </v>
      </c>
      <c r="AB37" s="266" t="str">
        <f>'PAI 2022 - V4'!AA39</f>
        <v>Subdirección Financiera</v>
      </c>
      <c r="AC37" s="417" t="str">
        <f>'PAI 2022 - V4'!AB39</f>
        <v>Gestión financiera y facturación.</v>
      </c>
      <c r="AD37" s="891">
        <f>1208168897/5193025522</f>
        <v>0.23265221630081562</v>
      </c>
      <c r="AE37" s="617"/>
      <c r="AF37" s="617"/>
      <c r="AG37" s="617">
        <f>3028180476/7337012203</f>
        <v>0.41272665115124385</v>
      </c>
      <c r="AH37" s="617"/>
      <c r="AI37" s="617"/>
      <c r="AJ37" s="617">
        <f>5677153018/9515291555</f>
        <v>0.59663468903554795</v>
      </c>
      <c r="AK37" s="617"/>
      <c r="AL37" s="617"/>
      <c r="AM37" s="617">
        <f>10288062017/11460630265</f>
        <v>0.89768728063927294</v>
      </c>
      <c r="AN37" s="617"/>
      <c r="AO37" s="892"/>
      <c r="AP37" s="562" t="s">
        <v>1106</v>
      </c>
      <c r="AQ37" s="563" t="s">
        <v>1203</v>
      </c>
      <c r="AR37" s="875" t="s">
        <v>22</v>
      </c>
    </row>
    <row r="38" spans="1:44" ht="81.75" customHeight="1" x14ac:dyDescent="0.2">
      <c r="A38" s="877" t="str">
        <f t="shared" si="0"/>
        <v>5.5.18</v>
      </c>
      <c r="B38" s="315" t="str">
        <f>'PAI 2022 - V4'!A40</f>
        <v>8. Trabajo decente y crecimiento económico.
16. Paz, justicia e instituciones sólidas.</v>
      </c>
      <c r="C38" s="316" t="str">
        <f>'PAI 2022 - V4'!B40</f>
        <v>Propósito 5
Logro de ciudad: 30</v>
      </c>
      <c r="D38" s="316" t="str">
        <f>'PAI 2022 - V4'!C40</f>
        <v>Gestión presupuestal y eficiencia del gasto público.</v>
      </c>
      <c r="E38" s="266" t="str">
        <f>'PAI 2022 - V4'!D40</f>
        <v>OE_5</v>
      </c>
      <c r="F38" s="316" t="str">
        <f>'PAI 2022 - V4'!E40</f>
        <v xml:space="preserve">5. Fortalecer la capacidad organizacional de Capital para ser una empresa transparente, eficiente y sostenible. </v>
      </c>
      <c r="G38" s="316" t="str">
        <f>'PAI 2022 - V4'!F40</f>
        <v>5. Realizar el diagnóstico, diseño e implementación de una estructura administrativa acorde a las necesidades de capital.</v>
      </c>
      <c r="H38" s="266" t="str">
        <f>'PAI 2022 - V4'!G40</f>
        <v>5.5.18</v>
      </c>
      <c r="I38" s="266" t="str">
        <f>'PAI 2022 - V4'!H40</f>
        <v xml:space="preserve">
Eficiencia en los pagos
 </v>
      </c>
      <c r="J38" s="316" t="str">
        <f>'PAI 2022 - V4'!I40</f>
        <v>Trámite oportuno de pagos</v>
      </c>
      <c r="K38" s="316" t="str">
        <f>'PAI 2022 - V4'!J40</f>
        <v>Oportunidad en la gestión de órdenes de pago</v>
      </c>
      <c r="L38" s="316" t="str">
        <f>'PAI 2022 - V4'!K40</f>
        <v>1 Eficacia: Cumplimiento de metas</v>
      </c>
      <c r="M38" s="316" t="str">
        <f>'PAI 2022 - V4'!L40</f>
        <v>Medir la eficiencia del proceso de pagos.</v>
      </c>
      <c r="N38" s="266" t="str">
        <f>'PAI 2022 - V4'!M40</f>
        <v xml:space="preserve">∑ Ordenes de pago ≤ 5 días </v>
      </c>
      <c r="O38" s="266" t="str">
        <f>'PAI 2022 - V4'!N40</f>
        <v xml:space="preserve"> Total Ordenes de Pago</v>
      </c>
      <c r="P38" s="266" t="str">
        <f>'PAI 2022 - V4'!O40</f>
        <v>Porcentaje (%).</v>
      </c>
      <c r="Q38" s="266" t="str">
        <f>'PAI 2022 - V4'!P40</f>
        <v>2 Constante: Se espera un valor o rango de resultado estable en el tiempo</v>
      </c>
      <c r="R38" s="19">
        <f>'PAI 2022 - V4'!Q40</f>
        <v>0.75</v>
      </c>
      <c r="S38" s="19">
        <f>'PAI 2022 - V4'!R40</f>
        <v>0.85</v>
      </c>
      <c r="T38" s="316" t="str">
        <f>'PAI 2022 - V4'!S40</f>
        <v xml:space="preserve">Lograr mínimo el 85% del total de cuentas tramitadas en 5 días. </v>
      </c>
      <c r="U38" s="17">
        <f>'PAI 2022 - V4'!T40</f>
        <v>0.3</v>
      </c>
      <c r="V38" s="17">
        <f>'PAI 2022 - V4'!U40</f>
        <v>0.5</v>
      </c>
      <c r="W38" s="17">
        <f>'PAI 2022 - V4'!V40</f>
        <v>0.8</v>
      </c>
      <c r="X38" s="17">
        <f>'PAI 2022 - V4'!W40</f>
        <v>0.9</v>
      </c>
      <c r="Y38" s="316" t="str">
        <f>'PAI 2022 - V4'!X40</f>
        <v xml:space="preserve">Liquidar ordenes e pago y diligenciar matriz de control  </v>
      </c>
      <c r="Z38" s="266" t="str">
        <f>'PAI 2022 - V4'!Y40</f>
        <v>Mensual.</v>
      </c>
      <c r="AA38" s="316" t="str">
        <f>'PAI 2022 - V4'!Z40</f>
        <v xml:space="preserve">Este indicador mide el pago de las personas naturales, sin embargo, por temas tributarios o documental se podría presentar una desviación en los días de trámite.  </v>
      </c>
      <c r="AB38" s="266" t="str">
        <f>'PAI 2022 - V4'!AA40</f>
        <v>Subdirección Financiera</v>
      </c>
      <c r="AC38" s="417" t="str">
        <f>'PAI 2022 - V4'!AB40</f>
        <v>Gestión financiera y facturación.</v>
      </c>
      <c r="AD38" s="893">
        <f>170/244</f>
        <v>0.69672131147540983</v>
      </c>
      <c r="AE38" s="504">
        <f>323/349</f>
        <v>0.92550143266475648</v>
      </c>
      <c r="AF38" s="504">
        <f>253/284</f>
        <v>0.89084507042253525</v>
      </c>
      <c r="AG38" s="504">
        <f>226/258</f>
        <v>0.87596899224806202</v>
      </c>
      <c r="AH38" s="504">
        <f>236/264</f>
        <v>0.89393939393939392</v>
      </c>
      <c r="AI38" s="504">
        <f>212/259</f>
        <v>0.81853281853281856</v>
      </c>
      <c r="AJ38" s="504">
        <f>213/238</f>
        <v>0.89495798319327735</v>
      </c>
      <c r="AK38" s="504">
        <f>243/275</f>
        <v>0.88363636363636366</v>
      </c>
      <c r="AL38" s="504">
        <f>242/273</f>
        <v>0.88644688644688641</v>
      </c>
      <c r="AM38" s="504">
        <f>245/285</f>
        <v>0.85964912280701755</v>
      </c>
      <c r="AN38" s="504">
        <f>337/369</f>
        <v>0.91327913279132789</v>
      </c>
      <c r="AO38" s="894">
        <f>404/503</f>
        <v>0.80318091451292251</v>
      </c>
      <c r="AP38" s="562" t="s">
        <v>1107</v>
      </c>
      <c r="AQ38" s="563" t="s">
        <v>1204</v>
      </c>
      <c r="AR38" s="875" t="s">
        <v>24</v>
      </c>
    </row>
    <row r="39" spans="1:44" ht="82.5" customHeight="1" x14ac:dyDescent="0.2">
      <c r="A39" s="877" t="str">
        <f t="shared" si="0"/>
        <v>5.5.19</v>
      </c>
      <c r="B39" s="315" t="str">
        <f>'PAI 2022 - V4'!A41</f>
        <v>8. Trabajo decente y crecimiento económico.
16. Paz, justicia e instituciones sólidas.</v>
      </c>
      <c r="C39" s="316" t="str">
        <f>'PAI 2022 - V4'!B41</f>
        <v>Propósito 5
Logro de ciudad: 30</v>
      </c>
      <c r="D39" s="316" t="str">
        <f>'PAI 2022 - V4'!C41</f>
        <v>Gestión presupuestal y eficiencia del gasto público.</v>
      </c>
      <c r="E39" s="266" t="str">
        <f>'PAI 2022 - V4'!D41</f>
        <v>OE_5</v>
      </c>
      <c r="F39" s="316" t="str">
        <f>'PAI 2022 - V4'!E41</f>
        <v xml:space="preserve">5. Fortalecer la capacidad organizacional de Capital para ser una empresa transparente, eficiente y sostenible. </v>
      </c>
      <c r="G39" s="316" t="str">
        <f>'PAI 2022 - V4'!F41</f>
        <v>5. Realizar el diagnóstico, diseño e implementación de una estructura administrativa acorde a las necesidades de capital.</v>
      </c>
      <c r="H39" s="266" t="str">
        <f>'PAI 2022 - V4'!G41</f>
        <v>5.5.19</v>
      </c>
      <c r="I39" s="266" t="str">
        <f>'PAI 2022 - V4'!H41</f>
        <v xml:space="preserve">Disponibilidad Flujo de Caja </v>
      </c>
      <c r="J39" s="316" t="str">
        <f>'PAI 2022 - V4'!I41</f>
        <v xml:space="preserve">Mantener los recursos necesarios para el cumplimiento de las obligaciones de la Entidad de forma oportuna. </v>
      </c>
      <c r="K39" s="316" t="str">
        <f>'PAI 2022 - V4'!J41</f>
        <v>Gestión mensual del flujo de caja</v>
      </c>
      <c r="L39" s="316" t="str">
        <f>'PAI 2022 - V4'!K41</f>
        <v>1 Eficacia: Cumplimiento de metas</v>
      </c>
      <c r="M39" s="316" t="str">
        <f>'PAI 2022 - V4'!L41</f>
        <v>Presentar la situación de liquidez de la empresa.</v>
      </c>
      <c r="N39" s="266" t="str">
        <f>'PAI 2022 - V4'!M41</f>
        <v xml:space="preserve">Ingresos </v>
      </c>
      <c r="O39" s="266" t="str">
        <f>'PAI 2022 - V4'!N41</f>
        <v xml:space="preserve">Giros </v>
      </c>
      <c r="P39" s="266" t="str">
        <f>'PAI 2022 - V4'!O41</f>
        <v>Número (#).</v>
      </c>
      <c r="Q39" s="266" t="str">
        <f>'PAI 2022 - V4'!P41</f>
        <v>2 Constante: Se espera un valor o rango de resultado estable en el tiempo</v>
      </c>
      <c r="R39" s="266">
        <f>'PAI 2022 - V4'!Q41</f>
        <v>2.94</v>
      </c>
      <c r="S39" s="266" t="str">
        <f>'PAI 2022 - V4'!R41</f>
        <v>≥ 0</v>
      </c>
      <c r="T39" s="316" t="str">
        <f>'PAI 2022 - V4'!S41</f>
        <v xml:space="preserve">Contar con una disponibilidad suficiente de recursos en un período determinado. </v>
      </c>
      <c r="U39" s="266" t="str">
        <f>'PAI 2022 - V4'!T41</f>
        <v xml:space="preserve">&lt;1 </v>
      </c>
      <c r="V39" s="266" t="str">
        <f>'PAI 2022 - V4'!U41</f>
        <v>&gt;1</v>
      </c>
      <c r="W39" s="266" t="str">
        <f>'PAI 2022 - V4'!V41</f>
        <v>&gt;2,5</v>
      </c>
      <c r="X39" s="266" t="str">
        <f>'PAI 2022 - V4'!W41</f>
        <v>&gt;3</v>
      </c>
      <c r="Y39" s="316" t="str">
        <f>'PAI 2022 - V4'!X41</f>
        <v xml:space="preserve">Elaborar los estados contables mensuales                     </v>
      </c>
      <c r="Z39" s="266" t="str">
        <f>'PAI 2022 - V4'!Y41</f>
        <v>Mensual.</v>
      </c>
      <c r="AA39" s="316" t="str">
        <f>'PAI 2022 - V4'!Z41</f>
        <v>Este indicador se determina con los Ingresos percibidos, producto de las Ventas gestionadas por el área de proyectos estratégicos.</v>
      </c>
      <c r="AB39" s="266" t="str">
        <f>'PAI 2022 - V4'!AA41</f>
        <v>Subdirección Financiera</v>
      </c>
      <c r="AC39" s="417" t="str">
        <f>'PAI 2022 - V4'!AB41</f>
        <v>Gestión financiera y facturación.</v>
      </c>
      <c r="AD39" s="896">
        <f>11082333110/946133643</f>
        <v>11.713285107228769</v>
      </c>
      <c r="AE39" s="541">
        <f>10727527740/2058867814</f>
        <v>5.2104013997666003</v>
      </c>
      <c r="AF39" s="541">
        <f>9077208289/2901945114</f>
        <v>3.1279738011612856</v>
      </c>
      <c r="AG39" s="541">
        <f>10385847398.3/2192188788</f>
        <v>4.7376610331883509</v>
      </c>
      <c r="AH39" s="541">
        <f>8467112561.3/1980620250</f>
        <v>4.2749803054371478</v>
      </c>
      <c r="AI39" s="541">
        <f>7421988986.3/2543790515</f>
        <v>2.9176887572049148</v>
      </c>
      <c r="AJ39" s="541">
        <f>9280541864.3/3654054693</f>
        <v>2.5397928175729141</v>
      </c>
      <c r="AK39" s="541">
        <f>10249834319.64/2811807249</f>
        <v>3.6452834109753729</v>
      </c>
      <c r="AL39" s="541">
        <f>8697655844.64/3106973112</f>
        <v>2.7993984920716621</v>
      </c>
      <c r="AM39" s="541">
        <f>8723117505.35/1672382992</f>
        <v>5.2159807574448234</v>
      </c>
      <c r="AN39" s="541">
        <f>9842674643.35/2292349119.19</f>
        <v>4.2937066439635085</v>
      </c>
      <c r="AO39" s="897">
        <f>15012287595.16/6227390333.37</f>
        <v>2.4106867871627351</v>
      </c>
      <c r="AP39" s="562" t="s">
        <v>1108</v>
      </c>
      <c r="AQ39" s="563" t="s">
        <v>1205</v>
      </c>
      <c r="AR39" s="875" t="s">
        <v>25</v>
      </c>
    </row>
    <row r="40" spans="1:44" ht="112.5" customHeight="1" x14ac:dyDescent="0.2">
      <c r="A40" s="877" t="str">
        <f t="shared" si="0"/>
        <v>5.5.20</v>
      </c>
      <c r="B40" s="315" t="str">
        <f>'PAI 2022 - V4'!A42</f>
        <v>8. Trabajo decente y crecimiento económico.
16. Paz, justicia e instituciones sólidas.</v>
      </c>
      <c r="C40" s="316" t="str">
        <f>'PAI 2022 - V4'!B42</f>
        <v>Propósito 5
Logro de ciudad: 30</v>
      </c>
      <c r="D40" s="316" t="str">
        <f>'PAI 2022 - V4'!C42</f>
        <v>Gestión presupuestal y eficiencia del gasto público.</v>
      </c>
      <c r="E40" s="266" t="str">
        <f>'PAI 2022 - V4'!D42</f>
        <v>OE_5</v>
      </c>
      <c r="F40" s="316" t="str">
        <f>'PAI 2022 - V4'!E42</f>
        <v xml:space="preserve">5. Fortalecer la capacidad organizacional de Capital para ser una empresa transparente, eficiente y sostenible. </v>
      </c>
      <c r="G40" s="316" t="str">
        <f>'PAI 2022 - V4'!F42</f>
        <v>5. Realizar el diagnóstico, diseño e implementación de una estructura administrativa acorde a las necesidades de capital.</v>
      </c>
      <c r="H40" s="266" t="str">
        <f>'PAI 2022 - V4'!G42</f>
        <v>5.5.20</v>
      </c>
      <c r="I40" s="266" t="str">
        <f>'PAI 2022 - V4'!H42</f>
        <v>¿Cómo vamos?</v>
      </c>
      <c r="J40" s="316" t="str">
        <f>'PAI 2022 - V4'!I42</f>
        <v>Informar la situación financiera de la Entidad</v>
      </c>
      <c r="K40" s="316" t="str">
        <f>'PAI 2022 - V4'!J42</f>
        <v>Gestión mensual contable - Estados contables</v>
      </c>
      <c r="L40" s="316" t="str">
        <f>'PAI 2022 - V4'!K42</f>
        <v>2 Eficiencia: Uso de los recursos.</v>
      </c>
      <c r="M40" s="316" t="str">
        <f>'PAI 2022 - V4'!L42</f>
        <v>Presentar la situación financiera de la empresa en el periodo correspondiente.</v>
      </c>
      <c r="N40" s="266" t="str">
        <f>'PAI 2022 - V4'!M42</f>
        <v>Ingresos</v>
      </c>
      <c r="O40" s="266" t="str">
        <f>'PAI 2022 - V4'!N42</f>
        <v>∑ Costos y/o Gastos</v>
      </c>
      <c r="P40" s="266" t="str">
        <f>'PAI 2022 - V4'!O42</f>
        <v>Número (#).</v>
      </c>
      <c r="Q40" s="266" t="str">
        <f>'PAI 2022 - V4'!P42</f>
        <v>2 Constante: Se espera un valor o rango de resultado estable en el tiempo</v>
      </c>
      <c r="R40" s="266" t="str">
        <f>'PAI 2022 - V4'!Q42</f>
        <v>No aplica</v>
      </c>
      <c r="S40" s="266" t="str">
        <f>'PAI 2022 - V4'!R42</f>
        <v>≥ 1</v>
      </c>
      <c r="T40" s="316" t="str">
        <f>'PAI 2022 - V4'!S42</f>
        <v>Lograr mantener el indicar en un resultado igual o mayor a 1</v>
      </c>
      <c r="U40" s="266" t="str">
        <f>'PAI 2022 - V4'!T42</f>
        <v>≤ 0,9</v>
      </c>
      <c r="V40" s="266" t="str">
        <f>'PAI 2022 - V4'!U42</f>
        <v xml:space="preserve">=1 </v>
      </c>
      <c r="W40" s="266" t="str">
        <f>'PAI 2022 - V4'!V42</f>
        <v xml:space="preserve">&gt; 1 </v>
      </c>
      <c r="X40" s="266" t="str">
        <f>'PAI 2022 - V4'!W42</f>
        <v>&gt; 1 ,5</v>
      </c>
      <c r="Y40" s="316" t="str">
        <f>'PAI 2022 - V4'!X42</f>
        <v>Tomar las cifras de los estados contables mensuales para determinar el resultado del indicador.</v>
      </c>
      <c r="Z40" s="266" t="str">
        <f>'PAI 2022 - V4'!Y42</f>
        <v>1 Mensual</v>
      </c>
      <c r="AA40" s="316" t="str">
        <f>'PAI 2022 - V4'!Z42</f>
        <v xml:space="preserve">Para que este indicador sea aceptable deber ser superior a 1 dado que aquí se encuentra el punto de equilibrio. </v>
      </c>
      <c r="AB40" s="266" t="str">
        <f>'PAI 2022 - V4'!AA42</f>
        <v>Subdirección Financiera</v>
      </c>
      <c r="AC40" s="417" t="str">
        <f>'PAI 2022 - V4'!AB42</f>
        <v>Gestión financiera y facturación.</v>
      </c>
      <c r="AD40" s="898">
        <f>4407752681.8-2279911065.35</f>
        <v>2127841616.4500003</v>
      </c>
      <c r="AE40" s="505">
        <f>5083862424.47-4303415378.19</f>
        <v>780447046.28000069</v>
      </c>
      <c r="AF40" s="505">
        <f>5873616241.72-6574422333.81</f>
        <v>-700806092.09000015</v>
      </c>
      <c r="AG40" s="505">
        <f>10528598592-10021857408</f>
        <v>506741184</v>
      </c>
      <c r="AH40" s="505">
        <f>11329510391-12639042033</f>
        <v>-1309531642</v>
      </c>
      <c r="AI40" s="505">
        <f>12585707911-16440205467</f>
        <v>-3854497556</v>
      </c>
      <c r="AJ40" s="505">
        <f>17371627797.62-19240581041.83</f>
        <v>-1868953244.2100029</v>
      </c>
      <c r="AK40" s="505">
        <f>22162851557.52-22462181502.08</f>
        <v>-299329944.56000137</v>
      </c>
      <c r="AL40" s="505">
        <f>23507186984.26-25797953794.54</f>
        <v>-2290766810.2800026</v>
      </c>
      <c r="AM40" s="505">
        <f>27555834253.46-28950405337.54</f>
        <v>-1394571084.0800018</v>
      </c>
      <c r="AN40" s="505">
        <f>30679581714.77-31848033634.58</f>
        <v>-1168451919.8100014</v>
      </c>
      <c r="AO40" s="899">
        <f>41627197968.24-37862111380.23</f>
        <v>3765086588.0099945</v>
      </c>
      <c r="AP40" s="562" t="s">
        <v>1109</v>
      </c>
      <c r="AQ40" s="563" t="s">
        <v>1234</v>
      </c>
      <c r="AR40" s="875" t="s">
        <v>25</v>
      </c>
    </row>
    <row r="41" spans="1:44" ht="118.5" customHeight="1" x14ac:dyDescent="0.2">
      <c r="A41" s="877" t="str">
        <f t="shared" si="0"/>
        <v>5.5.21</v>
      </c>
      <c r="B41" s="315" t="str">
        <f>'PAI 2022 - V4'!A43</f>
        <v>8. Trabajo decente y crecimiento económico.
16. Paz, justicia e instituciones sólidas.</v>
      </c>
      <c r="C41" s="316" t="str">
        <f>'PAI 2022 - V4'!B43</f>
        <v>Propósito 5
Logro de ciudad: 30</v>
      </c>
      <c r="D41" s="316" t="str">
        <f>'PAI 2022 - V4'!C43</f>
        <v>Gestión presupuestal y eficiencia del gasto público.</v>
      </c>
      <c r="E41" s="266" t="str">
        <f>'PAI 2022 - V4'!D43</f>
        <v>OE_5</v>
      </c>
      <c r="F41" s="316" t="str">
        <f>'PAI 2022 - V4'!E43</f>
        <v xml:space="preserve">5. Fortalecer la capacidad organizacional de Capital para ser una empresa transparente, eficiente y sostenible. </v>
      </c>
      <c r="G41" s="316" t="str">
        <f>'PAI 2022 - V4'!F43</f>
        <v>5. Realizar el diagnóstico, diseño e implementación de una estructura administrativa acorde a las necesidades de capital.</v>
      </c>
      <c r="H41" s="266" t="str">
        <f>'PAI 2022 - V4'!G43</f>
        <v>5.5.21</v>
      </c>
      <c r="I41" s="266" t="str">
        <f>'PAI 2022 - V4'!H43</f>
        <v>Una Cartera efectiva</v>
      </c>
      <c r="J41" s="316" t="str">
        <f>'PAI 2022 - V4'!I43</f>
        <v>Cumplimiento de los tiempos establecidos para el recaudo, generando una cartera dinámica</v>
      </c>
      <c r="K41" s="316" t="str">
        <f>'PAI 2022 - V4'!J43</f>
        <v>Gestión de la cartera.</v>
      </c>
      <c r="L41" s="316" t="str">
        <f>'PAI 2022 - V4'!K43</f>
        <v>1 Eficacia: Cumplimiento de metas</v>
      </c>
      <c r="M41" s="316" t="str">
        <f>'PAI 2022 - V4'!L43</f>
        <v>Identificar las edades de cartera y oportunidad de recaudo de los diferentes clientes de la empresa.</v>
      </c>
      <c r="N41" s="266" t="str">
        <f>'PAI 2022 - V4'!M43</f>
        <v xml:space="preserve">Total Recaudo </v>
      </c>
      <c r="O41" s="266" t="str">
        <f>'PAI 2022 - V4'!N43</f>
        <v>Total servicios facturados al cierre del trimestre acumulado * 100</v>
      </c>
      <c r="P41" s="266" t="str">
        <f>'PAI 2022 - V4'!O43</f>
        <v>Porcentaje (%).</v>
      </c>
      <c r="Q41" s="266" t="str">
        <f>'PAI 2022 - V4'!P43</f>
        <v>2 Constante: Se espera un valor o rango de resultado estable en el tiempo</v>
      </c>
      <c r="R41" s="19">
        <f>'PAI 2022 - V4'!Q43</f>
        <v>0.81159999999999999</v>
      </c>
      <c r="S41" s="19">
        <f>'PAI 2022 - V4'!R43</f>
        <v>0.7</v>
      </c>
      <c r="T41" s="316" t="str">
        <f>'PAI 2022 - V4'!S43</f>
        <v>Lograr al cierre del trimestre un recaudo igual o superior al 70% al respecto de lo facturado dentro del mismo</v>
      </c>
      <c r="U41" s="266">
        <f>'PAI 2022 - V4'!T43</f>
        <v>0.5</v>
      </c>
      <c r="V41" s="266">
        <f>'PAI 2022 - V4'!U43</f>
        <v>0.6</v>
      </c>
      <c r="W41" s="266">
        <f>'PAI 2022 - V4'!V43</f>
        <v>0.7</v>
      </c>
      <c r="X41" s="266" t="str">
        <f>'PAI 2022 - V4'!W43</f>
        <v>&gt; 70%</v>
      </c>
      <c r="Y41" s="316" t="str">
        <f>'PAI 2022 - V4'!X43</f>
        <v>Elaborar informe de cartera.</v>
      </c>
      <c r="Z41" s="266" t="str">
        <f>'PAI 2022 - V4'!Y43</f>
        <v>Trimestral.</v>
      </c>
      <c r="AA41" s="316" t="str">
        <f>'PAI 2022 - V4'!Z43</f>
        <v xml:space="preserve">La información acá reportada es el recaudo bruto es decir incluye los descuentos hechos por los clientes, dado que si se hiciera sin esta información no sería comparable. </v>
      </c>
      <c r="AB41" s="266" t="str">
        <f>'PAI 2022 - V4'!AA43</f>
        <v>Subdirección Financiera</v>
      </c>
      <c r="AC41" s="417" t="str">
        <f>'PAI 2022 - V4'!AB43</f>
        <v>Gestión financiera y facturación.</v>
      </c>
      <c r="AD41" s="891">
        <f>535986069.98/762904408.94</f>
        <v>0.70255993240976744</v>
      </c>
      <c r="AE41" s="617"/>
      <c r="AF41" s="617"/>
      <c r="AG41" s="617">
        <f>1213705155.84/1455297909.54</f>
        <v>0.83399086048549043</v>
      </c>
      <c r="AH41" s="617"/>
      <c r="AI41" s="617"/>
      <c r="AJ41" s="617">
        <f>1324190874/1489415166</f>
        <v>0.88906767181394475</v>
      </c>
      <c r="AK41" s="617"/>
      <c r="AL41" s="617"/>
      <c r="AM41" s="617">
        <f>4902057104.08/8279767894.4</f>
        <v>0.59205247859610821</v>
      </c>
      <c r="AN41" s="617"/>
      <c r="AO41" s="892"/>
      <c r="AP41" s="562" t="s">
        <v>1110</v>
      </c>
      <c r="AQ41" s="563" t="s">
        <v>1206</v>
      </c>
      <c r="AR41" s="875" t="s">
        <v>23</v>
      </c>
    </row>
    <row r="42" spans="1:44" ht="86.25" customHeight="1" x14ac:dyDescent="0.2">
      <c r="A42" s="877" t="str">
        <f t="shared" si="0"/>
        <v>5.5.22</v>
      </c>
      <c r="B42" s="315" t="str">
        <f>'PAI 2022 - V4'!A44</f>
        <v>8. Trabajo decente y crecimiento económico.
16. Paz, justicia e instituciones sólidas.</v>
      </c>
      <c r="C42" s="316" t="str">
        <f>'PAI 2022 - V4'!B44</f>
        <v>Propósito 5
Logro de ciudad: 30</v>
      </c>
      <c r="D42" s="316" t="str">
        <f>'PAI 2022 - V4'!C44</f>
        <v>Gestión presupuestal y eficiencia del gasto público.</v>
      </c>
      <c r="E42" s="266" t="str">
        <f>'PAI 2022 - V4'!D44</f>
        <v>OE_5</v>
      </c>
      <c r="F42" s="316" t="str">
        <f>'PAI 2022 - V4'!E44</f>
        <v xml:space="preserve">5. Fortalecer la capacidad organizacional de Capital para ser una empresa transparente, eficiente y sostenible. </v>
      </c>
      <c r="G42" s="316" t="str">
        <f>'PAI 2022 - V4'!F44</f>
        <v>5. Realizar el diagnóstico, diseño e implementación de una estructura administrativa acorde a las necesidades de capital.</v>
      </c>
      <c r="H42" s="266" t="str">
        <f>'PAI 2022 - V4'!G44</f>
        <v>5.5.22</v>
      </c>
      <c r="I42" s="266" t="str">
        <f>'PAI 2022 - V4'!H44</f>
        <v xml:space="preserve">Financiera comunica </v>
      </c>
      <c r="J42" s="316" t="str">
        <f>'PAI 2022 - V4'!I44</f>
        <v xml:space="preserve">Dar a conocer a los colaboradores las diferentes etapas de los procedimientos financieros y temas de interés. </v>
      </c>
      <c r="K42" s="316" t="str">
        <f>'PAI 2022 - V4'!J44</f>
        <v>Gestión de las comunicaciones internas de la subdirección financiera</v>
      </c>
      <c r="L42" s="316" t="str">
        <f>'PAI 2022 - V4'!K44</f>
        <v>1 Eficacia: Cumplimiento de metas</v>
      </c>
      <c r="M42" s="316" t="str">
        <f>'PAI 2022 - V4'!L44</f>
        <v xml:space="preserve">Dar a conocer al interior de la entidad información relevante de los procesos y la gestión financiera. </v>
      </c>
      <c r="N42" s="266" t="str">
        <f>'PAI 2022 - V4'!M44</f>
        <v xml:space="preserve">Numero de piezas comunicativas realizadas </v>
      </c>
      <c r="O42" s="266" t="str">
        <f>'PAI 2022 - V4'!N44</f>
        <v>Numero de piezas comunicativas programadas para la vigencia (11)</v>
      </c>
      <c r="P42" s="266" t="str">
        <f>'PAI 2022 - V4'!O44</f>
        <v>Número (#).</v>
      </c>
      <c r="Q42" s="266" t="str">
        <f>'PAI 2022 - V4'!P44</f>
        <v>2 Constante: Se espera un valor o rango de resultado estable en el tiempo</v>
      </c>
      <c r="R42" s="266">
        <f>'PAI 2022 - V4'!Q44</f>
        <v>5</v>
      </c>
      <c r="S42" s="266">
        <f>'PAI 2022 - V4'!R44</f>
        <v>11</v>
      </c>
      <c r="T42" s="316" t="str">
        <f>'PAI 2022 - V4'!S44</f>
        <v xml:space="preserve">Emitir piezas comunicativas sobres los procesos internos de la Subdirección Financiera. </v>
      </c>
      <c r="U42" s="266">
        <f>'PAI 2022 - V4'!T44</f>
        <v>5</v>
      </c>
      <c r="V42" s="266">
        <f>'PAI 2022 - V4'!U44</f>
        <v>7</v>
      </c>
      <c r="W42" s="266">
        <f>'PAI 2022 - V4'!V44</f>
        <v>9</v>
      </c>
      <c r="X42" s="266">
        <f>'PAI 2022 - V4'!W44</f>
        <v>11</v>
      </c>
      <c r="Y42" s="316" t="str">
        <f>'PAI 2022 - V4'!X44</f>
        <v xml:space="preserve">Suministrar insumo para piezas comunicativas          </v>
      </c>
      <c r="Z42" s="266" t="str">
        <f>'PAI 2022 - V4'!Y44</f>
        <v>Trimestral.</v>
      </c>
      <c r="AA42" s="316" t="str">
        <f>'PAI 2022 - V4'!Z44</f>
        <v xml:space="preserve">La Subdirección Financiera programo en promedio una pieza comunicativa mensual donde se informa temas de interés a todo el personal vinculado a la Entidad. </v>
      </c>
      <c r="AB42" s="266" t="str">
        <f>'PAI 2022 - V4'!AA44</f>
        <v>Subdirección Financiera</v>
      </c>
      <c r="AC42" s="417" t="str">
        <f>'PAI 2022 - V4'!AB44</f>
        <v>Gestión financiera y facturación.</v>
      </c>
      <c r="AD42" s="891">
        <f>2/11</f>
        <v>0.18181818181818182</v>
      </c>
      <c r="AE42" s="617"/>
      <c r="AF42" s="617"/>
      <c r="AG42" s="617">
        <f>5/11</f>
        <v>0.45454545454545453</v>
      </c>
      <c r="AH42" s="617"/>
      <c r="AI42" s="617"/>
      <c r="AJ42" s="617">
        <f>8/11</f>
        <v>0.72727272727272729</v>
      </c>
      <c r="AK42" s="617"/>
      <c r="AL42" s="617"/>
      <c r="AM42" s="617">
        <f>11/11</f>
        <v>1</v>
      </c>
      <c r="AN42" s="617"/>
      <c r="AO42" s="892"/>
      <c r="AP42" s="562" t="s">
        <v>1111</v>
      </c>
      <c r="AQ42" s="563" t="s">
        <v>1207</v>
      </c>
      <c r="AR42" s="875" t="s">
        <v>25</v>
      </c>
    </row>
    <row r="43" spans="1:44" ht="110.25" customHeight="1" x14ac:dyDescent="0.2">
      <c r="A43" s="877" t="str">
        <f t="shared" si="0"/>
        <v>5.6.23</v>
      </c>
      <c r="B43" s="383" t="str">
        <f>'PAI 2022 - V4'!A45</f>
        <v>11. Ciudades y comunidades sostenibles.
17. Alianzas para lograr los objetivos.</v>
      </c>
      <c r="C43" s="384" t="str">
        <f>'PAI 2022 - V4'!B45</f>
        <v>Propósito 5
Logro de ciudad: 30</v>
      </c>
      <c r="D43" s="384" t="str">
        <f>'PAI 2022 - V4'!C45</f>
        <v>Fortalecimiento organizacional y simplificación de procesos.</v>
      </c>
      <c r="E43" s="266" t="str">
        <f>'PAI 2022 - V4'!D45</f>
        <v>OE_5</v>
      </c>
      <c r="F43" s="316" t="str">
        <f>'PAI 2022 - V4'!E45</f>
        <v xml:space="preserve">5. Fortalecer la capacidad organizacional de Capital para ser una empresa transparente, eficiente y sostenible. </v>
      </c>
      <c r="G43" s="316" t="str">
        <f>'PAI 2022 - V4'!F45</f>
        <v>6. Articular los procesos y flujos de trabajo a la estructura de Capital.</v>
      </c>
      <c r="H43" s="266" t="str">
        <f>'PAI 2022 - V4'!G45</f>
        <v>5.6.23</v>
      </c>
      <c r="I43" s="266" t="str">
        <f>'PAI 2022 - V4'!H45</f>
        <v xml:space="preserve">Revisión y actualización, de ser necesario, del Manual de supervisión e interventoría </v>
      </c>
      <c r="J43" s="316" t="str">
        <f>'PAI 2022 - V4'!I45</f>
        <v>Revisar y actualizar, de ser necesario, el Manual de supervisión e interventoría de conformidad con el régimen contractual aplicable a la entidad</v>
      </c>
      <c r="K43" s="316" t="str">
        <f>'PAI 2022 - V4'!J45</f>
        <v>Cumplimiento en la revisión y actualización (si es requerido) del Manual de supervisión e interventoría</v>
      </c>
      <c r="L43" s="316" t="str">
        <f>'PAI 2022 - V4'!K45</f>
        <v>1 Eficacia: Cumplimiento de metas</v>
      </c>
      <c r="M43" s="316" t="str">
        <f>'PAI 2022 - V4'!L45</f>
        <v>Revisar el Manual de supervisión e interventoría y adelantar los ajustes y actualizaciones que se consideren pertinentes y oportunos.</v>
      </c>
      <c r="N43" s="266" t="str">
        <f>'PAI 2022 - V4'!M45</f>
        <v xml:space="preserve">Porcentaje de avance en la revisión y actualización del Manual de supervisión e interventoría </v>
      </c>
      <c r="O43" s="266" t="str">
        <f>'PAI 2022 - V4'!N45</f>
        <v>Porcentaje de avance programado para el manual de supervisión e interventoría para la vigencia.</v>
      </c>
      <c r="P43" s="266" t="str">
        <f>'PAI 2022 - V4'!O45</f>
        <v>Porcentaje (%).</v>
      </c>
      <c r="Q43" s="266" t="str">
        <f>'PAI 2022 - V4'!P45</f>
        <v>1 Creciente: El resultado tiende a crecer en el tiempo</v>
      </c>
      <c r="R43" s="266" t="str">
        <f>'PAI 2022 - V4'!Q45</f>
        <v>No aplica.</v>
      </c>
      <c r="S43" s="17">
        <f>'PAI 2022 - V4'!R45</f>
        <v>1</v>
      </c>
      <c r="T43" s="316" t="str">
        <f>'PAI 2022 - V4'!S45</f>
        <v>Actualizar el Manual de supervisión e interventoría.</v>
      </c>
      <c r="U43" s="17">
        <f>'PAI 2022 - V4'!T45</f>
        <v>0.5</v>
      </c>
      <c r="V43" s="17">
        <f>'PAI 2022 - V4'!U45</f>
        <v>0.6</v>
      </c>
      <c r="W43" s="17">
        <f>'PAI 2022 - V4'!V45</f>
        <v>0.9</v>
      </c>
      <c r="X43" s="17">
        <f>'PAI 2022 - V4'!W45</f>
        <v>1</v>
      </c>
      <c r="Y43" s="316" t="str">
        <f>'PAI 2022 - V4'!X45</f>
        <v>1. Mesas de trabajo con las áreas involucradas en la revisión del Manual de supervisión e interventoría
2. Solicitud de revisión a Planeación del Manual de  supervisión e interventoría
3. Expedición de la resolución de adopción de la nueva versión del Manual de  supervisión e interventoría
4. Socialización de a nueva versión del Manual de  supervisión e interventoría
5. Capacitaciones a las áreas sobre el Manual de supervisión e interventoría</v>
      </c>
      <c r="Z43" s="266" t="str">
        <f>'PAI 2022 - V4'!Y45</f>
        <v>3 Trimestral</v>
      </c>
      <c r="AA43" s="316" t="str">
        <f>'PAI 2022 - V4'!Z45</f>
        <v>No aplica</v>
      </c>
      <c r="AB43" s="266" t="str">
        <f>'PAI 2022 - V4'!AA45</f>
        <v>Secretaría General</v>
      </c>
      <c r="AC43" s="417" t="str">
        <f>'PAI 2022 - V4'!AB45</f>
        <v>Gestión jurídica, contractual y control disciplinario.</v>
      </c>
      <c r="AD43" s="891">
        <f>80/100</f>
        <v>0.8</v>
      </c>
      <c r="AE43" s="617"/>
      <c r="AF43" s="617"/>
      <c r="AG43" s="617">
        <f>90/100</f>
        <v>0.9</v>
      </c>
      <c r="AH43" s="617"/>
      <c r="AI43" s="617"/>
      <c r="AJ43" s="617">
        <f>100/100</f>
        <v>1</v>
      </c>
      <c r="AK43" s="617"/>
      <c r="AL43" s="617"/>
      <c r="AM43" s="617">
        <f>100/100</f>
        <v>1</v>
      </c>
      <c r="AN43" s="617"/>
      <c r="AO43" s="892"/>
      <c r="AP43" s="562" t="s">
        <v>1097</v>
      </c>
      <c r="AQ43" s="563" t="s">
        <v>1193</v>
      </c>
      <c r="AR43" s="875" t="s">
        <v>25</v>
      </c>
    </row>
    <row r="44" spans="1:44" ht="192" customHeight="1" x14ac:dyDescent="0.2">
      <c r="A44" s="877" t="str">
        <f t="shared" si="0"/>
        <v>5.6.24</v>
      </c>
      <c r="B44" s="383" t="str">
        <f>'PAI 2022 - V4'!A46</f>
        <v>11. Ciudades y comunidades sostenibles.
17. Alianzas para lograr los objetivos.</v>
      </c>
      <c r="C44" s="384" t="str">
        <f>'PAI 2022 - V4'!B46</f>
        <v>Propósito 5
Logro de ciudad: 30</v>
      </c>
      <c r="D44" s="384" t="str">
        <f>'PAI 2022 - V4'!C46</f>
        <v>Fortalecimiento organizacional y simplificación de procesos.</v>
      </c>
      <c r="E44" s="266" t="str">
        <f>'PAI 2022 - V4'!D46</f>
        <v>OE_5</v>
      </c>
      <c r="F44" s="316" t="str">
        <f>'PAI 2022 - V4'!E46</f>
        <v xml:space="preserve">5. Fortalecer la capacidad organizacional de Capital para ser una empresa transparente, eficiente y sostenible. </v>
      </c>
      <c r="G44" s="316" t="str">
        <f>'PAI 2022 - V4'!F46</f>
        <v>6. Articular los procesos y flujos de trabajo a la estructura de Capital.</v>
      </c>
      <c r="H44" s="266" t="str">
        <f>'PAI 2022 - V4'!G46</f>
        <v>5.6.24</v>
      </c>
      <c r="I44" s="266" t="str">
        <f>'PAI 2022 - V4'!H46</f>
        <v>Actualización de la información sobre procesos disciplinarios.</v>
      </c>
      <c r="J44" s="316" t="str">
        <f>'PAI 2022 - V4'!I46</f>
        <v>Gestionar y mantener actualizada la información sobre procesos disciplinarios en el sistema distrital de información disciplinaria del Distrito Capital.</v>
      </c>
      <c r="K44" s="316" t="str">
        <f>'PAI 2022 - V4'!J46</f>
        <v>Cumplimiento en el cargue y actualización del Sistema distrital de información disciplinaria</v>
      </c>
      <c r="L44" s="316" t="str">
        <f>'PAI 2022 - V4'!K46</f>
        <v>1 Eficacia: Cumplimiento de metas</v>
      </c>
      <c r="M44" s="316" t="str">
        <f>'PAI 2022 - V4'!L46</f>
        <v>Contar con información completa en la plataforma que permita adelantar seguimientos respecto a los procesos disciplinarios que adelanta la entidad.</v>
      </c>
      <c r="N44" s="266" t="str">
        <f>'PAI 2022 - V4'!M46</f>
        <v xml:space="preserve">Número de procesos disciplinarios cargados en el sistema de información </v>
      </c>
      <c r="O44" s="266" t="str">
        <f>'PAI 2022 - V4'!N46</f>
        <v>Número de procesos disciplinarios presentados en la entidad.</v>
      </c>
      <c r="P44" s="266" t="str">
        <f>'PAI 2022 - V4'!O46</f>
        <v>Porcentaje (%).</v>
      </c>
      <c r="Q44" s="266" t="str">
        <f>'PAI 2022 - V4'!P46</f>
        <v>2 Constante: Se espera un valor o rango de resultado estable en el tiempo</v>
      </c>
      <c r="R44" s="266" t="str">
        <f>'PAI 2022 - V4'!Q46</f>
        <v>No aplica.</v>
      </c>
      <c r="S44" s="17">
        <f>'PAI 2022 - V4'!R46</f>
        <v>1</v>
      </c>
      <c r="T44" s="316" t="str">
        <f>'PAI 2022 - V4'!S46</f>
        <v>Mantener actualizado al 100% el sistema de información para los procesos disciplinarios.</v>
      </c>
      <c r="U44" s="17">
        <f>'PAI 2022 - V4'!T46</f>
        <v>0.5</v>
      </c>
      <c r="V44" s="17">
        <f>'PAI 2022 - V4'!U46</f>
        <v>0.6</v>
      </c>
      <c r="W44" s="17">
        <f>'PAI 2022 - V4'!V46</f>
        <v>0.9</v>
      </c>
      <c r="X44" s="17">
        <f>'PAI 2022 - V4'!W46</f>
        <v>1</v>
      </c>
      <c r="Y44" s="316" t="str">
        <f>'PAI 2022 - V4'!X46</f>
        <v>1. Ingresar y mantener actualizada la información relativa a los procesos disciplinarios.
2. Hacer seguimiento a la información reportada en el sistema distrital de información disciplinaria frente a los expedientes disciplinarios.
3. Revisar y actualizar los procedimientos internos asociados con los procesos disciplinarios.</v>
      </c>
      <c r="Z44" s="266" t="str">
        <f>'PAI 2022 - V4'!Y46</f>
        <v>3 Trimestral</v>
      </c>
      <c r="AA44" s="316" t="str">
        <f>'PAI 2022 - V4'!Z46</f>
        <v>No aplica</v>
      </c>
      <c r="AB44" s="266" t="str">
        <f>'PAI 2022 - V4'!AA46</f>
        <v>Secretaría General</v>
      </c>
      <c r="AC44" s="417" t="str">
        <f>'PAI 2022 - V4'!AB46</f>
        <v>Gestión jurídica, contractual y control disciplinario.</v>
      </c>
      <c r="AD44" s="891">
        <f>10/100</f>
        <v>0.1</v>
      </c>
      <c r="AE44" s="617"/>
      <c r="AF44" s="617"/>
      <c r="AG44" s="617">
        <f>70/100</f>
        <v>0.7</v>
      </c>
      <c r="AH44" s="617"/>
      <c r="AI44" s="617"/>
      <c r="AJ44" s="617">
        <f>90/100</f>
        <v>0.9</v>
      </c>
      <c r="AK44" s="617"/>
      <c r="AL44" s="617"/>
      <c r="AM44" s="617">
        <f>100/100</f>
        <v>1</v>
      </c>
      <c r="AN44" s="617"/>
      <c r="AO44" s="892"/>
      <c r="AP44" s="562" t="s">
        <v>1098</v>
      </c>
      <c r="AQ44" s="563" t="s">
        <v>1194</v>
      </c>
      <c r="AR44" s="875" t="s">
        <v>25</v>
      </c>
    </row>
    <row r="45" spans="1:44" ht="99.75" customHeight="1" x14ac:dyDescent="0.2">
      <c r="A45" s="877" t="str">
        <f t="shared" si="0"/>
        <v>5.6.25</v>
      </c>
      <c r="B45" s="383" t="str">
        <f>'PAI 2022 - V4'!A47</f>
        <v>11. Ciudades y comunidades sostenibles.
17. Alianzas para lograr los objetivos.</v>
      </c>
      <c r="C45" s="384" t="str">
        <f>'PAI 2022 - V4'!B47</f>
        <v>Propósito 5
Logro de ciudad: 30</v>
      </c>
      <c r="D45" s="384" t="str">
        <f>'PAI 2022 - V4'!C47</f>
        <v>Defensa jurídica.</v>
      </c>
      <c r="E45" s="266" t="str">
        <f>'PAI 2022 - V4'!D47</f>
        <v>OE_5</v>
      </c>
      <c r="F45" s="316" t="str">
        <f>'PAI 2022 - V4'!E47</f>
        <v xml:space="preserve">5. Fortalecer la capacidad organizacional de Capital para ser una empresa transparente, eficiente y sostenible. </v>
      </c>
      <c r="G45" s="316" t="str">
        <f>'PAI 2022 - V4'!F47</f>
        <v>6. Articular los procesos y flujos de trabajo a la estructura de Capital.</v>
      </c>
      <c r="H45" s="266" t="str">
        <f>'PAI 2022 - V4'!G47</f>
        <v>5.6.25</v>
      </c>
      <c r="I45" s="266" t="str">
        <f>'PAI 2022 - V4'!H47</f>
        <v>Capacitación en asuntos relacionados con la política de prevención de daño antijurídico.</v>
      </c>
      <c r="J45" s="316" t="str">
        <f>'PAI 2022 - V4'!I47</f>
        <v>Capacitar a los supervisores a fin de evitar  que con sus conductas se generen daños antijurídicos</v>
      </c>
      <c r="K45" s="316" t="str">
        <f>'PAI 2022 - V4'!J47</f>
        <v>Realización de capacitaciones en asuntos relacionados con la política de prevención de daño antijurídico.</v>
      </c>
      <c r="L45" s="316" t="str">
        <f>'PAI 2022 - V4'!K47</f>
        <v>1 Eficacia: Cumplimiento de metas</v>
      </c>
      <c r="M45" s="316" t="str">
        <f>'PAI 2022 - V4'!L47</f>
        <v>Suministrar herramientas para adelantar una adecuada supervisión a fin de evitar daños antijurídicos</v>
      </c>
      <c r="N45" s="266" t="str">
        <f>'PAI 2022 - V4'!M47</f>
        <v>Capacitaciones realizadas</v>
      </c>
      <c r="O45" s="266" t="str">
        <f>'PAI 2022 - V4'!N47</f>
        <v>Capacitaciones programadas</v>
      </c>
      <c r="P45" s="266" t="str">
        <f>'PAI 2022 - V4'!O47</f>
        <v>Número (#).</v>
      </c>
      <c r="Q45" s="266" t="str">
        <f>'PAI 2022 - V4'!P47</f>
        <v>1 Creciente: El resultado tiende a crecer en el tiempo</v>
      </c>
      <c r="R45" s="266" t="str">
        <f>'PAI 2022 - V4'!Q47</f>
        <v>No aplica.</v>
      </c>
      <c r="S45" s="266">
        <f>'PAI 2022 - V4'!R47</f>
        <v>4</v>
      </c>
      <c r="T45" s="316" t="str">
        <f>'PAI 2022 - V4'!S47</f>
        <v>Realizar 4 capacitaciones en el transcurso de la vigencia, orientados a evitar daños antijurídicos</v>
      </c>
      <c r="U45" s="17">
        <f>'PAI 2022 - V4'!T47</f>
        <v>0.5</v>
      </c>
      <c r="V45" s="17">
        <f>'PAI 2022 - V4'!U47</f>
        <v>0.6</v>
      </c>
      <c r="W45" s="17">
        <f>'PAI 2022 - V4'!V47</f>
        <v>0.9</v>
      </c>
      <c r="X45" s="17">
        <f>'PAI 2022 - V4'!W47</f>
        <v>1</v>
      </c>
      <c r="Y45" s="316" t="str">
        <f>'PAI 2022 - V4'!X47</f>
        <v>1. Convocar a los supervisores y apoyos a la supervisión a las capacitaciones en asuntos relacionados con la política de prevención de daño antijurídico.</v>
      </c>
      <c r="Z45" s="266" t="str">
        <f>'PAI 2022 - V4'!Y47</f>
        <v>3 Trimestral</v>
      </c>
      <c r="AA45" s="316" t="str">
        <f>'PAI 2022 - V4'!Z47</f>
        <v>No aplica</v>
      </c>
      <c r="AB45" s="266" t="str">
        <f>'PAI 2022 - V4'!AA47</f>
        <v>Secretaría General</v>
      </c>
      <c r="AC45" s="417" t="str">
        <f>'PAI 2022 - V4'!AB47</f>
        <v>Gestión jurídica, contractual y control disciplinario.</v>
      </c>
      <c r="AD45" s="891">
        <f>0/4</f>
        <v>0</v>
      </c>
      <c r="AE45" s="617"/>
      <c r="AF45" s="617"/>
      <c r="AG45" s="617">
        <f>0/4</f>
        <v>0</v>
      </c>
      <c r="AH45" s="617"/>
      <c r="AI45" s="617"/>
      <c r="AJ45" s="617">
        <f>2/4</f>
        <v>0.5</v>
      </c>
      <c r="AK45" s="617"/>
      <c r="AL45" s="617"/>
      <c r="AM45" s="617">
        <f>2/4</f>
        <v>0.5</v>
      </c>
      <c r="AN45" s="617"/>
      <c r="AO45" s="892"/>
      <c r="AP45" s="562" t="s">
        <v>1099</v>
      </c>
      <c r="AQ45" s="563" t="s">
        <v>1195</v>
      </c>
      <c r="AR45" s="875" t="s">
        <v>22</v>
      </c>
    </row>
    <row r="46" spans="1:44" ht="108" customHeight="1" x14ac:dyDescent="0.2">
      <c r="A46" s="877" t="str">
        <f t="shared" si="0"/>
        <v>5.5.26</v>
      </c>
      <c r="B46" s="383" t="str">
        <f>'PAI 2022 - V4'!A48</f>
        <v>16. Paz, justicia e instituciones sólidas.</v>
      </c>
      <c r="C46" s="384" t="str">
        <f>'PAI 2022 - V4'!B48</f>
        <v>Propósito 1
Logro de ciudad: 3
Propósito 3
Logro de ciudad: 23
Propósito 5
Logros de ciudad: 27 - 30</v>
      </c>
      <c r="D46" s="384" t="str">
        <f>'PAI 2022 - V4'!C48</f>
        <v>Servicio al ciudadano
Participación Ciudadana en la Gestión Pública
Racionalización de trámites</v>
      </c>
      <c r="E46" s="266" t="str">
        <f>'PAI 2022 - V4'!D48</f>
        <v>OE_5</v>
      </c>
      <c r="F46" s="316" t="str">
        <f>'PAI 2022 - V4'!E48</f>
        <v xml:space="preserve">5. Fortalecer la capacidad organizacional de Capital para ser una empresa transparente, eficiente y sostenible. </v>
      </c>
      <c r="G46" s="316" t="str">
        <f>'PAI 2022 - V4'!F48</f>
        <v>5. Realizar el diagnóstico, diseño e implementación de una estructura administrativa acorde a las necesidades de capital.</v>
      </c>
      <c r="H46" s="266" t="str">
        <f>'PAI 2022 - V4'!G48</f>
        <v>5.5.26</v>
      </c>
      <c r="I46" s="266" t="str">
        <f>'PAI 2022 - V4'!H48</f>
        <v>Plan de Acción de la Política Institucional de Servicio al Ciudadano.</v>
      </c>
      <c r="J46" s="316" t="str">
        <f>'PAI 2022 - V4'!I48</f>
        <v>Fortalecer y mejorar la atención que se brinda al ciudadano, garantizando la calidad del servicio que presta la entidad.</v>
      </c>
      <c r="K46" s="316" t="str">
        <f>'PAI 2022 - V4'!J48</f>
        <v>Cumplimiento del Plan de Acción de la Política Institucional de Servicio al Ciudadano</v>
      </c>
      <c r="L46" s="316" t="str">
        <f>'PAI 2022 - V4'!K48</f>
        <v>2 Eficiencia: Uso de los recursos.</v>
      </c>
      <c r="M46" s="316" t="str">
        <f>'PAI 2022 - V4'!L48</f>
        <v>Realizar el seguimiento al cumplimiento de las actividades de mejora propuestas en el Plan de Acción.</v>
      </c>
      <c r="N46" s="266" t="str">
        <f>'PAI 2022 - V4'!M48</f>
        <v>Porcentaje de avances de las acciones programadas en el Plan de Acción de Servicio a la Ciudadanía</v>
      </c>
      <c r="O46" s="266" t="str">
        <f>'PAI 2022 - V4'!N48</f>
        <v>Porcentaje programado de acciones del Plan de Acción de Servicio a la Ciudadanía para la vigencia.</v>
      </c>
      <c r="P46" s="266" t="str">
        <f>'PAI 2022 - V4'!O48</f>
        <v>Porcentaje (%)</v>
      </c>
      <c r="Q46" s="266" t="str">
        <f>'PAI 2022 - V4'!P48</f>
        <v>1 Creciente: El resultado tiende a crecer en el tiempo</v>
      </c>
      <c r="R46" s="17">
        <f>'PAI 2022 - V4'!Q48</f>
        <v>1</v>
      </c>
      <c r="S46" s="17">
        <f>'PAI 2022 - V4'!R48</f>
        <v>1</v>
      </c>
      <c r="T46" s="316" t="str">
        <f>'PAI 2022 - V4'!S48</f>
        <v>Dar cumplimiento al 100% de las acciones de mejoras establecidas en el Plan de Acción de la Política Institucional de Servicio al Ciudadano, para la vigencia 2022.</v>
      </c>
      <c r="U46" s="266" t="str">
        <f>'PAI 2022 - V4'!T48</f>
        <v xml:space="preserve"> &lt;30%</v>
      </c>
      <c r="V46" s="266" t="str">
        <f>'PAI 2022 - V4'!U48</f>
        <v>Entre el 30% - 60%</v>
      </c>
      <c r="W46" s="266" t="str">
        <f>'PAI 2022 - V4'!V48</f>
        <v>Entre el 60% - 99%</v>
      </c>
      <c r="X46" s="17">
        <f>'PAI 2022 - V4'!W48</f>
        <v>1</v>
      </c>
      <c r="Y46" s="316" t="str">
        <f>'PAI 2022 - V4'!X48</f>
        <v>1. Seguimiento al cumplimiento de las actividades propuestas. (80%)
2.  Análisis de cumplimiento de expectativas. (20%)</v>
      </c>
      <c r="Z46" s="266" t="str">
        <f>'PAI 2022 - V4'!Y48</f>
        <v>3 Trimestral</v>
      </c>
      <c r="AA46" s="316" t="str">
        <f>'PAI 2022 - V4'!Z48</f>
        <v>No aplica</v>
      </c>
      <c r="AB46" s="266" t="str">
        <f>'PAI 2022 - V4'!AA48</f>
        <v>Secretaría General</v>
      </c>
      <c r="AC46" s="417" t="str">
        <f>'PAI 2022 - V4'!AB48</f>
        <v>Servicio al ciudadano.</v>
      </c>
      <c r="AD46" s="891">
        <v>0</v>
      </c>
      <c r="AE46" s="617"/>
      <c r="AF46" s="617"/>
      <c r="AG46" s="617">
        <f>10/10</f>
        <v>1</v>
      </c>
      <c r="AH46" s="617"/>
      <c r="AI46" s="617"/>
      <c r="AJ46" s="617">
        <f>60/60</f>
        <v>1</v>
      </c>
      <c r="AK46" s="617"/>
      <c r="AL46" s="617"/>
      <c r="AM46" s="617">
        <f>30/30</f>
        <v>1</v>
      </c>
      <c r="AN46" s="617"/>
      <c r="AO46" s="892"/>
      <c r="AP46" s="562" t="s">
        <v>1095</v>
      </c>
      <c r="AQ46" s="563" t="s">
        <v>1196</v>
      </c>
      <c r="AR46" s="875" t="s">
        <v>25</v>
      </c>
    </row>
    <row r="47" spans="1:44" ht="85.5" customHeight="1" x14ac:dyDescent="0.2">
      <c r="A47" s="877" t="str">
        <f t="shared" si="0"/>
        <v>5.5.27</v>
      </c>
      <c r="B47" s="383" t="str">
        <f>'PAI 2022 - V4'!A49</f>
        <v>16. Paz, justicia e instituciones sólidas.</v>
      </c>
      <c r="C47" s="384" t="str">
        <f>'PAI 2022 - V4'!B49</f>
        <v>Propósito 1
Logro de ciudad: 3
Propósito 3
Logro de ciudad: 23
Propósito 5
Logros de ciudad: 27 - 30</v>
      </c>
      <c r="D47" s="384" t="str">
        <f>'PAI 2022 - V4'!C49</f>
        <v>Servicio al ciudadano
Participación Ciudadana en la Gestión Pública
Racionalización de trámites</v>
      </c>
      <c r="E47" s="266" t="str">
        <f>'PAI 2022 - V4'!D49</f>
        <v>OE_5</v>
      </c>
      <c r="F47" s="316" t="str">
        <f>'PAI 2022 - V4'!E49</f>
        <v xml:space="preserve">5. Fortalecer la capacidad organizacional de Capital para ser una empresa transparente, eficiente y sostenible. </v>
      </c>
      <c r="G47" s="316" t="str">
        <f>'PAI 2022 - V4'!F49</f>
        <v>5. Realizar el diagnóstico, diseño e implementación de una estructura administrativa acorde a las necesidades de capital.</v>
      </c>
      <c r="H47" s="266" t="str">
        <f>'PAI 2022 - V4'!G49</f>
        <v>5.5.27</v>
      </c>
      <c r="I47" s="266" t="str">
        <f>'PAI 2022 - V4'!H49</f>
        <v>Gestión oportuna de PQRS</v>
      </c>
      <c r="J47" s="316" t="str">
        <f>'PAI 2022 - V4'!I49</f>
        <v>Atender los diferentes requerimientos de los ciudadanos con el apoyo del área competente para satisfacer sus necesidades.</v>
      </c>
      <c r="K47" s="316" t="str">
        <f>'PAI 2022 - V4'!J49</f>
        <v>Porcentaje de respuestas entregadas antes del cumplimiento de los términos de ley</v>
      </c>
      <c r="L47" s="316" t="str">
        <f>'PAI 2022 - V4'!K49</f>
        <v>3 Efectividad: Impacto o beneficios generados.</v>
      </c>
      <c r="M47" s="316" t="str">
        <f>'PAI 2022 - V4'!L49</f>
        <v>Establecer acciones de mejora y tomar decisiones que contribuyan al mejoramiento continuo en la atención y respuesta de PQRS</v>
      </c>
      <c r="N47" s="266" t="str">
        <f>'PAI 2022 - V4'!M49</f>
        <v>Número de solicitudes respondidas durante el periodo</v>
      </c>
      <c r="O47" s="266" t="str">
        <f>'PAI 2022 - V4'!N49</f>
        <v>Número de solicitudes recibidas durante el periodo</v>
      </c>
      <c r="P47" s="266" t="str">
        <f>'PAI 2022 - V4'!O49</f>
        <v>Porcentaje (%)</v>
      </c>
      <c r="Q47" s="266" t="str">
        <f>'PAI 2022 - V4'!P49</f>
        <v>2 Constante: Se espera un valor o rango de resultado estable en el tiempo</v>
      </c>
      <c r="R47" s="17">
        <f>'PAI 2022 - V4'!Q49</f>
        <v>1</v>
      </c>
      <c r="S47" s="17">
        <f>'PAI 2022 - V4'!R49</f>
        <v>1</v>
      </c>
      <c r="T47" s="316" t="str">
        <f>'PAI 2022 - V4'!S49</f>
        <v>Gestionar el 100% de las PQRS recibidas en la entidad antes de los tiempos de Ley.</v>
      </c>
      <c r="U47" s="266" t="str">
        <f>'PAI 2022 - V4'!T49</f>
        <v xml:space="preserve"> &lt;70%</v>
      </c>
      <c r="V47" s="266" t="str">
        <f>'PAI 2022 - V4'!U49</f>
        <v>Entre el 70% - 79%</v>
      </c>
      <c r="W47" s="266" t="str">
        <f>'PAI 2022 - V4'!V49</f>
        <v>Entre el 80% - 99%</v>
      </c>
      <c r="X47" s="17">
        <f>'PAI 2022 - V4'!W49</f>
        <v>1</v>
      </c>
      <c r="Y47" s="316" t="str">
        <f>'PAI 2022 - V4'!X49</f>
        <v>Tramitar la totalidad de las PQRS recibidas en la entidad y hacer seguimiento mensual sobre el cumplimiento de las mismas.</v>
      </c>
      <c r="Z47" s="266" t="str">
        <f>'PAI 2022 - V4'!Y49</f>
        <v>1 Mensual</v>
      </c>
      <c r="AA47" s="316" t="str">
        <f>'PAI 2022 - V4'!Z49</f>
        <v>No aplica</v>
      </c>
      <c r="AB47" s="266" t="str">
        <f>'PAI 2022 - V4'!AA49</f>
        <v>Secretaría General</v>
      </c>
      <c r="AC47" s="417" t="str">
        <f>'PAI 2022 - V4'!AB49</f>
        <v>Servicio al ciudadano.</v>
      </c>
      <c r="AD47" s="893">
        <f>24/26</f>
        <v>0.92307692307692313</v>
      </c>
      <c r="AE47" s="504">
        <f>52/57</f>
        <v>0.91228070175438591</v>
      </c>
      <c r="AF47" s="504">
        <f>50/56</f>
        <v>0.8928571428571429</v>
      </c>
      <c r="AG47" s="504">
        <f>39/43</f>
        <v>0.90697674418604646</v>
      </c>
      <c r="AH47" s="504">
        <f>37/45</f>
        <v>0.82222222222222219</v>
      </c>
      <c r="AI47" s="504">
        <f>28/31</f>
        <v>0.90322580645161288</v>
      </c>
      <c r="AJ47" s="504">
        <f>38/41</f>
        <v>0.92682926829268297</v>
      </c>
      <c r="AK47" s="504">
        <f>45/43</f>
        <v>1.0465116279069768</v>
      </c>
      <c r="AL47" s="504">
        <f>37/32</f>
        <v>1.15625</v>
      </c>
      <c r="AM47" s="504">
        <f>34/34</f>
        <v>1</v>
      </c>
      <c r="AN47" s="504">
        <f>22/29</f>
        <v>0.75862068965517238</v>
      </c>
      <c r="AO47" s="894">
        <f>18/15</f>
        <v>1.2</v>
      </c>
      <c r="AP47" s="562" t="s">
        <v>1096</v>
      </c>
      <c r="AQ47" s="563" t="s">
        <v>1197</v>
      </c>
      <c r="AR47" s="875" t="s">
        <v>24</v>
      </c>
    </row>
    <row r="48" spans="1:44" ht="102" customHeight="1" x14ac:dyDescent="0.2">
      <c r="A48" s="877" t="str">
        <f t="shared" si="0"/>
        <v>5.6.28</v>
      </c>
      <c r="B48" s="315" t="str">
        <f>'PAI 2022 - V4'!A50</f>
        <v>11. Ciudades y comunidades sostenibles.
16. Paz, justicia e instituciones sólidas.</v>
      </c>
      <c r="C48" s="316" t="str">
        <f>'PAI 2022 - V4'!B50</f>
        <v>Propósito 5
Logro de ciudad: 30</v>
      </c>
      <c r="D48" s="316" t="str">
        <f>'PAI 2022 - V4'!C50</f>
        <v>Seguimiento y evaluación del desempeño institucional.
Control Interno.</v>
      </c>
      <c r="E48" s="266" t="str">
        <f>'PAI 2022 - V4'!D50</f>
        <v>OE_5</v>
      </c>
      <c r="F48" s="316" t="str">
        <f>'PAI 2022 - V4'!E50</f>
        <v xml:space="preserve">5. Fortalecer la capacidad organizacional de Capital para ser una empresa transparente, eficiente y sostenible. </v>
      </c>
      <c r="G48" s="316" t="str">
        <f>'PAI 2022 - V4'!F50</f>
        <v>6. Articular los procesos y flujos de trabajo a la estructura de Capital.</v>
      </c>
      <c r="H48" s="266" t="str">
        <f>'PAI 2022 - V4'!G50</f>
        <v>5.6.28</v>
      </c>
      <c r="I48" s="266" t="str">
        <f>'PAI 2022 - V4'!H50</f>
        <v>Plan Anual de Auditoría - Aseguramiento y consulta.</v>
      </c>
      <c r="J48" s="316" t="str">
        <f>'PAI 2022 - V4'!I50</f>
        <v>Adelantar actividades de aseguramiento y consultoría de forma objetiva e independiente a los diferentes procesos, proyectos y políticas de Capital buscando generar valor a la entidad.</v>
      </c>
      <c r="K48" s="316" t="str">
        <f>'PAI 2022 - V4'!J50</f>
        <v>Actividades de aseguramiento y Consultoría.</v>
      </c>
      <c r="L48" s="316" t="str">
        <f>'PAI 2022 - V4'!K50</f>
        <v>1 Eficacia: Cumplimiento de metas</v>
      </c>
      <c r="M48" s="316" t="str">
        <f>'PAI 2022 - V4'!L50</f>
        <v>Monitorear el cumplimiento de las actividades establecidas en el Plan Anual de Auditoría.</v>
      </c>
      <c r="N48" s="266" t="str">
        <f>'PAI 2022 - V4'!M50</f>
        <v>Número de actividades cumplidas del Plan Anual de Auditorías a la fecha de reporte del PAI.</v>
      </c>
      <c r="O48" s="266" t="str">
        <f>'PAI 2022 - V4'!N50</f>
        <v>Número de actividades programadas en el Plan Anual de Auditorías a la fecha de corte del PAI.</v>
      </c>
      <c r="P48" s="266" t="str">
        <f>'PAI 2022 - V4'!O50</f>
        <v>Porcentaje (%)</v>
      </c>
      <c r="Q48" s="266" t="str">
        <f>'PAI 2022 - V4'!P50</f>
        <v>2 Constante: Se espera un valor o rango de resultado estable en el tiempo</v>
      </c>
      <c r="R48" s="12">
        <f>'PAI 2022 - V4'!Q50</f>
        <v>0.97</v>
      </c>
      <c r="S48" s="12">
        <f>'PAI 2022 - V4'!R50</f>
        <v>0.96</v>
      </c>
      <c r="T48" s="316" t="str">
        <f>'PAI 2022 - V4'!S50</f>
        <v>Lograr un nivel de cumplimiento cercano al 96% de las actividades programadas en el Plan Anual de Auditorías, conforme a la normatividad vigente aplicable.</v>
      </c>
      <c r="U48" s="266" t="str">
        <f>'PAI 2022 - V4'!T50</f>
        <v>&lt;90%</v>
      </c>
      <c r="V48" s="266" t="str">
        <f>'PAI 2022 - V4'!U50</f>
        <v>90% - 94%</v>
      </c>
      <c r="W48" s="266" t="str">
        <f>'PAI 2022 - V4'!V50</f>
        <v>94% - 96%</v>
      </c>
      <c r="X48" s="266" t="str">
        <f>'PAI 2022 - V4'!W50</f>
        <v>&gt;96%</v>
      </c>
      <c r="Y48" s="316" t="str">
        <f>'PAI 2022 - V4'!X50</f>
        <v>Ejecutar las actividades formuladas en el Plan Anual de Auditoría.</v>
      </c>
      <c r="Z48" s="266" t="str">
        <f>'PAI 2022 - V4'!Y50</f>
        <v>3 Trimestral</v>
      </c>
      <c r="AA48" s="316" t="str">
        <f>'PAI 2022 - V4'!Z50</f>
        <v>No aplica</v>
      </c>
      <c r="AB48" s="266" t="str">
        <f>'PAI 2022 - V4'!AA50</f>
        <v>Control Interno</v>
      </c>
      <c r="AC48" s="417" t="str">
        <f>'PAI 2022 - V4'!AB50</f>
        <v>Control, seguimiento y evaluación.</v>
      </c>
      <c r="AD48" s="891">
        <f>56/56</f>
        <v>1</v>
      </c>
      <c r="AE48" s="617"/>
      <c r="AF48" s="617"/>
      <c r="AG48" s="617">
        <f>51/51</f>
        <v>1</v>
      </c>
      <c r="AH48" s="617"/>
      <c r="AI48" s="617"/>
      <c r="AJ48" s="617">
        <f>55/57</f>
        <v>0.96491228070175439</v>
      </c>
      <c r="AK48" s="617"/>
      <c r="AL48" s="617"/>
      <c r="AM48" s="617">
        <f>50/50</f>
        <v>1</v>
      </c>
      <c r="AN48" s="617"/>
      <c r="AO48" s="892"/>
      <c r="AP48" s="562" t="s">
        <v>1105</v>
      </c>
      <c r="AQ48" s="563" t="s">
        <v>1198</v>
      </c>
      <c r="AR48" s="875" t="s">
        <v>25</v>
      </c>
    </row>
    <row r="49" spans="1:44" ht="179.25" customHeight="1" x14ac:dyDescent="0.2">
      <c r="A49" s="877" t="str">
        <f t="shared" si="0"/>
        <v>5.6.29</v>
      </c>
      <c r="B49" s="315" t="str">
        <f>'PAI 2022 - V4'!A51</f>
        <v>11. Ciudades y comunidades sostenibles.
16. Paz, justicia e instituciones sólidas.</v>
      </c>
      <c r="C49" s="316" t="str">
        <f>'PAI 2022 - V4'!B51</f>
        <v>Propósito 5
Logro de ciudad: 30</v>
      </c>
      <c r="D49" s="316" t="str">
        <f>'PAI 2022 - V4'!C51</f>
        <v>Seguimiento y evaluación del desempeño institucional.
Control Interno.</v>
      </c>
      <c r="E49" s="266" t="str">
        <f>'PAI 2022 - V4'!D51</f>
        <v>OE_5</v>
      </c>
      <c r="F49" s="316" t="str">
        <f>'PAI 2022 - V4'!E51</f>
        <v xml:space="preserve">5. Fortalecer la capacidad organizacional de Capital para ser una empresa transparente, eficiente y sostenible. </v>
      </c>
      <c r="G49" s="316" t="str">
        <f>'PAI 2022 - V4'!F51</f>
        <v>6. Articular los procesos y flujos de trabajo a la estructura de Capital.</v>
      </c>
      <c r="H49" s="266" t="str">
        <f>'PAI 2022 - V4'!G51</f>
        <v>5.6.29</v>
      </c>
      <c r="I49" s="266" t="str">
        <f>'PAI 2022 - V4'!H51</f>
        <v>Plan Anual de Auditoría - Plan de mejoramiento por procesos.</v>
      </c>
      <c r="J49" s="316" t="str">
        <f>'PAI 2022 - V4'!I51</f>
        <v>Adelantar actividades de aseguramiento y consultoría de forma objetiva e independiente a los diferentes procesos, proyectos y políticas de Capital buscando generar valor a la entidad.</v>
      </c>
      <c r="K49" s="316" t="str">
        <f>'PAI 2022 - V4'!J51</f>
        <v>Cumplimiento plan de mejoramiento por procesos</v>
      </c>
      <c r="L49" s="316" t="str">
        <f>'PAI 2022 - V4'!K51</f>
        <v>1 Eficacia: Cumplimiento de metas</v>
      </c>
      <c r="M49" s="316" t="str">
        <f>'PAI 2022 - V4'!L51</f>
        <v>Monitorear el cumplimiento de las actividades formuladas en el Plan de Mejoramiento por Procesos (PMP)</v>
      </c>
      <c r="N49" s="266" t="str">
        <f>'PAI 2022 - V4'!M51</f>
        <v>Número de acciones cumplidas con fecha vencida del Plan de Mejoramiento por procesos a la fecha de reporte del PAI.</v>
      </c>
      <c r="O49" s="266" t="str">
        <f>'PAI 2022 - V4'!N51</f>
        <v>Número de acciones vencidas con estado abierto del Plan de Mejoramiento por procesos a la fecha de reporte del PAI.</v>
      </c>
      <c r="P49" s="266" t="str">
        <f>'PAI 2022 - V4'!O51</f>
        <v>Porcentaje (%)</v>
      </c>
      <c r="Q49" s="266" t="str">
        <f>'PAI 2022 - V4'!P51</f>
        <v>2 Constante: Se espera un valor o rango de resultado estable en el tiempo</v>
      </c>
      <c r="R49" s="12">
        <f>'PAI 2022 - V4'!Q51</f>
        <v>0.65</v>
      </c>
      <c r="S49" s="12">
        <f>'PAI 2022 - V4'!R51</f>
        <v>0.65</v>
      </c>
      <c r="T49" s="316" t="str">
        <f>'PAI 2022 - V4'!S51</f>
        <v>Lograr un nivel de avance del 65% en el cierre de las acciones formuladas en el PMP</v>
      </c>
      <c r="U49" s="266" t="str">
        <f>'PAI 2022 - V4'!T51</f>
        <v>&lt;50%</v>
      </c>
      <c r="V49" s="266" t="str">
        <f>'PAI 2022 - V4'!U51</f>
        <v>51% - 59%</v>
      </c>
      <c r="W49" s="266" t="str">
        <f>'PAI 2022 - V4'!V51</f>
        <v>60% - 64%</v>
      </c>
      <c r="X49" s="266" t="str">
        <f>'PAI 2022 - V4'!W51</f>
        <v>&gt;65%</v>
      </c>
      <c r="Y49" s="316" t="str">
        <f>'PAI 2022 - V4'!X51</f>
        <v>Realizar seguimiento a las acciones formuladas en el Plan de Mejoramiento por procesos.</v>
      </c>
      <c r="Z49" s="266" t="str">
        <f>'PAI 2022 - V4'!Y51</f>
        <v>4 Cuatrimestral</v>
      </c>
      <c r="AA49" s="316" t="str">
        <f>'PAI 2022 - V4'!Z51</f>
        <v>La información registrada dependerá del cumplimiento a lo formulado en el Plan por las áreas responsables.</v>
      </c>
      <c r="AB49" s="266" t="str">
        <f>'PAI 2022 - V4'!AA51</f>
        <v>Control Interno</v>
      </c>
      <c r="AC49" s="417" t="str">
        <f>'PAI 2022 - V4'!AB51</f>
        <v>Control, seguimiento y evaluación.</v>
      </c>
      <c r="AD49" s="891">
        <f>20/58</f>
        <v>0.34482758620689657</v>
      </c>
      <c r="AE49" s="617"/>
      <c r="AF49" s="617"/>
      <c r="AG49" s="617"/>
      <c r="AH49" s="617">
        <f>16/37</f>
        <v>0.43243243243243246</v>
      </c>
      <c r="AI49" s="617"/>
      <c r="AJ49" s="617"/>
      <c r="AK49" s="617"/>
      <c r="AL49" s="617">
        <f>34/62</f>
        <v>0.54838709677419351</v>
      </c>
      <c r="AM49" s="617"/>
      <c r="AN49" s="617"/>
      <c r="AO49" s="892"/>
      <c r="AP49" s="562" t="s">
        <v>1104</v>
      </c>
      <c r="AQ49" s="563" t="s">
        <v>1229</v>
      </c>
      <c r="AR49" s="875" t="s">
        <v>23</v>
      </c>
    </row>
    <row r="50" spans="1:44" ht="132" customHeight="1" x14ac:dyDescent="0.2">
      <c r="A50" s="877" t="str">
        <f t="shared" si="0"/>
        <v>5.6.30</v>
      </c>
      <c r="B50" s="315" t="str">
        <f>'PAI 2022 - V4'!A52</f>
        <v>11. Ciudades y comunidades sostenibles.
16. Paz, justicia e instituciones sólidas.</v>
      </c>
      <c r="C50" s="316" t="str">
        <f>'PAI 2022 - V4'!B52</f>
        <v>Propósito 5
Logro de ciudad: 30</v>
      </c>
      <c r="D50" s="316" t="str">
        <f>'PAI 2022 - V4'!C52</f>
        <v>Seguimiento y evaluación del desempeño institucional.
Control Interno.</v>
      </c>
      <c r="E50" s="266" t="str">
        <f>'PAI 2022 - V4'!D52</f>
        <v>OE_5</v>
      </c>
      <c r="F50" s="316" t="str">
        <f>'PAI 2022 - V4'!E52</f>
        <v xml:space="preserve">5. Fortalecer la capacidad organizacional de Capital para ser una empresa transparente, eficiente y sostenible. </v>
      </c>
      <c r="G50" s="316" t="str">
        <f>'PAI 2022 - V4'!F52</f>
        <v>6. Articular los procesos y flujos de trabajo a la estructura de Capital.</v>
      </c>
      <c r="H50" s="266" t="str">
        <f>'PAI 2022 - V4'!G52</f>
        <v>5.6.30</v>
      </c>
      <c r="I50" s="266" t="str">
        <f>'PAI 2022 - V4'!H52</f>
        <v>Plan Anual de Auditoría - Plan Anticorrupción y de Atención al Ciudadano PAAC.</v>
      </c>
      <c r="J50" s="316" t="str">
        <f>'PAI 2022 - V4'!I52</f>
        <v>Adelantar actividades de aseguramiento y consultoría de forma objetiva e independiente a los diferentes procesos, proyectos y políticas de Capital buscando generar valor a la entidad.</v>
      </c>
      <c r="K50" s="316" t="str">
        <f>'PAI 2022 - V4'!J52</f>
        <v>Cumplimiento de las actividades que se establezcan en el Plan Anticorrupción y de Atención al Ciudadano (PAAC)</v>
      </c>
      <c r="L50" s="316" t="str">
        <f>'PAI 2022 - V4'!K52</f>
        <v>1 Eficacia: Cumplimiento de metas</v>
      </c>
      <c r="M50" s="316" t="str">
        <f>'PAI 2022 - V4'!L52</f>
        <v>Monitorear el cumplimiento de las actividades formuladas en el PAAC.</v>
      </c>
      <c r="N50" s="266" t="str">
        <f>'PAI 2022 - V4'!M52</f>
        <v>Avances en el cumplimiento de las acciones programadas en el Plan Anticorrupción y de Atención al Ciudadano - PAAC</v>
      </c>
      <c r="O50" s="266" t="str">
        <f>'PAI 2022 - V4'!N52</f>
        <v>Total de acciones programadas en el Plan Anticorrupción y de Atención al Ciudadano - PAAC</v>
      </c>
      <c r="P50" s="266" t="str">
        <f>'PAI 2022 - V4'!O52</f>
        <v>Porcentaje (%)</v>
      </c>
      <c r="Q50" s="266" t="str">
        <f>'PAI 2022 - V4'!P52</f>
        <v>1 Creciente: El resultado tiende a crecer en el tiempo</v>
      </c>
      <c r="R50" s="12">
        <f>'PAI 2022 - V4'!Q52</f>
        <v>0.75</v>
      </c>
      <c r="S50" s="12">
        <f>'PAI 2022 - V4'!R52</f>
        <v>0.75</v>
      </c>
      <c r="T50" s="316" t="str">
        <f>'PAI 2022 - V4'!S52</f>
        <v>Lograr un nivel de avance del 75% en el cumplimiento de las acciones formuladas en el PAAC</v>
      </c>
      <c r="U50" s="266" t="str">
        <f>'PAI 2022 - V4'!T52</f>
        <v>&lt;50%</v>
      </c>
      <c r="V50" s="266" t="str">
        <f>'PAI 2022 - V4'!U52</f>
        <v>51% - 59%</v>
      </c>
      <c r="W50" s="266" t="str">
        <f>'PAI 2022 - V4'!V52</f>
        <v>60% - 69%</v>
      </c>
      <c r="X50" s="266" t="str">
        <f>'PAI 2022 - V4'!W52</f>
        <v>&gt;70%</v>
      </c>
      <c r="Y50" s="316" t="str">
        <f>'PAI 2022 - V4'!X52</f>
        <v>Realizar seguimiento a las actividades que se establezcan anualmente en el PAAC.</v>
      </c>
      <c r="Z50" s="266" t="str">
        <f>'PAI 2022 - V4'!Y52</f>
        <v>4 Cuatrimestral</v>
      </c>
      <c r="AA50" s="316" t="str">
        <f>'PAI 2022 - V4'!Z52</f>
        <v>La información registrada dependerá del cumplimiento a lo formulado en el Plan por las áreas responsables.</v>
      </c>
      <c r="AB50" s="266" t="str">
        <f>'PAI 2022 - V4'!AA52</f>
        <v>Control Interno</v>
      </c>
      <c r="AC50" s="417" t="str">
        <f>'PAI 2022 - V4'!AB52</f>
        <v>Control, seguimiento y evaluación.</v>
      </c>
      <c r="AD50" s="891">
        <f>30/41</f>
        <v>0.73170731707317072</v>
      </c>
      <c r="AE50" s="617"/>
      <c r="AF50" s="617"/>
      <c r="AG50" s="617"/>
      <c r="AH50" s="617">
        <f>42/47</f>
        <v>0.8936170212765957</v>
      </c>
      <c r="AI50" s="617"/>
      <c r="AJ50" s="617"/>
      <c r="AK50" s="617"/>
      <c r="AL50" s="617">
        <f>28/28</f>
        <v>1</v>
      </c>
      <c r="AM50" s="617"/>
      <c r="AN50" s="617"/>
      <c r="AO50" s="892"/>
      <c r="AP50" s="562" t="s">
        <v>1103</v>
      </c>
      <c r="AQ50" s="563" t="s">
        <v>1199</v>
      </c>
      <c r="AR50" s="875" t="s">
        <v>25</v>
      </c>
    </row>
    <row r="51" spans="1:44" ht="137.25" customHeight="1" x14ac:dyDescent="0.2">
      <c r="A51" s="877" t="str">
        <f t="shared" si="0"/>
        <v>5.6.31</v>
      </c>
      <c r="B51" s="315" t="str">
        <f>'PAI 2022 - V4'!A53</f>
        <v>11. Ciudades y comunidades sostenibles.
16. Paz, justicia e instituciones sólidas.</v>
      </c>
      <c r="C51" s="316" t="str">
        <f>'PAI 2022 - V4'!B53</f>
        <v>Propósito 5
Logro de ciudad: 30</v>
      </c>
      <c r="D51" s="316" t="str">
        <f>'PAI 2022 - V4'!C53</f>
        <v>Seguimiento y evaluación del desempeño institucional.
Control Interno.</v>
      </c>
      <c r="E51" s="266" t="str">
        <f>'PAI 2022 - V4'!D53</f>
        <v>OE_5</v>
      </c>
      <c r="F51" s="316" t="str">
        <f>'PAI 2022 - V4'!E53</f>
        <v xml:space="preserve">5. Fortalecer la capacidad organizacional de Capital para ser una empresa transparente, eficiente y sostenible. </v>
      </c>
      <c r="G51" s="316" t="str">
        <f>'PAI 2022 - V4'!F53</f>
        <v>6. Articular los procesos y flujos de trabajo a la estructura de Capital.</v>
      </c>
      <c r="H51" s="266" t="str">
        <f>'PAI 2022 - V4'!G53</f>
        <v>5.6.31</v>
      </c>
      <c r="I51" s="266" t="str">
        <f>'PAI 2022 - V4'!H53</f>
        <v>Plan Anual de Auditoría - Gestión de Riesgos.</v>
      </c>
      <c r="J51" s="316" t="str">
        <f>'PAI 2022 - V4'!I53</f>
        <v>Adelantar actividades de aseguramiento y consultoría de forma objetiva e independiente a los diferentes procesos, proyectos y políticas de Capital buscando generar valor a la entidad.</v>
      </c>
      <c r="K51" s="316" t="str">
        <f>'PAI 2022 - V4'!J53</f>
        <v>Cumplimiento de las actividades que se establecidas en materia de gestión del riesgo.</v>
      </c>
      <c r="L51" s="316" t="str">
        <f>'PAI 2022 - V4'!K53</f>
        <v>1 Eficacia: Cumplimiento de metas</v>
      </c>
      <c r="M51" s="316" t="str">
        <f>'PAI 2022 - V4'!L53</f>
        <v>Monitorear el cumplimiento de las actividades asociadas a la gestión de riesgos institucionales (Mapa de riesgos y política de administración de riesgos)</v>
      </c>
      <c r="N51" s="266" t="str">
        <f>'PAI 2022 - V4'!M53</f>
        <v xml:space="preserve">Avances en el cumplimiento de las actividades establecidas en materia de gestión del riesgo. </v>
      </c>
      <c r="O51" s="266" t="str">
        <f>'PAI 2022 - V4'!N53</f>
        <v>Total de acciones con seguimiento en la Política de Administración de Riesgos y en los mapas de riesgos por procesos .</v>
      </c>
      <c r="P51" s="266" t="str">
        <f>'PAI 2022 - V4'!O53</f>
        <v>Porcentaje (%)</v>
      </c>
      <c r="Q51" s="266" t="str">
        <f>'PAI 2022 - V4'!P53</f>
        <v>2 Constante: Se espera un valor o rango de resultado estable en el tiempo</v>
      </c>
      <c r="R51" s="12" t="str">
        <f>'PAI 2022 - V4'!Q53</f>
        <v>No aplica</v>
      </c>
      <c r="S51" s="12">
        <f>'PAI 2022 - V4'!R53</f>
        <v>0.65</v>
      </c>
      <c r="T51" s="316" t="str">
        <f>'PAI 2022 - V4'!S53</f>
        <v xml:space="preserve">Lograr un nivel de avance del 65% en el cumplimiento de las acciones con seguimiento de la Política de Administración de riesgo y de los mapas de riesgo institucional. </v>
      </c>
      <c r="U51" s="266" t="str">
        <f>'PAI 2022 - V4'!T53</f>
        <v>&lt;50%</v>
      </c>
      <c r="V51" s="266" t="str">
        <f>'PAI 2022 - V4'!U53</f>
        <v>51% - 59%</v>
      </c>
      <c r="W51" s="266" t="str">
        <f>'PAI 2022 - V4'!V53</f>
        <v>60% - 64%</v>
      </c>
      <c r="X51" s="266" t="str">
        <f>'PAI 2022 - V4'!W53</f>
        <v>&gt;65%</v>
      </c>
      <c r="Y51" s="316" t="str">
        <f>'PAI 2022 - V4'!X53</f>
        <v>Realizar seguimiento a las actividades establecidas en materia de Gestión del riesgo.</v>
      </c>
      <c r="Z51" s="266" t="str">
        <f>'PAI 2022 - V4'!Y53</f>
        <v>4 Cuatrimestral</v>
      </c>
      <c r="AA51" s="316" t="str">
        <f>'PAI 2022 - V4'!Z53</f>
        <v>El reporte del indicador para el 2 y 4 trimestre de la vigencia incluirá el seguimiento a la Política de Administración de Riesgos y Mapas de riesgos de gestión.
La información registrada dependerá del cumplimiento a lo formulado en el Plan por las áreas responsables.</v>
      </c>
      <c r="AB51" s="266" t="str">
        <f>'PAI 2022 - V4'!AA53</f>
        <v>Control Interno</v>
      </c>
      <c r="AC51" s="417" t="str">
        <f>'PAI 2022 - V4'!AB53</f>
        <v>Control, seguimiento y evaluación.</v>
      </c>
      <c r="AD51" s="891">
        <f>73/79</f>
        <v>0.92405063291139244</v>
      </c>
      <c r="AE51" s="617"/>
      <c r="AF51" s="617"/>
      <c r="AG51" s="617"/>
      <c r="AH51" s="617"/>
      <c r="AI51" s="617"/>
      <c r="AJ51" s="617">
        <f>40/49</f>
        <v>0.81632653061224492</v>
      </c>
      <c r="AK51" s="617"/>
      <c r="AL51" s="617"/>
      <c r="AM51" s="617"/>
      <c r="AN51" s="617"/>
      <c r="AO51" s="892"/>
      <c r="AP51" s="562" t="s">
        <v>1157</v>
      </c>
      <c r="AQ51" s="563" t="s">
        <v>1200</v>
      </c>
      <c r="AR51" s="875" t="s">
        <v>25</v>
      </c>
    </row>
    <row r="52" spans="1:44" ht="87" customHeight="1" x14ac:dyDescent="0.2">
      <c r="A52" s="877" t="str">
        <f t="shared" si="0"/>
        <v>5.6.32</v>
      </c>
      <c r="B52" s="315" t="str">
        <f>'PAI 2022 - V4'!A54</f>
        <v>11. Ciudades y comunidades sostenibles.
16. Paz, justicia e instituciones sólidas.</v>
      </c>
      <c r="C52" s="316" t="str">
        <f>'PAI 2022 - V4'!B54</f>
        <v>Propósito 5
Logro de ciudad: 30</v>
      </c>
      <c r="D52" s="316" t="str">
        <f>'PAI 2022 - V4'!C54</f>
        <v>Seguimiento y evaluación del desempeño institucional.
Control Interno.</v>
      </c>
      <c r="E52" s="266" t="str">
        <f>'PAI 2022 - V4'!D54</f>
        <v>OE_5</v>
      </c>
      <c r="F52" s="316" t="str">
        <f>'PAI 2022 - V4'!E54</f>
        <v xml:space="preserve">5. Fortalecer la capacidad organizacional de Capital para ser una empresa transparente, eficiente y sostenible. </v>
      </c>
      <c r="G52" s="316" t="str">
        <f>'PAI 2022 - V4'!F54</f>
        <v>6. Articular los procesos y flujos de trabajo a la estructura de Capital.</v>
      </c>
      <c r="H52" s="266" t="str">
        <f>'PAI 2022 - V4'!G54</f>
        <v>5.6.32</v>
      </c>
      <c r="I52" s="266" t="str">
        <f>'PAI 2022 - V4'!H54</f>
        <v>Plan Anual de Auditoría - Modificaciones.</v>
      </c>
      <c r="J52" s="316" t="str">
        <f>'PAI 2022 - V4'!I54</f>
        <v>Adelantar actividades de aseguramiento y consultoría de forma objetiva e independiente a los diferentes procesos, proyectos y políticas de Capital buscando generar valor a la entidad.</v>
      </c>
      <c r="K52" s="316" t="str">
        <f>'PAI 2022 - V4'!J54</f>
        <v>Modificaciones al Plan Anual de Auditoría.</v>
      </c>
      <c r="L52" s="316" t="str">
        <f>'PAI 2022 - V4'!K54</f>
        <v>1 Eficacia: Cumplimiento de metas</v>
      </c>
      <c r="M52" s="316" t="str">
        <f>'PAI 2022 - V4'!L54</f>
        <v>Monitorear los cambios efectuados al Plan Anual de Auditoría durante la vigencia.</v>
      </c>
      <c r="N52" s="266" t="str">
        <f>'PAI 2022 - V4'!M54</f>
        <v>Número de actualizaciones aprobadas al Plan Anual de Auditoría</v>
      </c>
      <c r="O52" s="266" t="str">
        <f>'PAI 2022 - V4'!N54</f>
        <v>Número de actualizaciones esperadas (4)</v>
      </c>
      <c r="P52" s="266" t="str">
        <f>'PAI 2022 - V4'!O54</f>
        <v>Porcentaje (%)</v>
      </c>
      <c r="Q52" s="266" t="str">
        <f>'PAI 2022 - V4'!P54</f>
        <v>1 Creciente: El resultado tiende a crecer en el tiempo</v>
      </c>
      <c r="R52" s="12" t="str">
        <f>'PAI 2022 - V4'!Q54</f>
        <v>No aplica</v>
      </c>
      <c r="S52" s="12">
        <f>'PAI 2022 - V4'!R54</f>
        <v>0.25</v>
      </c>
      <c r="T52" s="316" t="str">
        <f>'PAI 2022 - V4'!S54</f>
        <v>Formulación del Plan Anual sin modificaciones a lo largo de la vigencia.</v>
      </c>
      <c r="U52" s="12" t="str">
        <f>'PAI 2022 - V4'!T54</f>
        <v xml:space="preserve"> &gt;= 100%</v>
      </c>
      <c r="V52" s="12" t="str">
        <f>'PAI 2022 - V4'!U54</f>
        <v>&lt;= 75%</v>
      </c>
      <c r="W52" s="12" t="str">
        <f>'PAI 2022 - V4'!V54</f>
        <v>&lt;= 50%</v>
      </c>
      <c r="X52" s="12" t="str">
        <f>'PAI 2022 - V4'!W54</f>
        <v>&lt;= 25%</v>
      </c>
      <c r="Y52" s="316" t="str">
        <f>'PAI 2022 - V4'!X54</f>
        <v xml:space="preserve">Realizar el seguimiento al Plan Anual de Auditoría. </v>
      </c>
      <c r="Z52" s="266" t="str">
        <f>'PAI 2022 - V4'!Y54</f>
        <v>3 Trimestral</v>
      </c>
      <c r="AA52" s="316" t="str">
        <f>'PAI 2022 - V4'!Z54</f>
        <v>La modificación al Plan Anual de Auditoría se realizaría bajo requerimiento de la Alta Dirección y/o requerimiento de entes de control y vigilancia o por alertas emitidas en el seguimiento trimestral de este.</v>
      </c>
      <c r="AB52" s="266" t="str">
        <f>'PAI 2022 - V4'!AA54</f>
        <v>Control Interno</v>
      </c>
      <c r="AC52" s="417" t="str">
        <f>'PAI 2022 - V4'!AB54</f>
        <v>Control, seguimiento y evaluación.</v>
      </c>
      <c r="AD52" s="891">
        <f>1/1</f>
        <v>1</v>
      </c>
      <c r="AE52" s="617"/>
      <c r="AF52" s="617"/>
      <c r="AG52" s="617">
        <f>1/2</f>
        <v>0.5</v>
      </c>
      <c r="AH52" s="617"/>
      <c r="AI52" s="617"/>
      <c r="AJ52" s="617">
        <f>1/3</f>
        <v>0.33333333333333331</v>
      </c>
      <c r="AK52" s="617"/>
      <c r="AL52" s="617"/>
      <c r="AM52" s="617">
        <f>1/4</f>
        <v>0.25</v>
      </c>
      <c r="AN52" s="617"/>
      <c r="AO52" s="892"/>
      <c r="AP52" s="562" t="s">
        <v>1102</v>
      </c>
      <c r="AQ52" s="563" t="s">
        <v>1201</v>
      </c>
      <c r="AR52" s="875" t="s">
        <v>25</v>
      </c>
    </row>
    <row r="53" spans="1:44" ht="88.5" customHeight="1" thickBot="1" x14ac:dyDescent="0.25">
      <c r="A53" s="878" t="str">
        <f t="shared" si="0"/>
        <v>5.6.33</v>
      </c>
      <c r="B53" s="879" t="str">
        <f>'PAI 2022 - V4'!A55</f>
        <v>11. Ciudades y comunidades sostenibles.
16. Paz, justicia e instituciones sólidas.</v>
      </c>
      <c r="C53" s="565" t="str">
        <f>'PAI 2022 - V4'!B55</f>
        <v>Propósito 5
Logro de ciudad: 30</v>
      </c>
      <c r="D53" s="565" t="str">
        <f>'PAI 2022 - V4'!C55</f>
        <v>Seguimiento y evaluación del desempeño institucional.
Control Interno.</v>
      </c>
      <c r="E53" s="28" t="str">
        <f>'PAI 2022 - V4'!D55</f>
        <v>OE_5</v>
      </c>
      <c r="F53" s="565" t="str">
        <f>'PAI 2022 - V4'!E55</f>
        <v xml:space="preserve">5. Fortalecer la capacidad organizacional de Capital para ser una empresa transparente, eficiente y sostenible. </v>
      </c>
      <c r="G53" s="565" t="str">
        <f>'PAI 2022 - V4'!F55</f>
        <v>6. Articular los procesos y flujos de trabajo a la estructura de Capital.</v>
      </c>
      <c r="H53" s="28" t="str">
        <f>'PAI 2022 - V4'!G55</f>
        <v>5.6.33</v>
      </c>
      <c r="I53" s="28" t="str">
        <f>'PAI 2022 - V4'!H55</f>
        <v>Plan Anual de Auditoría - Impacto en la mejora de los procesos.</v>
      </c>
      <c r="J53" s="565" t="str">
        <f>'PAI 2022 - V4'!I55</f>
        <v>Adelantar actividades de aseguramiento y consultoría de forma objetiva e independiente a los diferentes procesos, proyectos y políticas de Capital buscando generar valor a la entidad.</v>
      </c>
      <c r="K53" s="565" t="str">
        <f>'PAI 2022 - V4'!J55</f>
        <v xml:space="preserve">Impacto en la mejora de los procesos resultado de las Auditorías Internas </v>
      </c>
      <c r="L53" s="565" t="str">
        <f>'PAI 2022 - V4'!K55</f>
        <v>3 Efectividad: Impacto o beneficios generados.</v>
      </c>
      <c r="M53" s="565" t="str">
        <f>'PAI 2022 - V4'!L55</f>
        <v>Medir el valor generado mediante las Auditorías Internas adelantadas en Capital.</v>
      </c>
      <c r="N53" s="28" t="str">
        <f>'PAI 2022 - V4'!M55</f>
        <v>Sumatoria de los Criterios de la Evaluación de Auditoría.</v>
      </c>
      <c r="O53" s="28" t="str">
        <f>'PAI 2022 - V4'!N55</f>
        <v>Número de criterios Evaluados.</v>
      </c>
      <c r="P53" s="28" t="str">
        <f>'PAI 2022 - V4'!O55</f>
        <v>Número</v>
      </c>
      <c r="Q53" s="28" t="str">
        <f>'PAI 2022 - V4'!P55</f>
        <v>2 Constante: Se espera un valor o rango de resultado estable en el tiempo</v>
      </c>
      <c r="R53" s="880" t="str">
        <f>'PAI 2022 - V4'!Q55</f>
        <v>No aplica</v>
      </c>
      <c r="S53" s="881">
        <f>'PAI 2022 - V4'!R55</f>
        <v>4</v>
      </c>
      <c r="T53" s="565" t="str">
        <f>'PAI 2022 - V4'!S55</f>
        <v>Obtener una calificación promedio de 4 puntos en las Evaluaciones de las Auditorias ejecutadas.</v>
      </c>
      <c r="U53" s="882" t="str">
        <f>'PAI 2022 - V4'!T55</f>
        <v>&lt; 3</v>
      </c>
      <c r="V53" s="882" t="str">
        <f>'PAI 2022 - V4'!U55</f>
        <v>3,1 - 3,5</v>
      </c>
      <c r="W53" s="882" t="str">
        <f>'PAI 2022 - V4'!V55</f>
        <v>3,6 - 3,9</v>
      </c>
      <c r="X53" s="881">
        <f>'PAI 2022 - V4'!W55</f>
        <v>4</v>
      </c>
      <c r="Y53" s="565" t="str">
        <f>'PAI 2022 - V4'!X55</f>
        <v xml:space="preserve">Realizar el seguimiento al Plan Anual de Auditoría. </v>
      </c>
      <c r="Z53" s="28" t="str">
        <f>'PAI 2022 - V4'!Y55</f>
        <v>5 Semestral</v>
      </c>
      <c r="AA53" s="565" t="str">
        <f>'PAI 2022 - V4'!Z55</f>
        <v xml:space="preserve">Los resultados de la auditoría corresponderán a las evaluaciones diligenciadas y remitidas por parte de los líderes de los procesos evaluados. </v>
      </c>
      <c r="AB53" s="28" t="str">
        <f>'PAI 2022 - V4'!AA55</f>
        <v>Control Interno</v>
      </c>
      <c r="AC53" s="418" t="str">
        <f>'PAI 2022 - V4'!AB55</f>
        <v>Control, seguimiento y evaluación.</v>
      </c>
      <c r="AD53" s="900">
        <f>40/10</f>
        <v>4</v>
      </c>
      <c r="AE53" s="883"/>
      <c r="AF53" s="883"/>
      <c r="AG53" s="883"/>
      <c r="AH53" s="883"/>
      <c r="AI53" s="883"/>
      <c r="AJ53" s="884">
        <f>94/20</f>
        <v>4.7</v>
      </c>
      <c r="AK53" s="884"/>
      <c r="AL53" s="884"/>
      <c r="AM53" s="884"/>
      <c r="AN53" s="884"/>
      <c r="AO53" s="901"/>
      <c r="AP53" s="564" t="s">
        <v>1101</v>
      </c>
      <c r="AQ53" s="566" t="s">
        <v>1202</v>
      </c>
      <c r="AR53" s="876" t="s">
        <v>25</v>
      </c>
    </row>
    <row r="54" spans="1:44" ht="20.25" customHeight="1" x14ac:dyDescent="0.2">
      <c r="A54" s="872"/>
      <c r="B54" s="872"/>
      <c r="C54" s="872"/>
      <c r="D54" s="872"/>
      <c r="E54" s="872"/>
      <c r="F54" s="872"/>
      <c r="G54" s="872"/>
      <c r="H54" s="872"/>
      <c r="I54" s="872"/>
      <c r="J54" s="872"/>
      <c r="K54" s="872"/>
      <c r="L54" s="872"/>
      <c r="M54" s="872"/>
      <c r="N54" s="872"/>
      <c r="O54" s="872"/>
      <c r="P54" s="872"/>
      <c r="Q54" s="872"/>
      <c r="R54" s="872"/>
      <c r="S54" s="872"/>
      <c r="T54" s="872"/>
      <c r="U54" s="872"/>
      <c r="V54" s="872"/>
      <c r="W54" s="872"/>
      <c r="X54" s="872"/>
      <c r="Y54" s="872"/>
      <c r="Z54" s="872"/>
      <c r="AA54" s="872"/>
      <c r="AB54" s="872"/>
      <c r="AC54" s="872"/>
      <c r="AD54" s="873"/>
      <c r="AE54" s="873"/>
      <c r="AF54" s="873"/>
      <c r="AG54" s="872"/>
      <c r="AH54" s="872"/>
      <c r="AI54" s="872"/>
      <c r="AJ54" s="872"/>
      <c r="AK54" s="872"/>
      <c r="AL54" s="872"/>
      <c r="AM54" s="872"/>
      <c r="AN54" s="872"/>
      <c r="AO54" s="872"/>
      <c r="AP54" s="874"/>
      <c r="AQ54" s="874"/>
      <c r="AR54" s="872"/>
    </row>
    <row r="55" spans="1:44" ht="19.5" customHeight="1" x14ac:dyDescent="0.2">
      <c r="G55" s="21"/>
      <c r="H55" s="21"/>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419"/>
      <c r="AQ55" s="419"/>
      <c r="AR55" s="20"/>
    </row>
    <row r="56" spans="1:44" ht="12.75" hidden="1" x14ac:dyDescent="0.2"/>
    <row r="57" spans="1:44" ht="12.75" hidden="1" x14ac:dyDescent="0.2"/>
  </sheetData>
  <autoFilter ref="A5:AT54" xr:uid="{AE125C49-2F99-4F40-970A-63CCC9F0103C}">
    <filterColumn colId="4" showButton="0"/>
  </autoFilter>
  <mergeCells count="190">
    <mergeCell ref="AP4:AQ4"/>
    <mergeCell ref="AP1:AR1"/>
    <mergeCell ref="A1:AO1"/>
    <mergeCell ref="AD53:AI53"/>
    <mergeCell ref="AJ53:AO53"/>
    <mergeCell ref="AD52:AF52"/>
    <mergeCell ref="AG52:AI52"/>
    <mergeCell ref="AJ52:AL52"/>
    <mergeCell ref="AM52:AO52"/>
    <mergeCell ref="AD50:AG50"/>
    <mergeCell ref="AH50:AK50"/>
    <mergeCell ref="AL50:AO50"/>
    <mergeCell ref="AD48:AF48"/>
    <mergeCell ref="AG48:AI48"/>
    <mergeCell ref="AJ48:AL48"/>
    <mergeCell ref="AM48:AO48"/>
    <mergeCell ref="AD49:AG49"/>
    <mergeCell ref="AH49:AK49"/>
    <mergeCell ref="AL49:AO49"/>
    <mergeCell ref="AD46:AF46"/>
    <mergeCell ref="AG46:AI46"/>
    <mergeCell ref="AJ46:AL46"/>
    <mergeCell ref="AM46:AO46"/>
    <mergeCell ref="AD44:AF44"/>
    <mergeCell ref="AG44:AI44"/>
    <mergeCell ref="AJ44:AL44"/>
    <mergeCell ref="AM44:AO44"/>
    <mergeCell ref="AD45:AF45"/>
    <mergeCell ref="AG45:AI45"/>
    <mergeCell ref="AJ45:AL45"/>
    <mergeCell ref="AM45:AO45"/>
    <mergeCell ref="AD42:AF42"/>
    <mergeCell ref="AG42:AI42"/>
    <mergeCell ref="AJ42:AL42"/>
    <mergeCell ref="AM42:AO42"/>
    <mergeCell ref="AD43:AF43"/>
    <mergeCell ref="AG43:AI43"/>
    <mergeCell ref="AJ43:AL43"/>
    <mergeCell ref="AM43:AO43"/>
    <mergeCell ref="AD41:AF41"/>
    <mergeCell ref="AG41:AI41"/>
    <mergeCell ref="AJ41:AL41"/>
    <mergeCell ref="AM41:AO41"/>
    <mergeCell ref="AD36:AF36"/>
    <mergeCell ref="AG36:AI36"/>
    <mergeCell ref="AJ36:AL36"/>
    <mergeCell ref="AM36:AO36"/>
    <mergeCell ref="AD37:AF37"/>
    <mergeCell ref="AG37:AI37"/>
    <mergeCell ref="AJ37:AL37"/>
    <mergeCell ref="AM37:AO37"/>
    <mergeCell ref="AD34:AF34"/>
    <mergeCell ref="AG34:AI34"/>
    <mergeCell ref="AJ34:AL34"/>
    <mergeCell ref="AM34:AO34"/>
    <mergeCell ref="AD35:AF35"/>
    <mergeCell ref="AG35:AI35"/>
    <mergeCell ref="AJ35:AL35"/>
    <mergeCell ref="AM35:AO35"/>
    <mergeCell ref="AD32:AF32"/>
    <mergeCell ref="AG32:AI32"/>
    <mergeCell ref="AJ32:AL32"/>
    <mergeCell ref="AM32:AO32"/>
    <mergeCell ref="AD33:AF33"/>
    <mergeCell ref="AG33:AI33"/>
    <mergeCell ref="AJ33:AL33"/>
    <mergeCell ref="AM33:AO33"/>
    <mergeCell ref="AD30:AF30"/>
    <mergeCell ref="AG30:AI30"/>
    <mergeCell ref="AJ30:AL30"/>
    <mergeCell ref="AM30:AO30"/>
    <mergeCell ref="AD31:AF31"/>
    <mergeCell ref="AG31:AI31"/>
    <mergeCell ref="AJ31:AL31"/>
    <mergeCell ref="AM31:AO31"/>
    <mergeCell ref="AD28:AF28"/>
    <mergeCell ref="AG28:AI28"/>
    <mergeCell ref="AJ28:AL28"/>
    <mergeCell ref="AM28:AO28"/>
    <mergeCell ref="AD29:AF29"/>
    <mergeCell ref="AG29:AI29"/>
    <mergeCell ref="AJ29:AL29"/>
    <mergeCell ref="AM29:AO29"/>
    <mergeCell ref="AD26:AF26"/>
    <mergeCell ref="AG26:AI26"/>
    <mergeCell ref="AJ26:AL26"/>
    <mergeCell ref="AM26:AO26"/>
    <mergeCell ref="AD27:AF27"/>
    <mergeCell ref="AG27:AI27"/>
    <mergeCell ref="AJ27:AL27"/>
    <mergeCell ref="AM27:AO27"/>
    <mergeCell ref="AD24:AF24"/>
    <mergeCell ref="AG24:AI24"/>
    <mergeCell ref="AJ24:AL24"/>
    <mergeCell ref="AM24:AO24"/>
    <mergeCell ref="AD25:AF25"/>
    <mergeCell ref="AG25:AI25"/>
    <mergeCell ref="AJ25:AL25"/>
    <mergeCell ref="AM25:AO25"/>
    <mergeCell ref="AD22:AF22"/>
    <mergeCell ref="AG22:AI22"/>
    <mergeCell ref="AJ22:AL22"/>
    <mergeCell ref="AM22:AO22"/>
    <mergeCell ref="AD20:AF20"/>
    <mergeCell ref="AG20:AI20"/>
    <mergeCell ref="AJ20:AL20"/>
    <mergeCell ref="AM20:AO20"/>
    <mergeCell ref="AD21:AF21"/>
    <mergeCell ref="AG21:AI21"/>
    <mergeCell ref="AJ21:AL21"/>
    <mergeCell ref="AM21:AO21"/>
    <mergeCell ref="AD19:AF19"/>
    <mergeCell ref="AG19:AI19"/>
    <mergeCell ref="AJ19:AL19"/>
    <mergeCell ref="AM19:AO19"/>
    <mergeCell ref="AD18:AG18"/>
    <mergeCell ref="AH18:AK18"/>
    <mergeCell ref="AL18:AO18"/>
    <mergeCell ref="AD16:AF16"/>
    <mergeCell ref="AG16:AI16"/>
    <mergeCell ref="AJ16:AL16"/>
    <mergeCell ref="AM16:AO16"/>
    <mergeCell ref="AD17:AF17"/>
    <mergeCell ref="AG17:AI17"/>
    <mergeCell ref="AJ17:AL17"/>
    <mergeCell ref="AM17:AO17"/>
    <mergeCell ref="AD15:AF15"/>
    <mergeCell ref="AG15:AI15"/>
    <mergeCell ref="AJ15:AL15"/>
    <mergeCell ref="AM15:AO15"/>
    <mergeCell ref="AM12:AO12"/>
    <mergeCell ref="AJ12:AL12"/>
    <mergeCell ref="AG12:AI12"/>
    <mergeCell ref="AD12:AF12"/>
    <mergeCell ref="AD13:AF13"/>
    <mergeCell ref="AG13:AI13"/>
    <mergeCell ref="AJ13:AL13"/>
    <mergeCell ref="AM13:AO13"/>
    <mergeCell ref="AG8:AI8"/>
    <mergeCell ref="AJ8:AL8"/>
    <mergeCell ref="AM8:AO8"/>
    <mergeCell ref="AM9:AO9"/>
    <mergeCell ref="AJ9:AL9"/>
    <mergeCell ref="AD14:AF14"/>
    <mergeCell ref="AG14:AI14"/>
    <mergeCell ref="AJ14:AL14"/>
    <mergeCell ref="AM14:AO14"/>
    <mergeCell ref="A4:A5"/>
    <mergeCell ref="Y4:Y5"/>
    <mergeCell ref="Z4:Z5"/>
    <mergeCell ref="Q4:Q5"/>
    <mergeCell ref="R4:R5"/>
    <mergeCell ref="S4:T4"/>
    <mergeCell ref="U4:X4"/>
    <mergeCell ref="J4:J5"/>
    <mergeCell ref="K4:K5"/>
    <mergeCell ref="L4:L5"/>
    <mergeCell ref="M4:M5"/>
    <mergeCell ref="AD51:AI51"/>
    <mergeCell ref="AJ51:AO51"/>
    <mergeCell ref="N4:O4"/>
    <mergeCell ref="P4:P5"/>
    <mergeCell ref="J19:J20"/>
    <mergeCell ref="AD4:AO4"/>
    <mergeCell ref="AR4:AR5"/>
    <mergeCell ref="AD9:AF9"/>
    <mergeCell ref="AG9:AI9"/>
    <mergeCell ref="AD11:AF11"/>
    <mergeCell ref="AG11:AI11"/>
    <mergeCell ref="AJ11:AL11"/>
    <mergeCell ref="AM11:AO11"/>
    <mergeCell ref="AD6:AF6"/>
    <mergeCell ref="AG6:AI6"/>
    <mergeCell ref="AJ6:AL6"/>
    <mergeCell ref="AM6:AO6"/>
    <mergeCell ref="AD7:AF7"/>
    <mergeCell ref="AG7:AI7"/>
    <mergeCell ref="AJ7:AL7"/>
    <mergeCell ref="AM7:AO7"/>
    <mergeCell ref="AD8:AF8"/>
    <mergeCell ref="B4:B5"/>
    <mergeCell ref="C4:C5"/>
    <mergeCell ref="D4:D5"/>
    <mergeCell ref="E4:F5"/>
    <mergeCell ref="G4:G5"/>
    <mergeCell ref="H4:H5"/>
    <mergeCell ref="I4:I5"/>
    <mergeCell ref="AA4:AA5"/>
    <mergeCell ref="AB4:AB5"/>
    <mergeCell ref="AC4:AC5"/>
  </mergeCells>
  <phoneticPr fontId="3" type="noConversion"/>
  <dataValidations count="6">
    <dataValidation type="list" allowBlank="1" showInputMessage="1" showErrorMessage="1" sqref="G54" xr:uid="{5B720F20-6D90-42AD-8124-4B26D7F018D2}">
      <formula1>INDIRECT(E54)</formula1>
    </dataValidation>
    <dataValidation type="list" allowBlank="1" showInputMessage="1" showErrorMessage="1" sqref="F54" xr:uid="{20047961-95ED-4DFD-A0AC-FAAC9EC99CCF}">
      <formula1>OBJETIVOS</formula1>
    </dataValidation>
    <dataValidation type="list" allowBlank="1" showInputMessage="1" showErrorMessage="1" sqref="Z54" xr:uid="{300A559D-9A48-420B-AA22-585CDA070162}">
      <formula1>PERIODICIDAD</formula1>
    </dataValidation>
    <dataValidation type="list" allowBlank="1" showInputMessage="1" showErrorMessage="1" sqref="Q54" xr:uid="{05BA32DB-885F-4BDC-9046-00D31376DB50}">
      <formula1>TENDENCIA</formula1>
    </dataValidation>
    <dataValidation type="list" allowBlank="1" showInputMessage="1" showErrorMessage="1" sqref="L54" xr:uid="{388C32F7-9A26-40D9-9E9A-6A8F88DE6A14}">
      <formula1>TIPO</formula1>
    </dataValidation>
    <dataValidation type="list" allowBlank="1" showInputMessage="1" showErrorMessage="1" sqref="AR6:AR12 AR14:AR53" xr:uid="{8C3E847D-0971-4315-879E-25EF09E92666}">
      <formula1>Resultados</formula1>
    </dataValidation>
  </dataValidations>
  <printOptions horizontalCentered="1"/>
  <pageMargins left="0.14000000000000001" right="7.0000000000000007E-2" top="0.35" bottom="0.14000000000000001" header="0.19" footer="0.08"/>
  <pageSetup paperSize="5" scale="60" pageOrder="overThenDown"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16" operator="equal" id="{0305BC18-5B4B-4260-B39F-A2C50BDEE609}">
            <xm:f>Listas!$A$23</xm:f>
            <x14:dxf>
              <fill>
                <patternFill>
                  <bgColor rgb="FF00B050"/>
                </patternFill>
              </fill>
            </x14:dxf>
          </x14:cfRule>
          <x14:cfRule type="cellIs" priority="17" operator="equal" id="{A31D286E-B9FC-481B-9F1C-1FE0086E0294}">
            <xm:f>Listas!$A$22</xm:f>
            <x14:dxf>
              <fill>
                <patternFill>
                  <bgColor rgb="FF92D050"/>
                </patternFill>
              </fill>
            </x14:dxf>
          </x14:cfRule>
          <x14:cfRule type="cellIs" priority="18" operator="equal" id="{AA5B273C-0DBA-4AC0-987E-D3E53B309BFB}">
            <xm:f>Listas!$A$21</xm:f>
            <x14:dxf>
              <fill>
                <patternFill>
                  <bgColor rgb="FFFFFF00"/>
                </patternFill>
              </fill>
            </x14:dxf>
          </x14:cfRule>
          <x14:cfRule type="cellIs" priority="19" operator="equal" id="{5F0339F5-7B04-4F61-A68C-4820C19DD3DF}">
            <xm:f>Listas!$A$20</xm:f>
            <x14:dxf>
              <fill>
                <patternFill>
                  <bgColor rgb="FFFF0000"/>
                </patternFill>
              </fill>
            </x14:dxf>
          </x14:cfRule>
          <x14:cfRule type="cellIs" priority="20" operator="equal" id="{3F122486-3D33-4D1E-AF8F-3302C024DF59}">
            <xm:f>Listas!$A$19</xm:f>
            <x14:dxf>
              <fill>
                <patternFill>
                  <bgColor theme="0" tint="-0.14996795556505021"/>
                </patternFill>
              </fill>
            </x14:dxf>
          </x14:cfRule>
          <xm:sqref>AR6:AR12 AR16:AR53</xm:sqref>
        </x14:conditionalFormatting>
        <x14:conditionalFormatting xmlns:xm="http://schemas.microsoft.com/office/excel/2006/main">
          <x14:cfRule type="cellIs" priority="6" operator="equal" id="{4AFFC8D3-3019-4D7D-BEE7-9D6DE08DC57F}">
            <xm:f>Listas!$A$23</xm:f>
            <x14:dxf>
              <fill>
                <patternFill>
                  <bgColor rgb="FF00B050"/>
                </patternFill>
              </fill>
            </x14:dxf>
          </x14:cfRule>
          <x14:cfRule type="cellIs" priority="7" operator="equal" id="{68D020C2-700E-4961-AF61-1C1B4304AA0D}">
            <xm:f>Listas!$A$22</xm:f>
            <x14:dxf>
              <fill>
                <patternFill>
                  <bgColor rgb="FF92D050"/>
                </patternFill>
              </fill>
            </x14:dxf>
          </x14:cfRule>
          <x14:cfRule type="cellIs" priority="8" operator="equal" id="{BD5E6FFF-EF75-4546-AFF6-098CCFD9BDAD}">
            <xm:f>Listas!$A$21</xm:f>
            <x14:dxf>
              <fill>
                <patternFill>
                  <bgColor rgb="FFFFFF00"/>
                </patternFill>
              </fill>
            </x14:dxf>
          </x14:cfRule>
          <x14:cfRule type="cellIs" priority="9" operator="equal" id="{412D0AE5-1F82-4FC2-A90B-1F0B32BDD253}">
            <xm:f>Listas!$A$20</xm:f>
            <x14:dxf>
              <fill>
                <patternFill>
                  <bgColor rgb="FFFF0000"/>
                </patternFill>
              </fill>
            </x14:dxf>
          </x14:cfRule>
          <x14:cfRule type="cellIs" priority="10" operator="equal" id="{F22A14EA-458C-4F6E-9720-C1185CA76769}">
            <xm:f>Listas!$A$19</xm:f>
            <x14:dxf>
              <fill>
                <patternFill>
                  <bgColor theme="0" tint="-0.14996795556505021"/>
                </patternFill>
              </fill>
            </x14:dxf>
          </x14:cfRule>
          <xm:sqref>AR14</xm:sqref>
        </x14:conditionalFormatting>
        <x14:conditionalFormatting xmlns:xm="http://schemas.microsoft.com/office/excel/2006/main">
          <x14:cfRule type="cellIs" priority="1" operator="equal" id="{6A58A0C0-C1BF-4697-8784-E766C94F8DEC}">
            <xm:f>Listas!$A$23</xm:f>
            <x14:dxf>
              <fill>
                <patternFill>
                  <bgColor rgb="FF00B050"/>
                </patternFill>
              </fill>
            </x14:dxf>
          </x14:cfRule>
          <x14:cfRule type="cellIs" priority="2" operator="equal" id="{7D134EE4-8F5A-402F-A015-52520B2196E4}">
            <xm:f>Listas!$A$22</xm:f>
            <x14:dxf>
              <fill>
                <patternFill>
                  <bgColor rgb="FF92D050"/>
                </patternFill>
              </fill>
            </x14:dxf>
          </x14:cfRule>
          <x14:cfRule type="cellIs" priority="3" operator="equal" id="{E47496AA-2D6B-4E97-979F-F869859C7118}">
            <xm:f>Listas!$A$21</xm:f>
            <x14:dxf>
              <fill>
                <patternFill>
                  <bgColor rgb="FFFFFF00"/>
                </patternFill>
              </fill>
            </x14:dxf>
          </x14:cfRule>
          <x14:cfRule type="cellIs" priority="4" operator="equal" id="{17DB1773-0C51-43EB-A550-8FF26559ABC1}">
            <xm:f>Listas!$A$20</xm:f>
            <x14:dxf>
              <fill>
                <patternFill>
                  <bgColor rgb="FFFF0000"/>
                </patternFill>
              </fill>
            </x14:dxf>
          </x14:cfRule>
          <x14:cfRule type="cellIs" priority="5" operator="equal" id="{6A952F5A-542B-4F2B-89F6-EA72C2C75A86}">
            <xm:f>Listas!$A$19</xm:f>
            <x14:dxf>
              <fill>
                <patternFill>
                  <bgColor theme="0" tint="-0.14996795556505021"/>
                </patternFill>
              </fill>
            </x14:dxf>
          </x14:cfRule>
          <xm:sqref>AR15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01E15-76F1-47EF-83ED-316EBD0DE8CD}">
  <sheetPr>
    <pageSetUpPr fitToPage="1"/>
  </sheetPr>
  <dimension ref="A1:O53"/>
  <sheetViews>
    <sheetView showGridLines="0" topLeftCell="A31" zoomScale="85" zoomScaleNormal="85" zoomScaleSheetLayoutView="80" workbookViewId="0">
      <selection activeCell="C35" sqref="C35"/>
    </sheetView>
  </sheetViews>
  <sheetFormatPr baseColWidth="10" defaultColWidth="0" defaultRowHeight="12.75" customHeight="1" zeroHeight="1" x14ac:dyDescent="0.2"/>
  <cols>
    <col min="1" max="1" width="6.28515625" style="1" customWidth="1"/>
    <col min="2" max="2" width="20.140625" style="1" customWidth="1"/>
    <col min="3" max="14" width="16" style="1" customWidth="1"/>
    <col min="15" max="15" width="1.7109375" style="1" customWidth="1"/>
    <col min="16" max="16384" width="11.42578125" style="1" hidden="1"/>
  </cols>
  <sheetData>
    <row r="1" spans="1:14" ht="15.75" customHeight="1" x14ac:dyDescent="0.2">
      <c r="A1" s="621"/>
      <c r="B1" s="622"/>
      <c r="C1" s="627" t="s">
        <v>962</v>
      </c>
      <c r="D1" s="627"/>
      <c r="E1" s="627"/>
      <c r="F1" s="627"/>
      <c r="G1" s="627"/>
      <c r="H1" s="627"/>
      <c r="I1" s="627"/>
      <c r="J1" s="630" t="s">
        <v>963</v>
      </c>
      <c r="K1" s="630"/>
      <c r="L1" s="630"/>
      <c r="M1" s="622"/>
      <c r="N1" s="631"/>
    </row>
    <row r="2" spans="1:14" ht="15.75" customHeight="1" x14ac:dyDescent="0.2">
      <c r="A2" s="623"/>
      <c r="B2" s="624"/>
      <c r="C2" s="628"/>
      <c r="D2" s="628"/>
      <c r="E2" s="628"/>
      <c r="F2" s="628"/>
      <c r="G2" s="628"/>
      <c r="H2" s="628"/>
      <c r="I2" s="628"/>
      <c r="J2" s="634" t="s">
        <v>1018</v>
      </c>
      <c r="K2" s="634"/>
      <c r="L2" s="634"/>
      <c r="M2" s="624"/>
      <c r="N2" s="632"/>
    </row>
    <row r="3" spans="1:14" ht="15.75" customHeight="1" x14ac:dyDescent="0.2">
      <c r="A3" s="623"/>
      <c r="B3" s="624"/>
      <c r="C3" s="628"/>
      <c r="D3" s="628"/>
      <c r="E3" s="628"/>
      <c r="F3" s="628"/>
      <c r="G3" s="628"/>
      <c r="H3" s="628"/>
      <c r="I3" s="628"/>
      <c r="J3" s="634" t="s">
        <v>1020</v>
      </c>
      <c r="K3" s="634"/>
      <c r="L3" s="634"/>
      <c r="M3" s="624"/>
      <c r="N3" s="632"/>
    </row>
    <row r="4" spans="1:14" ht="15.75" customHeight="1" thickBot="1" x14ac:dyDescent="0.25">
      <c r="A4" s="625"/>
      <c r="B4" s="626"/>
      <c r="C4" s="629"/>
      <c r="D4" s="629"/>
      <c r="E4" s="629"/>
      <c r="F4" s="629"/>
      <c r="G4" s="629"/>
      <c r="H4" s="629"/>
      <c r="I4" s="629"/>
      <c r="J4" s="635" t="s">
        <v>964</v>
      </c>
      <c r="K4" s="635"/>
      <c r="L4" s="635"/>
      <c r="M4" s="626"/>
      <c r="N4" s="633"/>
    </row>
    <row r="5" spans="1:14" ht="7.5" customHeight="1" thickBot="1" x14ac:dyDescent="0.25"/>
    <row r="6" spans="1:14" ht="40.5" customHeight="1" thickBot="1" x14ac:dyDescent="0.25">
      <c r="A6" s="636" t="s">
        <v>965</v>
      </c>
      <c r="B6" s="637"/>
      <c r="C6" s="638"/>
      <c r="D6" s="639"/>
      <c r="E6" s="386"/>
      <c r="F6" s="387" t="s">
        <v>966</v>
      </c>
      <c r="G6" s="388"/>
      <c r="I6" s="389" t="s">
        <v>967</v>
      </c>
      <c r="J6" s="640" t="str">
        <f>IF(G6="","",VLOOKUP(G6,'Matriz de Seguimiento'!A6:AC53,9,FALSE))</f>
        <v/>
      </c>
      <c r="K6" s="640"/>
      <c r="L6" s="640"/>
      <c r="M6" s="640"/>
      <c r="N6" s="641"/>
    </row>
    <row r="7" spans="1:14" ht="7.5" customHeight="1" thickBot="1" x14ac:dyDescent="0.25">
      <c r="A7" s="18"/>
      <c r="B7" s="18"/>
      <c r="C7" s="390"/>
      <c r="D7" s="390"/>
      <c r="E7" s="386"/>
      <c r="F7" s="18"/>
      <c r="G7" s="390"/>
      <c r="I7" s="20"/>
      <c r="J7" s="391"/>
      <c r="K7" s="391"/>
      <c r="L7" s="391"/>
      <c r="M7" s="391"/>
      <c r="N7" s="391"/>
    </row>
    <row r="8" spans="1:14" ht="60.75" customHeight="1" thickBot="1" x14ac:dyDescent="0.25">
      <c r="A8" s="636" t="s">
        <v>968</v>
      </c>
      <c r="B8" s="637"/>
      <c r="C8" s="640" t="str">
        <f>IF(G6="","",VLOOKUP(G6,'Matriz de Seguimiento'!A6:AC53,28,FALSE))</f>
        <v/>
      </c>
      <c r="D8" s="640"/>
      <c r="E8" s="641"/>
      <c r="G8" s="642" t="s">
        <v>969</v>
      </c>
      <c r="H8" s="643"/>
      <c r="I8" s="640" t="str">
        <f>IF(G6="","",VLOOKUP(G6,'Matriz de Seguimiento'!A6:AC53,29,FALSE))</f>
        <v/>
      </c>
      <c r="J8" s="640"/>
      <c r="K8" s="640"/>
      <c r="L8" s="640"/>
      <c r="M8" s="640"/>
      <c r="N8" s="641"/>
    </row>
    <row r="9" spans="1:14" ht="7.5" customHeight="1" thickBot="1" x14ac:dyDescent="0.25"/>
    <row r="10" spans="1:14" ht="21.75" customHeight="1" thickBot="1" x14ac:dyDescent="0.25">
      <c r="A10" s="642" t="s">
        <v>970</v>
      </c>
      <c r="B10" s="643"/>
      <c r="C10" s="643"/>
      <c r="D10" s="643"/>
      <c r="E10" s="643"/>
      <c r="F10" s="643"/>
      <c r="G10" s="643"/>
      <c r="H10" s="643"/>
      <c r="I10" s="643"/>
      <c r="J10" s="643"/>
      <c r="K10" s="643"/>
      <c r="L10" s="643"/>
      <c r="M10" s="643"/>
      <c r="N10" s="644"/>
    </row>
    <row r="11" spans="1:14" ht="7.5" customHeight="1" thickBot="1" x14ac:dyDescent="0.25">
      <c r="A11" s="3"/>
      <c r="B11" s="3"/>
      <c r="C11" s="3"/>
      <c r="D11" s="3"/>
      <c r="E11" s="3"/>
    </row>
    <row r="12" spans="1:14" ht="45.75" customHeight="1" x14ac:dyDescent="0.2">
      <c r="A12" s="645" t="s">
        <v>971</v>
      </c>
      <c r="B12" s="587"/>
      <c r="C12" s="587"/>
      <c r="D12" s="646"/>
      <c r="E12" s="22"/>
      <c r="F12" s="645" t="s">
        <v>972</v>
      </c>
      <c r="G12" s="587"/>
      <c r="H12" s="587"/>
      <c r="I12" s="646"/>
      <c r="K12" s="645" t="s">
        <v>973</v>
      </c>
      <c r="L12" s="587"/>
      <c r="M12" s="587"/>
      <c r="N12" s="646"/>
    </row>
    <row r="13" spans="1:14" ht="121.5" customHeight="1" thickBot="1" x14ac:dyDescent="0.25">
      <c r="A13" s="647" t="str">
        <f>IF(G6="","",VLOOKUP(G6,'Matriz de Seguimiento'!A6:AC53,2,FALSE))</f>
        <v/>
      </c>
      <c r="B13" s="648"/>
      <c r="C13" s="648"/>
      <c r="D13" s="649"/>
      <c r="E13" s="22"/>
      <c r="F13" s="647" t="str">
        <f>IF(G6="","",VLOOKUP(G6,'Matriz de Seguimiento'!A6:AC53,3,FALSE))</f>
        <v/>
      </c>
      <c r="G13" s="648"/>
      <c r="H13" s="648"/>
      <c r="I13" s="649"/>
      <c r="K13" s="647" t="str">
        <f>IF(G6="","",VLOOKUP(G6,'Matriz de Seguimiento'!A6:AC53,4,FALSE))</f>
        <v/>
      </c>
      <c r="L13" s="648"/>
      <c r="M13" s="648"/>
      <c r="N13" s="649"/>
    </row>
    <row r="14" spans="1:14" ht="7.5" customHeight="1" thickBot="1" x14ac:dyDescent="0.25">
      <c r="C14" s="22"/>
      <c r="D14" s="22"/>
      <c r="E14" s="22"/>
    </row>
    <row r="15" spans="1:14" ht="21.75" customHeight="1" thickBot="1" x14ac:dyDescent="0.25">
      <c r="A15" s="642" t="s">
        <v>974</v>
      </c>
      <c r="B15" s="643"/>
      <c r="C15" s="643"/>
      <c r="D15" s="643"/>
      <c r="E15" s="643"/>
      <c r="F15" s="643"/>
      <c r="G15" s="643"/>
      <c r="H15" s="643"/>
      <c r="I15" s="643"/>
      <c r="J15" s="643"/>
      <c r="K15" s="643"/>
      <c r="L15" s="643"/>
      <c r="M15" s="643"/>
      <c r="N15" s="644"/>
    </row>
    <row r="16" spans="1:14" ht="7.5" customHeight="1" thickBot="1" x14ac:dyDescent="0.25">
      <c r="A16" s="3"/>
      <c r="B16" s="3"/>
      <c r="C16" s="3"/>
      <c r="D16" s="3"/>
      <c r="E16" s="3"/>
    </row>
    <row r="17" spans="1:14" ht="35.25" customHeight="1" x14ac:dyDescent="0.2">
      <c r="A17" s="645" t="s">
        <v>1</v>
      </c>
      <c r="B17" s="587"/>
      <c r="C17" s="646"/>
      <c r="D17" s="650" t="str">
        <f>IF(G6="","",VLOOKUP(G6,'Matriz de Seguimiento'!A6:AC53,6,FALSE))</f>
        <v/>
      </c>
      <c r="E17" s="606"/>
      <c r="F17" s="606"/>
      <c r="G17" s="606"/>
      <c r="H17" s="606"/>
      <c r="I17" s="606"/>
      <c r="J17" s="606"/>
      <c r="K17" s="606"/>
      <c r="L17" s="606"/>
      <c r="M17" s="606"/>
      <c r="N17" s="607"/>
    </row>
    <row r="18" spans="1:14" ht="35.25" customHeight="1" x14ac:dyDescent="0.2">
      <c r="A18" s="651" t="s">
        <v>774</v>
      </c>
      <c r="B18" s="652"/>
      <c r="C18" s="653"/>
      <c r="D18" s="596" t="str">
        <f>IF(G6="","",VLOOKUP(G6,'Matriz de Seguimiento'!A6:AC53,7,FALSE))</f>
        <v/>
      </c>
      <c r="E18" s="591"/>
      <c r="F18" s="591"/>
      <c r="G18" s="591"/>
      <c r="H18" s="591"/>
      <c r="I18" s="591"/>
      <c r="J18" s="591"/>
      <c r="K18" s="591"/>
      <c r="L18" s="591"/>
      <c r="M18" s="591"/>
      <c r="N18" s="597"/>
    </row>
    <row r="19" spans="1:14" ht="35.25" customHeight="1" thickBot="1" x14ac:dyDescent="0.25">
      <c r="A19" s="654" t="s">
        <v>2</v>
      </c>
      <c r="B19" s="588"/>
      <c r="C19" s="655"/>
      <c r="D19" s="598" t="str">
        <f>IF(G6="","",VLOOKUP(G6,'Matriz de Seguimiento'!A6:AC53,9,FALSE))</f>
        <v/>
      </c>
      <c r="E19" s="599"/>
      <c r="F19" s="599"/>
      <c r="G19" s="599"/>
      <c r="H19" s="599"/>
      <c r="I19" s="599"/>
      <c r="J19" s="599"/>
      <c r="K19" s="599"/>
      <c r="L19" s="599"/>
      <c r="M19" s="599"/>
      <c r="N19" s="600"/>
    </row>
    <row r="20" spans="1:14" ht="7.5" customHeight="1" thickBot="1" x14ac:dyDescent="0.25"/>
    <row r="21" spans="1:14" ht="31.5" customHeight="1" x14ac:dyDescent="0.2">
      <c r="A21" s="645" t="s">
        <v>1016</v>
      </c>
      <c r="B21" s="587"/>
      <c r="C21" s="646"/>
      <c r="D21" s="650" t="str">
        <f>IF(G6="","",VLOOKUP(G6,'Matriz de Seguimiento'!A6:AC53,10,FALSE))</f>
        <v/>
      </c>
      <c r="E21" s="606"/>
      <c r="F21" s="606"/>
      <c r="G21" s="606"/>
      <c r="H21" s="606"/>
      <c r="I21" s="606"/>
      <c r="J21" s="606"/>
      <c r="K21" s="606"/>
      <c r="L21" s="606"/>
      <c r="M21" s="606"/>
      <c r="N21" s="607"/>
    </row>
    <row r="22" spans="1:14" ht="31.5" customHeight="1" x14ac:dyDescent="0.2">
      <c r="A22" s="651" t="s">
        <v>1017</v>
      </c>
      <c r="B22" s="652"/>
      <c r="C22" s="653"/>
      <c r="D22" s="596" t="str">
        <f>IF(G6="","",VLOOKUP(G6,'Matriz de Seguimiento'!A6:AC53,11,FALSE))</f>
        <v/>
      </c>
      <c r="E22" s="591"/>
      <c r="F22" s="591"/>
      <c r="G22" s="591"/>
      <c r="H22" s="591"/>
      <c r="I22" s="591"/>
      <c r="J22" s="591"/>
      <c r="K22" s="591"/>
      <c r="L22" s="591"/>
      <c r="M22" s="591"/>
      <c r="N22" s="597"/>
    </row>
    <row r="23" spans="1:14" ht="47.25" customHeight="1" thickBot="1" x14ac:dyDescent="0.25">
      <c r="A23" s="651" t="s">
        <v>3</v>
      </c>
      <c r="B23" s="652"/>
      <c r="C23" s="653"/>
      <c r="D23" s="596" t="str">
        <f>IF(G6="","",VLOOKUP(G6,'Matriz de Seguimiento'!A6:AC53,13,FALSE))</f>
        <v/>
      </c>
      <c r="E23" s="591"/>
      <c r="F23" s="591"/>
      <c r="G23" s="591"/>
      <c r="H23" s="591"/>
      <c r="I23" s="664"/>
      <c r="J23" s="664"/>
      <c r="K23" s="664"/>
      <c r="L23" s="664"/>
      <c r="M23" s="664"/>
      <c r="N23" s="665"/>
    </row>
    <row r="24" spans="1:14" ht="32.25" customHeight="1" x14ac:dyDescent="0.2">
      <c r="A24" s="651" t="s">
        <v>975</v>
      </c>
      <c r="B24" s="652"/>
      <c r="C24" s="653"/>
      <c r="D24" s="596" t="str">
        <f>IF(G6="","",VLOOKUP(G6,'Matriz de Seguimiento'!A6:AC53,12,FALSE))</f>
        <v/>
      </c>
      <c r="E24" s="591"/>
      <c r="F24" s="591"/>
      <c r="G24" s="591"/>
      <c r="H24" s="666"/>
      <c r="I24" s="613" t="s">
        <v>26</v>
      </c>
      <c r="J24" s="614"/>
      <c r="K24" s="669" t="s">
        <v>22</v>
      </c>
      <c r="L24" s="670"/>
      <c r="M24" s="667" t="str">
        <f>IF(G6="","",VLOOKUP(G6,'Matriz de Seguimiento'!A6:AC53,21,FALSE))</f>
        <v/>
      </c>
      <c r="N24" s="668"/>
    </row>
    <row r="25" spans="1:14" ht="32.25" customHeight="1" x14ac:dyDescent="0.2">
      <c r="A25" s="651" t="s">
        <v>29</v>
      </c>
      <c r="B25" s="652"/>
      <c r="C25" s="653"/>
      <c r="D25" s="596" t="str">
        <f>IF(G6="","",VLOOKUP(G6,'Matriz de Seguimiento'!A6:AC53,17,FALSE))</f>
        <v/>
      </c>
      <c r="E25" s="591"/>
      <c r="F25" s="591"/>
      <c r="G25" s="591"/>
      <c r="H25" s="666"/>
      <c r="I25" s="696"/>
      <c r="J25" s="697"/>
      <c r="K25" s="671" t="s">
        <v>23</v>
      </c>
      <c r="L25" s="672"/>
      <c r="M25" s="698" t="str">
        <f>IF(G6="","",VLOOKUP(G6,'Matriz de Seguimiento'!A6:AC53,22,FALSE))</f>
        <v/>
      </c>
      <c r="N25" s="699"/>
    </row>
    <row r="26" spans="1:14" ht="32.25" customHeight="1" x14ac:dyDescent="0.2">
      <c r="A26" s="651" t="s">
        <v>1019</v>
      </c>
      <c r="B26" s="652"/>
      <c r="C26" s="653"/>
      <c r="D26" s="690" t="str">
        <f>IF(G6="","",VLOOKUP(G6,'Matriz de Seguimiento'!A6:AC53,20,FALSE))</f>
        <v/>
      </c>
      <c r="E26" s="691"/>
      <c r="F26" s="691"/>
      <c r="G26" s="691"/>
      <c r="H26" s="692"/>
      <c r="I26" s="696"/>
      <c r="J26" s="697"/>
      <c r="K26" s="702" t="s">
        <v>24</v>
      </c>
      <c r="L26" s="703"/>
      <c r="M26" s="698" t="str">
        <f>IF(G6="","",VLOOKUP(G6,'Matriz de Seguimiento'!A6:AC53,23,FALSE))</f>
        <v/>
      </c>
      <c r="N26" s="699"/>
    </row>
    <row r="27" spans="1:14" ht="32.25" customHeight="1" thickBot="1" x14ac:dyDescent="0.25">
      <c r="A27" s="654"/>
      <c r="B27" s="588"/>
      <c r="C27" s="655"/>
      <c r="D27" s="693"/>
      <c r="E27" s="694"/>
      <c r="F27" s="694"/>
      <c r="G27" s="694"/>
      <c r="H27" s="695"/>
      <c r="I27" s="615"/>
      <c r="J27" s="616"/>
      <c r="K27" s="704" t="s">
        <v>25</v>
      </c>
      <c r="L27" s="705"/>
      <c r="M27" s="700" t="str">
        <f>IF(G6="","",VLOOKUP(G6,'Matriz de Seguimiento'!A6:AC53,24,FALSE))</f>
        <v/>
      </c>
      <c r="N27" s="701"/>
    </row>
    <row r="28" spans="1:14" ht="7.5" customHeight="1" thickBot="1" x14ac:dyDescent="0.25">
      <c r="A28" s="18"/>
      <c r="B28" s="18"/>
      <c r="C28" s="18"/>
      <c r="D28" s="392"/>
      <c r="E28" s="392"/>
      <c r="F28" s="392"/>
      <c r="G28" s="392"/>
      <c r="H28" s="392"/>
      <c r="I28" s="392"/>
      <c r="J28" s="392"/>
      <c r="K28" s="392"/>
      <c r="L28" s="392"/>
      <c r="M28" s="392"/>
      <c r="N28" s="392"/>
    </row>
    <row r="29" spans="1:14" ht="172.5" customHeight="1" thickBot="1" x14ac:dyDescent="0.25">
      <c r="A29" s="673" t="s">
        <v>976</v>
      </c>
      <c r="B29" s="674"/>
      <c r="C29" s="675"/>
      <c r="D29" s="676" t="str">
        <f>IF(G6="","",VLOOKUP(G6,'Matriz de Seguimiento'!A6:AC53,25,FALSE))</f>
        <v/>
      </c>
      <c r="E29" s="677"/>
      <c r="F29" s="677"/>
      <c r="G29" s="677"/>
      <c r="H29" s="678"/>
      <c r="I29" s="575" t="s">
        <v>977</v>
      </c>
      <c r="J29" s="577"/>
      <c r="K29" s="656" t="str">
        <f>IF(G6="","",VLOOKUP(G6,'Matriz de Seguimiento'!A6:AC53,26,FALSE))</f>
        <v/>
      </c>
      <c r="L29" s="657"/>
      <c r="M29" s="657"/>
      <c r="N29" s="658"/>
    </row>
    <row r="30" spans="1:14" ht="7.5" customHeight="1" thickBot="1" x14ac:dyDescent="0.25"/>
    <row r="31" spans="1:14" ht="21.75" customHeight="1" thickBot="1" x14ac:dyDescent="0.25">
      <c r="A31" s="659" t="s">
        <v>978</v>
      </c>
      <c r="B31" s="660"/>
      <c r="C31" s="660"/>
      <c r="D31" s="660"/>
      <c r="E31" s="660"/>
      <c r="F31" s="660"/>
      <c r="G31" s="660"/>
      <c r="H31" s="660"/>
      <c r="I31" s="660"/>
      <c r="J31" s="660"/>
      <c r="K31" s="660"/>
      <c r="L31" s="660"/>
      <c r="M31" s="660"/>
      <c r="N31" s="661"/>
    </row>
    <row r="32" spans="1:14" ht="7.5" customHeight="1" thickBot="1" x14ac:dyDescent="0.25">
      <c r="A32" s="3"/>
      <c r="B32" s="3"/>
      <c r="C32" s="3"/>
      <c r="D32" s="3"/>
      <c r="E32" s="3"/>
    </row>
    <row r="33" spans="1:14" s="396" customFormat="1" ht="27.75" customHeight="1" thickBot="1" x14ac:dyDescent="0.3">
      <c r="A33" s="662" t="s">
        <v>979</v>
      </c>
      <c r="B33" s="663"/>
      <c r="C33" s="393" t="s">
        <v>980</v>
      </c>
      <c r="D33" s="394" t="s">
        <v>981</v>
      </c>
      <c r="E33" s="394" t="s">
        <v>982</v>
      </c>
      <c r="F33" s="394" t="s">
        <v>983</v>
      </c>
      <c r="G33" s="394" t="s">
        <v>984</v>
      </c>
      <c r="H33" s="394" t="s">
        <v>985</v>
      </c>
      <c r="I33" s="394" t="s">
        <v>986</v>
      </c>
      <c r="J33" s="394" t="s">
        <v>987</v>
      </c>
      <c r="K33" s="394" t="s">
        <v>988</v>
      </c>
      <c r="L33" s="394" t="s">
        <v>989</v>
      </c>
      <c r="M33" s="394" t="s">
        <v>990</v>
      </c>
      <c r="N33" s="395" t="s">
        <v>991</v>
      </c>
    </row>
    <row r="34" spans="1:14" ht="83.25" customHeight="1" x14ac:dyDescent="0.2">
      <c r="A34" s="397" t="s">
        <v>27</v>
      </c>
      <c r="B34" s="398" t="str">
        <f>IF(G6="","",VLOOKUP(G6,'Matriz de Seguimiento'!A6:AC53,14,FALSE))</f>
        <v/>
      </c>
      <c r="C34" s="399"/>
      <c r="D34" s="400"/>
      <c r="E34" s="401"/>
      <c r="F34" s="402"/>
      <c r="G34" s="402"/>
      <c r="H34" s="402"/>
      <c r="I34" s="401"/>
      <c r="J34" s="401"/>
      <c r="K34" s="401"/>
      <c r="L34" s="401"/>
      <c r="M34" s="401"/>
      <c r="N34" s="403"/>
    </row>
    <row r="35" spans="1:14" ht="83.25" customHeight="1" thickBot="1" x14ac:dyDescent="0.25">
      <c r="A35" s="404" t="s">
        <v>28</v>
      </c>
      <c r="B35" s="405" t="str">
        <f>IF(G6="","",VLOOKUP(G6,'Matriz de Seguimiento'!A6:AC53,15,FALSE))</f>
        <v/>
      </c>
      <c r="C35" s="406"/>
      <c r="D35" s="407"/>
      <c r="E35" s="408"/>
      <c r="F35" s="409"/>
      <c r="G35" s="409"/>
      <c r="H35" s="409"/>
      <c r="I35" s="408"/>
      <c r="J35" s="408"/>
      <c r="K35" s="408"/>
      <c r="L35" s="408"/>
      <c r="M35" s="408"/>
      <c r="N35" s="410"/>
    </row>
    <row r="36" spans="1:14" ht="42" customHeight="1" thickBot="1" x14ac:dyDescent="0.25">
      <c r="A36" s="681" t="s">
        <v>992</v>
      </c>
      <c r="B36" s="682"/>
      <c r="C36" s="411"/>
      <c r="D36" s="412"/>
      <c r="E36" s="412"/>
      <c r="F36" s="412"/>
      <c r="G36" s="412"/>
      <c r="H36" s="412"/>
      <c r="I36" s="412"/>
      <c r="J36" s="412"/>
      <c r="K36" s="412"/>
      <c r="L36" s="412"/>
      <c r="M36" s="412"/>
      <c r="N36" s="413"/>
    </row>
    <row r="37" spans="1:14" ht="7.5" customHeight="1" thickBot="1" x14ac:dyDescent="0.25"/>
    <row r="38" spans="1:14" ht="21.75" customHeight="1" thickBot="1" x14ac:dyDescent="0.25">
      <c r="A38" s="642" t="s">
        <v>993</v>
      </c>
      <c r="B38" s="643"/>
      <c r="C38" s="643"/>
      <c r="D38" s="643"/>
      <c r="E38" s="643"/>
      <c r="F38" s="643"/>
      <c r="G38" s="643"/>
      <c r="H38" s="643"/>
      <c r="I38" s="643"/>
      <c r="J38" s="643"/>
      <c r="K38" s="643"/>
      <c r="L38" s="643"/>
      <c r="M38" s="643"/>
      <c r="N38" s="644"/>
    </row>
    <row r="39" spans="1:14" ht="21.75" customHeight="1" thickBot="1" x14ac:dyDescent="0.25">
      <c r="A39" s="683" t="s">
        <v>994</v>
      </c>
      <c r="B39" s="684"/>
      <c r="C39" s="684"/>
      <c r="D39" s="684"/>
      <c r="E39" s="684"/>
      <c r="F39" s="684"/>
      <c r="G39" s="684"/>
      <c r="H39" s="684"/>
      <c r="I39" s="684"/>
      <c r="J39" s="684"/>
      <c r="K39" s="684"/>
      <c r="L39" s="684"/>
      <c r="M39" s="684"/>
      <c r="N39" s="685"/>
    </row>
    <row r="40" spans="1:14" ht="7.5" customHeight="1" thickBot="1" x14ac:dyDescent="0.25">
      <c r="A40" s="3"/>
      <c r="B40" s="3"/>
      <c r="C40" s="3"/>
      <c r="D40" s="3"/>
      <c r="E40" s="3"/>
    </row>
    <row r="41" spans="1:14" s="386" customFormat="1" ht="51.75" customHeight="1" x14ac:dyDescent="0.25">
      <c r="A41" s="645" t="s">
        <v>995</v>
      </c>
      <c r="B41" s="587"/>
      <c r="C41" s="606"/>
      <c r="D41" s="686"/>
      <c r="E41" s="686"/>
      <c r="F41" s="686"/>
      <c r="G41" s="686"/>
      <c r="H41" s="686"/>
      <c r="I41" s="686"/>
      <c r="J41" s="686"/>
      <c r="K41" s="686"/>
      <c r="L41" s="686"/>
      <c r="M41" s="686"/>
      <c r="N41" s="687"/>
    </row>
    <row r="42" spans="1:14" s="386" customFormat="1" ht="51.75" customHeight="1" x14ac:dyDescent="0.25">
      <c r="A42" s="651" t="s">
        <v>996</v>
      </c>
      <c r="B42" s="652"/>
      <c r="C42" s="591"/>
      <c r="D42" s="688"/>
      <c r="E42" s="688"/>
      <c r="F42" s="688"/>
      <c r="G42" s="688"/>
      <c r="H42" s="688"/>
      <c r="I42" s="688"/>
      <c r="J42" s="688"/>
      <c r="K42" s="688"/>
      <c r="L42" s="688"/>
      <c r="M42" s="688"/>
      <c r="N42" s="689"/>
    </row>
    <row r="43" spans="1:14" s="386" customFormat="1" ht="51.75" customHeight="1" x14ac:dyDescent="0.25">
      <c r="A43" s="651" t="s">
        <v>997</v>
      </c>
      <c r="B43" s="652"/>
      <c r="C43" s="591"/>
      <c r="D43" s="591"/>
      <c r="E43" s="591"/>
      <c r="F43" s="591"/>
      <c r="G43" s="591"/>
      <c r="H43" s="591"/>
      <c r="I43" s="591"/>
      <c r="J43" s="591"/>
      <c r="K43" s="591"/>
      <c r="L43" s="591"/>
      <c r="M43" s="591"/>
      <c r="N43" s="597"/>
    </row>
    <row r="44" spans="1:14" s="386" customFormat="1" ht="51.75" customHeight="1" thickBot="1" x14ac:dyDescent="0.3">
      <c r="A44" s="654" t="s">
        <v>998</v>
      </c>
      <c r="B44" s="588"/>
      <c r="C44" s="679"/>
      <c r="D44" s="679"/>
      <c r="E44" s="679"/>
      <c r="F44" s="679"/>
      <c r="G44" s="679"/>
      <c r="H44" s="679"/>
      <c r="I44" s="679"/>
      <c r="J44" s="679"/>
      <c r="K44" s="679"/>
      <c r="L44" s="679"/>
      <c r="M44" s="679"/>
      <c r="N44" s="680"/>
    </row>
    <row r="45" spans="1:14" x14ac:dyDescent="0.2"/>
    <row r="46" spans="1:14" x14ac:dyDescent="0.2"/>
    <row r="47" spans="1:14" x14ac:dyDescent="0.2"/>
    <row r="48" spans="1:14" x14ac:dyDescent="0.2"/>
    <row r="49" x14ac:dyDescent="0.2"/>
    <row r="50" x14ac:dyDescent="0.2"/>
    <row r="51" x14ac:dyDescent="0.2"/>
    <row r="52" ht="12.75" customHeight="1" x14ac:dyDescent="0.2"/>
    <row r="53" ht="12.75" customHeight="1" x14ac:dyDescent="0.2"/>
  </sheetData>
  <mergeCells count="66">
    <mergeCell ref="D26:H27"/>
    <mergeCell ref="I24:J27"/>
    <mergeCell ref="M25:N25"/>
    <mergeCell ref="M26:N26"/>
    <mergeCell ref="M27:N27"/>
    <mergeCell ref="K26:L26"/>
    <mergeCell ref="K27:L27"/>
    <mergeCell ref="A43:B43"/>
    <mergeCell ref="C43:N43"/>
    <mergeCell ref="A44:B44"/>
    <mergeCell ref="C44:N44"/>
    <mergeCell ref="A36:B36"/>
    <mergeCell ref="A38:N38"/>
    <mergeCell ref="A39:N39"/>
    <mergeCell ref="A41:B41"/>
    <mergeCell ref="C41:N41"/>
    <mergeCell ref="A42:B42"/>
    <mergeCell ref="C42:N42"/>
    <mergeCell ref="K29:N29"/>
    <mergeCell ref="A31:N31"/>
    <mergeCell ref="A33:B33"/>
    <mergeCell ref="A23:C23"/>
    <mergeCell ref="D23:N23"/>
    <mergeCell ref="A24:C24"/>
    <mergeCell ref="D24:H24"/>
    <mergeCell ref="M24:N24"/>
    <mergeCell ref="K24:L24"/>
    <mergeCell ref="K25:L25"/>
    <mergeCell ref="A29:C29"/>
    <mergeCell ref="D29:H29"/>
    <mergeCell ref="I29:J29"/>
    <mergeCell ref="A25:C25"/>
    <mergeCell ref="D25:H25"/>
    <mergeCell ref="A26:C27"/>
    <mergeCell ref="A21:C21"/>
    <mergeCell ref="D21:N21"/>
    <mergeCell ref="A22:C22"/>
    <mergeCell ref="D22:N22"/>
    <mergeCell ref="A15:N15"/>
    <mergeCell ref="A17:C17"/>
    <mergeCell ref="D17:N17"/>
    <mergeCell ref="A18:C18"/>
    <mergeCell ref="D18:N18"/>
    <mergeCell ref="A19:C19"/>
    <mergeCell ref="D19:N19"/>
    <mergeCell ref="A10:N10"/>
    <mergeCell ref="A12:D12"/>
    <mergeCell ref="F12:I12"/>
    <mergeCell ref="K12:N12"/>
    <mergeCell ref="A13:D13"/>
    <mergeCell ref="F13:I13"/>
    <mergeCell ref="K13:N13"/>
    <mergeCell ref="A6:B6"/>
    <mergeCell ref="C6:D6"/>
    <mergeCell ref="J6:N6"/>
    <mergeCell ref="A8:B8"/>
    <mergeCell ref="C8:E8"/>
    <mergeCell ref="G8:H8"/>
    <mergeCell ref="I8:N8"/>
    <mergeCell ref="A1:B4"/>
    <mergeCell ref="C1:I4"/>
    <mergeCell ref="J1:L1"/>
    <mergeCell ref="M1:N4"/>
    <mergeCell ref="J2:L2"/>
    <mergeCell ref="J3:L3"/>
    <mergeCell ref="J4:L4"/>
  </mergeCells>
  <dataValidations count="2">
    <dataValidation type="list" allowBlank="1" showInputMessage="1" showErrorMessage="1" sqref="C7" xr:uid="{007DE7F2-6A17-4CCC-96FB-F024ABCFA20E}">
      <formula1>Áreas</formula1>
    </dataValidation>
    <dataValidation type="list" allowBlank="1" showInputMessage="1" showErrorMessage="1" sqref="G6:G7" xr:uid="{1657A4A2-4D2B-4AFF-AF11-F5267B67DDE5}">
      <formula1>INDIRECT($C$6)</formula1>
    </dataValidation>
  </dataValidations>
  <pageMargins left="0.11811023622047245" right="7.874015748031496E-2" top="0.35433070866141736" bottom="0.31496062992125984" header="0.23622047244094491" footer="0.15748031496062992"/>
  <pageSetup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277F7D-70E6-4962-9808-BC8892B6A9BD}">
          <x14:formula1>
            <xm:f>Procesos!$B$3:$B$20</xm:f>
          </x14:formula1>
          <xm:sqref>C6:D6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59777-14E6-47E8-8D31-BAB2FC1A713E}">
  <dimension ref="B2:T20"/>
  <sheetViews>
    <sheetView workbookViewId="0">
      <selection activeCell="I10" sqref="I10"/>
    </sheetView>
  </sheetViews>
  <sheetFormatPr baseColWidth="10" defaultRowHeight="15" x14ac:dyDescent="0.25"/>
  <cols>
    <col min="1" max="1" width="3" customWidth="1"/>
    <col min="2" max="2" width="20.7109375" bestFit="1" customWidth="1"/>
    <col min="3" max="19" width="7.85546875" customWidth="1"/>
  </cols>
  <sheetData>
    <row r="2" spans="2:20" x14ac:dyDescent="0.25">
      <c r="B2" s="414" t="s">
        <v>999</v>
      </c>
      <c r="C2" s="414" t="s">
        <v>1014</v>
      </c>
      <c r="D2" s="414" t="s">
        <v>861</v>
      </c>
      <c r="E2" s="414" t="s">
        <v>1000</v>
      </c>
      <c r="F2" s="414" t="s">
        <v>1015</v>
      </c>
      <c r="G2" s="414" t="s">
        <v>1001</v>
      </c>
      <c r="H2" s="414" t="s">
        <v>1002</v>
      </c>
      <c r="I2" s="414" t="s">
        <v>1003</v>
      </c>
      <c r="J2" s="414" t="s">
        <v>1004</v>
      </c>
      <c r="K2" s="414" t="s">
        <v>1005</v>
      </c>
      <c r="L2" s="414" t="s">
        <v>1006</v>
      </c>
      <c r="M2" s="414" t="s">
        <v>1007</v>
      </c>
      <c r="N2" s="414" t="s">
        <v>666</v>
      </c>
      <c r="O2" s="414" t="s">
        <v>1008</v>
      </c>
      <c r="P2" s="414" t="s">
        <v>1009</v>
      </c>
      <c r="Q2" s="414" t="s">
        <v>1010</v>
      </c>
      <c r="R2" s="414" t="s">
        <v>1011</v>
      </c>
      <c r="S2" s="414" t="s">
        <v>1012</v>
      </c>
      <c r="T2" s="414" t="s">
        <v>1013</v>
      </c>
    </row>
    <row r="3" spans="2:20" x14ac:dyDescent="0.25">
      <c r="B3" s="414" t="s">
        <v>1014</v>
      </c>
      <c r="C3" s="414" t="s">
        <v>807</v>
      </c>
      <c r="D3" s="414" t="s">
        <v>369</v>
      </c>
      <c r="E3" s="414" t="s">
        <v>359</v>
      </c>
      <c r="F3" s="414" t="s">
        <v>361</v>
      </c>
      <c r="G3" s="414" t="s">
        <v>367</v>
      </c>
      <c r="H3" s="414" t="s">
        <v>362</v>
      </c>
      <c r="I3" s="414" t="s">
        <v>960</v>
      </c>
      <c r="J3" s="414" t="s">
        <v>363</v>
      </c>
      <c r="K3" s="414" t="s">
        <v>379</v>
      </c>
      <c r="L3" s="414" t="s">
        <v>376</v>
      </c>
      <c r="M3" s="414" t="s">
        <v>377</v>
      </c>
      <c r="N3" s="414" t="s">
        <v>364</v>
      </c>
      <c r="O3" s="414" t="s">
        <v>375</v>
      </c>
      <c r="P3" s="414" t="s">
        <v>384</v>
      </c>
      <c r="Q3" s="414" t="s">
        <v>385</v>
      </c>
      <c r="R3" s="414" t="s">
        <v>391</v>
      </c>
      <c r="S3" s="414" t="s">
        <v>394</v>
      </c>
      <c r="T3" s="414" t="s">
        <v>396</v>
      </c>
    </row>
    <row r="4" spans="2:20" x14ac:dyDescent="0.25">
      <c r="B4" s="414" t="s">
        <v>861</v>
      </c>
      <c r="C4" s="414" t="s">
        <v>820</v>
      </c>
      <c r="D4" s="414" t="s">
        <v>370</v>
      </c>
      <c r="E4" s="414" t="s">
        <v>360</v>
      </c>
      <c r="F4" s="414" t="s">
        <v>961</v>
      </c>
      <c r="G4" s="414" t="s">
        <v>368</v>
      </c>
      <c r="H4" s="414"/>
      <c r="I4" s="414"/>
      <c r="J4" s="414"/>
      <c r="K4" s="414" t="s">
        <v>380</v>
      </c>
      <c r="L4" s="414"/>
      <c r="M4" s="414" t="s">
        <v>378</v>
      </c>
      <c r="N4" s="414" t="s">
        <v>365</v>
      </c>
      <c r="O4" s="414"/>
      <c r="Q4" s="414" t="s">
        <v>386</v>
      </c>
      <c r="R4" s="414" t="s">
        <v>392</v>
      </c>
      <c r="S4" s="414" t="s">
        <v>395</v>
      </c>
      <c r="T4" s="414" t="s">
        <v>397</v>
      </c>
    </row>
    <row r="5" spans="2:20" x14ac:dyDescent="0.25">
      <c r="B5" s="414" t="s">
        <v>1000</v>
      </c>
      <c r="C5" s="414" t="s">
        <v>959</v>
      </c>
      <c r="D5" s="414" t="s">
        <v>371</v>
      </c>
      <c r="E5" s="414" t="s">
        <v>373</v>
      </c>
      <c r="F5" s="414"/>
      <c r="G5" s="414"/>
      <c r="H5" s="414"/>
      <c r="I5" s="414"/>
      <c r="J5" s="414"/>
      <c r="K5" s="414" t="s">
        <v>381</v>
      </c>
      <c r="L5" s="414"/>
      <c r="M5" s="414"/>
      <c r="N5" s="414" t="s">
        <v>366</v>
      </c>
      <c r="O5" s="414"/>
      <c r="Q5" s="414" t="s">
        <v>387</v>
      </c>
      <c r="R5" s="414" t="s">
        <v>393</v>
      </c>
      <c r="S5" s="414"/>
      <c r="T5" s="414" t="s">
        <v>398</v>
      </c>
    </row>
    <row r="6" spans="2:20" x14ac:dyDescent="0.25">
      <c r="B6" s="414" t="s">
        <v>1015</v>
      </c>
      <c r="C6" s="414"/>
      <c r="D6" s="414" t="s">
        <v>372</v>
      </c>
      <c r="E6" s="414" t="s">
        <v>374</v>
      </c>
      <c r="F6" s="414"/>
      <c r="G6" s="414"/>
      <c r="H6" s="414"/>
      <c r="I6" s="414"/>
      <c r="J6" s="414"/>
      <c r="K6" s="414" t="s">
        <v>382</v>
      </c>
      <c r="L6" s="414"/>
      <c r="M6" s="414"/>
      <c r="N6" s="414"/>
      <c r="O6" s="414"/>
      <c r="Q6" s="414" t="s">
        <v>388</v>
      </c>
      <c r="R6" s="414"/>
      <c r="S6" s="414"/>
      <c r="T6" s="414" t="s">
        <v>399</v>
      </c>
    </row>
    <row r="7" spans="2:20" x14ac:dyDescent="0.25">
      <c r="B7" s="414" t="s">
        <v>1001</v>
      </c>
      <c r="C7" s="414"/>
      <c r="D7" s="414"/>
      <c r="E7" s="414"/>
      <c r="F7" s="414"/>
      <c r="G7" s="414"/>
      <c r="H7" s="414"/>
      <c r="I7" s="414"/>
      <c r="J7" s="414"/>
      <c r="K7" s="414" t="s">
        <v>383</v>
      </c>
      <c r="L7" s="414"/>
      <c r="M7" s="414"/>
      <c r="N7" s="414"/>
      <c r="O7" s="414"/>
      <c r="Q7" s="414" t="s">
        <v>389</v>
      </c>
      <c r="R7" s="414"/>
      <c r="S7" s="414"/>
      <c r="T7" s="414" t="s">
        <v>400</v>
      </c>
    </row>
    <row r="8" spans="2:20" x14ac:dyDescent="0.25">
      <c r="B8" s="414" t="s">
        <v>1002</v>
      </c>
      <c r="C8" s="414"/>
      <c r="D8" s="414"/>
      <c r="E8" s="414"/>
      <c r="F8" s="414"/>
      <c r="G8" s="414"/>
      <c r="H8" s="414"/>
      <c r="I8" s="414"/>
      <c r="J8" s="414"/>
      <c r="K8" s="414"/>
      <c r="L8" s="414"/>
      <c r="M8" s="414"/>
      <c r="N8" s="414"/>
      <c r="O8" s="414"/>
      <c r="Q8" s="414" t="s">
        <v>390</v>
      </c>
      <c r="R8" s="414"/>
      <c r="S8" s="414"/>
      <c r="T8" s="414" t="s">
        <v>401</v>
      </c>
    </row>
    <row r="9" spans="2:20" x14ac:dyDescent="0.25">
      <c r="B9" s="414" t="s">
        <v>1003</v>
      </c>
      <c r="C9" s="414"/>
      <c r="D9" s="414"/>
      <c r="E9" s="414"/>
      <c r="F9" s="414"/>
      <c r="G9" s="414"/>
      <c r="H9" s="414"/>
      <c r="I9" s="414"/>
      <c r="J9" s="414"/>
      <c r="K9" s="414"/>
      <c r="L9" s="414"/>
      <c r="M9" s="414"/>
      <c r="N9" s="414"/>
      <c r="O9" s="414"/>
      <c r="Q9" s="414"/>
      <c r="R9" s="414"/>
      <c r="S9" s="414"/>
      <c r="T9" s="414"/>
    </row>
    <row r="10" spans="2:20" x14ac:dyDescent="0.25">
      <c r="B10" s="414" t="s">
        <v>1004</v>
      </c>
      <c r="C10" s="414"/>
      <c r="D10" s="414"/>
      <c r="E10" s="414"/>
      <c r="F10" s="414"/>
      <c r="G10" s="414"/>
      <c r="H10" s="414"/>
      <c r="I10" s="414"/>
      <c r="J10" s="414"/>
      <c r="K10" s="414"/>
      <c r="L10" s="414"/>
      <c r="M10" s="414"/>
      <c r="N10" s="414"/>
      <c r="O10" s="414"/>
      <c r="Q10" s="414"/>
      <c r="R10" s="414"/>
      <c r="S10" s="414"/>
      <c r="T10" s="414"/>
    </row>
    <row r="11" spans="2:20" x14ac:dyDescent="0.25">
      <c r="B11" s="414" t="s">
        <v>1005</v>
      </c>
      <c r="C11" s="414"/>
      <c r="D11" s="414"/>
      <c r="E11" s="414"/>
      <c r="F11" s="414"/>
      <c r="G11" s="414"/>
      <c r="H11" s="414"/>
      <c r="I11" s="414"/>
      <c r="J11" s="414"/>
      <c r="K11" s="414"/>
      <c r="L11" s="414"/>
      <c r="M11" s="414"/>
      <c r="N11" s="414"/>
      <c r="O11" s="414"/>
      <c r="Q11" s="414"/>
      <c r="R11" s="414"/>
      <c r="S11" s="414"/>
      <c r="T11" s="414"/>
    </row>
    <row r="12" spans="2:20" x14ac:dyDescent="0.25">
      <c r="B12" s="414" t="s">
        <v>1006</v>
      </c>
      <c r="C12" s="414"/>
      <c r="D12" s="414"/>
      <c r="E12" s="414"/>
      <c r="F12" s="414"/>
      <c r="G12" s="414"/>
      <c r="H12" s="414"/>
      <c r="I12" s="414"/>
      <c r="J12" s="414"/>
      <c r="K12" s="414"/>
      <c r="L12" s="414"/>
      <c r="M12" s="414"/>
      <c r="N12" s="414"/>
      <c r="O12" s="414"/>
      <c r="Q12" s="414"/>
      <c r="R12" s="414"/>
      <c r="S12" s="414"/>
      <c r="T12" s="414"/>
    </row>
    <row r="13" spans="2:20" x14ac:dyDescent="0.25">
      <c r="B13" s="414" t="s">
        <v>1007</v>
      </c>
      <c r="C13" s="414"/>
      <c r="D13" s="414"/>
      <c r="E13" s="414"/>
      <c r="F13" s="414"/>
      <c r="G13" s="414"/>
      <c r="H13" s="414"/>
      <c r="I13" s="414"/>
      <c r="J13" s="414"/>
      <c r="K13" s="414"/>
      <c r="L13" s="414"/>
      <c r="M13" s="414"/>
      <c r="N13" s="414"/>
      <c r="O13" s="414"/>
      <c r="Q13" s="414"/>
      <c r="R13" s="414"/>
      <c r="S13" s="414"/>
      <c r="T13" s="414"/>
    </row>
    <row r="14" spans="2:20" x14ac:dyDescent="0.25">
      <c r="B14" s="414" t="s">
        <v>666</v>
      </c>
      <c r="C14" s="414"/>
      <c r="D14" s="414"/>
      <c r="E14" s="414"/>
      <c r="F14" s="414"/>
      <c r="G14" s="414"/>
      <c r="H14" s="414"/>
      <c r="I14" s="414"/>
      <c r="J14" s="414"/>
      <c r="K14" s="414"/>
      <c r="L14" s="414"/>
      <c r="M14" s="414"/>
      <c r="N14" s="414"/>
      <c r="O14" s="414"/>
      <c r="Q14" s="414"/>
      <c r="R14" s="414"/>
      <c r="S14" s="414"/>
      <c r="T14" s="414"/>
    </row>
    <row r="15" spans="2:20" x14ac:dyDescent="0.25">
      <c r="B15" s="414" t="s">
        <v>1008</v>
      </c>
      <c r="C15" s="414"/>
      <c r="D15" s="414"/>
      <c r="E15" s="414"/>
      <c r="F15" s="414"/>
      <c r="G15" s="414"/>
      <c r="H15" s="414"/>
      <c r="I15" s="414"/>
      <c r="J15" s="414"/>
      <c r="K15" s="414"/>
      <c r="L15" s="414"/>
      <c r="M15" s="414"/>
      <c r="N15" s="414"/>
      <c r="O15" s="414"/>
      <c r="Q15" s="414"/>
      <c r="R15" s="414"/>
      <c r="S15" s="414"/>
      <c r="T15" s="414"/>
    </row>
    <row r="16" spans="2:20" x14ac:dyDescent="0.25">
      <c r="B16" s="414" t="s">
        <v>1009</v>
      </c>
      <c r="C16" s="414"/>
      <c r="D16" s="414"/>
      <c r="E16" s="414"/>
      <c r="F16" s="414"/>
      <c r="G16" s="414"/>
      <c r="H16" s="414"/>
      <c r="I16" s="414"/>
      <c r="J16" s="414"/>
      <c r="K16" s="414"/>
      <c r="L16" s="414"/>
      <c r="M16" s="414"/>
      <c r="N16" s="414"/>
      <c r="O16" s="414"/>
      <c r="P16" s="414"/>
      <c r="Q16" s="414"/>
      <c r="R16" s="414"/>
      <c r="S16" s="414"/>
      <c r="T16" s="414"/>
    </row>
    <row r="17" spans="2:20" x14ac:dyDescent="0.25">
      <c r="B17" s="414" t="s">
        <v>1010</v>
      </c>
      <c r="C17" s="414"/>
      <c r="D17" s="414"/>
      <c r="E17" s="414"/>
      <c r="F17" s="414"/>
      <c r="G17" s="414"/>
      <c r="H17" s="414"/>
      <c r="I17" s="414"/>
      <c r="J17" s="414"/>
      <c r="K17" s="414"/>
      <c r="L17" s="414"/>
      <c r="M17" s="414"/>
      <c r="N17" s="414"/>
      <c r="O17" s="414"/>
      <c r="P17" s="414"/>
      <c r="Q17" s="414"/>
      <c r="R17" s="414"/>
      <c r="S17" s="414"/>
      <c r="T17" s="414"/>
    </row>
    <row r="18" spans="2:20" x14ac:dyDescent="0.25">
      <c r="B18" s="414" t="s">
        <v>1011</v>
      </c>
      <c r="C18" s="414"/>
      <c r="D18" s="414"/>
      <c r="E18" s="414"/>
      <c r="F18" s="414"/>
      <c r="G18" s="414"/>
      <c r="H18" s="414"/>
      <c r="I18" s="414"/>
      <c r="J18" s="414"/>
      <c r="K18" s="414"/>
      <c r="L18" s="414"/>
      <c r="M18" s="414"/>
      <c r="N18" s="414"/>
      <c r="O18" s="414"/>
      <c r="P18" s="414"/>
      <c r="Q18" s="414"/>
      <c r="R18" s="414"/>
      <c r="S18" s="414"/>
      <c r="T18" s="414"/>
    </row>
    <row r="19" spans="2:20" x14ac:dyDescent="0.25">
      <c r="B19" s="414" t="s">
        <v>1012</v>
      </c>
      <c r="C19" s="414"/>
      <c r="D19" s="414"/>
      <c r="E19" s="414"/>
      <c r="F19" s="414"/>
      <c r="G19" s="414"/>
      <c r="H19" s="414"/>
      <c r="I19" s="414"/>
      <c r="J19" s="414"/>
      <c r="K19" s="414"/>
      <c r="L19" s="414"/>
      <c r="M19" s="414"/>
      <c r="N19" s="414"/>
      <c r="O19" s="414"/>
      <c r="P19" s="414"/>
      <c r="Q19" s="414"/>
      <c r="R19" s="414"/>
      <c r="S19" s="414"/>
      <c r="T19" s="414"/>
    </row>
    <row r="20" spans="2:20" x14ac:dyDescent="0.25">
      <c r="B20" s="414" t="s">
        <v>1013</v>
      </c>
      <c r="C20" s="414"/>
      <c r="D20" s="414"/>
      <c r="E20" s="414"/>
      <c r="F20" s="414"/>
      <c r="G20" s="414"/>
      <c r="H20" s="414"/>
      <c r="I20" s="414"/>
      <c r="J20" s="414"/>
      <c r="K20" s="414"/>
      <c r="L20" s="414"/>
      <c r="M20" s="414"/>
      <c r="N20" s="414"/>
      <c r="O20" s="414"/>
      <c r="P20" s="414"/>
      <c r="Q20" s="414"/>
      <c r="R20" s="414"/>
      <c r="S20" s="414"/>
      <c r="T20" s="4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D946F-F03F-4A7C-8494-5D509891D537}">
  <dimension ref="A1:J92"/>
  <sheetViews>
    <sheetView showGridLines="0" zoomScale="85" zoomScaleNormal="85" zoomScaleSheetLayoutView="85" workbookViewId="0">
      <pane ySplit="11" topLeftCell="A12" activePane="bottomLeft" state="frozen"/>
      <selection activeCell="B6" sqref="B6:B7"/>
      <selection pane="bottomLeft" activeCell="B6" sqref="B6:B7"/>
    </sheetView>
  </sheetViews>
  <sheetFormatPr baseColWidth="10" defaultColWidth="11.42578125" defaultRowHeight="0" customHeight="1" zeroHeight="1" x14ac:dyDescent="0.25"/>
  <cols>
    <col min="1" max="1" width="7" style="309" customWidth="1"/>
    <col min="2" max="2" width="25.28515625" style="310" customWidth="1"/>
    <col min="3" max="3" width="41" style="311" customWidth="1"/>
    <col min="4" max="4" width="30" style="311" customWidth="1"/>
    <col min="5" max="5" width="34.140625" style="308" customWidth="1"/>
    <col min="6" max="6" width="25.7109375" style="308" customWidth="1"/>
    <col min="7" max="8" width="21.42578125" style="308" customWidth="1"/>
    <col min="9" max="9" width="15.42578125" style="308" customWidth="1"/>
    <col min="10" max="16384" width="11.42578125" style="312"/>
  </cols>
  <sheetData>
    <row r="1" spans="1:10" s="265" customFormat="1" ht="36.75" customHeight="1" x14ac:dyDescent="0.25">
      <c r="A1" s="723" t="s">
        <v>743</v>
      </c>
      <c r="B1" s="724"/>
      <c r="C1" s="724"/>
      <c r="D1" s="724"/>
      <c r="E1" s="724"/>
      <c r="F1" s="724"/>
      <c r="G1" s="724"/>
      <c r="H1" s="724"/>
      <c r="I1" s="725"/>
      <c r="J1" s="294"/>
    </row>
    <row r="2" spans="1:10" s="265" customFormat="1" ht="36.75" customHeight="1" thickBot="1" x14ac:dyDescent="0.3">
      <c r="A2" s="726"/>
      <c r="B2" s="727"/>
      <c r="C2" s="727"/>
      <c r="D2" s="727"/>
      <c r="E2" s="727"/>
      <c r="F2" s="727"/>
      <c r="G2" s="727"/>
      <c r="H2" s="727"/>
      <c r="I2" s="728"/>
    </row>
    <row r="3" spans="1:10" s="265" customFormat="1" ht="9.75" customHeight="1" thickBot="1" x14ac:dyDescent="0.3">
      <c r="A3" s="294"/>
      <c r="B3" s="295"/>
      <c r="C3" s="295"/>
      <c r="D3" s="295"/>
      <c r="E3" s="296"/>
      <c r="F3" s="296"/>
      <c r="G3" s="296"/>
      <c r="H3" s="296"/>
      <c r="I3" s="296"/>
    </row>
    <row r="4" spans="1:10" s="265" customFormat="1" ht="13.5" hidden="1" customHeight="1" thickBot="1" x14ac:dyDescent="0.3">
      <c r="A4" s="714" t="s">
        <v>744</v>
      </c>
      <c r="B4" s="715"/>
      <c r="C4" s="716"/>
      <c r="D4" s="717" t="s">
        <v>745</v>
      </c>
      <c r="E4" s="717"/>
      <c r="F4" s="717"/>
      <c r="G4" s="717"/>
      <c r="H4" s="717"/>
      <c r="I4" s="323"/>
    </row>
    <row r="5" spans="1:10" s="265" customFormat="1" ht="30" customHeight="1" x14ac:dyDescent="0.25">
      <c r="A5" s="718" t="s">
        <v>676</v>
      </c>
      <c r="B5" s="719"/>
      <c r="C5" s="729" t="s">
        <v>843</v>
      </c>
      <c r="D5" s="729"/>
      <c r="E5" s="729"/>
      <c r="F5" s="729"/>
      <c r="G5" s="729"/>
      <c r="H5" s="729"/>
      <c r="I5" s="730"/>
    </row>
    <row r="6" spans="1:10" s="265" customFormat="1" ht="22.5" customHeight="1" thickBot="1" x14ac:dyDescent="0.3">
      <c r="A6" s="720" t="s">
        <v>746</v>
      </c>
      <c r="B6" s="721"/>
      <c r="C6" s="731">
        <v>44621</v>
      </c>
      <c r="D6" s="731"/>
      <c r="E6" s="731"/>
      <c r="F6" s="731"/>
      <c r="G6" s="731"/>
      <c r="H6" s="731"/>
      <c r="I6" s="732"/>
    </row>
    <row r="7" spans="1:10" ht="8.25" customHeight="1" thickBot="1" x14ac:dyDescent="0.3">
      <c r="A7" s="297"/>
      <c r="B7" s="298"/>
      <c r="C7" s="299"/>
      <c r="D7" s="299"/>
      <c r="E7" s="300"/>
      <c r="F7" s="300"/>
      <c r="G7" s="300"/>
      <c r="H7" s="300"/>
      <c r="I7" s="300"/>
    </row>
    <row r="8" spans="1:10" ht="18" customHeight="1" x14ac:dyDescent="0.25">
      <c r="A8" s="708" t="s">
        <v>655</v>
      </c>
      <c r="B8" s="709"/>
      <c r="C8" s="709"/>
      <c r="D8" s="709"/>
      <c r="E8" s="709"/>
      <c r="F8" s="709"/>
      <c r="G8" s="709"/>
      <c r="H8" s="709"/>
      <c r="I8" s="710"/>
    </row>
    <row r="9" spans="1:10" ht="18" customHeight="1" thickBot="1" x14ac:dyDescent="0.3">
      <c r="A9" s="711"/>
      <c r="B9" s="712"/>
      <c r="C9" s="712"/>
      <c r="D9" s="712"/>
      <c r="E9" s="712"/>
      <c r="F9" s="712"/>
      <c r="G9" s="712"/>
      <c r="H9" s="712"/>
      <c r="I9" s="713"/>
    </row>
    <row r="10" spans="1:10" ht="18" customHeight="1" x14ac:dyDescent="0.25">
      <c r="A10" s="737" t="s">
        <v>656</v>
      </c>
      <c r="B10" s="706" t="s">
        <v>747</v>
      </c>
      <c r="C10" s="706" t="s">
        <v>657</v>
      </c>
      <c r="D10" s="706" t="s">
        <v>658</v>
      </c>
      <c r="E10" s="706" t="s">
        <v>659</v>
      </c>
      <c r="F10" s="733" t="s">
        <v>660</v>
      </c>
      <c r="G10" s="735" t="s">
        <v>661</v>
      </c>
      <c r="H10" s="736"/>
      <c r="I10" s="324" t="s">
        <v>662</v>
      </c>
    </row>
    <row r="11" spans="1:10" ht="16.5" customHeight="1" thickBot="1" x14ac:dyDescent="0.3">
      <c r="A11" s="738"/>
      <c r="B11" s="707"/>
      <c r="C11" s="707"/>
      <c r="D11" s="707"/>
      <c r="E11" s="707"/>
      <c r="F11" s="734"/>
      <c r="G11" s="325" t="s">
        <v>663</v>
      </c>
      <c r="H11" s="326" t="s">
        <v>664</v>
      </c>
      <c r="I11" s="327">
        <f>I12+I13+I14+I19+I23+I36+I39+I44+I49</f>
        <v>1</v>
      </c>
    </row>
    <row r="12" spans="1:10" ht="65.25" customHeight="1" x14ac:dyDescent="0.25">
      <c r="A12" s="328">
        <v>1</v>
      </c>
      <c r="B12" s="329" t="s">
        <v>100</v>
      </c>
      <c r="C12" s="329" t="s">
        <v>748</v>
      </c>
      <c r="D12" s="329" t="s">
        <v>749</v>
      </c>
      <c r="E12" s="330" t="s">
        <v>762</v>
      </c>
      <c r="F12" s="331">
        <v>1</v>
      </c>
      <c r="G12" s="332">
        <v>44228</v>
      </c>
      <c r="H12" s="333">
        <v>44286</v>
      </c>
      <c r="I12" s="375">
        <v>0.10199999999999999</v>
      </c>
    </row>
    <row r="13" spans="1:10" ht="69" customHeight="1" x14ac:dyDescent="0.25">
      <c r="A13" s="334">
        <v>2</v>
      </c>
      <c r="B13" s="335" t="s">
        <v>100</v>
      </c>
      <c r="C13" s="335" t="s">
        <v>750</v>
      </c>
      <c r="D13" s="335" t="s">
        <v>749</v>
      </c>
      <c r="E13" s="336" t="s">
        <v>751</v>
      </c>
      <c r="F13" s="337">
        <v>1</v>
      </c>
      <c r="G13" s="338">
        <v>44228</v>
      </c>
      <c r="H13" s="339">
        <v>44561</v>
      </c>
      <c r="I13" s="376">
        <v>7.0000000000000007E-2</v>
      </c>
    </row>
    <row r="14" spans="1:10" ht="61.5" customHeight="1" x14ac:dyDescent="0.25">
      <c r="A14" s="340">
        <v>3</v>
      </c>
      <c r="B14" s="722" t="s">
        <v>752</v>
      </c>
      <c r="C14" s="722"/>
      <c r="D14" s="341" t="s">
        <v>753</v>
      </c>
      <c r="E14" s="342" t="s">
        <v>754</v>
      </c>
      <c r="F14" s="343">
        <v>1</v>
      </c>
      <c r="G14" s="344">
        <v>44228</v>
      </c>
      <c r="H14" s="345">
        <v>44561</v>
      </c>
      <c r="I14" s="377">
        <f>SUM(I15:I18)</f>
        <v>9.1999999999999998E-2</v>
      </c>
    </row>
    <row r="15" spans="1:10" ht="54" customHeight="1" x14ac:dyDescent="0.25">
      <c r="A15" s="346" t="s">
        <v>844</v>
      </c>
      <c r="B15" s="347" t="s">
        <v>845</v>
      </c>
      <c r="C15" s="348" t="s">
        <v>846</v>
      </c>
      <c r="D15" s="349" t="s">
        <v>847</v>
      </c>
      <c r="E15" s="350" t="s">
        <v>848</v>
      </c>
      <c r="F15" s="351">
        <v>1</v>
      </c>
      <c r="G15" s="352">
        <v>44593</v>
      </c>
      <c r="H15" s="353">
        <v>44926</v>
      </c>
      <c r="I15" s="378">
        <v>2.3E-2</v>
      </c>
    </row>
    <row r="16" spans="1:10" ht="84.75" customHeight="1" x14ac:dyDescent="0.25">
      <c r="A16" s="346" t="s">
        <v>849</v>
      </c>
      <c r="B16" s="347" t="s">
        <v>845</v>
      </c>
      <c r="C16" s="348" t="s">
        <v>850</v>
      </c>
      <c r="D16" s="349" t="s">
        <v>847</v>
      </c>
      <c r="E16" s="354" t="s">
        <v>851</v>
      </c>
      <c r="F16" s="351">
        <v>1</v>
      </c>
      <c r="G16" s="352">
        <v>44593</v>
      </c>
      <c r="H16" s="353">
        <v>44926</v>
      </c>
      <c r="I16" s="378">
        <v>2.3E-2</v>
      </c>
    </row>
    <row r="17" spans="1:9" ht="77.25" customHeight="1" x14ac:dyDescent="0.25">
      <c r="A17" s="346" t="s">
        <v>852</v>
      </c>
      <c r="B17" s="347" t="s">
        <v>629</v>
      </c>
      <c r="C17" s="355" t="s">
        <v>853</v>
      </c>
      <c r="D17" s="349" t="s">
        <v>847</v>
      </c>
      <c r="E17" s="354" t="s">
        <v>854</v>
      </c>
      <c r="F17" s="351">
        <v>1</v>
      </c>
      <c r="G17" s="352">
        <v>44593</v>
      </c>
      <c r="H17" s="353">
        <v>44926</v>
      </c>
      <c r="I17" s="378">
        <v>2.3E-2</v>
      </c>
    </row>
    <row r="18" spans="1:9" ht="60.75" customHeight="1" x14ac:dyDescent="0.25">
      <c r="A18" s="346" t="s">
        <v>855</v>
      </c>
      <c r="B18" s="347" t="s">
        <v>629</v>
      </c>
      <c r="C18" s="355" t="s">
        <v>856</v>
      </c>
      <c r="D18" s="349" t="s">
        <v>847</v>
      </c>
      <c r="E18" s="354" t="s">
        <v>857</v>
      </c>
      <c r="F18" s="351">
        <v>1</v>
      </c>
      <c r="G18" s="352">
        <v>44593</v>
      </c>
      <c r="H18" s="353">
        <v>44926</v>
      </c>
      <c r="I18" s="378">
        <v>2.3E-2</v>
      </c>
    </row>
    <row r="19" spans="1:9" s="356" customFormat="1" ht="51.75" customHeight="1" x14ac:dyDescent="0.25">
      <c r="A19" s="340">
        <v>4</v>
      </c>
      <c r="B19" s="722" t="s">
        <v>755</v>
      </c>
      <c r="C19" s="722"/>
      <c r="D19" s="341" t="s">
        <v>753</v>
      </c>
      <c r="E19" s="342" t="s">
        <v>754</v>
      </c>
      <c r="F19" s="343">
        <v>1</v>
      </c>
      <c r="G19" s="344">
        <v>44593</v>
      </c>
      <c r="H19" s="345">
        <v>44926</v>
      </c>
      <c r="I19" s="377">
        <f>SUM(I20:I22)</f>
        <v>6.9000000000000006E-2</v>
      </c>
    </row>
    <row r="20" spans="1:9" ht="117" customHeight="1" x14ac:dyDescent="0.25">
      <c r="A20" s="346" t="s">
        <v>858</v>
      </c>
      <c r="B20" s="347" t="s">
        <v>859</v>
      </c>
      <c r="C20" s="348" t="s">
        <v>860</v>
      </c>
      <c r="D20" s="347" t="s">
        <v>861</v>
      </c>
      <c r="E20" s="354" t="s">
        <v>862</v>
      </c>
      <c r="F20" s="351">
        <v>1</v>
      </c>
      <c r="G20" s="352">
        <v>44593</v>
      </c>
      <c r="H20" s="353">
        <v>44926</v>
      </c>
      <c r="I20" s="378">
        <v>2.3E-2</v>
      </c>
    </row>
    <row r="21" spans="1:9" ht="117" customHeight="1" x14ac:dyDescent="0.25">
      <c r="A21" s="346" t="s">
        <v>863</v>
      </c>
      <c r="B21" s="347" t="s">
        <v>859</v>
      </c>
      <c r="C21" s="348" t="s">
        <v>864</v>
      </c>
      <c r="D21" s="347" t="s">
        <v>861</v>
      </c>
      <c r="E21" s="354" t="s">
        <v>865</v>
      </c>
      <c r="F21" s="351">
        <v>1</v>
      </c>
      <c r="G21" s="352">
        <v>44593</v>
      </c>
      <c r="H21" s="353">
        <v>44926</v>
      </c>
      <c r="I21" s="378">
        <v>2.3E-2</v>
      </c>
    </row>
    <row r="22" spans="1:9" ht="155.25" customHeight="1" x14ac:dyDescent="0.25">
      <c r="A22" s="346" t="s">
        <v>866</v>
      </c>
      <c r="B22" s="347" t="s">
        <v>859</v>
      </c>
      <c r="C22" s="348" t="s">
        <v>867</v>
      </c>
      <c r="D22" s="347" t="s">
        <v>861</v>
      </c>
      <c r="E22" s="354" t="s">
        <v>868</v>
      </c>
      <c r="F22" s="351">
        <v>1</v>
      </c>
      <c r="G22" s="352">
        <v>44593</v>
      </c>
      <c r="H22" s="353">
        <v>44926</v>
      </c>
      <c r="I22" s="378">
        <v>2.3E-2</v>
      </c>
    </row>
    <row r="23" spans="1:9" ht="46.5" customHeight="1" x14ac:dyDescent="0.25">
      <c r="A23" s="340">
        <v>5</v>
      </c>
      <c r="B23" s="722" t="s">
        <v>756</v>
      </c>
      <c r="C23" s="722"/>
      <c r="D23" s="341" t="s">
        <v>753</v>
      </c>
      <c r="E23" s="342" t="s">
        <v>754</v>
      </c>
      <c r="F23" s="343">
        <v>1</v>
      </c>
      <c r="G23" s="344">
        <v>44593</v>
      </c>
      <c r="H23" s="345">
        <v>44926</v>
      </c>
      <c r="I23" s="377">
        <f>SUM(I24:I35)</f>
        <v>0.27599999999999997</v>
      </c>
    </row>
    <row r="24" spans="1:9" ht="61.5" customHeight="1" x14ac:dyDescent="0.25">
      <c r="A24" s="346" t="s">
        <v>869</v>
      </c>
      <c r="B24" s="347" t="s">
        <v>634</v>
      </c>
      <c r="C24" s="348" t="s">
        <v>870</v>
      </c>
      <c r="D24" s="349" t="s">
        <v>749</v>
      </c>
      <c r="E24" s="354" t="s">
        <v>871</v>
      </c>
      <c r="F24" s="351">
        <v>1</v>
      </c>
      <c r="G24" s="352">
        <v>44593</v>
      </c>
      <c r="H24" s="353">
        <v>44926</v>
      </c>
      <c r="I24" s="378">
        <v>2.3E-2</v>
      </c>
    </row>
    <row r="25" spans="1:9" ht="101.25" customHeight="1" x14ac:dyDescent="0.25">
      <c r="A25" s="346" t="s">
        <v>872</v>
      </c>
      <c r="B25" s="347" t="s">
        <v>873</v>
      </c>
      <c r="C25" s="348" t="s">
        <v>874</v>
      </c>
      <c r="D25" s="349" t="s">
        <v>875</v>
      </c>
      <c r="E25" s="354" t="s">
        <v>876</v>
      </c>
      <c r="F25" s="351">
        <v>1</v>
      </c>
      <c r="G25" s="352">
        <v>44593</v>
      </c>
      <c r="H25" s="353">
        <v>44926</v>
      </c>
      <c r="I25" s="378">
        <v>2.3E-2</v>
      </c>
    </row>
    <row r="26" spans="1:9" ht="70.5" customHeight="1" x14ac:dyDescent="0.25">
      <c r="A26" s="346" t="s">
        <v>877</v>
      </c>
      <c r="B26" s="347" t="s">
        <v>634</v>
      </c>
      <c r="C26" s="348" t="s">
        <v>878</v>
      </c>
      <c r="D26" s="349" t="s">
        <v>875</v>
      </c>
      <c r="E26" s="354" t="s">
        <v>879</v>
      </c>
      <c r="F26" s="351">
        <v>1</v>
      </c>
      <c r="G26" s="352">
        <v>44593</v>
      </c>
      <c r="H26" s="353">
        <v>44926</v>
      </c>
      <c r="I26" s="378">
        <v>2.3E-2</v>
      </c>
    </row>
    <row r="27" spans="1:9" ht="70.5" customHeight="1" x14ac:dyDescent="0.25">
      <c r="A27" s="346">
        <v>5.4</v>
      </c>
      <c r="B27" s="347" t="s">
        <v>880</v>
      </c>
      <c r="C27" s="348" t="s">
        <v>881</v>
      </c>
      <c r="D27" s="349" t="s">
        <v>882</v>
      </c>
      <c r="E27" s="354" t="s">
        <v>883</v>
      </c>
      <c r="F27" s="351">
        <v>1</v>
      </c>
      <c r="G27" s="352">
        <v>44593</v>
      </c>
      <c r="H27" s="353">
        <v>44926</v>
      </c>
      <c r="I27" s="378">
        <v>2.3E-2</v>
      </c>
    </row>
    <row r="28" spans="1:9" ht="96" customHeight="1" x14ac:dyDescent="0.25">
      <c r="A28" s="346">
        <v>5.5</v>
      </c>
      <c r="B28" s="347" t="s">
        <v>884</v>
      </c>
      <c r="C28" s="348" t="s">
        <v>885</v>
      </c>
      <c r="D28" s="349" t="s">
        <v>886</v>
      </c>
      <c r="E28" s="354" t="s">
        <v>887</v>
      </c>
      <c r="F28" s="351">
        <v>1</v>
      </c>
      <c r="G28" s="352">
        <v>44593</v>
      </c>
      <c r="H28" s="353">
        <v>44926</v>
      </c>
      <c r="I28" s="378">
        <v>2.3E-2</v>
      </c>
    </row>
    <row r="29" spans="1:9" ht="135.75" customHeight="1" x14ac:dyDescent="0.25">
      <c r="A29" s="346">
        <v>5.6</v>
      </c>
      <c r="B29" s="347" t="s">
        <v>884</v>
      </c>
      <c r="C29" s="348" t="s">
        <v>888</v>
      </c>
      <c r="D29" s="349" t="s">
        <v>884</v>
      </c>
      <c r="E29" s="354" t="s">
        <v>889</v>
      </c>
      <c r="F29" s="351">
        <v>1</v>
      </c>
      <c r="G29" s="352">
        <v>44593</v>
      </c>
      <c r="H29" s="353">
        <v>44926</v>
      </c>
      <c r="I29" s="378">
        <v>2.3E-2</v>
      </c>
    </row>
    <row r="30" spans="1:9" ht="88.5" customHeight="1" x14ac:dyDescent="0.25">
      <c r="A30" s="346">
        <v>5.7</v>
      </c>
      <c r="B30" s="347" t="s">
        <v>884</v>
      </c>
      <c r="C30" s="348" t="s">
        <v>890</v>
      </c>
      <c r="D30" s="349" t="s">
        <v>891</v>
      </c>
      <c r="E30" s="354" t="s">
        <v>892</v>
      </c>
      <c r="F30" s="351">
        <v>1</v>
      </c>
      <c r="G30" s="352">
        <v>44593</v>
      </c>
      <c r="H30" s="353">
        <v>44926</v>
      </c>
      <c r="I30" s="378">
        <v>2.3E-2</v>
      </c>
    </row>
    <row r="31" spans="1:9" ht="66" customHeight="1" x14ac:dyDescent="0.25">
      <c r="A31" s="346">
        <v>5.8</v>
      </c>
      <c r="B31" s="347" t="s">
        <v>884</v>
      </c>
      <c r="C31" s="355" t="s">
        <v>893</v>
      </c>
      <c r="D31" s="349" t="s">
        <v>639</v>
      </c>
      <c r="E31" s="354" t="s">
        <v>894</v>
      </c>
      <c r="F31" s="351">
        <v>1</v>
      </c>
      <c r="G31" s="352">
        <v>44593</v>
      </c>
      <c r="H31" s="353">
        <v>44926</v>
      </c>
      <c r="I31" s="378">
        <v>2.3E-2</v>
      </c>
    </row>
    <row r="32" spans="1:9" ht="66" customHeight="1" x14ac:dyDescent="0.25">
      <c r="A32" s="346">
        <v>5.9</v>
      </c>
      <c r="B32" s="347" t="s">
        <v>884</v>
      </c>
      <c r="C32" s="355" t="s">
        <v>895</v>
      </c>
      <c r="D32" s="349" t="s">
        <v>639</v>
      </c>
      <c r="E32" s="354" t="s">
        <v>896</v>
      </c>
      <c r="F32" s="351">
        <v>1</v>
      </c>
      <c r="G32" s="352">
        <v>44593</v>
      </c>
      <c r="H32" s="353">
        <v>44926</v>
      </c>
      <c r="I32" s="378">
        <v>2.3E-2</v>
      </c>
    </row>
    <row r="33" spans="1:9" ht="66" customHeight="1" x14ac:dyDescent="0.25">
      <c r="A33" s="357">
        <v>5.0999999999999996</v>
      </c>
      <c r="B33" s="347" t="s">
        <v>635</v>
      </c>
      <c r="C33" s="355" t="s">
        <v>897</v>
      </c>
      <c r="D33" s="349" t="s">
        <v>898</v>
      </c>
      <c r="E33" s="358" t="s">
        <v>899</v>
      </c>
      <c r="F33" s="351">
        <v>1</v>
      </c>
      <c r="G33" s="352">
        <v>44593</v>
      </c>
      <c r="H33" s="353">
        <v>44926</v>
      </c>
      <c r="I33" s="378">
        <v>2.3E-2</v>
      </c>
    </row>
    <row r="34" spans="1:9" ht="66" customHeight="1" x14ac:dyDescent="0.25">
      <c r="A34" s="346">
        <v>5.1100000000000003</v>
      </c>
      <c r="B34" s="347" t="s">
        <v>635</v>
      </c>
      <c r="C34" s="355" t="s">
        <v>900</v>
      </c>
      <c r="D34" s="349" t="s">
        <v>666</v>
      </c>
      <c r="E34" s="354" t="s">
        <v>901</v>
      </c>
      <c r="F34" s="351">
        <v>1</v>
      </c>
      <c r="G34" s="352">
        <v>44593</v>
      </c>
      <c r="H34" s="353">
        <v>44926</v>
      </c>
      <c r="I34" s="378">
        <v>2.3E-2</v>
      </c>
    </row>
    <row r="35" spans="1:9" ht="66" customHeight="1" x14ac:dyDescent="0.25">
      <c r="A35" s="346">
        <v>5.12</v>
      </c>
      <c r="B35" s="347" t="s">
        <v>636</v>
      </c>
      <c r="C35" s="355" t="s">
        <v>902</v>
      </c>
      <c r="D35" s="349" t="s">
        <v>666</v>
      </c>
      <c r="E35" s="354" t="s">
        <v>903</v>
      </c>
      <c r="F35" s="351">
        <v>1</v>
      </c>
      <c r="G35" s="352">
        <v>44593</v>
      </c>
      <c r="H35" s="353">
        <v>44926</v>
      </c>
      <c r="I35" s="378">
        <v>2.3E-2</v>
      </c>
    </row>
    <row r="36" spans="1:9" ht="71.25" customHeight="1" x14ac:dyDescent="0.25">
      <c r="A36" s="340">
        <v>6</v>
      </c>
      <c r="B36" s="722" t="s">
        <v>757</v>
      </c>
      <c r="C36" s="722"/>
      <c r="D36" s="341" t="s">
        <v>753</v>
      </c>
      <c r="E36" s="342" t="s">
        <v>754</v>
      </c>
      <c r="F36" s="359">
        <v>1</v>
      </c>
      <c r="G36" s="344">
        <v>44593</v>
      </c>
      <c r="H36" s="345">
        <v>44926</v>
      </c>
      <c r="I36" s="377">
        <f>SUM(I37:I38)</f>
        <v>4.5999999999999999E-2</v>
      </c>
    </row>
    <row r="37" spans="1:9" ht="71.25" customHeight="1" x14ac:dyDescent="0.25">
      <c r="A37" s="346" t="s">
        <v>904</v>
      </c>
      <c r="B37" s="347" t="s">
        <v>905</v>
      </c>
      <c r="C37" s="348" t="s">
        <v>906</v>
      </c>
      <c r="D37" s="347" t="s">
        <v>875</v>
      </c>
      <c r="E37" s="354" t="s">
        <v>907</v>
      </c>
      <c r="F37" s="351">
        <v>1</v>
      </c>
      <c r="G37" s="352">
        <v>44593</v>
      </c>
      <c r="H37" s="353">
        <v>44926</v>
      </c>
      <c r="I37" s="378">
        <v>2.3E-2</v>
      </c>
    </row>
    <row r="38" spans="1:9" ht="72" customHeight="1" x14ac:dyDescent="0.25">
      <c r="A38" s="346" t="s">
        <v>908</v>
      </c>
      <c r="B38" s="347" t="s">
        <v>905</v>
      </c>
      <c r="C38" s="348" t="s">
        <v>909</v>
      </c>
      <c r="D38" s="349" t="s">
        <v>749</v>
      </c>
      <c r="E38" s="354" t="s">
        <v>910</v>
      </c>
      <c r="F38" s="351">
        <v>1</v>
      </c>
      <c r="G38" s="352">
        <v>44593</v>
      </c>
      <c r="H38" s="353">
        <v>44926</v>
      </c>
      <c r="I38" s="378">
        <v>2.3E-2</v>
      </c>
    </row>
    <row r="39" spans="1:9" ht="66.75" customHeight="1" x14ac:dyDescent="0.25">
      <c r="A39" s="340">
        <v>7</v>
      </c>
      <c r="B39" s="722" t="s">
        <v>758</v>
      </c>
      <c r="C39" s="722"/>
      <c r="D39" s="341" t="s">
        <v>753</v>
      </c>
      <c r="E39" s="342" t="s">
        <v>754</v>
      </c>
      <c r="F39" s="359">
        <v>1</v>
      </c>
      <c r="G39" s="344">
        <v>44593</v>
      </c>
      <c r="H39" s="345">
        <v>44926</v>
      </c>
      <c r="I39" s="377">
        <f>SUM(I40:I43)</f>
        <v>9.1999999999999998E-2</v>
      </c>
    </row>
    <row r="40" spans="1:9" ht="72" customHeight="1" x14ac:dyDescent="0.25">
      <c r="A40" s="346" t="s">
        <v>911</v>
      </c>
      <c r="B40" s="347" t="s">
        <v>912</v>
      </c>
      <c r="C40" s="348" t="s">
        <v>913</v>
      </c>
      <c r="D40" s="349" t="s">
        <v>914</v>
      </c>
      <c r="E40" s="354" t="s">
        <v>915</v>
      </c>
      <c r="F40" s="351">
        <v>1</v>
      </c>
      <c r="G40" s="352">
        <v>44593</v>
      </c>
      <c r="H40" s="353">
        <v>44926</v>
      </c>
      <c r="I40" s="378">
        <v>2.3E-2</v>
      </c>
    </row>
    <row r="41" spans="1:9" ht="72" customHeight="1" x14ac:dyDescent="0.25">
      <c r="A41" s="346" t="s">
        <v>916</v>
      </c>
      <c r="B41" s="347" t="s">
        <v>912</v>
      </c>
      <c r="C41" s="348" t="s">
        <v>917</v>
      </c>
      <c r="D41" s="349" t="s">
        <v>861</v>
      </c>
      <c r="E41" s="354" t="s">
        <v>918</v>
      </c>
      <c r="F41" s="351">
        <v>1</v>
      </c>
      <c r="G41" s="352">
        <v>44593</v>
      </c>
      <c r="H41" s="353">
        <v>44742</v>
      </c>
      <c r="I41" s="378">
        <v>2.3E-2</v>
      </c>
    </row>
    <row r="42" spans="1:9" ht="72" customHeight="1" x14ac:dyDescent="0.25">
      <c r="A42" s="346" t="s">
        <v>919</v>
      </c>
      <c r="B42" s="360" t="s">
        <v>912</v>
      </c>
      <c r="C42" s="361" t="s">
        <v>920</v>
      </c>
      <c r="D42" s="362" t="s">
        <v>921</v>
      </c>
      <c r="E42" s="363" t="s">
        <v>922</v>
      </c>
      <c r="F42" s="364">
        <v>1</v>
      </c>
      <c r="G42" s="352">
        <v>44593</v>
      </c>
      <c r="H42" s="353">
        <v>44926</v>
      </c>
      <c r="I42" s="378">
        <v>2.3E-2</v>
      </c>
    </row>
    <row r="43" spans="1:9" ht="72" customHeight="1" x14ac:dyDescent="0.25">
      <c r="A43" s="346">
        <v>7.4</v>
      </c>
      <c r="B43" s="360" t="s">
        <v>912</v>
      </c>
      <c r="C43" s="361" t="s">
        <v>923</v>
      </c>
      <c r="D43" s="362" t="s">
        <v>921</v>
      </c>
      <c r="E43" s="363" t="s">
        <v>924</v>
      </c>
      <c r="F43" s="364">
        <v>1</v>
      </c>
      <c r="G43" s="352">
        <v>44593</v>
      </c>
      <c r="H43" s="353">
        <v>44926</v>
      </c>
      <c r="I43" s="378">
        <v>2.3E-2</v>
      </c>
    </row>
    <row r="44" spans="1:9" ht="68.25" customHeight="1" x14ac:dyDescent="0.25">
      <c r="A44" s="340">
        <v>8</v>
      </c>
      <c r="B44" s="722" t="s">
        <v>759</v>
      </c>
      <c r="C44" s="722"/>
      <c r="D44" s="341" t="s">
        <v>753</v>
      </c>
      <c r="E44" s="342" t="s">
        <v>754</v>
      </c>
      <c r="F44" s="359">
        <v>1</v>
      </c>
      <c r="G44" s="344">
        <v>44593</v>
      </c>
      <c r="H44" s="345">
        <v>44926</v>
      </c>
      <c r="I44" s="377">
        <f>SUM(I45:I48)</f>
        <v>9.1999999999999998E-2</v>
      </c>
    </row>
    <row r="45" spans="1:9" ht="94.5" customHeight="1" x14ac:dyDescent="0.25">
      <c r="A45" s="346" t="s">
        <v>925</v>
      </c>
      <c r="B45" s="347" t="s">
        <v>926</v>
      </c>
      <c r="C45" s="348" t="s">
        <v>927</v>
      </c>
      <c r="D45" s="347" t="s">
        <v>875</v>
      </c>
      <c r="E45" s="354" t="s">
        <v>918</v>
      </c>
      <c r="F45" s="351">
        <v>1</v>
      </c>
      <c r="G45" s="352">
        <v>44593</v>
      </c>
      <c r="H45" s="353">
        <v>44742</v>
      </c>
      <c r="I45" s="378">
        <v>2.3E-2</v>
      </c>
    </row>
    <row r="46" spans="1:9" ht="123.75" customHeight="1" x14ac:dyDescent="0.25">
      <c r="A46" s="346" t="s">
        <v>928</v>
      </c>
      <c r="B46" s="347" t="s">
        <v>926</v>
      </c>
      <c r="C46" s="348" t="s">
        <v>929</v>
      </c>
      <c r="D46" s="347" t="s">
        <v>875</v>
      </c>
      <c r="E46" s="354" t="s">
        <v>930</v>
      </c>
      <c r="F46" s="351">
        <v>1</v>
      </c>
      <c r="G46" s="352">
        <v>44593</v>
      </c>
      <c r="H46" s="353">
        <v>44926</v>
      </c>
      <c r="I46" s="378">
        <v>2.3E-2</v>
      </c>
    </row>
    <row r="47" spans="1:9" ht="123.75" customHeight="1" x14ac:dyDescent="0.25">
      <c r="A47" s="346" t="s">
        <v>931</v>
      </c>
      <c r="B47" s="347" t="s">
        <v>926</v>
      </c>
      <c r="C47" s="348" t="s">
        <v>932</v>
      </c>
      <c r="D47" s="347" t="s">
        <v>861</v>
      </c>
      <c r="E47" s="354" t="s">
        <v>933</v>
      </c>
      <c r="F47" s="351">
        <v>1</v>
      </c>
      <c r="G47" s="352">
        <v>44593</v>
      </c>
      <c r="H47" s="353">
        <v>44926</v>
      </c>
      <c r="I47" s="378">
        <v>2.3E-2</v>
      </c>
    </row>
    <row r="48" spans="1:9" ht="63" customHeight="1" x14ac:dyDescent="0.25">
      <c r="A48" s="346" t="s">
        <v>934</v>
      </c>
      <c r="B48" s="347" t="s">
        <v>926</v>
      </c>
      <c r="C48" s="348" t="s">
        <v>935</v>
      </c>
      <c r="D48" s="349" t="s">
        <v>847</v>
      </c>
      <c r="E48" s="354" t="s">
        <v>936</v>
      </c>
      <c r="F48" s="351">
        <v>1</v>
      </c>
      <c r="G48" s="352">
        <v>44593</v>
      </c>
      <c r="H48" s="353">
        <v>44926</v>
      </c>
      <c r="I48" s="378">
        <v>2.3E-2</v>
      </c>
    </row>
    <row r="49" spans="1:9" ht="73.5" customHeight="1" x14ac:dyDescent="0.25">
      <c r="A49" s="340">
        <v>9</v>
      </c>
      <c r="B49" s="722" t="s">
        <v>760</v>
      </c>
      <c r="C49" s="722"/>
      <c r="D49" s="341" t="s">
        <v>761</v>
      </c>
      <c r="E49" s="342" t="s">
        <v>754</v>
      </c>
      <c r="F49" s="343">
        <v>1</v>
      </c>
      <c r="G49" s="344">
        <v>44593</v>
      </c>
      <c r="H49" s="345">
        <v>44926</v>
      </c>
      <c r="I49" s="377">
        <f>SUM(I50:I56)</f>
        <v>0.16099999999999998</v>
      </c>
    </row>
    <row r="50" spans="1:9" ht="73.5" customHeight="1" x14ac:dyDescent="0.25">
      <c r="A50" s="346" t="s">
        <v>937</v>
      </c>
      <c r="B50" s="347" t="s">
        <v>938</v>
      </c>
      <c r="C50" s="348" t="s">
        <v>939</v>
      </c>
      <c r="D50" s="349" t="s">
        <v>861</v>
      </c>
      <c r="E50" s="354" t="s">
        <v>940</v>
      </c>
      <c r="F50" s="351">
        <v>1</v>
      </c>
      <c r="G50" s="352">
        <v>44593</v>
      </c>
      <c r="H50" s="353">
        <v>44926</v>
      </c>
      <c r="I50" s="378">
        <v>2.3E-2</v>
      </c>
    </row>
    <row r="51" spans="1:9" ht="73.5" customHeight="1" x14ac:dyDescent="0.25">
      <c r="A51" s="346" t="s">
        <v>941</v>
      </c>
      <c r="B51" s="347" t="s">
        <v>938</v>
      </c>
      <c r="C51" s="348" t="s">
        <v>942</v>
      </c>
      <c r="D51" s="349" t="s">
        <v>861</v>
      </c>
      <c r="E51" s="354" t="s">
        <v>862</v>
      </c>
      <c r="F51" s="351">
        <v>1</v>
      </c>
      <c r="G51" s="352">
        <v>44593</v>
      </c>
      <c r="H51" s="353">
        <v>44926</v>
      </c>
      <c r="I51" s="378">
        <v>2.3E-2</v>
      </c>
    </row>
    <row r="52" spans="1:9" ht="73.5" customHeight="1" x14ac:dyDescent="0.25">
      <c r="A52" s="346" t="s">
        <v>943</v>
      </c>
      <c r="B52" s="347" t="s">
        <v>938</v>
      </c>
      <c r="C52" s="348" t="s">
        <v>944</v>
      </c>
      <c r="D52" s="349" t="s">
        <v>861</v>
      </c>
      <c r="E52" s="354" t="s">
        <v>945</v>
      </c>
      <c r="F52" s="351">
        <v>1</v>
      </c>
      <c r="G52" s="352">
        <v>44593</v>
      </c>
      <c r="H52" s="353">
        <v>44926</v>
      </c>
      <c r="I52" s="378">
        <v>2.3E-2</v>
      </c>
    </row>
    <row r="53" spans="1:9" ht="73.5" customHeight="1" x14ac:dyDescent="0.25">
      <c r="A53" s="346" t="s">
        <v>946</v>
      </c>
      <c r="B53" s="347" t="s">
        <v>938</v>
      </c>
      <c r="C53" s="355" t="s">
        <v>947</v>
      </c>
      <c r="D53" s="349" t="s">
        <v>948</v>
      </c>
      <c r="E53" s="354" t="s">
        <v>949</v>
      </c>
      <c r="F53" s="351">
        <v>1</v>
      </c>
      <c r="G53" s="352">
        <v>44593</v>
      </c>
      <c r="H53" s="353">
        <v>44712</v>
      </c>
      <c r="I53" s="378">
        <v>2.3E-2</v>
      </c>
    </row>
    <row r="54" spans="1:9" ht="73.5" customHeight="1" x14ac:dyDescent="0.25">
      <c r="A54" s="346" t="s">
        <v>950</v>
      </c>
      <c r="B54" s="347" t="s">
        <v>938</v>
      </c>
      <c r="C54" s="355" t="s">
        <v>951</v>
      </c>
      <c r="D54" s="349" t="s">
        <v>938</v>
      </c>
      <c r="E54" s="354" t="s">
        <v>952</v>
      </c>
      <c r="F54" s="351">
        <v>1</v>
      </c>
      <c r="G54" s="352">
        <v>44593</v>
      </c>
      <c r="H54" s="353">
        <v>44926</v>
      </c>
      <c r="I54" s="378">
        <v>2.3E-2</v>
      </c>
    </row>
    <row r="55" spans="1:9" ht="72.75" customHeight="1" x14ac:dyDescent="0.25">
      <c r="A55" s="346" t="s">
        <v>953</v>
      </c>
      <c r="B55" s="347" t="s">
        <v>938</v>
      </c>
      <c r="C55" s="355" t="s">
        <v>954</v>
      </c>
      <c r="D55" s="349" t="s">
        <v>649</v>
      </c>
      <c r="E55" s="354" t="s">
        <v>955</v>
      </c>
      <c r="F55" s="351">
        <v>1</v>
      </c>
      <c r="G55" s="352">
        <v>44593</v>
      </c>
      <c r="H55" s="353">
        <v>44926</v>
      </c>
      <c r="I55" s="378">
        <v>2.3E-2</v>
      </c>
    </row>
    <row r="56" spans="1:9" ht="72.75" customHeight="1" thickBot="1" x14ac:dyDescent="0.3">
      <c r="A56" s="365" t="s">
        <v>956</v>
      </c>
      <c r="B56" s="366" t="s">
        <v>938</v>
      </c>
      <c r="C56" s="367" t="s">
        <v>957</v>
      </c>
      <c r="D56" s="368" t="s">
        <v>649</v>
      </c>
      <c r="E56" s="369" t="s">
        <v>958</v>
      </c>
      <c r="F56" s="370">
        <v>1</v>
      </c>
      <c r="G56" s="371">
        <v>44593</v>
      </c>
      <c r="H56" s="372">
        <v>44926</v>
      </c>
      <c r="I56" s="379">
        <v>2.3E-2</v>
      </c>
    </row>
    <row r="57" spans="1:9" ht="11.25" customHeight="1" x14ac:dyDescent="0.25">
      <c r="A57" s="302"/>
      <c r="B57" s="303"/>
      <c r="C57" s="304"/>
      <c r="D57" s="304"/>
      <c r="E57" s="305"/>
      <c r="F57" s="305"/>
      <c r="G57" s="305"/>
      <c r="H57" s="305"/>
      <c r="I57" s="305"/>
    </row>
    <row r="58" spans="1:9" ht="11.25" customHeight="1" x14ac:dyDescent="0.25">
      <c r="A58" s="373"/>
      <c r="B58" s="374"/>
    </row>
    <row r="59" spans="1:9" ht="11.25" customHeight="1" x14ac:dyDescent="0.25">
      <c r="A59" s="373"/>
      <c r="B59" s="374"/>
    </row>
    <row r="60" spans="1:9" ht="11.25" customHeight="1" x14ac:dyDescent="0.25">
      <c r="A60" s="373"/>
      <c r="B60" s="374"/>
    </row>
    <row r="61" spans="1:9" ht="16.5" customHeight="1" x14ac:dyDescent="0.25">
      <c r="A61" s="373"/>
      <c r="B61" s="374"/>
    </row>
    <row r="62" spans="1:9" ht="12.75" hidden="1" customHeight="1" x14ac:dyDescent="0.25">
      <c r="A62" s="302"/>
      <c r="B62" s="303"/>
      <c r="C62" s="306"/>
      <c r="D62" s="306"/>
      <c r="E62" s="307"/>
      <c r="F62" s="307"/>
      <c r="G62" s="301"/>
      <c r="H62" s="301"/>
      <c r="I62" s="301"/>
    </row>
    <row r="63" spans="1:9" ht="12.75" hidden="1" customHeight="1" x14ac:dyDescent="0.25">
      <c r="A63" s="301"/>
      <c r="B63" s="298"/>
      <c r="C63" s="298"/>
      <c r="D63" s="298"/>
      <c r="E63" s="301"/>
      <c r="F63" s="301"/>
    </row>
    <row r="64" spans="1:9" ht="12.75" hidden="1" customHeight="1" x14ac:dyDescent="0.25"/>
    <row r="65" spans="1:9" ht="12.75" hidden="1" customHeight="1" x14ac:dyDescent="0.25"/>
    <row r="66" spans="1:9" ht="12.75" hidden="1" customHeight="1" x14ac:dyDescent="0.25"/>
    <row r="67" spans="1:9" ht="12.75" hidden="1" customHeight="1" x14ac:dyDescent="0.25"/>
    <row r="68" spans="1:9" ht="12.75" hidden="1" customHeight="1" x14ac:dyDescent="0.25"/>
    <row r="69" spans="1:9" ht="12.75" hidden="1" customHeight="1" x14ac:dyDescent="0.25"/>
    <row r="70" spans="1:9" ht="12.75" hidden="1" customHeight="1" x14ac:dyDescent="0.25"/>
    <row r="71" spans="1:9" ht="12.75" hidden="1" customHeight="1" x14ac:dyDescent="0.25"/>
    <row r="72" spans="1:9" ht="12.75" hidden="1" customHeight="1" x14ac:dyDescent="0.25"/>
    <row r="73" spans="1:9" ht="12.75" hidden="1" customHeight="1" x14ac:dyDescent="0.25"/>
    <row r="74" spans="1:9" ht="12.75" hidden="1" customHeight="1" x14ac:dyDescent="0.25"/>
    <row r="75" spans="1:9" ht="12.75" hidden="1" customHeight="1" x14ac:dyDescent="0.25"/>
    <row r="76" spans="1:9" ht="12.75" hidden="1" customHeight="1" x14ac:dyDescent="0.25"/>
    <row r="77" spans="1:9" ht="12.75" hidden="1" customHeight="1" x14ac:dyDescent="0.25"/>
    <row r="78" spans="1:9" ht="12.75" hidden="1" customHeight="1" x14ac:dyDescent="0.25">
      <c r="G78" s="309"/>
      <c r="H78" s="309"/>
      <c r="I78" s="309"/>
    </row>
    <row r="79" spans="1:9" ht="12.75" hidden="1" customHeight="1" x14ac:dyDescent="0.25">
      <c r="A79" s="312"/>
      <c r="C79" s="310"/>
      <c r="D79" s="310"/>
      <c r="E79" s="309"/>
      <c r="F79" s="309"/>
      <c r="G79" s="309"/>
      <c r="H79" s="309"/>
      <c r="I79" s="309"/>
    </row>
    <row r="80" spans="1:9" ht="12.75" hidden="1" customHeight="1" x14ac:dyDescent="0.25">
      <c r="A80" s="312"/>
      <c r="C80" s="310"/>
      <c r="D80" s="310"/>
      <c r="E80" s="309"/>
      <c r="F80" s="309"/>
      <c r="G80" s="309"/>
      <c r="H80" s="309"/>
      <c r="I80" s="309"/>
    </row>
    <row r="81" spans="1:9" ht="12.75" hidden="1" customHeight="1" x14ac:dyDescent="0.25">
      <c r="A81" s="312"/>
      <c r="C81" s="310"/>
      <c r="D81" s="310"/>
      <c r="E81" s="309"/>
      <c r="F81" s="309"/>
      <c r="G81" s="309"/>
      <c r="H81" s="309"/>
      <c r="I81" s="309"/>
    </row>
    <row r="82" spans="1:9" ht="12.75" hidden="1" customHeight="1" x14ac:dyDescent="0.25">
      <c r="A82" s="312"/>
      <c r="C82" s="310"/>
      <c r="D82" s="310"/>
      <c r="E82" s="309"/>
      <c r="F82" s="309"/>
      <c r="G82" s="309"/>
      <c r="H82" s="309"/>
      <c r="I82" s="309"/>
    </row>
    <row r="83" spans="1:9" ht="12.75" hidden="1" customHeight="1" x14ac:dyDescent="0.25">
      <c r="A83" s="312"/>
      <c r="C83" s="310"/>
      <c r="D83" s="310"/>
      <c r="E83" s="309"/>
      <c r="F83" s="309"/>
      <c r="G83" s="309"/>
      <c r="H83" s="309"/>
      <c r="I83" s="309"/>
    </row>
    <row r="84" spans="1:9" ht="12.75" hidden="1" customHeight="1" x14ac:dyDescent="0.25">
      <c r="A84" s="312"/>
      <c r="C84" s="310"/>
      <c r="D84" s="310"/>
      <c r="E84" s="309"/>
      <c r="F84" s="309"/>
      <c r="G84" s="309"/>
      <c r="H84" s="309"/>
      <c r="I84" s="309"/>
    </row>
    <row r="85" spans="1:9" ht="12.75" hidden="1" customHeight="1" x14ac:dyDescent="0.25">
      <c r="A85" s="312"/>
      <c r="C85" s="310"/>
      <c r="D85" s="310"/>
      <c r="E85" s="309"/>
      <c r="F85" s="309"/>
      <c r="G85" s="309"/>
      <c r="H85" s="309"/>
      <c r="I85" s="309"/>
    </row>
    <row r="86" spans="1:9" ht="12.75" hidden="1" customHeight="1" x14ac:dyDescent="0.25">
      <c r="A86" s="312"/>
      <c r="C86" s="310"/>
      <c r="D86" s="310"/>
      <c r="E86" s="309"/>
      <c r="F86" s="309"/>
      <c r="G86" s="309"/>
      <c r="H86" s="309"/>
      <c r="I86" s="309"/>
    </row>
    <row r="87" spans="1:9" ht="12.75" hidden="1" customHeight="1" x14ac:dyDescent="0.25">
      <c r="A87" s="312"/>
      <c r="C87" s="310"/>
      <c r="D87" s="310"/>
      <c r="E87" s="309"/>
      <c r="F87" s="309"/>
      <c r="G87" s="309"/>
      <c r="H87" s="309"/>
      <c r="I87" s="309"/>
    </row>
    <row r="88" spans="1:9" ht="12.75" hidden="1" customHeight="1" x14ac:dyDescent="0.25">
      <c r="A88" s="312"/>
      <c r="C88" s="310"/>
      <c r="D88" s="310"/>
      <c r="E88" s="309"/>
      <c r="F88" s="309"/>
      <c r="G88" s="309"/>
      <c r="H88" s="309"/>
      <c r="I88" s="309"/>
    </row>
    <row r="89" spans="1:9" ht="12.75" hidden="1" customHeight="1" x14ac:dyDescent="0.25">
      <c r="A89" s="312"/>
      <c r="C89" s="310"/>
      <c r="D89" s="310"/>
      <c r="E89" s="309"/>
      <c r="F89" s="309"/>
      <c r="G89" s="309"/>
      <c r="H89" s="309"/>
      <c r="I89" s="309"/>
    </row>
    <row r="90" spans="1:9" ht="12.75" hidden="1" customHeight="1" x14ac:dyDescent="0.25">
      <c r="A90" s="312"/>
      <c r="C90" s="310"/>
      <c r="D90" s="310"/>
      <c r="E90" s="309"/>
      <c r="F90" s="309"/>
      <c r="G90" s="309"/>
      <c r="H90" s="309"/>
      <c r="I90" s="309"/>
    </row>
    <row r="91" spans="1:9" ht="12.75" hidden="1" customHeight="1" x14ac:dyDescent="0.25">
      <c r="A91" s="312"/>
      <c r="C91" s="310"/>
      <c r="D91" s="310"/>
      <c r="E91" s="309"/>
      <c r="F91" s="309"/>
      <c r="G91" s="309"/>
      <c r="H91" s="309"/>
      <c r="I91" s="309"/>
    </row>
    <row r="92" spans="1:9" ht="0" hidden="1" customHeight="1" x14ac:dyDescent="0.25">
      <c r="A92" s="312"/>
      <c r="C92" s="310"/>
      <c r="D92" s="310"/>
      <c r="E92" s="309"/>
      <c r="F92" s="309"/>
    </row>
  </sheetData>
  <autoFilter ref="A11:I56" xr:uid="{00000000-0009-0000-0000-000000000000}"/>
  <mergeCells count="22">
    <mergeCell ref="B39:C39"/>
    <mergeCell ref="B44:C44"/>
    <mergeCell ref="B49:C49"/>
    <mergeCell ref="A1:I2"/>
    <mergeCell ref="C5:I5"/>
    <mergeCell ref="C6:I6"/>
    <mergeCell ref="F10:F11"/>
    <mergeCell ref="G10:H10"/>
    <mergeCell ref="B14:C14"/>
    <mergeCell ref="B19:C19"/>
    <mergeCell ref="B23:C23"/>
    <mergeCell ref="B36:C36"/>
    <mergeCell ref="A10:A11"/>
    <mergeCell ref="B10:B11"/>
    <mergeCell ref="C10:C11"/>
    <mergeCell ref="D10:D11"/>
    <mergeCell ref="E10:E11"/>
    <mergeCell ref="A8:I9"/>
    <mergeCell ref="A4:C4"/>
    <mergeCell ref="D4:H4"/>
    <mergeCell ref="A5:B5"/>
    <mergeCell ref="A6:B6"/>
  </mergeCells>
  <pageMargins left="0.39370078740157483" right="0.39370078740157483" top="0.39370078740157483" bottom="0.39370078740157483" header="0.39370078740157483" footer="0.31496062992125984"/>
  <pageSetup paperSize="169" scale="60" orientation="landscape" r:id="rId1"/>
  <headerFooter>
    <oddFooter xml:space="preserve">&amp;C&amp;8&amp;P/&amp;N&amp;R&amp;8
</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D6ACB-6331-40A9-973B-A89D5875C759}">
  <dimension ref="A1:AA998"/>
  <sheetViews>
    <sheetView showGridLines="0" workbookViewId="0">
      <selection activeCell="B6" sqref="B6:B7"/>
    </sheetView>
  </sheetViews>
  <sheetFormatPr baseColWidth="10" defaultColWidth="0" defaultRowHeight="15" customHeight="1" zeroHeight="1" x14ac:dyDescent="0.25"/>
  <cols>
    <col min="1" max="1" width="4.28515625" style="61" customWidth="1"/>
    <col min="2" max="2" width="4" style="61" customWidth="1"/>
    <col min="3" max="3" width="23.140625" style="61" customWidth="1"/>
    <col min="4" max="4" width="12.5703125" style="61" customWidth="1"/>
    <col min="5" max="5" width="30.85546875" style="61" customWidth="1"/>
    <col min="6" max="6" width="17.28515625" style="61" customWidth="1"/>
    <col min="7" max="8" width="10.7109375" style="61" customWidth="1"/>
    <col min="9" max="9" width="18.5703125" style="61" customWidth="1"/>
    <col min="10" max="10" width="10.7109375" style="61" customWidth="1"/>
    <col min="11" max="27" width="10.7109375" style="61" hidden="1" customWidth="1"/>
    <col min="28" max="16384" width="14.42578125" style="61" hidden="1"/>
  </cols>
  <sheetData>
    <row r="1" spans="2:9" ht="15.75" x14ac:dyDescent="0.25">
      <c r="B1" s="59"/>
      <c r="C1" s="59"/>
      <c r="D1" s="60"/>
      <c r="E1" s="60"/>
      <c r="F1" s="60"/>
      <c r="G1" s="60"/>
      <c r="H1" s="60"/>
      <c r="I1" s="60"/>
    </row>
    <row r="2" spans="2:9" x14ac:dyDescent="0.25">
      <c r="B2" s="104"/>
      <c r="C2" s="761" t="s">
        <v>650</v>
      </c>
      <c r="D2" s="762"/>
      <c r="E2" s="762"/>
      <c r="F2" s="762"/>
      <c r="G2" s="762"/>
      <c r="H2" s="762"/>
      <c r="I2" s="762"/>
    </row>
    <row r="3" spans="2:9" ht="14.25" customHeight="1" x14ac:dyDescent="0.25">
      <c r="B3" s="104"/>
      <c r="C3" s="62"/>
      <c r="D3" s="63"/>
      <c r="E3" s="62"/>
      <c r="F3" s="64"/>
      <c r="G3" s="65"/>
      <c r="H3" s="66"/>
      <c r="I3" s="66"/>
    </row>
    <row r="4" spans="2:9" ht="14.25" customHeight="1" x14ac:dyDescent="0.25">
      <c r="B4" s="104"/>
      <c r="C4" s="62"/>
      <c r="D4" s="63"/>
      <c r="E4" s="62"/>
      <c r="F4" s="64"/>
      <c r="G4" s="65"/>
      <c r="H4" s="66"/>
      <c r="I4" s="66"/>
    </row>
    <row r="5" spans="2:9" ht="75" customHeight="1" x14ac:dyDescent="0.25">
      <c r="B5" s="104"/>
      <c r="C5" s="63" t="s">
        <v>651</v>
      </c>
      <c r="D5" s="763" t="s">
        <v>652</v>
      </c>
      <c r="E5" s="762"/>
      <c r="F5" s="762"/>
      <c r="G5" s="762"/>
      <c r="H5" s="762"/>
      <c r="I5" s="762"/>
    </row>
    <row r="6" spans="2:9" ht="5.25" customHeight="1" x14ac:dyDescent="0.25">
      <c r="B6" s="104"/>
      <c r="C6" s="67"/>
      <c r="D6" s="68"/>
      <c r="E6" s="62"/>
      <c r="F6" s="69"/>
      <c r="G6" s="69"/>
      <c r="H6" s="69"/>
      <c r="I6" s="69"/>
    </row>
    <row r="7" spans="2:9" ht="15.75" customHeight="1" x14ac:dyDescent="0.25">
      <c r="B7" s="104"/>
      <c r="C7" s="63" t="s">
        <v>653</v>
      </c>
      <c r="D7" s="763">
        <v>1</v>
      </c>
      <c r="E7" s="762"/>
      <c r="F7" s="762"/>
      <c r="G7" s="762"/>
      <c r="H7" s="762"/>
      <c r="I7" s="105"/>
    </row>
    <row r="8" spans="2:9" ht="6" customHeight="1" x14ac:dyDescent="0.25">
      <c r="B8" s="104"/>
      <c r="C8" s="70"/>
      <c r="D8" s="70"/>
      <c r="E8" s="70"/>
      <c r="F8" s="71"/>
      <c r="G8" s="71"/>
      <c r="H8" s="71"/>
      <c r="I8" s="71"/>
    </row>
    <row r="9" spans="2:9" ht="15.75" customHeight="1" x14ac:dyDescent="0.25">
      <c r="B9" s="104"/>
      <c r="C9" s="63" t="s">
        <v>654</v>
      </c>
      <c r="D9" s="764">
        <v>44579</v>
      </c>
      <c r="E9" s="762"/>
      <c r="F9" s="762"/>
      <c r="G9" s="762"/>
      <c r="H9" s="762"/>
      <c r="I9" s="105"/>
    </row>
    <row r="10" spans="2:9" ht="6.75" customHeight="1" thickBot="1" x14ac:dyDescent="0.3">
      <c r="B10" s="106"/>
      <c r="C10" s="72"/>
      <c r="D10" s="72"/>
      <c r="E10" s="72"/>
      <c r="F10" s="73"/>
      <c r="G10" s="73"/>
      <c r="H10" s="73"/>
      <c r="I10" s="73"/>
    </row>
    <row r="11" spans="2:9" ht="15.75" thickBot="1" x14ac:dyDescent="0.3">
      <c r="B11" s="747" t="s">
        <v>655</v>
      </c>
      <c r="C11" s="748"/>
      <c r="D11" s="748"/>
      <c r="E11" s="748"/>
      <c r="F11" s="748"/>
      <c r="G11" s="748"/>
      <c r="H11" s="748"/>
      <c r="I11" s="749"/>
    </row>
    <row r="12" spans="2:9" x14ac:dyDescent="0.25">
      <c r="B12" s="755" t="s">
        <v>656</v>
      </c>
      <c r="C12" s="757" t="s">
        <v>657</v>
      </c>
      <c r="D12" s="757" t="s">
        <v>658</v>
      </c>
      <c r="E12" s="757" t="s">
        <v>659</v>
      </c>
      <c r="F12" s="759" t="s">
        <v>660</v>
      </c>
      <c r="G12" s="743" t="s">
        <v>661</v>
      </c>
      <c r="H12" s="744"/>
      <c r="I12" s="745" t="s">
        <v>662</v>
      </c>
    </row>
    <row r="13" spans="2:9" ht="15.75" thickBot="1" x14ac:dyDescent="0.3">
      <c r="B13" s="756"/>
      <c r="C13" s="758"/>
      <c r="D13" s="758"/>
      <c r="E13" s="758"/>
      <c r="F13" s="760"/>
      <c r="G13" s="74" t="s">
        <v>663</v>
      </c>
      <c r="H13" s="75" t="s">
        <v>664</v>
      </c>
      <c r="I13" s="746"/>
    </row>
    <row r="14" spans="2:9" ht="15.75" thickBot="1" x14ac:dyDescent="0.3">
      <c r="B14" s="747"/>
      <c r="C14" s="748"/>
      <c r="D14" s="748"/>
      <c r="E14" s="748"/>
      <c r="F14" s="748"/>
      <c r="G14" s="747"/>
      <c r="H14" s="749"/>
      <c r="I14" s="76">
        <f>SUM(I15:I19)</f>
        <v>1</v>
      </c>
    </row>
    <row r="15" spans="2:9" ht="25.5" x14ac:dyDescent="0.25">
      <c r="B15" s="77">
        <v>1</v>
      </c>
      <c r="C15" s="78" t="s">
        <v>665</v>
      </c>
      <c r="D15" s="78" t="s">
        <v>666</v>
      </c>
      <c r="E15" s="79" t="s">
        <v>667</v>
      </c>
      <c r="F15" s="80">
        <v>0.8</v>
      </c>
      <c r="G15" s="81">
        <v>44593</v>
      </c>
      <c r="H15" s="82">
        <v>44925</v>
      </c>
      <c r="I15" s="83">
        <v>0.3</v>
      </c>
    </row>
    <row r="16" spans="2:9" ht="38.25" x14ac:dyDescent="0.25">
      <c r="B16" s="77">
        <v>2</v>
      </c>
      <c r="C16" s="78" t="s">
        <v>796</v>
      </c>
      <c r="D16" s="84" t="s">
        <v>666</v>
      </c>
      <c r="E16" s="79" t="s">
        <v>668</v>
      </c>
      <c r="F16" s="80">
        <v>0.8</v>
      </c>
      <c r="G16" s="81">
        <v>44652</v>
      </c>
      <c r="H16" s="82">
        <v>44925</v>
      </c>
      <c r="I16" s="83">
        <v>0.1</v>
      </c>
    </row>
    <row r="17" spans="2:9" ht="51" x14ac:dyDescent="0.25">
      <c r="B17" s="77">
        <v>3</v>
      </c>
      <c r="C17" s="78" t="s">
        <v>669</v>
      </c>
      <c r="D17" s="84" t="s">
        <v>666</v>
      </c>
      <c r="E17" s="79" t="s">
        <v>670</v>
      </c>
      <c r="F17" s="80">
        <v>1</v>
      </c>
      <c r="G17" s="81">
        <v>44621</v>
      </c>
      <c r="H17" s="82">
        <v>44925</v>
      </c>
      <c r="I17" s="83">
        <v>0.15</v>
      </c>
    </row>
    <row r="18" spans="2:9" ht="63.75" x14ac:dyDescent="0.25">
      <c r="B18" s="77">
        <v>4</v>
      </c>
      <c r="C18" s="78" t="s">
        <v>671</v>
      </c>
      <c r="D18" s="84" t="s">
        <v>666</v>
      </c>
      <c r="E18" s="79" t="s">
        <v>672</v>
      </c>
      <c r="F18" s="80">
        <v>0.8</v>
      </c>
      <c r="G18" s="81">
        <v>44652</v>
      </c>
      <c r="H18" s="82">
        <v>44925</v>
      </c>
      <c r="I18" s="83">
        <v>0.15</v>
      </c>
    </row>
    <row r="19" spans="2:9" ht="64.5" thickBot="1" x14ac:dyDescent="0.3">
      <c r="B19" s="85">
        <v>5</v>
      </c>
      <c r="C19" s="86" t="s">
        <v>673</v>
      </c>
      <c r="D19" s="86" t="s">
        <v>666</v>
      </c>
      <c r="E19" s="87" t="s">
        <v>797</v>
      </c>
      <c r="F19" s="88">
        <v>1</v>
      </c>
      <c r="G19" s="89">
        <v>44621</v>
      </c>
      <c r="H19" s="90">
        <v>44925</v>
      </c>
      <c r="I19" s="91">
        <v>0.3</v>
      </c>
    </row>
    <row r="20" spans="2:9" ht="39" customHeight="1" x14ac:dyDescent="0.25">
      <c r="B20" s="750" t="s">
        <v>674</v>
      </c>
      <c r="C20" s="751"/>
      <c r="D20" s="751"/>
      <c r="E20" s="751"/>
      <c r="F20" s="751"/>
      <c r="G20" s="751"/>
      <c r="H20" s="751"/>
      <c r="I20" s="751"/>
    </row>
    <row r="21" spans="2:9" ht="15.75" customHeight="1" thickBot="1" x14ac:dyDescent="0.3">
      <c r="B21" s="92"/>
      <c r="G21" s="93"/>
      <c r="H21" s="93"/>
      <c r="I21" s="93"/>
    </row>
    <row r="22" spans="2:9" ht="24" customHeight="1" thickBot="1" x14ac:dyDescent="0.3">
      <c r="B22" s="92"/>
      <c r="C22" s="752" t="s">
        <v>675</v>
      </c>
      <c r="D22" s="753"/>
      <c r="E22" s="753"/>
      <c r="F22" s="754"/>
      <c r="G22" s="93"/>
      <c r="H22" s="93"/>
      <c r="I22" s="93"/>
    </row>
    <row r="23" spans="2:9" ht="33.75" customHeight="1" x14ac:dyDescent="0.25">
      <c r="B23" s="92"/>
      <c r="C23" s="267" t="s">
        <v>676</v>
      </c>
      <c r="D23" s="739" t="s">
        <v>677</v>
      </c>
      <c r="E23" s="740"/>
      <c r="F23" s="268" t="s">
        <v>678</v>
      </c>
      <c r="G23" s="93"/>
      <c r="H23" s="93"/>
      <c r="I23" s="93"/>
    </row>
    <row r="24" spans="2:9" ht="46.5" customHeight="1" x14ac:dyDescent="0.25">
      <c r="B24" s="92"/>
      <c r="C24" s="94">
        <v>1</v>
      </c>
      <c r="D24" s="741" t="s">
        <v>679</v>
      </c>
      <c r="E24" s="742"/>
      <c r="F24" s="95">
        <v>44579</v>
      </c>
      <c r="G24" s="93"/>
      <c r="H24" s="93"/>
      <c r="I24" s="93"/>
    </row>
    <row r="25" spans="2:9" ht="15.75" customHeight="1" x14ac:dyDescent="0.25">
      <c r="B25" s="92"/>
      <c r="C25" s="94"/>
      <c r="D25" s="96"/>
      <c r="E25" s="97"/>
      <c r="F25" s="98"/>
      <c r="G25" s="93"/>
      <c r="H25" s="93"/>
      <c r="I25" s="93"/>
    </row>
    <row r="26" spans="2:9" ht="15.75" customHeight="1" thickBot="1" x14ac:dyDescent="0.3">
      <c r="B26" s="92"/>
      <c r="C26" s="99"/>
      <c r="D26" s="100"/>
      <c r="E26" s="101"/>
      <c r="F26" s="102"/>
      <c r="G26" s="93"/>
      <c r="H26" s="93"/>
      <c r="I26" s="93"/>
    </row>
    <row r="27" spans="2:9" ht="15.75" customHeight="1" x14ac:dyDescent="0.25">
      <c r="B27" s="92"/>
      <c r="C27" s="103"/>
      <c r="D27" s="103"/>
      <c r="E27" s="92"/>
      <c r="F27" s="92"/>
      <c r="G27" s="93"/>
      <c r="H27" s="93"/>
      <c r="I27" s="93"/>
    </row>
    <row r="28" spans="2:9" ht="15.75" customHeight="1" x14ac:dyDescent="0.25">
      <c r="B28" s="92"/>
      <c r="C28" s="103"/>
      <c r="D28" s="103"/>
      <c r="E28" s="92"/>
      <c r="F28" s="92"/>
      <c r="G28" s="93"/>
      <c r="H28" s="93"/>
      <c r="I28" s="93"/>
    </row>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sheetData>
  <mergeCells count="18">
    <mergeCell ref="C2:I2"/>
    <mergeCell ref="D5:I5"/>
    <mergeCell ref="D7:H7"/>
    <mergeCell ref="D9:H9"/>
    <mergeCell ref="B11:I11"/>
    <mergeCell ref="D23:E23"/>
    <mergeCell ref="D24:E24"/>
    <mergeCell ref="G12:H12"/>
    <mergeCell ref="I12:I13"/>
    <mergeCell ref="B14:F14"/>
    <mergeCell ref="G14:H14"/>
    <mergeCell ref="B20:I20"/>
    <mergeCell ref="C22:F22"/>
    <mergeCell ref="B12:B13"/>
    <mergeCell ref="C12:C13"/>
    <mergeCell ref="D12:D13"/>
    <mergeCell ref="E12:E13"/>
    <mergeCell ref="F12:F13"/>
  </mergeCells>
  <pageMargins left="0.7" right="0.7" top="0.75" bottom="0.75" header="0" footer="0"/>
  <pageSetup orientation="landscape"/>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178C-F200-4285-B18F-36EB24D2DBBF}">
  <dimension ref="A1:Y999"/>
  <sheetViews>
    <sheetView showGridLines="0" workbookViewId="0">
      <selection activeCell="B6" sqref="B6:B7"/>
    </sheetView>
  </sheetViews>
  <sheetFormatPr baseColWidth="10" defaultColWidth="0" defaultRowHeight="15" customHeight="1" zeroHeight="1" x14ac:dyDescent="0.25"/>
  <cols>
    <col min="1" max="1" width="1.7109375" style="61" customWidth="1"/>
    <col min="2" max="2" width="10.7109375" style="61" customWidth="1"/>
    <col min="3" max="3" width="23.140625" style="61" customWidth="1"/>
    <col min="4" max="4" width="12.5703125" style="61" customWidth="1"/>
    <col min="5" max="5" width="30.85546875" style="61" customWidth="1"/>
    <col min="6" max="6" width="17.28515625" style="61" customWidth="1"/>
    <col min="7" max="7" width="18.5703125" style="61" customWidth="1"/>
    <col min="8" max="8" width="20.42578125" style="61" customWidth="1"/>
    <col min="9" max="9" width="24.85546875" style="61" customWidth="1"/>
    <col min="10" max="10" width="12.85546875" style="61" customWidth="1"/>
    <col min="11" max="25" width="10.7109375" style="61" hidden="1" customWidth="1"/>
    <col min="26" max="16384" width="14.42578125" style="61" hidden="1"/>
  </cols>
  <sheetData>
    <row r="1" spans="2:9" ht="15" customHeight="1" x14ac:dyDescent="0.25"/>
    <row r="2" spans="2:9" ht="15.75" x14ac:dyDescent="0.25">
      <c r="B2" s="104"/>
      <c r="C2" s="104"/>
      <c r="D2" s="269"/>
      <c r="E2" s="269"/>
      <c r="F2" s="269"/>
      <c r="G2" s="269"/>
      <c r="H2" s="269"/>
      <c r="I2" s="269"/>
    </row>
    <row r="3" spans="2:9" x14ac:dyDescent="0.25">
      <c r="B3" s="104"/>
      <c r="C3" s="761" t="s">
        <v>765</v>
      </c>
      <c r="D3" s="762"/>
      <c r="E3" s="762"/>
      <c r="F3" s="762"/>
      <c r="G3" s="762"/>
      <c r="H3" s="762"/>
      <c r="I3" s="762"/>
    </row>
    <row r="4" spans="2:9" x14ac:dyDescent="0.25">
      <c r="B4" s="104"/>
      <c r="C4" s="62"/>
      <c r="D4" s="63"/>
      <c r="E4" s="62"/>
      <c r="F4" s="64"/>
      <c r="G4" s="65"/>
      <c r="H4" s="66"/>
      <c r="I4" s="66"/>
    </row>
    <row r="5" spans="2:9" x14ac:dyDescent="0.25">
      <c r="B5" s="104"/>
      <c r="C5" s="62"/>
      <c r="D5" s="63"/>
      <c r="E5" s="62"/>
      <c r="F5" s="64"/>
      <c r="G5" s="65"/>
      <c r="H5" s="66"/>
      <c r="I5" s="66"/>
    </row>
    <row r="6" spans="2:9" x14ac:dyDescent="0.25">
      <c r="B6" s="104"/>
      <c r="C6" s="62"/>
      <c r="D6" s="63"/>
      <c r="E6" s="62"/>
      <c r="F6" s="64"/>
      <c r="G6" s="65"/>
      <c r="H6" s="66"/>
      <c r="I6" s="66"/>
    </row>
    <row r="7" spans="2:9" ht="65.25" customHeight="1" x14ac:dyDescent="0.25">
      <c r="B7" s="104"/>
      <c r="C7" s="63" t="s">
        <v>651</v>
      </c>
      <c r="D7" s="763" t="s">
        <v>652</v>
      </c>
      <c r="E7" s="762"/>
      <c r="F7" s="762"/>
      <c r="G7" s="762"/>
      <c r="H7" s="762"/>
      <c r="I7" s="762"/>
    </row>
    <row r="8" spans="2:9" ht="6" customHeight="1" x14ac:dyDescent="0.25">
      <c r="B8" s="104"/>
      <c r="C8" s="67"/>
      <c r="D8" s="68"/>
      <c r="E8" s="62"/>
      <c r="F8" s="69"/>
      <c r="G8" s="69"/>
      <c r="H8" s="69"/>
      <c r="I8" s="69"/>
    </row>
    <row r="9" spans="2:9" x14ac:dyDescent="0.25">
      <c r="B9" s="104"/>
      <c r="C9" s="63" t="s">
        <v>653</v>
      </c>
      <c r="D9" s="763">
        <v>1</v>
      </c>
      <c r="E9" s="762"/>
      <c r="F9" s="762"/>
      <c r="G9" s="762"/>
      <c r="H9" s="762"/>
      <c r="I9" s="105"/>
    </row>
    <row r="10" spans="2:9" ht="6" customHeight="1" x14ac:dyDescent="0.25">
      <c r="B10" s="104"/>
      <c r="C10" s="70"/>
      <c r="D10" s="70"/>
      <c r="E10" s="70"/>
      <c r="F10" s="71"/>
      <c r="G10" s="71"/>
      <c r="H10" s="71"/>
      <c r="I10" s="71"/>
    </row>
    <row r="11" spans="2:9" x14ac:dyDescent="0.25">
      <c r="B11" s="104"/>
      <c r="C11" s="63" t="s">
        <v>654</v>
      </c>
      <c r="D11" s="764">
        <v>44579</v>
      </c>
      <c r="E11" s="762"/>
      <c r="F11" s="762"/>
      <c r="G11" s="762"/>
      <c r="H11" s="762"/>
      <c r="I11" s="105"/>
    </row>
    <row r="12" spans="2:9" ht="6" customHeight="1" thickBot="1" x14ac:dyDescent="0.3">
      <c r="B12" s="106"/>
      <c r="C12" s="72"/>
      <c r="D12" s="72"/>
      <c r="E12" s="72"/>
      <c r="F12" s="73"/>
      <c r="G12" s="73"/>
      <c r="H12" s="73"/>
      <c r="I12" s="73"/>
    </row>
    <row r="13" spans="2:9" ht="15.75" thickBot="1" x14ac:dyDescent="0.3">
      <c r="B13" s="747" t="s">
        <v>655</v>
      </c>
      <c r="C13" s="748"/>
      <c r="D13" s="748"/>
      <c r="E13" s="748"/>
      <c r="F13" s="748"/>
      <c r="G13" s="748"/>
      <c r="H13" s="748"/>
      <c r="I13" s="749"/>
    </row>
    <row r="14" spans="2:9" ht="15.75" thickBot="1" x14ac:dyDescent="0.3">
      <c r="B14" s="755" t="s">
        <v>656</v>
      </c>
      <c r="C14" s="757" t="s">
        <v>657</v>
      </c>
      <c r="D14" s="757" t="s">
        <v>658</v>
      </c>
      <c r="E14" s="757" t="s">
        <v>659</v>
      </c>
      <c r="F14" s="759" t="s">
        <v>660</v>
      </c>
      <c r="G14" s="747" t="s">
        <v>661</v>
      </c>
      <c r="H14" s="748"/>
      <c r="I14" s="749"/>
    </row>
    <row r="15" spans="2:9" ht="15.75" thickBot="1" x14ac:dyDescent="0.3">
      <c r="B15" s="756"/>
      <c r="C15" s="758"/>
      <c r="D15" s="758"/>
      <c r="E15" s="758"/>
      <c r="F15" s="760"/>
      <c r="G15" s="107" t="s">
        <v>663</v>
      </c>
      <c r="H15" s="108" t="s">
        <v>664</v>
      </c>
      <c r="I15" s="109" t="s">
        <v>662</v>
      </c>
    </row>
    <row r="16" spans="2:9" ht="15.75" thickBot="1" x14ac:dyDescent="0.3">
      <c r="B16" s="747"/>
      <c r="C16" s="748"/>
      <c r="D16" s="748"/>
      <c r="E16" s="748"/>
      <c r="F16" s="748"/>
      <c r="G16" s="747"/>
      <c r="H16" s="749"/>
      <c r="I16" s="76">
        <f>SUM(I17:I20)</f>
        <v>1</v>
      </c>
    </row>
    <row r="17" spans="2:9" ht="63.75" x14ac:dyDescent="0.25">
      <c r="B17" s="77">
        <v>1</v>
      </c>
      <c r="C17" s="84" t="s">
        <v>680</v>
      </c>
      <c r="D17" s="84" t="s">
        <v>666</v>
      </c>
      <c r="E17" s="110" t="s">
        <v>681</v>
      </c>
      <c r="F17" s="111">
        <v>1</v>
      </c>
      <c r="G17" s="112">
        <v>44621</v>
      </c>
      <c r="H17" s="113">
        <v>44925</v>
      </c>
      <c r="I17" s="114">
        <v>0.2</v>
      </c>
    </row>
    <row r="18" spans="2:9" ht="25.5" x14ac:dyDescent="0.25">
      <c r="B18" s="115">
        <v>2</v>
      </c>
      <c r="C18" s="78" t="s">
        <v>798</v>
      </c>
      <c r="D18" s="78" t="s">
        <v>666</v>
      </c>
      <c r="E18" s="79" t="s">
        <v>682</v>
      </c>
      <c r="F18" s="80">
        <v>1</v>
      </c>
      <c r="G18" s="81">
        <v>44621</v>
      </c>
      <c r="H18" s="82">
        <v>44834</v>
      </c>
      <c r="I18" s="116">
        <v>0.3</v>
      </c>
    </row>
    <row r="19" spans="2:9" ht="38.25" x14ac:dyDescent="0.25">
      <c r="B19" s="77">
        <v>3</v>
      </c>
      <c r="C19" s="78" t="s">
        <v>683</v>
      </c>
      <c r="D19" s="78" t="s">
        <v>666</v>
      </c>
      <c r="E19" s="79" t="s">
        <v>684</v>
      </c>
      <c r="F19" s="80">
        <v>1</v>
      </c>
      <c r="G19" s="81">
        <v>44593</v>
      </c>
      <c r="H19" s="82">
        <v>44925</v>
      </c>
      <c r="I19" s="116">
        <v>0.4</v>
      </c>
    </row>
    <row r="20" spans="2:9" ht="51.75" thickBot="1" x14ac:dyDescent="0.3">
      <c r="B20" s="115">
        <v>4</v>
      </c>
      <c r="C20" s="78" t="s">
        <v>685</v>
      </c>
      <c r="D20" s="84" t="s">
        <v>666</v>
      </c>
      <c r="E20" s="79" t="s">
        <v>686</v>
      </c>
      <c r="F20" s="80">
        <v>1</v>
      </c>
      <c r="G20" s="81">
        <v>44652</v>
      </c>
      <c r="H20" s="82">
        <v>44925</v>
      </c>
      <c r="I20" s="117">
        <v>0.1</v>
      </c>
    </row>
    <row r="21" spans="2:9" ht="45.75" customHeight="1" x14ac:dyDescent="0.25">
      <c r="B21" s="750" t="s">
        <v>674</v>
      </c>
      <c r="C21" s="751"/>
      <c r="D21" s="751"/>
      <c r="E21" s="751"/>
      <c r="F21" s="751"/>
      <c r="G21" s="751"/>
      <c r="H21" s="751"/>
      <c r="I21" s="751"/>
    </row>
    <row r="22" spans="2:9" ht="15.75" customHeight="1" thickBot="1" x14ac:dyDescent="0.3">
      <c r="B22" s="118"/>
      <c r="C22" s="118"/>
      <c r="D22" s="118"/>
      <c r="E22" s="118"/>
      <c r="F22" s="118"/>
      <c r="G22" s="118"/>
      <c r="H22" s="118"/>
      <c r="I22" s="118"/>
    </row>
    <row r="23" spans="2:9" ht="15.75" customHeight="1" thickBot="1" x14ac:dyDescent="0.3">
      <c r="B23" s="92"/>
      <c r="C23" s="768" t="s">
        <v>675</v>
      </c>
      <c r="D23" s="769"/>
      <c r="E23" s="769"/>
      <c r="F23" s="770"/>
      <c r="G23" s="93"/>
      <c r="H23" s="93"/>
      <c r="I23" s="93"/>
    </row>
    <row r="24" spans="2:9" ht="15.75" customHeight="1" x14ac:dyDescent="0.25">
      <c r="B24" s="92"/>
      <c r="C24" s="275" t="s">
        <v>676</v>
      </c>
      <c r="D24" s="739" t="s">
        <v>677</v>
      </c>
      <c r="E24" s="740"/>
      <c r="F24" s="276" t="s">
        <v>678</v>
      </c>
      <c r="G24" s="93"/>
      <c r="H24" s="93"/>
      <c r="I24" s="93"/>
    </row>
    <row r="25" spans="2:9" ht="37.5" customHeight="1" x14ac:dyDescent="0.25">
      <c r="B25" s="92"/>
      <c r="C25" s="270">
        <v>1</v>
      </c>
      <c r="D25" s="765" t="s">
        <v>679</v>
      </c>
      <c r="E25" s="742"/>
      <c r="F25" s="271">
        <v>44579</v>
      </c>
      <c r="G25" s="93"/>
      <c r="H25" s="93"/>
      <c r="I25" s="93"/>
    </row>
    <row r="26" spans="2:9" ht="15.75" customHeight="1" x14ac:dyDescent="0.25">
      <c r="B26" s="92"/>
      <c r="C26" s="270"/>
      <c r="D26" s="765"/>
      <c r="E26" s="742"/>
      <c r="F26" s="272"/>
      <c r="G26" s="93"/>
      <c r="H26" s="93"/>
      <c r="I26" s="93"/>
    </row>
    <row r="27" spans="2:9" ht="15.75" customHeight="1" thickBot="1" x14ac:dyDescent="0.3">
      <c r="B27" s="92"/>
      <c r="C27" s="273"/>
      <c r="D27" s="766"/>
      <c r="E27" s="767"/>
      <c r="F27" s="274"/>
      <c r="G27" s="93"/>
      <c r="H27" s="93"/>
      <c r="I27" s="93"/>
    </row>
    <row r="28" spans="2:9" ht="15.75" customHeight="1" x14ac:dyDescent="0.25"/>
    <row r="29" spans="2:9" ht="15.75" hidden="1" customHeight="1" x14ac:dyDescent="0.25"/>
    <row r="30" spans="2:9" ht="15.75" hidden="1" customHeight="1" x14ac:dyDescent="0.25"/>
    <row r="31" spans="2:9" ht="15.75" hidden="1" customHeight="1" x14ac:dyDescent="0.25"/>
    <row r="32" spans="2:9" ht="15.75" hidden="1" customHeight="1" x14ac:dyDescent="0.25"/>
    <row r="33" ht="15.75" hidden="1" customHeight="1" x14ac:dyDescent="0.25"/>
    <row r="34" ht="15.75" hidden="1" customHeight="1" x14ac:dyDescent="0.25"/>
    <row r="35" ht="15.75" hidden="1" customHeight="1" x14ac:dyDescent="0.25"/>
    <row r="36" ht="15.75" hidden="1" customHeight="1" x14ac:dyDescent="0.25"/>
    <row r="37" ht="15.75" hidden="1" customHeight="1" x14ac:dyDescent="0.25"/>
    <row r="38" ht="15.75" hidden="1" customHeight="1" x14ac:dyDescent="0.25"/>
    <row r="39" ht="15.75" hidden="1" customHeight="1" x14ac:dyDescent="0.25"/>
    <row r="40" ht="15.75" hidden="1" customHeight="1" x14ac:dyDescent="0.25"/>
    <row r="41" ht="15.75" hidden="1" customHeight="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row r="64"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row r="994" ht="15.75" hidden="1" customHeight="1" x14ac:dyDescent="0.25"/>
    <row r="995" ht="15.75" hidden="1" customHeight="1" x14ac:dyDescent="0.25"/>
    <row r="996" ht="15.75" hidden="1" customHeight="1" x14ac:dyDescent="0.25"/>
    <row r="997" ht="15.75" hidden="1" customHeight="1" x14ac:dyDescent="0.25"/>
    <row r="998" ht="15.75" hidden="1" customHeight="1" x14ac:dyDescent="0.25"/>
    <row r="999" ht="15.75" hidden="1" customHeight="1" x14ac:dyDescent="0.25"/>
  </sheetData>
  <mergeCells count="19">
    <mergeCell ref="C3:I3"/>
    <mergeCell ref="D7:I7"/>
    <mergeCell ref="D9:H9"/>
    <mergeCell ref="D11:H11"/>
    <mergeCell ref="B13:I13"/>
    <mergeCell ref="D25:E25"/>
    <mergeCell ref="D26:E26"/>
    <mergeCell ref="D27:E27"/>
    <mergeCell ref="G14:I14"/>
    <mergeCell ref="B16:F16"/>
    <mergeCell ref="G16:H16"/>
    <mergeCell ref="B21:I21"/>
    <mergeCell ref="C23:F23"/>
    <mergeCell ref="D24:E24"/>
    <mergeCell ref="B14:B15"/>
    <mergeCell ref="C14:C15"/>
    <mergeCell ref="D14:D15"/>
    <mergeCell ref="E14:E15"/>
    <mergeCell ref="F14:F15"/>
  </mergeCells>
  <pageMargins left="0.7" right="0.7" top="0.75" bottom="0.75" header="0" footer="0"/>
  <pageSetup orientation="landscape"/>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F6561-0D56-441D-88CA-CF284DFC5B8E}">
  <dimension ref="A1:Z993"/>
  <sheetViews>
    <sheetView showGridLines="0" workbookViewId="0">
      <selection activeCell="B6" sqref="B6:B7"/>
    </sheetView>
  </sheetViews>
  <sheetFormatPr baseColWidth="10" defaultColWidth="0" defaultRowHeight="15" customHeight="1" zeroHeight="1" x14ac:dyDescent="0.25"/>
  <cols>
    <col min="1" max="1" width="4.7109375" style="61" customWidth="1"/>
    <col min="2" max="2" width="10.7109375" style="61" customWidth="1"/>
    <col min="3" max="3" width="23.140625" style="61" customWidth="1"/>
    <col min="4" max="4" width="16.140625" style="61" customWidth="1"/>
    <col min="5" max="5" width="30.85546875" style="61" customWidth="1"/>
    <col min="6" max="6" width="17.28515625" style="61" customWidth="1"/>
    <col min="7" max="7" width="9.140625" style="61" customWidth="1"/>
    <col min="8" max="8" width="10.140625" style="61" customWidth="1"/>
    <col min="9" max="9" width="12.5703125" style="61" customWidth="1"/>
    <col min="10" max="10" width="10.7109375" style="61" customWidth="1"/>
    <col min="11" max="26" width="10.7109375" style="61" hidden="1" customWidth="1"/>
    <col min="27" max="16384" width="14.42578125" style="61" hidden="1"/>
  </cols>
  <sheetData>
    <row r="1" spans="2:9" ht="15.75" x14ac:dyDescent="0.25">
      <c r="B1" s="59"/>
      <c r="C1" s="59"/>
      <c r="D1" s="60"/>
      <c r="E1" s="60"/>
      <c r="F1" s="60"/>
      <c r="G1" s="60"/>
      <c r="H1" s="60"/>
      <c r="I1" s="60"/>
    </row>
    <row r="2" spans="2:9" x14ac:dyDescent="0.25">
      <c r="B2" s="104"/>
      <c r="C2" s="761" t="s">
        <v>766</v>
      </c>
      <c r="D2" s="762"/>
      <c r="E2" s="762"/>
      <c r="F2" s="762"/>
      <c r="G2" s="762"/>
      <c r="H2" s="762"/>
      <c r="I2" s="762"/>
    </row>
    <row r="3" spans="2:9" x14ac:dyDescent="0.25">
      <c r="B3" s="104"/>
      <c r="C3" s="62"/>
      <c r="D3" s="63"/>
      <c r="E3" s="62"/>
      <c r="F3" s="64"/>
      <c r="G3" s="65"/>
      <c r="H3" s="66"/>
      <c r="I3" s="66"/>
    </row>
    <row r="4" spans="2:9" ht="78" customHeight="1" x14ac:dyDescent="0.25">
      <c r="B4" s="104"/>
      <c r="C4" s="63" t="s">
        <v>651</v>
      </c>
      <c r="D4" s="763" t="s">
        <v>652</v>
      </c>
      <c r="E4" s="762"/>
      <c r="F4" s="762"/>
      <c r="G4" s="762"/>
      <c r="H4" s="762"/>
      <c r="I4" s="762"/>
    </row>
    <row r="5" spans="2:9" ht="6.75" customHeight="1" x14ac:dyDescent="0.25">
      <c r="B5" s="104"/>
      <c r="C5" s="67"/>
      <c r="D5" s="68"/>
      <c r="E5" s="62"/>
      <c r="F5" s="69"/>
      <c r="G5" s="69"/>
      <c r="H5" s="69"/>
      <c r="I5" s="69"/>
    </row>
    <row r="6" spans="2:9" x14ac:dyDescent="0.25">
      <c r="B6" s="104"/>
      <c r="C6" s="63" t="s">
        <v>653</v>
      </c>
      <c r="D6" s="763">
        <v>1</v>
      </c>
      <c r="E6" s="762"/>
      <c r="F6" s="762"/>
      <c r="G6" s="762"/>
      <c r="H6" s="762"/>
      <c r="I6" s="105"/>
    </row>
    <row r="7" spans="2:9" ht="6.75" customHeight="1" x14ac:dyDescent="0.25">
      <c r="B7" s="104"/>
      <c r="C7" s="70"/>
      <c r="D7" s="70"/>
      <c r="E7" s="70"/>
      <c r="F7" s="71"/>
      <c r="G7" s="71"/>
      <c r="H7" s="71"/>
      <c r="I7" s="71"/>
    </row>
    <row r="8" spans="2:9" x14ac:dyDescent="0.25">
      <c r="B8" s="104"/>
      <c r="C8" s="63" t="s">
        <v>654</v>
      </c>
      <c r="D8" s="764">
        <v>44579</v>
      </c>
      <c r="E8" s="762"/>
      <c r="F8" s="762"/>
      <c r="G8" s="762"/>
      <c r="H8" s="762"/>
      <c r="I8" s="105"/>
    </row>
    <row r="9" spans="2:9" ht="6.75" customHeight="1" thickBot="1" x14ac:dyDescent="0.3">
      <c r="B9" s="106"/>
      <c r="C9" s="72"/>
      <c r="D9" s="72"/>
      <c r="E9" s="72"/>
      <c r="F9" s="73"/>
      <c r="G9" s="73"/>
      <c r="H9" s="73"/>
      <c r="I9" s="73"/>
    </row>
    <row r="10" spans="2:9" ht="15.75" thickBot="1" x14ac:dyDescent="0.3">
      <c r="B10" s="747" t="s">
        <v>655</v>
      </c>
      <c r="C10" s="748"/>
      <c r="D10" s="748"/>
      <c r="E10" s="748"/>
      <c r="F10" s="748"/>
      <c r="G10" s="748"/>
      <c r="H10" s="749"/>
      <c r="I10" s="119" t="s">
        <v>687</v>
      </c>
    </row>
    <row r="11" spans="2:9" x14ac:dyDescent="0.25">
      <c r="B11" s="755" t="s">
        <v>656</v>
      </c>
      <c r="C11" s="757" t="s">
        <v>657</v>
      </c>
      <c r="D11" s="757" t="s">
        <v>658</v>
      </c>
      <c r="E11" s="757" t="s">
        <v>659</v>
      </c>
      <c r="F11" s="759" t="s">
        <v>660</v>
      </c>
      <c r="G11" s="743" t="s">
        <v>661</v>
      </c>
      <c r="H11" s="744"/>
      <c r="I11" s="745" t="s">
        <v>662</v>
      </c>
    </row>
    <row r="12" spans="2:9" ht="15.75" thickBot="1" x14ac:dyDescent="0.3">
      <c r="B12" s="756"/>
      <c r="C12" s="758"/>
      <c r="D12" s="758"/>
      <c r="E12" s="758"/>
      <c r="F12" s="760"/>
      <c r="G12" s="74" t="s">
        <v>663</v>
      </c>
      <c r="H12" s="75" t="s">
        <v>664</v>
      </c>
      <c r="I12" s="746"/>
    </row>
    <row r="13" spans="2:9" ht="15.75" thickBot="1" x14ac:dyDescent="0.3">
      <c r="B13" s="747"/>
      <c r="C13" s="748"/>
      <c r="D13" s="748"/>
      <c r="E13" s="748"/>
      <c r="F13" s="748"/>
      <c r="G13" s="747"/>
      <c r="H13" s="749"/>
      <c r="I13" s="76">
        <f>I14</f>
        <v>1</v>
      </c>
    </row>
    <row r="14" spans="2:9" ht="52.5" customHeight="1" thickBot="1" x14ac:dyDescent="0.3">
      <c r="B14" s="77">
        <v>1</v>
      </c>
      <c r="C14" s="120" t="s">
        <v>799</v>
      </c>
      <c r="D14" s="84" t="s">
        <v>666</v>
      </c>
      <c r="E14" s="110" t="s">
        <v>688</v>
      </c>
      <c r="F14" s="111">
        <v>1</v>
      </c>
      <c r="G14" s="112">
        <v>44621</v>
      </c>
      <c r="H14" s="113">
        <v>44925</v>
      </c>
      <c r="I14" s="121">
        <v>1</v>
      </c>
    </row>
    <row r="15" spans="2:9" ht="36.75" customHeight="1" thickBot="1" x14ac:dyDescent="0.3">
      <c r="B15" s="750" t="s">
        <v>674</v>
      </c>
      <c r="C15" s="751"/>
      <c r="D15" s="751"/>
      <c r="E15" s="751"/>
      <c r="F15" s="751"/>
      <c r="G15" s="751"/>
      <c r="H15" s="751"/>
      <c r="I15" s="751"/>
    </row>
    <row r="16" spans="2:9" ht="15.75" thickBot="1" x14ac:dyDescent="0.3">
      <c r="B16" s="92"/>
      <c r="C16" s="752" t="s">
        <v>675</v>
      </c>
      <c r="D16" s="753"/>
      <c r="E16" s="753"/>
      <c r="F16" s="754"/>
      <c r="G16" s="93"/>
      <c r="H16" s="93"/>
      <c r="I16" s="93"/>
    </row>
    <row r="17" spans="2:9" x14ac:dyDescent="0.25">
      <c r="B17" s="92"/>
      <c r="C17" s="267" t="s">
        <v>676</v>
      </c>
      <c r="D17" s="739" t="s">
        <v>677</v>
      </c>
      <c r="E17" s="740"/>
      <c r="F17" s="268" t="s">
        <v>678</v>
      </c>
      <c r="G17" s="93"/>
      <c r="H17" s="93"/>
      <c r="I17" s="93"/>
    </row>
    <row r="18" spans="2:9" ht="33" customHeight="1" x14ac:dyDescent="0.25">
      <c r="B18" s="92"/>
      <c r="C18" s="94">
        <v>1</v>
      </c>
      <c r="D18" s="765" t="s">
        <v>679</v>
      </c>
      <c r="E18" s="742"/>
      <c r="F18" s="95">
        <v>44579</v>
      </c>
      <c r="G18" s="93"/>
      <c r="H18" s="93"/>
      <c r="I18" s="93"/>
    </row>
    <row r="19" spans="2:9" ht="15.75" customHeight="1" x14ac:dyDescent="0.25">
      <c r="B19" s="92"/>
      <c r="C19" s="94"/>
      <c r="D19" s="765"/>
      <c r="E19" s="742"/>
      <c r="F19" s="98"/>
      <c r="G19" s="93"/>
      <c r="H19" s="93"/>
      <c r="I19" s="93"/>
    </row>
    <row r="20" spans="2:9" ht="15.75" customHeight="1" thickBot="1" x14ac:dyDescent="0.3">
      <c r="B20" s="92"/>
      <c r="C20" s="99"/>
      <c r="D20" s="771"/>
      <c r="E20" s="772"/>
      <c r="F20" s="102"/>
      <c r="G20" s="93"/>
      <c r="H20" s="93"/>
      <c r="I20" s="93"/>
    </row>
    <row r="21" spans="2:9" ht="15.75" customHeight="1" x14ac:dyDescent="0.25">
      <c r="B21" s="92"/>
      <c r="C21" s="103"/>
      <c r="D21" s="103"/>
      <c r="E21" s="92"/>
      <c r="F21" s="92"/>
      <c r="G21" s="93"/>
      <c r="H21" s="93"/>
      <c r="I21" s="93"/>
    </row>
    <row r="22" spans="2:9" ht="15.75" customHeight="1" x14ac:dyDescent="0.25">
      <c r="B22" s="122"/>
      <c r="C22" s="123"/>
      <c r="D22" s="123"/>
      <c r="E22" s="123"/>
      <c r="F22" s="123"/>
      <c r="G22" s="123"/>
      <c r="H22" s="123"/>
      <c r="I22" s="123"/>
    </row>
    <row r="23" spans="2:9" ht="15.75" hidden="1" customHeight="1" x14ac:dyDescent="0.25">
      <c r="B23" s="122"/>
      <c r="C23" s="124"/>
      <c r="D23" s="124"/>
      <c r="E23" s="124"/>
      <c r="F23" s="123"/>
      <c r="G23" s="123"/>
      <c r="H23" s="123"/>
      <c r="I23" s="123"/>
    </row>
    <row r="24" spans="2:9" ht="15.75" hidden="1" customHeight="1" x14ac:dyDescent="0.25">
      <c r="B24" s="122"/>
      <c r="C24" s="124"/>
      <c r="D24" s="124"/>
      <c r="E24" s="124"/>
      <c r="F24" s="123"/>
      <c r="G24" s="123"/>
      <c r="H24" s="123"/>
      <c r="I24" s="123"/>
    </row>
    <row r="25" spans="2:9" ht="15.75" hidden="1" customHeight="1" x14ac:dyDescent="0.25">
      <c r="B25" s="122"/>
      <c r="C25" s="124"/>
      <c r="D25" s="124"/>
      <c r="E25" s="124"/>
      <c r="F25" s="123"/>
      <c r="G25" s="123"/>
      <c r="H25" s="123"/>
      <c r="I25" s="123"/>
    </row>
    <row r="26" spans="2:9" ht="15.75" hidden="1" customHeight="1" x14ac:dyDescent="0.25">
      <c r="B26" s="122"/>
      <c r="C26" s="124"/>
      <c r="D26" s="124"/>
      <c r="E26" s="124"/>
      <c r="F26" s="123"/>
      <c r="G26" s="123"/>
      <c r="H26" s="123"/>
      <c r="I26" s="123"/>
    </row>
    <row r="27" spans="2:9" ht="15.75" hidden="1" customHeight="1" x14ac:dyDescent="0.25">
      <c r="B27" s="122"/>
      <c r="C27" s="124"/>
      <c r="D27" s="124"/>
      <c r="E27" s="124"/>
      <c r="F27" s="123"/>
      <c r="G27" s="123"/>
      <c r="H27" s="123"/>
      <c r="I27" s="123"/>
    </row>
    <row r="28" spans="2:9" ht="15.75" hidden="1" customHeight="1" x14ac:dyDescent="0.25">
      <c r="B28" s="122"/>
      <c r="C28" s="124"/>
      <c r="D28" s="124"/>
      <c r="E28" s="124"/>
      <c r="F28" s="123"/>
      <c r="G28" s="123"/>
      <c r="H28" s="123"/>
      <c r="I28" s="123"/>
    </row>
    <row r="29" spans="2:9" ht="15.75" hidden="1" customHeight="1" x14ac:dyDescent="0.25">
      <c r="B29" s="122"/>
      <c r="C29" s="124"/>
      <c r="D29" s="124"/>
      <c r="E29" s="124"/>
      <c r="F29" s="123"/>
      <c r="G29" s="123"/>
      <c r="H29" s="123"/>
      <c r="I29" s="123"/>
    </row>
    <row r="30" spans="2:9" ht="15.75" hidden="1" customHeight="1" x14ac:dyDescent="0.25">
      <c r="B30" s="122"/>
      <c r="C30" s="124"/>
      <c r="D30" s="124"/>
      <c r="E30" s="124"/>
      <c r="F30" s="123"/>
      <c r="G30" s="123"/>
      <c r="H30" s="123"/>
      <c r="I30" s="123"/>
    </row>
    <row r="31" spans="2:9" ht="15.75" hidden="1" customHeight="1" x14ac:dyDescent="0.25">
      <c r="B31" s="122"/>
      <c r="C31" s="124"/>
      <c r="D31" s="124"/>
      <c r="E31" s="124"/>
      <c r="F31" s="123"/>
      <c r="G31" s="123"/>
      <c r="H31" s="123"/>
      <c r="I31" s="123"/>
    </row>
    <row r="32" spans="2:9" ht="15.75" hidden="1" customHeight="1" x14ac:dyDescent="0.25">
      <c r="B32" s="122"/>
      <c r="C32" s="124"/>
      <c r="D32" s="124"/>
      <c r="E32" s="124"/>
      <c r="F32" s="123"/>
      <c r="G32" s="123"/>
      <c r="H32" s="123"/>
      <c r="I32" s="123"/>
    </row>
    <row r="33" spans="2:9" ht="15.75" hidden="1" customHeight="1" x14ac:dyDescent="0.25">
      <c r="B33" s="122"/>
      <c r="C33" s="124"/>
      <c r="D33" s="124"/>
      <c r="E33" s="124"/>
      <c r="F33" s="123"/>
      <c r="G33" s="123"/>
      <c r="H33" s="123"/>
      <c r="I33" s="123"/>
    </row>
    <row r="34" spans="2:9" ht="15.75" hidden="1" customHeight="1" x14ac:dyDescent="0.25">
      <c r="B34" s="122"/>
      <c r="C34" s="124"/>
      <c r="D34" s="124"/>
      <c r="E34" s="124"/>
      <c r="F34" s="123"/>
      <c r="G34" s="123"/>
      <c r="H34" s="123"/>
      <c r="I34" s="123"/>
    </row>
    <row r="35" spans="2:9" ht="15.75" hidden="1" customHeight="1" x14ac:dyDescent="0.25">
      <c r="B35" s="122"/>
      <c r="C35" s="124"/>
      <c r="D35" s="124"/>
      <c r="E35" s="124"/>
      <c r="F35" s="123"/>
      <c r="G35" s="123"/>
      <c r="H35" s="123"/>
      <c r="I35" s="123"/>
    </row>
    <row r="36" spans="2:9" ht="15.75" hidden="1" customHeight="1" x14ac:dyDescent="0.25">
      <c r="B36" s="122"/>
      <c r="C36" s="124"/>
      <c r="D36" s="124"/>
      <c r="E36" s="124"/>
      <c r="F36" s="123"/>
      <c r="G36" s="123"/>
      <c r="H36" s="123"/>
      <c r="I36" s="123"/>
    </row>
    <row r="37" spans="2:9" ht="15.75" hidden="1" customHeight="1" x14ac:dyDescent="0.25">
      <c r="B37" s="122"/>
      <c r="C37" s="124"/>
      <c r="D37" s="124"/>
      <c r="E37" s="124"/>
      <c r="F37" s="123"/>
      <c r="G37" s="123"/>
      <c r="H37" s="123"/>
      <c r="I37" s="123"/>
    </row>
    <row r="38" spans="2:9" ht="15.75" hidden="1" customHeight="1" x14ac:dyDescent="0.25">
      <c r="B38" s="122"/>
      <c r="C38" s="124"/>
      <c r="D38" s="124"/>
      <c r="E38" s="124"/>
      <c r="F38" s="123"/>
      <c r="G38" s="123"/>
      <c r="H38" s="123"/>
      <c r="I38" s="123"/>
    </row>
    <row r="39" spans="2:9" ht="15.75" hidden="1" customHeight="1" x14ac:dyDescent="0.25">
      <c r="B39" s="122"/>
      <c r="C39" s="124"/>
      <c r="D39" s="124"/>
      <c r="E39" s="124"/>
      <c r="F39" s="123"/>
      <c r="G39" s="123"/>
      <c r="H39" s="123"/>
      <c r="I39" s="123"/>
    </row>
    <row r="40" spans="2:9" ht="15.75" hidden="1" customHeight="1" x14ac:dyDescent="0.25">
      <c r="B40" s="122"/>
      <c r="C40" s="124"/>
      <c r="D40" s="124"/>
      <c r="E40" s="124"/>
      <c r="F40" s="123"/>
      <c r="G40" s="123"/>
      <c r="H40" s="123"/>
      <c r="I40" s="123"/>
    </row>
    <row r="41" spans="2:9" ht="15.75" hidden="1" customHeight="1" x14ac:dyDescent="0.25">
      <c r="B41" s="122"/>
      <c r="C41" s="124"/>
      <c r="D41" s="124"/>
      <c r="E41" s="124"/>
      <c r="F41" s="123"/>
      <c r="G41" s="123"/>
      <c r="H41" s="123"/>
      <c r="I41" s="123"/>
    </row>
    <row r="42" spans="2:9" ht="15.75" hidden="1" customHeight="1" x14ac:dyDescent="0.25">
      <c r="B42" s="122"/>
      <c r="C42" s="124"/>
      <c r="D42" s="124"/>
      <c r="E42" s="124"/>
      <c r="F42" s="123"/>
      <c r="G42" s="123"/>
      <c r="H42" s="123"/>
      <c r="I42" s="123"/>
    </row>
    <row r="43" spans="2:9" ht="15.75" hidden="1" customHeight="1" x14ac:dyDescent="0.25">
      <c r="B43" s="122"/>
      <c r="C43" s="124"/>
      <c r="D43" s="124"/>
      <c r="E43" s="124"/>
      <c r="F43" s="123"/>
      <c r="G43" s="123"/>
      <c r="H43" s="123"/>
      <c r="I43" s="123"/>
    </row>
    <row r="44" spans="2:9" ht="15.75" hidden="1" customHeight="1" x14ac:dyDescent="0.25">
      <c r="B44" s="122"/>
      <c r="C44" s="124"/>
      <c r="D44" s="124"/>
      <c r="E44" s="124"/>
      <c r="F44" s="123"/>
      <c r="G44" s="123"/>
      <c r="H44" s="123"/>
      <c r="I44" s="123"/>
    </row>
    <row r="45" spans="2:9" ht="15.75" hidden="1" customHeight="1" x14ac:dyDescent="0.25">
      <c r="B45" s="122"/>
      <c r="C45" s="124"/>
      <c r="D45" s="124"/>
      <c r="E45" s="124"/>
      <c r="F45" s="123"/>
      <c r="G45" s="123"/>
      <c r="H45" s="123"/>
      <c r="I45" s="123"/>
    </row>
    <row r="46" spans="2:9" ht="15.75" hidden="1" customHeight="1" x14ac:dyDescent="0.25">
      <c r="B46" s="122"/>
      <c r="C46" s="124"/>
      <c r="D46" s="124"/>
      <c r="E46" s="124"/>
      <c r="F46" s="123"/>
      <c r="G46" s="123"/>
      <c r="H46" s="123"/>
      <c r="I46" s="123"/>
    </row>
    <row r="47" spans="2:9" ht="15.75" hidden="1" customHeight="1" x14ac:dyDescent="0.25">
      <c r="B47" s="122"/>
      <c r="C47" s="124"/>
      <c r="D47" s="124"/>
      <c r="E47" s="124"/>
      <c r="F47" s="123"/>
      <c r="G47" s="123"/>
      <c r="H47" s="123"/>
      <c r="I47" s="123"/>
    </row>
    <row r="48" spans="2:9" ht="15.75" hidden="1" customHeight="1" x14ac:dyDescent="0.25">
      <c r="B48" s="122"/>
      <c r="C48" s="124"/>
      <c r="D48" s="124"/>
      <c r="E48" s="124"/>
      <c r="F48" s="123"/>
      <c r="G48" s="123"/>
      <c r="H48" s="123"/>
      <c r="I48" s="123"/>
    </row>
    <row r="49" spans="2:9" ht="15.75" hidden="1" customHeight="1" x14ac:dyDescent="0.25">
      <c r="B49" s="122"/>
      <c r="C49" s="124"/>
      <c r="D49" s="124"/>
      <c r="E49" s="124"/>
      <c r="F49" s="123"/>
      <c r="G49" s="123"/>
      <c r="H49" s="123"/>
      <c r="I49" s="123"/>
    </row>
    <row r="50" spans="2:9" ht="15.75" hidden="1" customHeight="1" x14ac:dyDescent="0.25">
      <c r="B50" s="122"/>
      <c r="C50" s="124"/>
      <c r="D50" s="124"/>
      <c r="E50" s="124"/>
      <c r="F50" s="123"/>
      <c r="G50" s="123"/>
      <c r="H50" s="123"/>
      <c r="I50" s="123"/>
    </row>
    <row r="51" spans="2:9" ht="15.75" hidden="1" customHeight="1" x14ac:dyDescent="0.25"/>
    <row r="52" spans="2:9" ht="15.75" hidden="1" customHeight="1" x14ac:dyDescent="0.25"/>
    <row r="53" spans="2:9" ht="15.75" hidden="1" customHeight="1" x14ac:dyDescent="0.25"/>
    <row r="54" spans="2:9" ht="15.75" hidden="1" customHeight="1" x14ac:dyDescent="0.25"/>
    <row r="55" spans="2:9" ht="15.75" hidden="1" customHeight="1" x14ac:dyDescent="0.25"/>
    <row r="56" spans="2:9" ht="15.75" hidden="1" customHeight="1" x14ac:dyDescent="0.25"/>
    <row r="57" spans="2:9" ht="15.75" hidden="1" customHeight="1" x14ac:dyDescent="0.25"/>
    <row r="58" spans="2:9" ht="15.75" hidden="1" customHeight="1" x14ac:dyDescent="0.25"/>
    <row r="59" spans="2:9" ht="15.75" hidden="1" customHeight="1" x14ac:dyDescent="0.25"/>
    <row r="60" spans="2:9" ht="15.75" hidden="1" customHeight="1" x14ac:dyDescent="0.25"/>
    <row r="61" spans="2:9" ht="15.75" hidden="1" customHeight="1" x14ac:dyDescent="0.25"/>
    <row r="62" spans="2:9" ht="15.75" hidden="1" customHeight="1" x14ac:dyDescent="0.25"/>
    <row r="63" spans="2:9" ht="15.75" hidden="1" customHeight="1" x14ac:dyDescent="0.25"/>
    <row r="64" spans="2:9" ht="15.75" hidden="1" customHeight="1" x14ac:dyDescent="0.25"/>
    <row r="65" ht="15.75" hidden="1" customHeight="1" x14ac:dyDescent="0.25"/>
    <row r="66" ht="15.75" hidden="1" customHeight="1" x14ac:dyDescent="0.25"/>
    <row r="67" ht="15.75" hidden="1" customHeight="1" x14ac:dyDescent="0.25"/>
    <row r="68" ht="15.75" hidden="1" customHeight="1" x14ac:dyDescent="0.25"/>
    <row r="69" ht="15.75" hidden="1" customHeight="1" x14ac:dyDescent="0.25"/>
    <row r="70" ht="15.75" hidden="1" customHeight="1" x14ac:dyDescent="0.25"/>
    <row r="71" ht="15.75" hidden="1" customHeight="1" x14ac:dyDescent="0.25"/>
    <row r="72" ht="15.75" hidden="1" customHeight="1" x14ac:dyDescent="0.25"/>
    <row r="73" ht="15.75" hidden="1" customHeight="1" x14ac:dyDescent="0.25"/>
    <row r="74" ht="15.75" hidden="1" customHeight="1" x14ac:dyDescent="0.25"/>
    <row r="75" ht="15.75" hidden="1" customHeight="1" x14ac:dyDescent="0.25"/>
    <row r="76" ht="15.75" hidden="1" customHeight="1" x14ac:dyDescent="0.25"/>
    <row r="77" ht="15.75" hidden="1" customHeight="1" x14ac:dyDescent="0.25"/>
    <row r="78" ht="15.75" hidden="1" customHeight="1" x14ac:dyDescent="0.25"/>
    <row r="79" ht="15.75" hidden="1" customHeight="1" x14ac:dyDescent="0.25"/>
    <row r="80" ht="15.75" hidden="1" customHeight="1" x14ac:dyDescent="0.25"/>
    <row r="81" ht="15.75" hidden="1" customHeight="1" x14ac:dyDescent="0.25"/>
    <row r="82" ht="15.75" hidden="1" customHeight="1" x14ac:dyDescent="0.25"/>
    <row r="83" ht="15.75" hidden="1" customHeight="1" x14ac:dyDescent="0.25"/>
    <row r="84" ht="15.75" hidden="1" customHeight="1" x14ac:dyDescent="0.25"/>
    <row r="85" ht="15.75" hidden="1" customHeight="1" x14ac:dyDescent="0.25"/>
    <row r="86" ht="15.75" hidden="1" customHeight="1" x14ac:dyDescent="0.25"/>
    <row r="87" ht="15.75" hidden="1" customHeight="1" x14ac:dyDescent="0.25"/>
    <row r="88" ht="15.75" hidden="1" customHeight="1" x14ac:dyDescent="0.25"/>
    <row r="89" ht="15.75" hidden="1" customHeight="1" x14ac:dyDescent="0.25"/>
    <row r="90" ht="15.75" hidden="1" customHeight="1" x14ac:dyDescent="0.25"/>
    <row r="91" ht="15.75" hidden="1" customHeight="1" x14ac:dyDescent="0.25"/>
    <row r="92" ht="15.75" hidden="1" customHeight="1" x14ac:dyDescent="0.25"/>
    <row r="93" ht="15.75" hidden="1" customHeight="1" x14ac:dyDescent="0.25"/>
    <row r="94" ht="15.75" hidden="1" customHeight="1" x14ac:dyDescent="0.25"/>
    <row r="95" ht="15.75" hidden="1" customHeight="1" x14ac:dyDescent="0.25"/>
    <row r="96" ht="15.75" hidden="1" customHeight="1" x14ac:dyDescent="0.25"/>
    <row r="97" ht="15.75" hidden="1" customHeight="1" x14ac:dyDescent="0.25"/>
    <row r="98" ht="15.75" hidden="1" customHeight="1" x14ac:dyDescent="0.25"/>
    <row r="99" ht="15.75" hidden="1" customHeight="1" x14ac:dyDescent="0.25"/>
    <row r="100" ht="15.75" hidden="1" customHeight="1" x14ac:dyDescent="0.25"/>
    <row r="101" ht="15.75" hidden="1" customHeight="1" x14ac:dyDescent="0.25"/>
    <row r="102" ht="15.75" hidden="1" customHeight="1" x14ac:dyDescent="0.25"/>
    <row r="103" ht="15.75" hidden="1" customHeight="1" x14ac:dyDescent="0.25"/>
    <row r="104" ht="15.75" hidden="1" customHeight="1" x14ac:dyDescent="0.25"/>
    <row r="105" ht="15.75" hidden="1" customHeight="1" x14ac:dyDescent="0.25"/>
    <row r="106" ht="15.75" hidden="1" customHeight="1" x14ac:dyDescent="0.25"/>
    <row r="107" ht="15.75" hidden="1" customHeight="1" x14ac:dyDescent="0.25"/>
    <row r="108" ht="15.75" hidden="1" customHeight="1" x14ac:dyDescent="0.25"/>
    <row r="109" ht="15.75" hidden="1" customHeight="1" x14ac:dyDescent="0.25"/>
    <row r="110" ht="15.75" hidden="1" customHeight="1" x14ac:dyDescent="0.25"/>
    <row r="111" ht="15.75" hidden="1" customHeight="1" x14ac:dyDescent="0.25"/>
    <row r="112"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hidden="1" customHeight="1" x14ac:dyDescent="0.25"/>
    <row r="241" ht="15.75" hidden="1" customHeight="1" x14ac:dyDescent="0.25"/>
    <row r="242" ht="15.75" hidden="1" customHeight="1" x14ac:dyDescent="0.25"/>
    <row r="243" ht="15.75" hidden="1" customHeight="1" x14ac:dyDescent="0.25"/>
    <row r="244" ht="15.75" hidden="1" customHeight="1" x14ac:dyDescent="0.25"/>
    <row r="245" ht="15.75" hidden="1" customHeight="1" x14ac:dyDescent="0.25"/>
    <row r="246" ht="15.75" hidden="1" customHeight="1" x14ac:dyDescent="0.25"/>
    <row r="247" ht="15.75" hidden="1" customHeight="1" x14ac:dyDescent="0.25"/>
    <row r="248" ht="15.75" hidden="1" customHeight="1" x14ac:dyDescent="0.25"/>
    <row r="249" ht="15.75" hidden="1" customHeight="1" x14ac:dyDescent="0.25"/>
    <row r="250" ht="15.75" hidden="1" customHeight="1" x14ac:dyDescent="0.25"/>
    <row r="251" ht="15.75" hidden="1" customHeight="1" x14ac:dyDescent="0.25"/>
    <row r="252" ht="15.75" hidden="1" customHeight="1" x14ac:dyDescent="0.25"/>
    <row r="253" ht="15.75" hidden="1" customHeight="1" x14ac:dyDescent="0.25"/>
    <row r="254" ht="15.75" hidden="1" customHeight="1" x14ac:dyDescent="0.25"/>
    <row r="255" ht="15.75" hidden="1" customHeight="1" x14ac:dyDescent="0.25"/>
    <row r="256" ht="15.75" hidden="1" customHeight="1" x14ac:dyDescent="0.25"/>
    <row r="257" ht="15.75" hidden="1" customHeight="1" x14ac:dyDescent="0.25"/>
    <row r="258" ht="15.75" hidden="1" customHeight="1" x14ac:dyDescent="0.25"/>
    <row r="259" ht="15.75" hidden="1" customHeight="1" x14ac:dyDescent="0.25"/>
    <row r="260" ht="15.75" hidden="1" customHeight="1" x14ac:dyDescent="0.25"/>
    <row r="261" ht="15.75" hidden="1" customHeight="1" x14ac:dyDescent="0.25"/>
    <row r="262" ht="15.75" hidden="1" customHeight="1" x14ac:dyDescent="0.25"/>
    <row r="263" ht="15.75" hidden="1" customHeight="1" x14ac:dyDescent="0.25"/>
    <row r="264" ht="15.75" hidden="1" customHeight="1" x14ac:dyDescent="0.25"/>
    <row r="265" ht="15.75" hidden="1" customHeight="1" x14ac:dyDescent="0.25"/>
    <row r="266" ht="15.75" hidden="1" customHeight="1" x14ac:dyDescent="0.25"/>
    <row r="267" ht="15.75" hidden="1" customHeight="1" x14ac:dyDescent="0.25"/>
    <row r="268" ht="15.75" hidden="1" customHeight="1" x14ac:dyDescent="0.25"/>
    <row r="269" ht="15.75" hidden="1" customHeight="1" x14ac:dyDescent="0.25"/>
    <row r="270" ht="15.75" hidden="1" customHeight="1" x14ac:dyDescent="0.25"/>
    <row r="271" ht="15.75" hidden="1" customHeight="1" x14ac:dyDescent="0.25"/>
    <row r="272" ht="15.75" hidden="1" customHeight="1" x14ac:dyDescent="0.25"/>
    <row r="273" ht="15.75" hidden="1" customHeight="1" x14ac:dyDescent="0.25"/>
    <row r="274" ht="15.75" hidden="1" customHeight="1" x14ac:dyDescent="0.25"/>
    <row r="275" ht="15.75" hidden="1" customHeight="1" x14ac:dyDescent="0.25"/>
    <row r="276" ht="15.75" hidden="1" customHeight="1" x14ac:dyDescent="0.25"/>
    <row r="277" ht="15.75" hidden="1" customHeight="1" x14ac:dyDescent="0.25"/>
    <row r="278" ht="15.75" hidden="1" customHeight="1" x14ac:dyDescent="0.25"/>
    <row r="279" ht="15.75" hidden="1" customHeight="1" x14ac:dyDescent="0.25"/>
    <row r="280" ht="15.75" hidden="1" customHeight="1" x14ac:dyDescent="0.25"/>
    <row r="281" ht="15.75" hidden="1" customHeight="1" x14ac:dyDescent="0.25"/>
    <row r="282" ht="15.75" hidden="1" customHeight="1" x14ac:dyDescent="0.25"/>
    <row r="283" ht="15.75" hidden="1" customHeight="1" x14ac:dyDescent="0.25"/>
    <row r="284" ht="15.75" hidden="1" customHeight="1" x14ac:dyDescent="0.25"/>
    <row r="285" ht="15.75" hidden="1" customHeight="1" x14ac:dyDescent="0.25"/>
    <row r="286" ht="15.75" hidden="1" customHeight="1" x14ac:dyDescent="0.25"/>
    <row r="287" ht="15.75" hidden="1" customHeight="1" x14ac:dyDescent="0.25"/>
    <row r="288" ht="15.75" hidden="1" customHeight="1" x14ac:dyDescent="0.25"/>
    <row r="289" ht="15.75" hidden="1" customHeight="1" x14ac:dyDescent="0.25"/>
    <row r="290" ht="15.75" hidden="1" customHeight="1" x14ac:dyDescent="0.25"/>
    <row r="291" ht="15.75" hidden="1" customHeight="1" x14ac:dyDescent="0.25"/>
    <row r="292" ht="15.75" hidden="1" customHeight="1" x14ac:dyDescent="0.25"/>
    <row r="293" ht="15.75" hidden="1" customHeight="1" x14ac:dyDescent="0.25"/>
    <row r="294" ht="15.75" hidden="1" customHeight="1" x14ac:dyDescent="0.25"/>
    <row r="295" ht="15.75" hidden="1" customHeight="1" x14ac:dyDescent="0.25"/>
    <row r="296" ht="15.75" hidden="1" customHeight="1" x14ac:dyDescent="0.25"/>
    <row r="297" ht="15.75" hidden="1" customHeight="1" x14ac:dyDescent="0.25"/>
    <row r="298" ht="15.75" hidden="1" customHeight="1" x14ac:dyDescent="0.25"/>
    <row r="299" ht="15.75" hidden="1" customHeight="1" x14ac:dyDescent="0.25"/>
    <row r="300" ht="15.75" hidden="1" customHeight="1" x14ac:dyDescent="0.25"/>
    <row r="301" ht="15.75" hidden="1" customHeight="1" x14ac:dyDescent="0.25"/>
    <row r="302" ht="15.75" hidden="1" customHeight="1" x14ac:dyDescent="0.25"/>
    <row r="303" ht="15.75" hidden="1" customHeight="1" x14ac:dyDescent="0.25"/>
    <row r="304" ht="15.75" hidden="1" customHeight="1" x14ac:dyDescent="0.25"/>
    <row r="305" ht="15.75" hidden="1" customHeight="1" x14ac:dyDescent="0.25"/>
    <row r="306" ht="15.75" hidden="1" customHeight="1" x14ac:dyDescent="0.25"/>
    <row r="307" ht="15.75" hidden="1" customHeight="1" x14ac:dyDescent="0.25"/>
    <row r="308" ht="15.75" hidden="1" customHeight="1" x14ac:dyDescent="0.25"/>
    <row r="309" ht="15.75" hidden="1" customHeight="1" x14ac:dyDescent="0.25"/>
    <row r="310" ht="15.75" hidden="1" customHeight="1" x14ac:dyDescent="0.25"/>
    <row r="311" ht="15.75" hidden="1" customHeight="1" x14ac:dyDescent="0.25"/>
    <row r="312" ht="15.75" hidden="1" customHeight="1" x14ac:dyDescent="0.25"/>
    <row r="313" ht="15.75" hidden="1" customHeight="1" x14ac:dyDescent="0.25"/>
    <row r="314" ht="15.75" hidden="1" customHeight="1" x14ac:dyDescent="0.25"/>
    <row r="315" ht="15.75" hidden="1" customHeight="1" x14ac:dyDescent="0.25"/>
    <row r="316" ht="15.75" hidden="1" customHeight="1" x14ac:dyDescent="0.25"/>
    <row r="317" ht="15.75" hidden="1" customHeight="1" x14ac:dyDescent="0.25"/>
    <row r="318" ht="15.75" hidden="1" customHeight="1" x14ac:dyDescent="0.25"/>
    <row r="319" ht="15.75" hidden="1" customHeight="1" x14ac:dyDescent="0.25"/>
    <row r="320" ht="15.75" hidden="1" customHeight="1" x14ac:dyDescent="0.25"/>
    <row r="321" ht="15.75" hidden="1" customHeight="1" x14ac:dyDescent="0.25"/>
    <row r="322" ht="15.75" hidden="1" customHeight="1" x14ac:dyDescent="0.25"/>
    <row r="323" ht="15.75" hidden="1" customHeight="1" x14ac:dyDescent="0.25"/>
    <row r="324" ht="15.75" hidden="1" customHeight="1" x14ac:dyDescent="0.25"/>
    <row r="325" ht="15.75" hidden="1" customHeight="1" x14ac:dyDescent="0.25"/>
    <row r="326" ht="15.75" hidden="1" customHeight="1" x14ac:dyDescent="0.25"/>
    <row r="327" ht="15.75" hidden="1" customHeight="1" x14ac:dyDescent="0.25"/>
    <row r="328" ht="15.75" hidden="1" customHeight="1" x14ac:dyDescent="0.25"/>
    <row r="329" ht="15.75" hidden="1" customHeight="1" x14ac:dyDescent="0.25"/>
    <row r="330" ht="15.75" hidden="1" customHeight="1" x14ac:dyDescent="0.25"/>
    <row r="331" ht="15.75" hidden="1" customHeight="1" x14ac:dyDescent="0.25"/>
    <row r="332" ht="15.75" hidden="1" customHeight="1" x14ac:dyDescent="0.25"/>
    <row r="333" ht="15.75" hidden="1" customHeight="1" x14ac:dyDescent="0.25"/>
    <row r="334" ht="15.75" hidden="1" customHeight="1" x14ac:dyDescent="0.25"/>
    <row r="335" ht="15.75" hidden="1" customHeight="1" x14ac:dyDescent="0.25"/>
    <row r="336" ht="15.75" hidden="1" customHeight="1" x14ac:dyDescent="0.25"/>
    <row r="337" ht="15.75" hidden="1" customHeight="1" x14ac:dyDescent="0.25"/>
    <row r="338" ht="15.75" hidden="1" customHeight="1" x14ac:dyDescent="0.25"/>
    <row r="339" ht="15.75" hidden="1" customHeight="1" x14ac:dyDescent="0.25"/>
    <row r="340" ht="15.75" hidden="1" customHeight="1" x14ac:dyDescent="0.25"/>
    <row r="341" ht="15.75" hidden="1" customHeight="1" x14ac:dyDescent="0.25"/>
    <row r="342" ht="15.75" hidden="1" customHeight="1" x14ac:dyDescent="0.25"/>
    <row r="343" ht="15.75" hidden="1" customHeight="1" x14ac:dyDescent="0.25"/>
    <row r="344" ht="15.75" hidden="1" customHeight="1" x14ac:dyDescent="0.25"/>
    <row r="345" ht="15.75" hidden="1" customHeight="1" x14ac:dyDescent="0.25"/>
    <row r="346" ht="15.75" hidden="1" customHeight="1" x14ac:dyDescent="0.25"/>
    <row r="347" ht="15.75" hidden="1" customHeight="1" x14ac:dyDescent="0.25"/>
    <row r="348" ht="15.75" hidden="1" customHeight="1" x14ac:dyDescent="0.25"/>
    <row r="349" ht="15.75" hidden="1" customHeight="1" x14ac:dyDescent="0.25"/>
    <row r="350" ht="15.75" hidden="1" customHeight="1" x14ac:dyDescent="0.25"/>
    <row r="351" ht="15.75" hidden="1" customHeight="1" x14ac:dyDescent="0.25"/>
    <row r="352" ht="15.75" hidden="1" customHeight="1" x14ac:dyDescent="0.25"/>
    <row r="353" ht="15.75" hidden="1" customHeight="1" x14ac:dyDescent="0.25"/>
    <row r="354" ht="15.75" hidden="1" customHeight="1" x14ac:dyDescent="0.25"/>
    <row r="355" ht="15.75" hidden="1" customHeight="1" x14ac:dyDescent="0.25"/>
    <row r="356" ht="15.75" hidden="1" customHeight="1" x14ac:dyDescent="0.25"/>
    <row r="357" ht="15.75" hidden="1" customHeight="1" x14ac:dyDescent="0.25"/>
    <row r="358" ht="15.75" hidden="1" customHeight="1" x14ac:dyDescent="0.25"/>
    <row r="359" ht="15.75" hidden="1" customHeight="1" x14ac:dyDescent="0.25"/>
    <row r="360" ht="15.75" hidden="1" customHeight="1" x14ac:dyDescent="0.25"/>
    <row r="361" ht="15.75" hidden="1" customHeight="1" x14ac:dyDescent="0.25"/>
    <row r="362" ht="15.75" hidden="1" customHeight="1" x14ac:dyDescent="0.25"/>
    <row r="363" ht="15.75" hidden="1" customHeight="1" x14ac:dyDescent="0.25"/>
    <row r="364" ht="15.75" hidden="1" customHeight="1" x14ac:dyDescent="0.25"/>
    <row r="365" ht="15.75" hidden="1" customHeight="1" x14ac:dyDescent="0.25"/>
    <row r="366" ht="15.75" hidden="1" customHeight="1" x14ac:dyDescent="0.25"/>
    <row r="367" ht="15.75" hidden="1" customHeight="1" x14ac:dyDescent="0.25"/>
    <row r="368" ht="15.75" hidden="1" customHeight="1" x14ac:dyDescent="0.25"/>
    <row r="369" ht="15.75" hidden="1" customHeight="1" x14ac:dyDescent="0.25"/>
    <row r="370" ht="15.75" hidden="1" customHeight="1" x14ac:dyDescent="0.25"/>
    <row r="371" ht="15.75" hidden="1" customHeight="1" x14ac:dyDescent="0.25"/>
    <row r="372" ht="15.75" hidden="1" customHeight="1" x14ac:dyDescent="0.25"/>
    <row r="373" ht="15.75" hidden="1" customHeight="1" x14ac:dyDescent="0.25"/>
    <row r="374" ht="15.75" hidden="1" customHeight="1" x14ac:dyDescent="0.25"/>
    <row r="375" ht="15.75" hidden="1" customHeight="1" x14ac:dyDescent="0.25"/>
    <row r="376" ht="15.75" hidden="1" customHeight="1" x14ac:dyDescent="0.25"/>
    <row r="377" ht="15.75" hidden="1" customHeight="1" x14ac:dyDescent="0.25"/>
    <row r="378" ht="15.75" hidden="1" customHeight="1" x14ac:dyDescent="0.25"/>
    <row r="379" ht="15.75" hidden="1" customHeight="1" x14ac:dyDescent="0.25"/>
    <row r="380" ht="15.75" hidden="1" customHeight="1" x14ac:dyDescent="0.25"/>
    <row r="381" ht="15.75" hidden="1" customHeight="1" x14ac:dyDescent="0.25"/>
    <row r="382" ht="15.75" hidden="1" customHeight="1" x14ac:dyDescent="0.25"/>
    <row r="383" ht="15.75" hidden="1" customHeight="1" x14ac:dyDescent="0.25"/>
    <row r="384" ht="15.75" hidden="1" customHeight="1" x14ac:dyDescent="0.25"/>
    <row r="385" ht="15.75" hidden="1" customHeight="1" x14ac:dyDescent="0.25"/>
    <row r="386" ht="15.75" hidden="1" customHeight="1" x14ac:dyDescent="0.25"/>
    <row r="387" ht="15.75" hidden="1" customHeight="1" x14ac:dyDescent="0.25"/>
    <row r="388" ht="15.75" hidden="1" customHeight="1" x14ac:dyDescent="0.25"/>
    <row r="389" ht="15.75" hidden="1" customHeight="1" x14ac:dyDescent="0.25"/>
    <row r="390" ht="15.75" hidden="1" customHeight="1" x14ac:dyDescent="0.25"/>
    <row r="391" ht="15.75" hidden="1" customHeight="1" x14ac:dyDescent="0.25"/>
    <row r="392" ht="15.75" hidden="1" customHeight="1" x14ac:dyDescent="0.25"/>
    <row r="393" ht="15.75" hidden="1" customHeight="1" x14ac:dyDescent="0.25"/>
    <row r="394" ht="15.75" hidden="1" customHeight="1" x14ac:dyDescent="0.25"/>
    <row r="395" ht="15.75" hidden="1" customHeight="1" x14ac:dyDescent="0.25"/>
    <row r="396" ht="15.75" hidden="1" customHeight="1" x14ac:dyDescent="0.25"/>
    <row r="397" ht="15.75" hidden="1" customHeight="1" x14ac:dyDescent="0.25"/>
    <row r="398" ht="15.75" hidden="1" customHeight="1" x14ac:dyDescent="0.25"/>
    <row r="399" ht="15.75" hidden="1" customHeight="1" x14ac:dyDescent="0.25"/>
    <row r="400" ht="15.75" hidden="1" customHeight="1" x14ac:dyDescent="0.25"/>
    <row r="401" ht="15.75" hidden="1" customHeight="1" x14ac:dyDescent="0.25"/>
    <row r="402" ht="15.75" hidden="1" customHeight="1" x14ac:dyDescent="0.25"/>
    <row r="403" ht="15.75" hidden="1" customHeight="1" x14ac:dyDescent="0.25"/>
    <row r="404" ht="15.75" hidden="1" customHeight="1" x14ac:dyDescent="0.25"/>
    <row r="405" ht="15.75" hidden="1" customHeight="1" x14ac:dyDescent="0.25"/>
    <row r="406" ht="15.75" hidden="1" customHeight="1" x14ac:dyDescent="0.25"/>
    <row r="407" ht="15.75" hidden="1" customHeight="1" x14ac:dyDescent="0.25"/>
    <row r="408" ht="15.75" hidden="1" customHeight="1" x14ac:dyDescent="0.25"/>
    <row r="409" ht="15.75" hidden="1" customHeight="1" x14ac:dyDescent="0.25"/>
    <row r="410" ht="15.75" hidden="1" customHeight="1" x14ac:dyDescent="0.25"/>
    <row r="411" ht="15.75" hidden="1" customHeight="1" x14ac:dyDescent="0.25"/>
    <row r="412" ht="15.75" hidden="1" customHeight="1" x14ac:dyDescent="0.25"/>
    <row r="413" ht="15.75" hidden="1" customHeight="1" x14ac:dyDescent="0.25"/>
    <row r="414" ht="15.75" hidden="1" customHeight="1" x14ac:dyDescent="0.25"/>
    <row r="415" ht="15.75" hidden="1" customHeight="1" x14ac:dyDescent="0.25"/>
    <row r="416" ht="15.75" hidden="1" customHeight="1" x14ac:dyDescent="0.25"/>
    <row r="417" ht="15.75" hidden="1" customHeight="1" x14ac:dyDescent="0.25"/>
    <row r="418" ht="15.75" hidden="1" customHeight="1" x14ac:dyDescent="0.25"/>
    <row r="419" ht="15.75" hidden="1" customHeight="1" x14ac:dyDescent="0.25"/>
    <row r="420" ht="15.75" hidden="1" customHeight="1" x14ac:dyDescent="0.25"/>
    <row r="421" ht="15.75" hidden="1" customHeight="1" x14ac:dyDescent="0.25"/>
    <row r="422" ht="15.75" hidden="1" customHeight="1" x14ac:dyDescent="0.25"/>
    <row r="423" ht="15.75" hidden="1" customHeight="1" x14ac:dyDescent="0.25"/>
    <row r="424" ht="15.75" hidden="1" customHeight="1" x14ac:dyDescent="0.25"/>
    <row r="425" ht="15.75" hidden="1" customHeight="1" x14ac:dyDescent="0.25"/>
    <row r="426" ht="15.75" hidden="1" customHeight="1" x14ac:dyDescent="0.25"/>
    <row r="427" ht="15.75" hidden="1" customHeight="1" x14ac:dyDescent="0.25"/>
    <row r="428" ht="15.75" hidden="1" customHeight="1" x14ac:dyDescent="0.25"/>
    <row r="429" ht="15.75" hidden="1" customHeight="1" x14ac:dyDescent="0.25"/>
    <row r="430" ht="15.75" hidden="1" customHeight="1" x14ac:dyDescent="0.25"/>
    <row r="431" ht="15.75" hidden="1" customHeight="1" x14ac:dyDescent="0.25"/>
    <row r="432" ht="15.75" hidden="1" customHeight="1" x14ac:dyDescent="0.25"/>
    <row r="433" ht="15.75" hidden="1" customHeight="1" x14ac:dyDescent="0.25"/>
    <row r="434" ht="15.75" hidden="1" customHeight="1" x14ac:dyDescent="0.25"/>
    <row r="435" ht="15.75" hidden="1" customHeight="1" x14ac:dyDescent="0.25"/>
    <row r="436" ht="15.75" hidden="1" customHeight="1" x14ac:dyDescent="0.25"/>
    <row r="437" ht="15.75" hidden="1" customHeight="1" x14ac:dyDescent="0.25"/>
    <row r="438" ht="15.75" hidden="1" customHeight="1" x14ac:dyDescent="0.25"/>
    <row r="439" ht="15.75" hidden="1" customHeight="1" x14ac:dyDescent="0.25"/>
    <row r="440" ht="15.75" hidden="1" customHeight="1" x14ac:dyDescent="0.25"/>
    <row r="441" ht="15.75" hidden="1" customHeight="1" x14ac:dyDescent="0.25"/>
    <row r="442" ht="15.75" hidden="1" customHeight="1" x14ac:dyDescent="0.25"/>
    <row r="443" ht="15.75" hidden="1" customHeight="1" x14ac:dyDescent="0.25"/>
    <row r="444" ht="15.75" hidden="1" customHeight="1" x14ac:dyDescent="0.25"/>
    <row r="445" ht="15.75" hidden="1" customHeight="1" x14ac:dyDescent="0.25"/>
    <row r="446" ht="15.75" hidden="1" customHeight="1" x14ac:dyDescent="0.25"/>
    <row r="447" ht="15.75" hidden="1" customHeight="1" x14ac:dyDescent="0.25"/>
    <row r="448" ht="15.75" hidden="1" customHeight="1" x14ac:dyDescent="0.25"/>
    <row r="449" ht="15.75" hidden="1" customHeight="1" x14ac:dyDescent="0.25"/>
    <row r="450" ht="15.75" hidden="1" customHeight="1" x14ac:dyDescent="0.25"/>
    <row r="451" ht="15.75" hidden="1" customHeight="1" x14ac:dyDescent="0.25"/>
    <row r="452" ht="15.75" hidden="1" customHeight="1" x14ac:dyDescent="0.25"/>
    <row r="453" ht="15.75" hidden="1" customHeight="1" x14ac:dyDescent="0.25"/>
    <row r="454" ht="15.75" hidden="1" customHeight="1" x14ac:dyDescent="0.25"/>
    <row r="455" ht="15.75" hidden="1" customHeight="1" x14ac:dyDescent="0.25"/>
    <row r="456" ht="15.75" hidden="1" customHeight="1" x14ac:dyDescent="0.25"/>
    <row r="457" ht="15.75" hidden="1" customHeight="1" x14ac:dyDescent="0.25"/>
    <row r="458" ht="15.75" hidden="1" customHeight="1" x14ac:dyDescent="0.25"/>
    <row r="459" ht="15.75" hidden="1" customHeight="1" x14ac:dyDescent="0.25"/>
    <row r="460" ht="15.75" hidden="1" customHeight="1" x14ac:dyDescent="0.25"/>
    <row r="461" ht="15.75" hidden="1" customHeight="1" x14ac:dyDescent="0.25"/>
    <row r="462" ht="15.75" hidden="1" customHeight="1" x14ac:dyDescent="0.25"/>
    <row r="463" ht="15.75" hidden="1" customHeight="1" x14ac:dyDescent="0.25"/>
    <row r="464" ht="15.75" hidden="1" customHeight="1" x14ac:dyDescent="0.25"/>
    <row r="465" ht="15.75" hidden="1" customHeight="1" x14ac:dyDescent="0.25"/>
    <row r="466" ht="15.75" hidden="1" customHeight="1" x14ac:dyDescent="0.25"/>
    <row r="467" ht="15.75" hidden="1" customHeight="1" x14ac:dyDescent="0.25"/>
    <row r="468" ht="15.75" hidden="1" customHeight="1" x14ac:dyDescent="0.25"/>
    <row r="469" ht="15.75" hidden="1" customHeight="1" x14ac:dyDescent="0.25"/>
    <row r="470" ht="15.75" hidden="1" customHeight="1" x14ac:dyDescent="0.25"/>
    <row r="471" ht="15.75" hidden="1" customHeight="1" x14ac:dyDescent="0.25"/>
    <row r="472" ht="15.75" hidden="1" customHeight="1" x14ac:dyDescent="0.25"/>
    <row r="473" ht="15.75" hidden="1" customHeight="1" x14ac:dyDescent="0.25"/>
    <row r="474" ht="15.75" hidden="1" customHeight="1" x14ac:dyDescent="0.25"/>
    <row r="475" ht="15.75" hidden="1" customHeight="1" x14ac:dyDescent="0.25"/>
    <row r="476" ht="15.75" hidden="1" customHeight="1" x14ac:dyDescent="0.25"/>
    <row r="477" ht="15.75" hidden="1" customHeight="1" x14ac:dyDescent="0.25"/>
    <row r="478" ht="15.75" hidden="1" customHeight="1" x14ac:dyDescent="0.25"/>
    <row r="479" ht="15.75" hidden="1" customHeight="1" x14ac:dyDescent="0.25"/>
    <row r="480" ht="15.75" hidden="1" customHeight="1" x14ac:dyDescent="0.25"/>
    <row r="481" ht="15.75" hidden="1" customHeight="1" x14ac:dyDescent="0.25"/>
    <row r="482" ht="15.75" hidden="1" customHeight="1" x14ac:dyDescent="0.25"/>
    <row r="483" ht="15.75" hidden="1" customHeight="1" x14ac:dyDescent="0.25"/>
    <row r="484" ht="15.75" hidden="1" customHeight="1" x14ac:dyDescent="0.25"/>
    <row r="485" ht="15.75" hidden="1" customHeight="1" x14ac:dyDescent="0.25"/>
    <row r="486" ht="15.75" hidden="1" customHeight="1" x14ac:dyDescent="0.25"/>
    <row r="487" ht="15.75" hidden="1" customHeight="1" x14ac:dyDescent="0.25"/>
    <row r="488" ht="15.75" hidden="1" customHeight="1" x14ac:dyDescent="0.25"/>
    <row r="489" ht="15.75" hidden="1" customHeight="1" x14ac:dyDescent="0.25"/>
    <row r="490" ht="15.75" hidden="1" customHeight="1" x14ac:dyDescent="0.25"/>
    <row r="491" ht="15.75" hidden="1" customHeight="1" x14ac:dyDescent="0.25"/>
    <row r="492" ht="15.75" hidden="1" customHeight="1" x14ac:dyDescent="0.25"/>
    <row r="493" ht="15.75" hidden="1" customHeight="1" x14ac:dyDescent="0.25"/>
    <row r="494" ht="15.75" hidden="1" customHeight="1" x14ac:dyDescent="0.25"/>
    <row r="495" ht="15.75" hidden="1" customHeight="1" x14ac:dyDescent="0.25"/>
    <row r="496" ht="15.75" hidden="1" customHeight="1" x14ac:dyDescent="0.25"/>
    <row r="497" ht="15.75" hidden="1" customHeight="1" x14ac:dyDescent="0.25"/>
    <row r="498" ht="15.75" hidden="1" customHeight="1" x14ac:dyDescent="0.25"/>
    <row r="499" ht="15.75" hidden="1" customHeight="1" x14ac:dyDescent="0.25"/>
    <row r="500" ht="15.75" hidden="1" customHeight="1" x14ac:dyDescent="0.25"/>
    <row r="501" ht="15.75" hidden="1" customHeight="1" x14ac:dyDescent="0.25"/>
    <row r="502" ht="15.75" hidden="1" customHeight="1" x14ac:dyDescent="0.25"/>
    <row r="503" ht="15.75" hidden="1" customHeight="1" x14ac:dyDescent="0.25"/>
    <row r="504" ht="15.75" hidden="1" customHeight="1" x14ac:dyDescent="0.25"/>
    <row r="505" ht="15.75" hidden="1" customHeight="1" x14ac:dyDescent="0.25"/>
    <row r="506" ht="15.75" hidden="1" customHeight="1" x14ac:dyDescent="0.25"/>
    <row r="507" ht="15.75" hidden="1" customHeight="1" x14ac:dyDescent="0.25"/>
    <row r="508" ht="15.75" hidden="1" customHeight="1" x14ac:dyDescent="0.25"/>
    <row r="509" ht="15.75" hidden="1" customHeight="1" x14ac:dyDescent="0.25"/>
    <row r="510" ht="15.75" hidden="1" customHeight="1" x14ac:dyDescent="0.25"/>
    <row r="511" ht="15.75" hidden="1" customHeight="1" x14ac:dyDescent="0.25"/>
    <row r="512" ht="15.75" hidden="1" customHeight="1" x14ac:dyDescent="0.25"/>
    <row r="513" ht="15.75" hidden="1" customHeight="1" x14ac:dyDescent="0.25"/>
    <row r="514" ht="15.75" hidden="1" customHeight="1" x14ac:dyDescent="0.25"/>
    <row r="515" ht="15.75" hidden="1" customHeight="1" x14ac:dyDescent="0.25"/>
    <row r="516" ht="15.75" hidden="1" customHeight="1" x14ac:dyDescent="0.25"/>
    <row r="517" ht="15.75" hidden="1" customHeight="1" x14ac:dyDescent="0.25"/>
    <row r="518" ht="15.75" hidden="1" customHeight="1" x14ac:dyDescent="0.25"/>
    <row r="519" ht="15.75" hidden="1" customHeight="1" x14ac:dyDescent="0.25"/>
    <row r="520" ht="15.75" hidden="1" customHeight="1" x14ac:dyDescent="0.25"/>
    <row r="521" ht="15.75" hidden="1" customHeight="1" x14ac:dyDescent="0.25"/>
    <row r="522" ht="15.75" hidden="1" customHeight="1" x14ac:dyDescent="0.25"/>
    <row r="523" ht="15.75" hidden="1" customHeight="1" x14ac:dyDescent="0.25"/>
    <row r="524" ht="15.75" hidden="1" customHeight="1" x14ac:dyDescent="0.25"/>
    <row r="525" ht="15.75" hidden="1" customHeight="1" x14ac:dyDescent="0.25"/>
    <row r="526" ht="15.75" hidden="1" customHeight="1" x14ac:dyDescent="0.25"/>
    <row r="527" ht="15.75" hidden="1" customHeight="1" x14ac:dyDescent="0.25"/>
    <row r="528" ht="15.75" hidden="1" customHeight="1" x14ac:dyDescent="0.25"/>
    <row r="529" ht="15.75" hidden="1" customHeight="1" x14ac:dyDescent="0.25"/>
    <row r="530" ht="15.75" hidden="1" customHeight="1" x14ac:dyDescent="0.25"/>
    <row r="531" ht="15.75" hidden="1" customHeight="1" x14ac:dyDescent="0.25"/>
    <row r="532" ht="15.75" hidden="1" customHeight="1" x14ac:dyDescent="0.25"/>
    <row r="533" ht="15.75" hidden="1" customHeight="1" x14ac:dyDescent="0.25"/>
    <row r="534" ht="15.75" hidden="1" customHeight="1" x14ac:dyDescent="0.25"/>
    <row r="535" ht="15.75" hidden="1" customHeight="1" x14ac:dyDescent="0.25"/>
    <row r="536" ht="15.75" hidden="1" customHeight="1" x14ac:dyDescent="0.25"/>
    <row r="537" ht="15.75" hidden="1" customHeight="1" x14ac:dyDescent="0.25"/>
    <row r="538" ht="15.75" hidden="1" customHeight="1" x14ac:dyDescent="0.25"/>
    <row r="539" ht="15.75" hidden="1" customHeight="1" x14ac:dyDescent="0.25"/>
    <row r="540" ht="15.75" hidden="1" customHeight="1" x14ac:dyDescent="0.25"/>
    <row r="541" ht="15.75" hidden="1" customHeight="1" x14ac:dyDescent="0.25"/>
    <row r="542" ht="15.75" hidden="1" customHeight="1" x14ac:dyDescent="0.25"/>
    <row r="543" ht="15.75" hidden="1" customHeight="1" x14ac:dyDescent="0.25"/>
    <row r="544" ht="15.75" hidden="1" customHeight="1" x14ac:dyDescent="0.25"/>
    <row r="545" ht="15.75" hidden="1" customHeight="1" x14ac:dyDescent="0.25"/>
    <row r="546" ht="15.75" hidden="1" customHeight="1" x14ac:dyDescent="0.25"/>
    <row r="547" ht="15.75" hidden="1" customHeight="1" x14ac:dyDescent="0.25"/>
    <row r="548" ht="15.75" hidden="1" customHeight="1" x14ac:dyDescent="0.25"/>
    <row r="549" ht="15.75" hidden="1" customHeight="1" x14ac:dyDescent="0.25"/>
    <row r="550" ht="15.75" hidden="1" customHeight="1" x14ac:dyDescent="0.25"/>
    <row r="551" ht="15.75" hidden="1" customHeight="1" x14ac:dyDescent="0.25"/>
    <row r="552" ht="15.75" hidden="1" customHeight="1" x14ac:dyDescent="0.25"/>
    <row r="553" ht="15.75" hidden="1" customHeight="1" x14ac:dyDescent="0.25"/>
    <row r="554" ht="15.75" hidden="1" customHeight="1" x14ac:dyDescent="0.25"/>
    <row r="555" ht="15.75" hidden="1" customHeight="1" x14ac:dyDescent="0.25"/>
    <row r="556" ht="15.75" hidden="1" customHeight="1" x14ac:dyDescent="0.25"/>
    <row r="557" ht="15.75" hidden="1" customHeight="1" x14ac:dyDescent="0.25"/>
    <row r="558" ht="15.75" hidden="1" customHeight="1" x14ac:dyDescent="0.25"/>
    <row r="559" ht="15.75" hidden="1" customHeight="1" x14ac:dyDescent="0.25"/>
    <row r="560" ht="15.75" hidden="1" customHeight="1" x14ac:dyDescent="0.25"/>
    <row r="561" ht="15.75" hidden="1" customHeight="1" x14ac:dyDescent="0.25"/>
    <row r="562" ht="15.75" hidden="1" customHeight="1" x14ac:dyDescent="0.25"/>
    <row r="563" ht="15.75" hidden="1" customHeight="1" x14ac:dyDescent="0.25"/>
    <row r="564" ht="15.75" hidden="1" customHeight="1" x14ac:dyDescent="0.25"/>
    <row r="565" ht="15.75" hidden="1" customHeight="1" x14ac:dyDescent="0.25"/>
    <row r="566" ht="15.75" hidden="1" customHeight="1" x14ac:dyDescent="0.25"/>
    <row r="567" ht="15.75" hidden="1" customHeight="1" x14ac:dyDescent="0.25"/>
    <row r="568" ht="15.75" hidden="1" customHeight="1" x14ac:dyDescent="0.25"/>
    <row r="569" ht="15.75" hidden="1" customHeight="1" x14ac:dyDescent="0.25"/>
    <row r="570" ht="15.75" hidden="1" customHeight="1" x14ac:dyDescent="0.25"/>
    <row r="571" ht="15.75" hidden="1" customHeight="1" x14ac:dyDescent="0.25"/>
    <row r="572" ht="15.75" hidden="1" customHeight="1" x14ac:dyDescent="0.25"/>
    <row r="573" ht="15.75" hidden="1" customHeight="1" x14ac:dyDescent="0.25"/>
    <row r="574" ht="15.75" hidden="1" customHeight="1" x14ac:dyDescent="0.25"/>
    <row r="575" ht="15.75" hidden="1" customHeight="1" x14ac:dyDescent="0.25"/>
    <row r="576" ht="15.75" hidden="1" customHeight="1" x14ac:dyDescent="0.25"/>
    <row r="577" ht="15.75" hidden="1" customHeight="1" x14ac:dyDescent="0.25"/>
    <row r="578" ht="15.75" hidden="1" customHeight="1" x14ac:dyDescent="0.25"/>
    <row r="579" ht="15.75" hidden="1" customHeight="1" x14ac:dyDescent="0.25"/>
    <row r="580" ht="15.75" hidden="1" customHeight="1" x14ac:dyDescent="0.25"/>
    <row r="581" ht="15.75" hidden="1" customHeight="1" x14ac:dyDescent="0.25"/>
    <row r="582" ht="15.75" hidden="1" customHeight="1" x14ac:dyDescent="0.25"/>
    <row r="583" ht="15.75" hidden="1" customHeight="1" x14ac:dyDescent="0.25"/>
    <row r="584" ht="15.75" hidden="1" customHeight="1" x14ac:dyDescent="0.25"/>
    <row r="585" ht="15.75" hidden="1" customHeight="1" x14ac:dyDescent="0.25"/>
    <row r="586" ht="15.75" hidden="1" customHeight="1" x14ac:dyDescent="0.25"/>
    <row r="587" ht="15.75" hidden="1" customHeight="1" x14ac:dyDescent="0.25"/>
    <row r="588" ht="15.75" hidden="1" customHeight="1" x14ac:dyDescent="0.25"/>
    <row r="589" ht="15.75" hidden="1" customHeight="1" x14ac:dyDescent="0.25"/>
    <row r="590" ht="15.75" hidden="1" customHeight="1" x14ac:dyDescent="0.25"/>
    <row r="591" ht="15.75" hidden="1" customHeight="1" x14ac:dyDescent="0.25"/>
    <row r="592" ht="15.75" hidden="1" customHeight="1" x14ac:dyDescent="0.25"/>
    <row r="593" ht="15.75" hidden="1" customHeight="1" x14ac:dyDescent="0.25"/>
    <row r="594" ht="15.75" hidden="1" customHeight="1" x14ac:dyDescent="0.25"/>
    <row r="595" ht="15.75" hidden="1" customHeight="1" x14ac:dyDescent="0.25"/>
    <row r="596" ht="15.75" hidden="1" customHeight="1" x14ac:dyDescent="0.25"/>
    <row r="597" ht="15.75" hidden="1" customHeight="1" x14ac:dyDescent="0.25"/>
    <row r="598" ht="15.75" hidden="1" customHeight="1" x14ac:dyDescent="0.25"/>
    <row r="599" ht="15.75" hidden="1" customHeight="1" x14ac:dyDescent="0.25"/>
    <row r="600" ht="15.75" hidden="1" customHeight="1" x14ac:dyDescent="0.25"/>
    <row r="601" ht="15.75" hidden="1" customHeight="1" x14ac:dyDescent="0.25"/>
    <row r="602" ht="15.75" hidden="1" customHeight="1" x14ac:dyDescent="0.25"/>
    <row r="603" ht="15.75" hidden="1" customHeight="1" x14ac:dyDescent="0.25"/>
    <row r="604" ht="15.75" hidden="1" customHeight="1" x14ac:dyDescent="0.25"/>
    <row r="605" ht="15.75" hidden="1" customHeight="1" x14ac:dyDescent="0.25"/>
    <row r="606" ht="15.75" hidden="1" customHeight="1" x14ac:dyDescent="0.25"/>
    <row r="607" ht="15.75" hidden="1" customHeight="1" x14ac:dyDescent="0.25"/>
    <row r="608" ht="15.75" hidden="1" customHeight="1" x14ac:dyDescent="0.25"/>
    <row r="609" ht="15.75" hidden="1" customHeight="1" x14ac:dyDescent="0.25"/>
    <row r="610" ht="15.75" hidden="1" customHeight="1" x14ac:dyDescent="0.25"/>
    <row r="611" ht="15.75" hidden="1" customHeight="1" x14ac:dyDescent="0.25"/>
    <row r="612" ht="15.75" hidden="1" customHeight="1" x14ac:dyDescent="0.25"/>
    <row r="613" ht="15.75" hidden="1" customHeight="1" x14ac:dyDescent="0.25"/>
    <row r="614" ht="15.75" hidden="1" customHeight="1" x14ac:dyDescent="0.25"/>
    <row r="615" ht="15.75" hidden="1" customHeight="1" x14ac:dyDescent="0.25"/>
    <row r="616" ht="15.75" hidden="1" customHeight="1" x14ac:dyDescent="0.25"/>
    <row r="617" ht="15.75" hidden="1" customHeight="1" x14ac:dyDescent="0.25"/>
    <row r="618" ht="15.75" hidden="1" customHeight="1" x14ac:dyDescent="0.25"/>
    <row r="619" ht="15.75" hidden="1" customHeight="1" x14ac:dyDescent="0.25"/>
    <row r="620" ht="15.75" hidden="1" customHeight="1" x14ac:dyDescent="0.25"/>
    <row r="621" ht="15.75" hidden="1" customHeight="1" x14ac:dyDescent="0.25"/>
    <row r="622" ht="15.75" hidden="1" customHeight="1" x14ac:dyDescent="0.25"/>
    <row r="623" ht="15.75" hidden="1" customHeight="1" x14ac:dyDescent="0.25"/>
    <row r="624" ht="15.75" hidden="1" customHeight="1" x14ac:dyDescent="0.25"/>
    <row r="625" ht="15.75" hidden="1" customHeight="1" x14ac:dyDescent="0.25"/>
    <row r="626" ht="15.75" hidden="1" customHeight="1" x14ac:dyDescent="0.25"/>
    <row r="627" ht="15.75" hidden="1" customHeight="1" x14ac:dyDescent="0.25"/>
    <row r="628" ht="15.75" hidden="1" customHeight="1" x14ac:dyDescent="0.25"/>
    <row r="629" ht="15.75" hidden="1" customHeight="1" x14ac:dyDescent="0.25"/>
    <row r="630" ht="15.75" hidden="1" customHeight="1" x14ac:dyDescent="0.25"/>
    <row r="631" ht="15.75" hidden="1" customHeight="1" x14ac:dyDescent="0.25"/>
    <row r="632" ht="15.75" hidden="1" customHeight="1" x14ac:dyDescent="0.25"/>
    <row r="633" ht="15.75" hidden="1" customHeight="1" x14ac:dyDescent="0.25"/>
    <row r="634" ht="15.75" hidden="1" customHeight="1" x14ac:dyDescent="0.25"/>
    <row r="635" ht="15.75" hidden="1" customHeight="1" x14ac:dyDescent="0.25"/>
    <row r="636" ht="15.75" hidden="1" customHeight="1" x14ac:dyDescent="0.25"/>
    <row r="637" ht="15.75" hidden="1" customHeight="1" x14ac:dyDescent="0.25"/>
    <row r="638" ht="15.75" hidden="1" customHeight="1" x14ac:dyDescent="0.25"/>
    <row r="639" ht="15.75" hidden="1" customHeight="1" x14ac:dyDescent="0.25"/>
    <row r="640" ht="15.75" hidden="1" customHeight="1" x14ac:dyDescent="0.25"/>
    <row r="641" ht="15.75" hidden="1" customHeight="1" x14ac:dyDescent="0.25"/>
    <row r="642" ht="15.75" hidden="1" customHeight="1" x14ac:dyDescent="0.25"/>
    <row r="643" ht="15.75" hidden="1" customHeight="1" x14ac:dyDescent="0.25"/>
    <row r="644" ht="15.75" hidden="1" customHeight="1" x14ac:dyDescent="0.25"/>
    <row r="645" ht="15.75" hidden="1" customHeight="1" x14ac:dyDescent="0.25"/>
    <row r="646" ht="15.75" hidden="1" customHeight="1" x14ac:dyDescent="0.25"/>
    <row r="647" ht="15.75" hidden="1" customHeight="1" x14ac:dyDescent="0.25"/>
    <row r="648" ht="15.75" hidden="1" customHeight="1" x14ac:dyDescent="0.25"/>
    <row r="649" ht="15.75" hidden="1" customHeight="1" x14ac:dyDescent="0.25"/>
    <row r="650" ht="15.75" hidden="1" customHeight="1" x14ac:dyDescent="0.25"/>
    <row r="651" ht="15.75" hidden="1" customHeight="1" x14ac:dyDescent="0.25"/>
    <row r="652" ht="15.75" hidden="1" customHeight="1" x14ac:dyDescent="0.25"/>
    <row r="653" ht="15.75" hidden="1" customHeight="1" x14ac:dyDescent="0.25"/>
    <row r="654" ht="15.75" hidden="1" customHeight="1" x14ac:dyDescent="0.25"/>
    <row r="655" ht="15.75" hidden="1" customHeight="1" x14ac:dyDescent="0.25"/>
    <row r="656" ht="15.75" hidden="1" customHeight="1" x14ac:dyDescent="0.25"/>
    <row r="657" ht="15.75" hidden="1" customHeight="1" x14ac:dyDescent="0.25"/>
    <row r="658" ht="15.75" hidden="1" customHeight="1" x14ac:dyDescent="0.25"/>
    <row r="659" ht="15.75" hidden="1" customHeight="1" x14ac:dyDescent="0.25"/>
    <row r="660" ht="15.75" hidden="1" customHeight="1" x14ac:dyDescent="0.25"/>
    <row r="661" ht="15.75" hidden="1" customHeight="1" x14ac:dyDescent="0.25"/>
    <row r="662" ht="15.75" hidden="1" customHeight="1" x14ac:dyDescent="0.25"/>
    <row r="663" ht="15.75" hidden="1" customHeight="1" x14ac:dyDescent="0.25"/>
    <row r="664" ht="15.75" hidden="1" customHeight="1" x14ac:dyDescent="0.25"/>
    <row r="665" ht="15.75" hidden="1" customHeight="1" x14ac:dyDescent="0.25"/>
    <row r="666" ht="15.75" hidden="1" customHeight="1" x14ac:dyDescent="0.25"/>
    <row r="667" ht="15.75" hidden="1" customHeight="1" x14ac:dyDescent="0.25"/>
    <row r="668" ht="15.75" hidden="1" customHeight="1" x14ac:dyDescent="0.25"/>
    <row r="669" ht="15.75" hidden="1" customHeight="1" x14ac:dyDescent="0.25"/>
    <row r="670" ht="15.75" hidden="1" customHeight="1" x14ac:dyDescent="0.25"/>
    <row r="671" ht="15.75" hidden="1" customHeight="1" x14ac:dyDescent="0.25"/>
    <row r="672" ht="15.75" hidden="1" customHeight="1" x14ac:dyDescent="0.25"/>
    <row r="673" ht="15.75" hidden="1" customHeight="1" x14ac:dyDescent="0.25"/>
    <row r="674" ht="15.75" hidden="1" customHeight="1" x14ac:dyDescent="0.25"/>
    <row r="675" ht="15.75" hidden="1" customHeight="1" x14ac:dyDescent="0.25"/>
    <row r="676" ht="15.75" hidden="1" customHeight="1" x14ac:dyDescent="0.25"/>
    <row r="677" ht="15.75" hidden="1" customHeight="1" x14ac:dyDescent="0.25"/>
    <row r="678" ht="15.75" hidden="1" customHeight="1" x14ac:dyDescent="0.25"/>
    <row r="679" ht="15.75" hidden="1" customHeight="1" x14ac:dyDescent="0.25"/>
    <row r="680" ht="15.75" hidden="1" customHeight="1" x14ac:dyDescent="0.25"/>
    <row r="681" ht="15.75" hidden="1" customHeight="1" x14ac:dyDescent="0.25"/>
    <row r="682" ht="15.75" hidden="1" customHeight="1" x14ac:dyDescent="0.25"/>
    <row r="683" ht="15.75" hidden="1" customHeight="1" x14ac:dyDescent="0.25"/>
    <row r="684" ht="15.75" hidden="1" customHeight="1" x14ac:dyDescent="0.25"/>
    <row r="685" ht="15.75" hidden="1" customHeight="1" x14ac:dyDescent="0.25"/>
    <row r="686" ht="15.75" hidden="1" customHeight="1" x14ac:dyDescent="0.25"/>
    <row r="687" ht="15.75" hidden="1" customHeight="1" x14ac:dyDescent="0.25"/>
    <row r="688" ht="15.75" hidden="1" customHeight="1" x14ac:dyDescent="0.25"/>
    <row r="689" ht="15.75" hidden="1" customHeight="1" x14ac:dyDescent="0.25"/>
    <row r="690" ht="15.75" hidden="1" customHeight="1" x14ac:dyDescent="0.25"/>
    <row r="691" ht="15.75" hidden="1" customHeight="1" x14ac:dyDescent="0.25"/>
    <row r="692" ht="15.75" hidden="1" customHeight="1" x14ac:dyDescent="0.25"/>
    <row r="693" ht="15.75" hidden="1" customHeight="1" x14ac:dyDescent="0.25"/>
    <row r="694" ht="15.75" hidden="1" customHeight="1" x14ac:dyDescent="0.25"/>
    <row r="695" ht="15.75" hidden="1" customHeight="1" x14ac:dyDescent="0.25"/>
    <row r="696" ht="15.75" hidden="1" customHeight="1" x14ac:dyDescent="0.25"/>
    <row r="697" ht="15.75" hidden="1" customHeight="1" x14ac:dyDescent="0.25"/>
    <row r="698" ht="15.75" hidden="1" customHeight="1" x14ac:dyDescent="0.25"/>
    <row r="699" ht="15.75" hidden="1" customHeight="1" x14ac:dyDescent="0.25"/>
    <row r="700" ht="15.75" hidden="1" customHeight="1" x14ac:dyDescent="0.25"/>
    <row r="701" ht="15.75" hidden="1" customHeight="1" x14ac:dyDescent="0.25"/>
    <row r="702" ht="15.75" hidden="1" customHeight="1" x14ac:dyDescent="0.25"/>
    <row r="703" ht="15.75" hidden="1" customHeight="1" x14ac:dyDescent="0.25"/>
    <row r="704" ht="15.75" hidden="1" customHeight="1" x14ac:dyDescent="0.25"/>
    <row r="705" ht="15.75" hidden="1" customHeight="1" x14ac:dyDescent="0.25"/>
    <row r="706" ht="15.75" hidden="1" customHeight="1" x14ac:dyDescent="0.25"/>
    <row r="707" ht="15.75" hidden="1" customHeight="1" x14ac:dyDescent="0.25"/>
    <row r="708" ht="15.75" hidden="1" customHeight="1" x14ac:dyDescent="0.25"/>
    <row r="709" ht="15.75" hidden="1" customHeight="1" x14ac:dyDescent="0.25"/>
    <row r="710" ht="15.75" hidden="1" customHeight="1" x14ac:dyDescent="0.25"/>
    <row r="711" ht="15.75" hidden="1" customHeight="1" x14ac:dyDescent="0.25"/>
    <row r="712" ht="15.75" hidden="1" customHeight="1" x14ac:dyDescent="0.25"/>
    <row r="713" ht="15.75" hidden="1" customHeight="1" x14ac:dyDescent="0.25"/>
    <row r="714" ht="15.75" hidden="1" customHeight="1" x14ac:dyDescent="0.25"/>
    <row r="715" ht="15.75" hidden="1" customHeight="1" x14ac:dyDescent="0.25"/>
    <row r="716" ht="15.75" hidden="1" customHeight="1" x14ac:dyDescent="0.25"/>
    <row r="717" ht="15.75" hidden="1" customHeight="1" x14ac:dyDescent="0.25"/>
    <row r="718" ht="15.75" hidden="1" customHeight="1" x14ac:dyDescent="0.25"/>
    <row r="719" ht="15.75" hidden="1" customHeight="1" x14ac:dyDescent="0.25"/>
    <row r="720" ht="15.75" hidden="1" customHeight="1" x14ac:dyDescent="0.25"/>
    <row r="721" ht="15.75" hidden="1" customHeight="1" x14ac:dyDescent="0.25"/>
    <row r="722" ht="15.75" hidden="1" customHeight="1" x14ac:dyDescent="0.25"/>
    <row r="723" ht="15.75" hidden="1" customHeight="1" x14ac:dyDescent="0.25"/>
    <row r="724" ht="15.75" hidden="1" customHeight="1" x14ac:dyDescent="0.25"/>
    <row r="725" ht="15.75" hidden="1" customHeight="1" x14ac:dyDescent="0.25"/>
    <row r="726" ht="15.75" hidden="1" customHeight="1" x14ac:dyDescent="0.25"/>
    <row r="727" ht="15.75" hidden="1" customHeight="1" x14ac:dyDescent="0.25"/>
    <row r="728" ht="15.75" hidden="1" customHeight="1" x14ac:dyDescent="0.25"/>
    <row r="729" ht="15.75" hidden="1" customHeight="1" x14ac:dyDescent="0.25"/>
    <row r="730" ht="15.75" hidden="1" customHeight="1" x14ac:dyDescent="0.25"/>
    <row r="731" ht="15.75" hidden="1" customHeight="1" x14ac:dyDescent="0.25"/>
    <row r="732" ht="15.75" hidden="1" customHeight="1" x14ac:dyDescent="0.25"/>
    <row r="733" ht="15.75" hidden="1" customHeight="1" x14ac:dyDescent="0.25"/>
    <row r="734" ht="15.75" hidden="1" customHeight="1" x14ac:dyDescent="0.25"/>
    <row r="735" ht="15.75" hidden="1" customHeight="1" x14ac:dyDescent="0.25"/>
    <row r="736" ht="15.75" hidden="1" customHeight="1" x14ac:dyDescent="0.25"/>
    <row r="737" ht="15.75" hidden="1" customHeight="1" x14ac:dyDescent="0.25"/>
    <row r="738" ht="15.75" hidden="1" customHeight="1" x14ac:dyDescent="0.25"/>
    <row r="739" ht="15.75" hidden="1" customHeight="1" x14ac:dyDescent="0.25"/>
    <row r="740" ht="15.75" hidden="1" customHeight="1" x14ac:dyDescent="0.25"/>
    <row r="741" ht="15.75" hidden="1" customHeight="1" x14ac:dyDescent="0.25"/>
    <row r="742" ht="15.75" hidden="1" customHeight="1" x14ac:dyDescent="0.25"/>
    <row r="743" ht="15.75" hidden="1" customHeight="1" x14ac:dyDescent="0.25"/>
    <row r="744" ht="15.75" hidden="1" customHeight="1" x14ac:dyDescent="0.25"/>
    <row r="745" ht="15.75" hidden="1" customHeight="1" x14ac:dyDescent="0.25"/>
    <row r="746" ht="15.75" hidden="1" customHeight="1" x14ac:dyDescent="0.25"/>
    <row r="747" ht="15.75" hidden="1" customHeight="1" x14ac:dyDescent="0.25"/>
    <row r="748" ht="15.75" hidden="1" customHeight="1" x14ac:dyDescent="0.25"/>
    <row r="749" ht="15.75" hidden="1" customHeight="1" x14ac:dyDescent="0.25"/>
    <row r="750" ht="15.75" hidden="1" customHeight="1" x14ac:dyDescent="0.25"/>
    <row r="751" ht="15.75" hidden="1" customHeight="1" x14ac:dyDescent="0.25"/>
    <row r="752" ht="15.75" hidden="1" customHeight="1" x14ac:dyDescent="0.25"/>
    <row r="753" ht="15.75" hidden="1" customHeight="1" x14ac:dyDescent="0.25"/>
    <row r="754" ht="15.75" hidden="1" customHeight="1" x14ac:dyDescent="0.25"/>
    <row r="755" ht="15.75" hidden="1" customHeight="1" x14ac:dyDescent="0.25"/>
    <row r="756" ht="15.75" hidden="1" customHeight="1" x14ac:dyDescent="0.25"/>
    <row r="757" ht="15.75" hidden="1" customHeight="1" x14ac:dyDescent="0.25"/>
    <row r="758" ht="15.75" hidden="1" customHeight="1" x14ac:dyDescent="0.25"/>
    <row r="759" ht="15.75" hidden="1" customHeight="1" x14ac:dyDescent="0.25"/>
    <row r="760" ht="15.75" hidden="1" customHeight="1" x14ac:dyDescent="0.25"/>
    <row r="761" ht="15.75" hidden="1" customHeight="1" x14ac:dyDescent="0.25"/>
    <row r="762" ht="15.75" hidden="1" customHeight="1" x14ac:dyDescent="0.25"/>
    <row r="763" ht="15.75" hidden="1" customHeight="1" x14ac:dyDescent="0.25"/>
    <row r="764" ht="15.75" hidden="1" customHeight="1" x14ac:dyDescent="0.25"/>
    <row r="765" ht="15.75" hidden="1" customHeight="1" x14ac:dyDescent="0.25"/>
    <row r="766" ht="15.75" hidden="1" customHeight="1" x14ac:dyDescent="0.25"/>
    <row r="767" ht="15.75" hidden="1" customHeight="1" x14ac:dyDescent="0.25"/>
    <row r="768" ht="15.75" hidden="1" customHeight="1" x14ac:dyDescent="0.25"/>
    <row r="769" ht="15.75" hidden="1" customHeight="1" x14ac:dyDescent="0.25"/>
    <row r="770" ht="15.75" hidden="1" customHeight="1" x14ac:dyDescent="0.25"/>
    <row r="771" ht="15.75" hidden="1" customHeight="1" x14ac:dyDescent="0.25"/>
    <row r="772" ht="15.75" hidden="1" customHeight="1" x14ac:dyDescent="0.25"/>
    <row r="773" ht="15.75" hidden="1" customHeight="1" x14ac:dyDescent="0.25"/>
    <row r="774" ht="15.75" hidden="1" customHeight="1" x14ac:dyDescent="0.25"/>
    <row r="775" ht="15.75" hidden="1" customHeight="1" x14ac:dyDescent="0.25"/>
    <row r="776" ht="15.75" hidden="1" customHeight="1" x14ac:dyDescent="0.25"/>
    <row r="777" ht="15.75" hidden="1" customHeight="1" x14ac:dyDescent="0.25"/>
    <row r="778" ht="15.75" hidden="1" customHeight="1" x14ac:dyDescent="0.25"/>
    <row r="779" ht="15.75" hidden="1" customHeight="1" x14ac:dyDescent="0.25"/>
    <row r="780" ht="15.75" hidden="1" customHeight="1" x14ac:dyDescent="0.25"/>
    <row r="781" ht="15.75" hidden="1" customHeight="1" x14ac:dyDescent="0.25"/>
    <row r="782" ht="15.75" hidden="1" customHeight="1" x14ac:dyDescent="0.25"/>
    <row r="783" ht="15.75" hidden="1" customHeight="1" x14ac:dyDescent="0.25"/>
    <row r="784" ht="15.75" hidden="1" customHeight="1" x14ac:dyDescent="0.25"/>
    <row r="785" ht="15.75" hidden="1" customHeight="1" x14ac:dyDescent="0.25"/>
    <row r="786" ht="15.75" hidden="1" customHeight="1" x14ac:dyDescent="0.25"/>
    <row r="787" ht="15.75" hidden="1" customHeight="1" x14ac:dyDescent="0.25"/>
    <row r="788" ht="15.75" hidden="1" customHeight="1" x14ac:dyDescent="0.25"/>
    <row r="789" ht="15.75" hidden="1" customHeight="1" x14ac:dyDescent="0.25"/>
    <row r="790" ht="15.75" hidden="1" customHeight="1" x14ac:dyDescent="0.25"/>
    <row r="791" ht="15.75" hidden="1" customHeight="1" x14ac:dyDescent="0.25"/>
    <row r="792" ht="15.75" hidden="1" customHeight="1" x14ac:dyDescent="0.25"/>
    <row r="793" ht="15.75" hidden="1" customHeight="1" x14ac:dyDescent="0.25"/>
    <row r="794" ht="15.75" hidden="1" customHeight="1" x14ac:dyDescent="0.25"/>
    <row r="795" ht="15.75" hidden="1" customHeight="1" x14ac:dyDescent="0.25"/>
    <row r="796" ht="15.75" hidden="1" customHeight="1" x14ac:dyDescent="0.25"/>
    <row r="797" ht="15.75" hidden="1" customHeight="1" x14ac:dyDescent="0.25"/>
    <row r="798" ht="15.75" hidden="1" customHeight="1" x14ac:dyDescent="0.25"/>
    <row r="799" ht="15.75" hidden="1" customHeight="1" x14ac:dyDescent="0.25"/>
    <row r="800" ht="15.75" hidden="1" customHeight="1" x14ac:dyDescent="0.25"/>
    <row r="801" ht="15.75" hidden="1" customHeight="1" x14ac:dyDescent="0.25"/>
    <row r="802" ht="15.75" hidden="1" customHeight="1" x14ac:dyDescent="0.25"/>
    <row r="803" ht="15.75" hidden="1" customHeight="1" x14ac:dyDescent="0.25"/>
    <row r="804" ht="15.75" hidden="1" customHeight="1" x14ac:dyDescent="0.25"/>
    <row r="805" ht="15.75" hidden="1" customHeight="1" x14ac:dyDescent="0.25"/>
    <row r="806" ht="15.75" hidden="1" customHeight="1" x14ac:dyDescent="0.25"/>
    <row r="807" ht="15.75" hidden="1" customHeight="1" x14ac:dyDescent="0.25"/>
    <row r="808" ht="15.75" hidden="1" customHeight="1" x14ac:dyDescent="0.25"/>
    <row r="809" ht="15.75" hidden="1" customHeight="1" x14ac:dyDescent="0.25"/>
    <row r="810" ht="15.75" hidden="1" customHeight="1" x14ac:dyDescent="0.25"/>
    <row r="811" ht="15.75" hidden="1" customHeight="1" x14ac:dyDescent="0.25"/>
    <row r="812" ht="15.75" hidden="1" customHeight="1" x14ac:dyDescent="0.25"/>
    <row r="813" ht="15.75" hidden="1" customHeight="1" x14ac:dyDescent="0.25"/>
    <row r="814" ht="15.75" hidden="1" customHeight="1" x14ac:dyDescent="0.25"/>
    <row r="815" ht="15.75" hidden="1" customHeight="1" x14ac:dyDescent="0.25"/>
    <row r="816" ht="15.75" hidden="1" customHeight="1" x14ac:dyDescent="0.25"/>
    <row r="817" ht="15.75" hidden="1" customHeight="1" x14ac:dyDescent="0.25"/>
    <row r="818" ht="15.75" hidden="1" customHeight="1" x14ac:dyDescent="0.25"/>
    <row r="819" ht="15.75" hidden="1" customHeight="1" x14ac:dyDescent="0.25"/>
    <row r="820" ht="15.75" hidden="1" customHeight="1" x14ac:dyDescent="0.25"/>
    <row r="821" ht="15.75" hidden="1" customHeight="1" x14ac:dyDescent="0.25"/>
    <row r="822" ht="15.75" hidden="1" customHeight="1" x14ac:dyDescent="0.25"/>
    <row r="823" ht="15.75" hidden="1" customHeight="1" x14ac:dyDescent="0.25"/>
    <row r="824" ht="15.75" hidden="1" customHeight="1" x14ac:dyDescent="0.25"/>
    <row r="825" ht="15.75" hidden="1" customHeight="1" x14ac:dyDescent="0.25"/>
    <row r="826" ht="15.75" hidden="1" customHeight="1" x14ac:dyDescent="0.25"/>
    <row r="827" ht="15.75" hidden="1" customHeight="1" x14ac:dyDescent="0.25"/>
    <row r="828" ht="15.75" hidden="1" customHeight="1" x14ac:dyDescent="0.25"/>
    <row r="829" ht="15.75" hidden="1" customHeight="1" x14ac:dyDescent="0.25"/>
    <row r="830" ht="15.75" hidden="1" customHeight="1" x14ac:dyDescent="0.25"/>
    <row r="831" ht="15.75" hidden="1" customHeight="1" x14ac:dyDescent="0.25"/>
    <row r="832" ht="15.75" hidden="1" customHeight="1" x14ac:dyDescent="0.25"/>
    <row r="833" ht="15.75" hidden="1" customHeight="1" x14ac:dyDescent="0.25"/>
    <row r="834" ht="15.75" hidden="1" customHeight="1" x14ac:dyDescent="0.25"/>
    <row r="835" ht="15.75" hidden="1" customHeight="1" x14ac:dyDescent="0.25"/>
    <row r="836" ht="15.75" hidden="1" customHeight="1" x14ac:dyDescent="0.25"/>
    <row r="837" ht="15.75" hidden="1" customHeight="1" x14ac:dyDescent="0.25"/>
    <row r="838" ht="15.75" hidden="1" customHeight="1" x14ac:dyDescent="0.25"/>
    <row r="839" ht="15.75" hidden="1" customHeight="1" x14ac:dyDescent="0.25"/>
    <row r="840" ht="15.75" hidden="1" customHeight="1" x14ac:dyDescent="0.25"/>
    <row r="841" ht="15.75" hidden="1" customHeight="1" x14ac:dyDescent="0.25"/>
    <row r="842" ht="15.75" hidden="1" customHeight="1" x14ac:dyDescent="0.25"/>
    <row r="843" ht="15.75" hidden="1" customHeight="1" x14ac:dyDescent="0.25"/>
    <row r="844" ht="15.75" hidden="1" customHeight="1" x14ac:dyDescent="0.25"/>
    <row r="845" ht="15.75" hidden="1" customHeight="1" x14ac:dyDescent="0.25"/>
    <row r="846" ht="15.75" hidden="1" customHeight="1" x14ac:dyDescent="0.25"/>
    <row r="847" ht="15.75" hidden="1" customHeight="1" x14ac:dyDescent="0.25"/>
    <row r="848" ht="15.75" hidden="1" customHeight="1" x14ac:dyDescent="0.25"/>
    <row r="849" ht="15.75" hidden="1" customHeight="1" x14ac:dyDescent="0.25"/>
    <row r="850" ht="15.75" hidden="1" customHeight="1" x14ac:dyDescent="0.25"/>
    <row r="851" ht="15.75" hidden="1" customHeight="1" x14ac:dyDescent="0.25"/>
    <row r="852" ht="15.75" hidden="1" customHeight="1" x14ac:dyDescent="0.25"/>
    <row r="853" ht="15.75" hidden="1" customHeight="1" x14ac:dyDescent="0.25"/>
    <row r="854" ht="15.75" hidden="1" customHeight="1" x14ac:dyDescent="0.25"/>
    <row r="855" ht="15.75" hidden="1" customHeight="1" x14ac:dyDescent="0.25"/>
    <row r="856" ht="15.75" hidden="1" customHeight="1" x14ac:dyDescent="0.25"/>
    <row r="857" ht="15.75" hidden="1" customHeight="1" x14ac:dyDescent="0.25"/>
    <row r="858" ht="15.75" hidden="1" customHeight="1" x14ac:dyDescent="0.25"/>
    <row r="859" ht="15.75" hidden="1" customHeight="1" x14ac:dyDescent="0.25"/>
    <row r="860" ht="15.75" hidden="1" customHeight="1" x14ac:dyDescent="0.25"/>
    <row r="861" ht="15.75" hidden="1" customHeight="1" x14ac:dyDescent="0.25"/>
    <row r="862" ht="15.75" hidden="1" customHeight="1" x14ac:dyDescent="0.25"/>
    <row r="863" ht="15.75" hidden="1" customHeight="1" x14ac:dyDescent="0.25"/>
    <row r="864" ht="15.75" hidden="1" customHeight="1" x14ac:dyDescent="0.25"/>
    <row r="865" ht="15.75" hidden="1" customHeight="1" x14ac:dyDescent="0.25"/>
    <row r="866" ht="15.75" hidden="1" customHeight="1" x14ac:dyDescent="0.25"/>
    <row r="867" ht="15.75" hidden="1" customHeight="1" x14ac:dyDescent="0.25"/>
    <row r="868" ht="15.75" hidden="1" customHeight="1" x14ac:dyDescent="0.25"/>
    <row r="869" ht="15.75" hidden="1" customHeight="1" x14ac:dyDescent="0.25"/>
    <row r="870" ht="15.75" hidden="1" customHeight="1" x14ac:dyDescent="0.25"/>
    <row r="871" ht="15.75" hidden="1" customHeight="1" x14ac:dyDescent="0.25"/>
    <row r="872" ht="15.75" hidden="1" customHeight="1" x14ac:dyDescent="0.25"/>
    <row r="873" ht="15.75" hidden="1" customHeight="1" x14ac:dyDescent="0.25"/>
    <row r="874" ht="15.75" hidden="1" customHeight="1" x14ac:dyDescent="0.25"/>
    <row r="875" ht="15.75" hidden="1" customHeight="1" x14ac:dyDescent="0.25"/>
    <row r="876" ht="15.75" hidden="1" customHeight="1" x14ac:dyDescent="0.25"/>
    <row r="877" ht="15.75" hidden="1" customHeight="1" x14ac:dyDescent="0.25"/>
    <row r="878" ht="15.75" hidden="1" customHeight="1" x14ac:dyDescent="0.25"/>
    <row r="879" ht="15.75" hidden="1" customHeight="1" x14ac:dyDescent="0.25"/>
    <row r="880" ht="15.75" hidden="1" customHeight="1" x14ac:dyDescent="0.25"/>
    <row r="881" ht="15.75" hidden="1" customHeight="1" x14ac:dyDescent="0.25"/>
    <row r="882" ht="15.75" hidden="1" customHeight="1" x14ac:dyDescent="0.25"/>
    <row r="883" ht="15.75" hidden="1" customHeight="1" x14ac:dyDescent="0.25"/>
    <row r="884" ht="15.75" hidden="1" customHeight="1" x14ac:dyDescent="0.25"/>
    <row r="885" ht="15.75" hidden="1" customHeight="1" x14ac:dyDescent="0.25"/>
    <row r="886" ht="15.75" hidden="1" customHeight="1" x14ac:dyDescent="0.25"/>
    <row r="887" ht="15.75" hidden="1" customHeight="1" x14ac:dyDescent="0.25"/>
    <row r="888" ht="15.75" hidden="1" customHeight="1" x14ac:dyDescent="0.25"/>
    <row r="889" ht="15.75" hidden="1" customHeight="1" x14ac:dyDescent="0.25"/>
    <row r="890" ht="15.75" hidden="1" customHeight="1" x14ac:dyDescent="0.25"/>
    <row r="891" ht="15.75" hidden="1" customHeight="1" x14ac:dyDescent="0.25"/>
    <row r="892" ht="15.75" hidden="1" customHeight="1" x14ac:dyDescent="0.25"/>
    <row r="893" ht="15.75" hidden="1" customHeight="1" x14ac:dyDescent="0.25"/>
    <row r="894" ht="15.75" hidden="1" customHeight="1" x14ac:dyDescent="0.25"/>
    <row r="895" ht="15.75" hidden="1" customHeight="1" x14ac:dyDescent="0.25"/>
    <row r="896" ht="15.75" hidden="1" customHeight="1" x14ac:dyDescent="0.25"/>
    <row r="897" ht="15.75" hidden="1" customHeight="1" x14ac:dyDescent="0.25"/>
    <row r="898" ht="15.75" hidden="1" customHeight="1" x14ac:dyDescent="0.25"/>
    <row r="899" ht="15.75" hidden="1" customHeight="1" x14ac:dyDescent="0.25"/>
    <row r="900" ht="15.75" hidden="1" customHeight="1" x14ac:dyDescent="0.25"/>
    <row r="901" ht="15.75" hidden="1" customHeight="1" x14ac:dyDescent="0.25"/>
    <row r="902" ht="15.75" hidden="1" customHeight="1" x14ac:dyDescent="0.25"/>
    <row r="903" ht="15.75" hidden="1" customHeight="1" x14ac:dyDescent="0.25"/>
    <row r="904" ht="15.75" hidden="1" customHeight="1" x14ac:dyDescent="0.25"/>
    <row r="905" ht="15.75" hidden="1" customHeight="1" x14ac:dyDescent="0.25"/>
    <row r="906" ht="15.75" hidden="1" customHeight="1" x14ac:dyDescent="0.25"/>
    <row r="907" ht="15.75" hidden="1" customHeight="1" x14ac:dyDescent="0.25"/>
    <row r="908" ht="15.75" hidden="1" customHeight="1" x14ac:dyDescent="0.25"/>
    <row r="909" ht="15.75" hidden="1" customHeight="1" x14ac:dyDescent="0.25"/>
    <row r="910" ht="15.75" hidden="1" customHeight="1" x14ac:dyDescent="0.25"/>
    <row r="911" ht="15.75" hidden="1" customHeight="1" x14ac:dyDescent="0.25"/>
    <row r="912" ht="15.75" hidden="1" customHeight="1" x14ac:dyDescent="0.25"/>
    <row r="913" ht="15.75" hidden="1" customHeight="1" x14ac:dyDescent="0.25"/>
    <row r="914" ht="15.75" hidden="1" customHeight="1" x14ac:dyDescent="0.25"/>
    <row r="915" ht="15.75" hidden="1" customHeight="1" x14ac:dyDescent="0.25"/>
    <row r="916" ht="15.75" hidden="1" customHeight="1" x14ac:dyDescent="0.25"/>
    <row r="917" ht="15.75" hidden="1" customHeight="1" x14ac:dyDescent="0.25"/>
    <row r="918" ht="15.75" hidden="1" customHeight="1" x14ac:dyDescent="0.25"/>
    <row r="919" ht="15.75" hidden="1" customHeight="1" x14ac:dyDescent="0.25"/>
    <row r="920" ht="15.75" hidden="1" customHeight="1" x14ac:dyDescent="0.25"/>
    <row r="921" ht="15.75" hidden="1" customHeight="1" x14ac:dyDescent="0.25"/>
    <row r="922" ht="15.75" hidden="1" customHeight="1" x14ac:dyDescent="0.25"/>
    <row r="923" ht="15.75" hidden="1" customHeight="1" x14ac:dyDescent="0.25"/>
    <row r="924" ht="15.75" hidden="1" customHeight="1" x14ac:dyDescent="0.25"/>
    <row r="925" ht="15.75" hidden="1" customHeight="1" x14ac:dyDescent="0.25"/>
    <row r="926" ht="15.75" hidden="1" customHeight="1" x14ac:dyDescent="0.25"/>
    <row r="927" ht="15.75" hidden="1" customHeight="1" x14ac:dyDescent="0.25"/>
    <row r="928" ht="15.75" hidden="1" customHeight="1" x14ac:dyDescent="0.25"/>
    <row r="929" ht="15.75" hidden="1" customHeight="1" x14ac:dyDescent="0.25"/>
    <row r="930" ht="15.75" hidden="1" customHeight="1" x14ac:dyDescent="0.25"/>
    <row r="931" ht="15.75" hidden="1" customHeight="1" x14ac:dyDescent="0.25"/>
    <row r="932" ht="15.75" hidden="1" customHeight="1" x14ac:dyDescent="0.25"/>
    <row r="933" ht="15.75" hidden="1" customHeight="1" x14ac:dyDescent="0.25"/>
    <row r="934" ht="15.75" hidden="1" customHeight="1" x14ac:dyDescent="0.25"/>
    <row r="935" ht="15.75" hidden="1" customHeight="1" x14ac:dyDescent="0.25"/>
    <row r="936" ht="15.75" hidden="1" customHeight="1" x14ac:dyDescent="0.25"/>
    <row r="937" ht="15.75" hidden="1" customHeight="1" x14ac:dyDescent="0.25"/>
    <row r="938" ht="15.75" hidden="1" customHeight="1" x14ac:dyDescent="0.25"/>
    <row r="939" ht="15.75" hidden="1" customHeight="1" x14ac:dyDescent="0.25"/>
    <row r="940" ht="15.75" hidden="1" customHeight="1" x14ac:dyDescent="0.25"/>
    <row r="941" ht="15.75" hidden="1" customHeight="1" x14ac:dyDescent="0.25"/>
    <row r="942" ht="15.75" hidden="1" customHeight="1" x14ac:dyDescent="0.25"/>
    <row r="943" ht="15.75" hidden="1" customHeight="1" x14ac:dyDescent="0.25"/>
    <row r="944" ht="15.75" hidden="1" customHeight="1" x14ac:dyDescent="0.25"/>
    <row r="945" ht="15.75" hidden="1" customHeight="1" x14ac:dyDescent="0.25"/>
    <row r="946" ht="15.75" hidden="1" customHeight="1" x14ac:dyDescent="0.25"/>
    <row r="947" ht="15.75" hidden="1" customHeight="1" x14ac:dyDescent="0.25"/>
    <row r="948" ht="15.75" hidden="1" customHeight="1" x14ac:dyDescent="0.25"/>
    <row r="949" ht="15.75" hidden="1" customHeight="1" x14ac:dyDescent="0.25"/>
    <row r="950" ht="15.75" hidden="1" customHeight="1" x14ac:dyDescent="0.25"/>
    <row r="951" ht="15.75" hidden="1" customHeight="1" x14ac:dyDescent="0.25"/>
    <row r="952" ht="15.75" hidden="1" customHeight="1" x14ac:dyDescent="0.25"/>
    <row r="953" ht="15.75" hidden="1" customHeight="1" x14ac:dyDescent="0.25"/>
    <row r="954" ht="15.75" hidden="1" customHeight="1" x14ac:dyDescent="0.25"/>
    <row r="955" ht="15.75" hidden="1" customHeight="1" x14ac:dyDescent="0.25"/>
    <row r="956" ht="15.75" hidden="1" customHeight="1" x14ac:dyDescent="0.25"/>
    <row r="957" ht="15.75" hidden="1" customHeight="1" x14ac:dyDescent="0.25"/>
    <row r="958" ht="15.75" hidden="1" customHeight="1" x14ac:dyDescent="0.25"/>
    <row r="959" ht="15.75" hidden="1" customHeight="1" x14ac:dyDescent="0.25"/>
    <row r="960" ht="15.75" hidden="1" customHeight="1" x14ac:dyDescent="0.25"/>
    <row r="961" ht="15.75" hidden="1" customHeight="1" x14ac:dyDescent="0.25"/>
    <row r="962" ht="15.75" hidden="1" customHeight="1" x14ac:dyDescent="0.25"/>
    <row r="963" ht="15.75" hidden="1" customHeight="1" x14ac:dyDescent="0.25"/>
    <row r="964" ht="15.75" hidden="1" customHeight="1" x14ac:dyDescent="0.25"/>
    <row r="965" ht="15.75" hidden="1" customHeight="1" x14ac:dyDescent="0.25"/>
    <row r="966" ht="15.75" hidden="1" customHeight="1" x14ac:dyDescent="0.25"/>
    <row r="967" ht="15.75" hidden="1" customHeight="1" x14ac:dyDescent="0.25"/>
    <row r="968" ht="15.75" hidden="1" customHeight="1" x14ac:dyDescent="0.25"/>
    <row r="969" ht="15.75" hidden="1" customHeight="1" x14ac:dyDescent="0.25"/>
    <row r="970" ht="15.75" hidden="1" customHeight="1" x14ac:dyDescent="0.25"/>
    <row r="971" ht="15.75" hidden="1" customHeight="1" x14ac:dyDescent="0.25"/>
    <row r="972" ht="15.75" hidden="1" customHeight="1" x14ac:dyDescent="0.25"/>
    <row r="973" ht="15.75" hidden="1" customHeight="1" x14ac:dyDescent="0.25"/>
    <row r="974" ht="15.75" hidden="1" customHeight="1" x14ac:dyDescent="0.25"/>
    <row r="975" ht="15.75" hidden="1" customHeight="1" x14ac:dyDescent="0.25"/>
    <row r="976" ht="15.75" hidden="1" customHeight="1" x14ac:dyDescent="0.25"/>
    <row r="977" ht="15.75" hidden="1" customHeight="1" x14ac:dyDescent="0.25"/>
    <row r="978" ht="15.75" hidden="1" customHeight="1" x14ac:dyDescent="0.25"/>
    <row r="979" ht="15.75" hidden="1" customHeight="1" x14ac:dyDescent="0.25"/>
    <row r="980" ht="15.75" hidden="1" customHeight="1" x14ac:dyDescent="0.25"/>
    <row r="981" ht="15.75" hidden="1" customHeight="1" x14ac:dyDescent="0.25"/>
    <row r="982" ht="15.75" hidden="1" customHeight="1" x14ac:dyDescent="0.25"/>
    <row r="983" ht="15.75" hidden="1" customHeight="1" x14ac:dyDescent="0.25"/>
    <row r="984" ht="15.75" hidden="1" customHeight="1" x14ac:dyDescent="0.25"/>
    <row r="985" ht="15.75" hidden="1" customHeight="1" x14ac:dyDescent="0.25"/>
    <row r="986" ht="15.75" hidden="1" customHeight="1" x14ac:dyDescent="0.25"/>
    <row r="987" ht="15.75" hidden="1" customHeight="1" x14ac:dyDescent="0.25"/>
    <row r="988" ht="15.75" hidden="1" customHeight="1" x14ac:dyDescent="0.25"/>
    <row r="989" ht="15.75" hidden="1" customHeight="1" x14ac:dyDescent="0.25"/>
    <row r="990" ht="15.75" hidden="1" customHeight="1" x14ac:dyDescent="0.25"/>
    <row r="991" ht="15.75" hidden="1" customHeight="1" x14ac:dyDescent="0.25"/>
    <row r="992" ht="15.75" hidden="1" customHeight="1" x14ac:dyDescent="0.25"/>
    <row r="993" ht="15.75" hidden="1" customHeight="1" x14ac:dyDescent="0.25"/>
  </sheetData>
  <mergeCells count="20">
    <mergeCell ref="C2:I2"/>
    <mergeCell ref="D4:I4"/>
    <mergeCell ref="D6:H6"/>
    <mergeCell ref="D8:H8"/>
    <mergeCell ref="B10:H10"/>
    <mergeCell ref="I11:I12"/>
    <mergeCell ref="B13:F13"/>
    <mergeCell ref="G13:H13"/>
    <mergeCell ref="B15:I15"/>
    <mergeCell ref="C16:F16"/>
    <mergeCell ref="B11:B12"/>
    <mergeCell ref="C11:C12"/>
    <mergeCell ref="D11:D12"/>
    <mergeCell ref="E11:E12"/>
    <mergeCell ref="F11:F12"/>
    <mergeCell ref="D17:E17"/>
    <mergeCell ref="D18:E18"/>
    <mergeCell ref="D19:E19"/>
    <mergeCell ref="D20:E20"/>
    <mergeCell ref="G11:H11"/>
  </mergeCells>
  <pageMargins left="0.7" right="0.7" top="0.75" bottom="0.75" header="0" footer="0"/>
  <pageSetup orientation="landscape"/>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B2FF-51BA-46CA-BDD5-3BEA7C0C9D3A}">
  <dimension ref="A1:Z995"/>
  <sheetViews>
    <sheetView showGridLines="0" workbookViewId="0">
      <selection activeCell="B6" sqref="B6:B7"/>
    </sheetView>
  </sheetViews>
  <sheetFormatPr baseColWidth="10" defaultColWidth="0" defaultRowHeight="15" customHeight="1" zeroHeight="1" x14ac:dyDescent="0.25"/>
  <cols>
    <col min="1" max="1" width="2.42578125" style="61" customWidth="1"/>
    <col min="2" max="2" width="4.42578125" style="61" customWidth="1"/>
    <col min="3" max="3" width="30" style="61" customWidth="1"/>
    <col min="4" max="4" width="21.85546875" style="61" customWidth="1"/>
    <col min="5" max="5" width="30" style="61" customWidth="1"/>
    <col min="6" max="6" width="23.42578125" style="61" customWidth="1"/>
    <col min="7" max="8" width="13.42578125" style="61" customWidth="1"/>
    <col min="9" max="9" width="14.5703125" style="61" customWidth="1"/>
    <col min="10" max="10" width="58.42578125" style="61" customWidth="1"/>
    <col min="11" max="11" width="4.28515625" style="61" customWidth="1"/>
    <col min="12" max="25" width="10.7109375" style="61" hidden="1" customWidth="1"/>
    <col min="26" max="26" width="0" style="61" hidden="1" customWidth="1"/>
    <col min="27" max="16384" width="14.42578125" style="61" hidden="1"/>
  </cols>
  <sheetData>
    <row r="1" spans="1:26" ht="18.75" customHeight="1" x14ac:dyDescent="0.25">
      <c r="A1" s="125"/>
      <c r="B1" s="126"/>
      <c r="C1" s="126"/>
      <c r="D1" s="127"/>
      <c r="E1" s="127"/>
      <c r="F1" s="127"/>
      <c r="G1" s="127"/>
      <c r="H1" s="127"/>
      <c r="I1" s="127"/>
      <c r="J1" s="128"/>
      <c r="K1" s="125"/>
      <c r="L1" s="123"/>
      <c r="M1" s="123"/>
      <c r="N1" s="123"/>
      <c r="O1" s="123"/>
      <c r="P1" s="123"/>
      <c r="Q1" s="123"/>
      <c r="R1" s="123"/>
      <c r="S1" s="123"/>
      <c r="T1" s="123"/>
      <c r="U1" s="123"/>
      <c r="V1" s="123"/>
      <c r="W1" s="123"/>
      <c r="X1" s="123"/>
      <c r="Y1" s="123"/>
      <c r="Z1" s="129"/>
    </row>
    <row r="2" spans="1:26" ht="18.75" customHeight="1" x14ac:dyDescent="0.25">
      <c r="A2" s="125"/>
      <c r="B2" s="130"/>
      <c r="C2" s="773" t="s">
        <v>689</v>
      </c>
      <c r="D2" s="762"/>
      <c r="E2" s="762"/>
      <c r="F2" s="762"/>
      <c r="G2" s="762"/>
      <c r="H2" s="762"/>
      <c r="I2" s="762"/>
      <c r="J2" s="762"/>
      <c r="K2" s="125"/>
      <c r="L2" s="123"/>
      <c r="M2" s="123"/>
      <c r="N2" s="123"/>
      <c r="O2" s="123"/>
      <c r="P2" s="123"/>
      <c r="Q2" s="123"/>
      <c r="R2" s="123"/>
      <c r="S2" s="123"/>
      <c r="T2" s="123"/>
      <c r="U2" s="123"/>
      <c r="V2" s="123"/>
      <c r="W2" s="123"/>
      <c r="X2" s="123"/>
      <c r="Y2" s="123"/>
      <c r="Z2" s="129"/>
    </row>
    <row r="3" spans="1:26" ht="18.75" customHeight="1" x14ac:dyDescent="0.25">
      <c r="A3" s="125"/>
      <c r="B3" s="130"/>
      <c r="C3" s="125"/>
      <c r="D3" s="131"/>
      <c r="E3" s="125"/>
      <c r="F3" s="132"/>
      <c r="G3" s="133"/>
      <c r="H3" s="134"/>
      <c r="I3" s="134"/>
      <c r="J3" s="135"/>
      <c r="K3" s="125"/>
      <c r="L3" s="123"/>
      <c r="M3" s="123"/>
      <c r="N3" s="123"/>
      <c r="O3" s="123"/>
      <c r="P3" s="123"/>
      <c r="Q3" s="123"/>
      <c r="R3" s="123"/>
      <c r="S3" s="123"/>
      <c r="T3" s="123"/>
      <c r="U3" s="123"/>
      <c r="V3" s="123"/>
      <c r="W3" s="123"/>
      <c r="X3" s="123"/>
      <c r="Y3" s="123"/>
      <c r="Z3" s="129"/>
    </row>
    <row r="4" spans="1:26" ht="37.5" customHeight="1" x14ac:dyDescent="0.25">
      <c r="A4" s="125"/>
      <c r="B4" s="130"/>
      <c r="C4" s="136" t="s">
        <v>651</v>
      </c>
      <c r="D4" s="774" t="s">
        <v>742</v>
      </c>
      <c r="E4" s="762"/>
      <c r="F4" s="762"/>
      <c r="G4" s="762"/>
      <c r="H4" s="762"/>
      <c r="I4" s="762"/>
      <c r="J4" s="762"/>
      <c r="K4" s="125"/>
      <c r="L4" s="123"/>
      <c r="M4" s="123"/>
      <c r="N4" s="123"/>
      <c r="O4" s="123"/>
      <c r="P4" s="123"/>
      <c r="Q4" s="123"/>
      <c r="R4" s="123"/>
      <c r="S4" s="123"/>
      <c r="T4" s="123"/>
      <c r="U4" s="123"/>
      <c r="V4" s="123"/>
      <c r="W4" s="123"/>
      <c r="X4" s="123"/>
      <c r="Y4" s="123"/>
      <c r="Z4" s="129"/>
    </row>
    <row r="5" spans="1:26" ht="8.25" customHeight="1" x14ac:dyDescent="0.25">
      <c r="A5" s="125"/>
      <c r="B5" s="130"/>
      <c r="C5" s="137"/>
      <c r="D5" s="138"/>
      <c r="E5" s="139"/>
      <c r="F5" s="140"/>
      <c r="G5" s="140"/>
      <c r="H5" s="140"/>
      <c r="I5" s="140"/>
      <c r="J5" s="141"/>
      <c r="K5" s="125"/>
      <c r="L5" s="123"/>
      <c r="M5" s="123"/>
      <c r="N5" s="123"/>
      <c r="O5" s="123"/>
      <c r="P5" s="123"/>
      <c r="Q5" s="123"/>
      <c r="R5" s="123"/>
      <c r="S5" s="123"/>
      <c r="T5" s="123"/>
      <c r="U5" s="123"/>
      <c r="V5" s="123"/>
      <c r="W5" s="123"/>
      <c r="X5" s="123"/>
      <c r="Y5" s="123"/>
      <c r="Z5" s="129"/>
    </row>
    <row r="6" spans="1:26" ht="18" customHeight="1" x14ac:dyDescent="0.25">
      <c r="A6" s="125"/>
      <c r="B6" s="130"/>
      <c r="C6" s="136" t="s">
        <v>653</v>
      </c>
      <c r="D6" s="774">
        <v>1</v>
      </c>
      <c r="E6" s="762"/>
      <c r="F6" s="762"/>
      <c r="G6" s="762"/>
      <c r="H6" s="762"/>
      <c r="I6" s="142"/>
      <c r="J6" s="142"/>
      <c r="K6" s="125"/>
      <c r="L6" s="123"/>
      <c r="M6" s="123"/>
      <c r="N6" s="123"/>
      <c r="O6" s="123"/>
      <c r="P6" s="123"/>
      <c r="Q6" s="123"/>
      <c r="R6" s="123"/>
      <c r="S6" s="123"/>
      <c r="T6" s="123"/>
      <c r="U6" s="123"/>
      <c r="V6" s="123"/>
      <c r="W6" s="123"/>
      <c r="X6" s="123"/>
      <c r="Y6" s="123"/>
      <c r="Z6" s="129"/>
    </row>
    <row r="7" spans="1:26" ht="8.25" customHeight="1" x14ac:dyDescent="0.25">
      <c r="A7" s="125"/>
      <c r="B7" s="130"/>
      <c r="C7" s="143"/>
      <c r="D7" s="143"/>
      <c r="E7" s="143"/>
      <c r="F7" s="144"/>
      <c r="G7" s="144"/>
      <c r="H7" s="144"/>
      <c r="I7" s="144"/>
      <c r="J7" s="141"/>
      <c r="K7" s="125"/>
      <c r="L7" s="123"/>
      <c r="M7" s="123"/>
      <c r="N7" s="123"/>
      <c r="O7" s="123"/>
      <c r="P7" s="123"/>
      <c r="Q7" s="123"/>
      <c r="R7" s="123"/>
      <c r="S7" s="123"/>
      <c r="T7" s="123"/>
      <c r="U7" s="123"/>
      <c r="V7" s="123"/>
      <c r="W7" s="123"/>
      <c r="X7" s="123"/>
      <c r="Y7" s="123"/>
      <c r="Z7" s="129"/>
    </row>
    <row r="8" spans="1:26" ht="18" customHeight="1" x14ac:dyDescent="0.25">
      <c r="A8" s="125"/>
      <c r="B8" s="130"/>
      <c r="C8" s="136" t="s">
        <v>690</v>
      </c>
      <c r="D8" s="775">
        <v>44225</v>
      </c>
      <c r="E8" s="762"/>
      <c r="F8" s="762"/>
      <c r="G8" s="762"/>
      <c r="H8" s="762"/>
      <c r="I8" s="142"/>
      <c r="J8" s="142"/>
      <c r="K8" s="125"/>
      <c r="L8" s="123"/>
      <c r="M8" s="123"/>
      <c r="N8" s="123"/>
      <c r="O8" s="123"/>
      <c r="P8" s="123"/>
      <c r="Q8" s="123"/>
      <c r="R8" s="123"/>
      <c r="S8" s="123"/>
      <c r="T8" s="123"/>
      <c r="U8" s="123"/>
      <c r="V8" s="123"/>
      <c r="W8" s="123"/>
      <c r="X8" s="123"/>
      <c r="Y8" s="123"/>
      <c r="Z8" s="129"/>
    </row>
    <row r="9" spans="1:26" ht="8.25" customHeight="1" thickBot="1" x14ac:dyDescent="0.3">
      <c r="A9" s="125"/>
      <c r="B9" s="130"/>
      <c r="C9" s="145"/>
      <c r="D9" s="145"/>
      <c r="E9" s="145"/>
      <c r="F9" s="146"/>
      <c r="G9" s="146"/>
      <c r="H9" s="146"/>
      <c r="I9" s="146"/>
      <c r="J9" s="135"/>
      <c r="K9" s="125"/>
      <c r="L9" s="123"/>
      <c r="M9" s="123"/>
      <c r="N9" s="123"/>
      <c r="O9" s="123"/>
      <c r="P9" s="123"/>
      <c r="Q9" s="123"/>
      <c r="R9" s="123"/>
      <c r="S9" s="123"/>
      <c r="T9" s="123"/>
      <c r="U9" s="123"/>
      <c r="V9" s="123"/>
      <c r="W9" s="123"/>
      <c r="X9" s="123"/>
      <c r="Y9" s="123"/>
      <c r="Z9" s="129"/>
    </row>
    <row r="10" spans="1:26" ht="18" customHeight="1" x14ac:dyDescent="0.25">
      <c r="A10" s="125"/>
      <c r="B10" s="776" t="s">
        <v>655</v>
      </c>
      <c r="C10" s="777"/>
      <c r="D10" s="777"/>
      <c r="E10" s="777"/>
      <c r="F10" s="777"/>
      <c r="G10" s="777"/>
      <c r="H10" s="777"/>
      <c r="I10" s="777"/>
      <c r="J10" s="778"/>
      <c r="K10" s="125"/>
      <c r="L10" s="123"/>
      <c r="M10" s="123"/>
      <c r="N10" s="123"/>
      <c r="O10" s="123"/>
      <c r="P10" s="123"/>
      <c r="Q10" s="123"/>
      <c r="R10" s="123"/>
      <c r="S10" s="123"/>
      <c r="T10" s="123"/>
      <c r="U10" s="123"/>
      <c r="V10" s="123"/>
      <c r="W10" s="123"/>
      <c r="X10" s="123"/>
      <c r="Y10" s="123"/>
      <c r="Z10" s="129"/>
    </row>
    <row r="11" spans="1:26" ht="18" customHeight="1" x14ac:dyDescent="0.25">
      <c r="A11" s="125"/>
      <c r="B11" s="779" t="s">
        <v>656</v>
      </c>
      <c r="C11" s="781" t="s">
        <v>657</v>
      </c>
      <c r="D11" s="781" t="s">
        <v>658</v>
      </c>
      <c r="E11" s="781" t="s">
        <v>659</v>
      </c>
      <c r="F11" s="781" t="s">
        <v>660</v>
      </c>
      <c r="G11" s="783" t="s">
        <v>661</v>
      </c>
      <c r="H11" s="784"/>
      <c r="I11" s="277" t="s">
        <v>662</v>
      </c>
      <c r="J11" s="785" t="s">
        <v>9</v>
      </c>
      <c r="K11" s="125"/>
      <c r="L11" s="123"/>
      <c r="M11" s="123"/>
      <c r="N11" s="123"/>
      <c r="O11" s="123"/>
      <c r="P11" s="123"/>
      <c r="Q11" s="123"/>
      <c r="R11" s="123"/>
      <c r="S11" s="123"/>
      <c r="T11" s="123"/>
      <c r="U11" s="123"/>
      <c r="V11" s="123"/>
      <c r="W11" s="123"/>
      <c r="X11" s="123"/>
      <c r="Y11" s="123"/>
      <c r="Z11" s="129"/>
    </row>
    <row r="12" spans="1:26" ht="18" customHeight="1" thickBot="1" x14ac:dyDescent="0.3">
      <c r="A12" s="147"/>
      <c r="B12" s="780"/>
      <c r="C12" s="782"/>
      <c r="D12" s="782"/>
      <c r="E12" s="782"/>
      <c r="F12" s="782"/>
      <c r="G12" s="278" t="s">
        <v>663</v>
      </c>
      <c r="H12" s="278" t="s">
        <v>664</v>
      </c>
      <c r="I12" s="279">
        <f>SUM(I13:I16)</f>
        <v>1</v>
      </c>
      <c r="J12" s="786"/>
      <c r="K12" s="147"/>
      <c r="L12" s="148"/>
      <c r="M12" s="148"/>
      <c r="N12" s="148"/>
      <c r="O12" s="148"/>
      <c r="P12" s="148"/>
      <c r="Q12" s="148"/>
      <c r="R12" s="148"/>
      <c r="S12" s="148"/>
      <c r="T12" s="148"/>
      <c r="U12" s="148"/>
      <c r="V12" s="148"/>
      <c r="W12" s="148"/>
      <c r="X12" s="148"/>
      <c r="Y12" s="148"/>
      <c r="Z12" s="129"/>
    </row>
    <row r="13" spans="1:26" ht="43.5" customHeight="1" x14ac:dyDescent="0.25">
      <c r="A13" s="147"/>
      <c r="B13" s="149">
        <v>1</v>
      </c>
      <c r="C13" s="150" t="s">
        <v>691</v>
      </c>
      <c r="D13" s="151" t="s">
        <v>645</v>
      </c>
      <c r="E13" s="151" t="s">
        <v>692</v>
      </c>
      <c r="F13" s="152">
        <v>0.8</v>
      </c>
      <c r="G13" s="153">
        <v>44593</v>
      </c>
      <c r="H13" s="153">
        <v>44925</v>
      </c>
      <c r="I13" s="152">
        <v>0.4</v>
      </c>
      <c r="J13" s="154" t="s">
        <v>693</v>
      </c>
      <c r="K13" s="147"/>
      <c r="L13" s="148"/>
      <c r="M13" s="148"/>
      <c r="N13" s="148"/>
      <c r="O13" s="148"/>
      <c r="P13" s="148"/>
      <c r="Q13" s="148"/>
      <c r="R13" s="148"/>
      <c r="S13" s="148"/>
      <c r="T13" s="148"/>
      <c r="U13" s="148"/>
      <c r="V13" s="148"/>
      <c r="W13" s="148"/>
      <c r="X13" s="148"/>
      <c r="Y13" s="148"/>
      <c r="Z13" s="129"/>
    </row>
    <row r="14" spans="1:26" ht="43.5" customHeight="1" x14ac:dyDescent="0.25">
      <c r="A14" s="147"/>
      <c r="B14" s="155">
        <v>2</v>
      </c>
      <c r="C14" s="156" t="s">
        <v>694</v>
      </c>
      <c r="D14" s="157" t="s">
        <v>645</v>
      </c>
      <c r="E14" s="157" t="s">
        <v>695</v>
      </c>
      <c r="F14" s="158">
        <v>0.9</v>
      </c>
      <c r="G14" s="153">
        <v>44593</v>
      </c>
      <c r="H14" s="153">
        <v>44925</v>
      </c>
      <c r="I14" s="158">
        <v>0.3</v>
      </c>
      <c r="J14" s="159" t="s">
        <v>693</v>
      </c>
      <c r="K14" s="147"/>
      <c r="L14" s="148"/>
      <c r="M14" s="148"/>
      <c r="N14" s="148"/>
      <c r="O14" s="148"/>
      <c r="P14" s="148"/>
      <c r="Q14" s="148"/>
      <c r="R14" s="148"/>
      <c r="S14" s="148"/>
      <c r="T14" s="148"/>
      <c r="U14" s="148"/>
      <c r="V14" s="148"/>
      <c r="W14" s="148"/>
      <c r="X14" s="148"/>
      <c r="Y14" s="148"/>
      <c r="Z14" s="129"/>
    </row>
    <row r="15" spans="1:26" ht="43.5" customHeight="1" x14ac:dyDescent="0.25">
      <c r="A15" s="147"/>
      <c r="B15" s="155">
        <v>3</v>
      </c>
      <c r="C15" s="156" t="s">
        <v>696</v>
      </c>
      <c r="D15" s="157" t="s">
        <v>645</v>
      </c>
      <c r="E15" s="157" t="s">
        <v>697</v>
      </c>
      <c r="F15" s="158">
        <v>0.8</v>
      </c>
      <c r="G15" s="153">
        <v>44593</v>
      </c>
      <c r="H15" s="153">
        <v>44925</v>
      </c>
      <c r="I15" s="158">
        <v>0.3</v>
      </c>
      <c r="J15" s="159" t="s">
        <v>693</v>
      </c>
      <c r="K15" s="147"/>
      <c r="L15" s="148"/>
      <c r="M15" s="148"/>
      <c r="N15" s="148"/>
      <c r="O15" s="148"/>
      <c r="P15" s="148"/>
      <c r="Q15" s="148"/>
      <c r="R15" s="148"/>
      <c r="S15" s="148"/>
      <c r="T15" s="148"/>
      <c r="U15" s="148"/>
      <c r="V15" s="148"/>
      <c r="W15" s="148"/>
      <c r="X15" s="148"/>
      <c r="Y15" s="148"/>
      <c r="Z15" s="129"/>
    </row>
    <row r="16" spans="1:26" ht="22.5" customHeight="1" thickBot="1" x14ac:dyDescent="0.3">
      <c r="A16" s="147"/>
      <c r="B16" s="160"/>
      <c r="C16" s="161"/>
      <c r="D16" s="161"/>
      <c r="E16" s="162"/>
      <c r="F16" s="162"/>
      <c r="G16" s="163"/>
      <c r="H16" s="163"/>
      <c r="I16" s="163"/>
      <c r="J16" s="164"/>
      <c r="K16" s="147"/>
      <c r="L16" s="148"/>
      <c r="M16" s="148"/>
      <c r="N16" s="148"/>
      <c r="O16" s="148"/>
      <c r="P16" s="148"/>
      <c r="Q16" s="148"/>
      <c r="R16" s="148"/>
      <c r="S16" s="148"/>
      <c r="T16" s="148"/>
      <c r="U16" s="148"/>
      <c r="V16" s="148"/>
      <c r="W16" s="148"/>
      <c r="X16" s="148"/>
      <c r="Y16" s="148"/>
      <c r="Z16" s="129"/>
    </row>
    <row r="17" spans="1:26" ht="33" customHeight="1" thickBot="1" x14ac:dyDescent="0.3">
      <c r="A17" s="147"/>
      <c r="B17" s="787" t="s">
        <v>674</v>
      </c>
      <c r="C17" s="762"/>
      <c r="D17" s="762"/>
      <c r="E17" s="762"/>
      <c r="F17" s="762"/>
      <c r="G17" s="762"/>
      <c r="H17" s="762"/>
      <c r="I17" s="762"/>
      <c r="J17" s="762"/>
      <c r="K17" s="147"/>
      <c r="L17" s="148"/>
      <c r="M17" s="148"/>
      <c r="N17" s="148"/>
      <c r="O17" s="148"/>
      <c r="P17" s="148"/>
      <c r="Q17" s="148"/>
      <c r="R17" s="148"/>
      <c r="S17" s="148"/>
      <c r="T17" s="148"/>
      <c r="U17" s="148"/>
      <c r="V17" s="148"/>
      <c r="W17" s="148"/>
      <c r="X17" s="148"/>
      <c r="Y17" s="148"/>
      <c r="Z17" s="129"/>
    </row>
    <row r="18" spans="1:26" ht="24" customHeight="1" thickBot="1" x14ac:dyDescent="0.3">
      <c r="B18" s="92"/>
      <c r="C18" s="752" t="s">
        <v>675</v>
      </c>
      <c r="D18" s="753"/>
      <c r="E18" s="753"/>
      <c r="F18" s="754"/>
      <c r="G18" s="93"/>
      <c r="H18" s="93"/>
      <c r="I18" s="93"/>
    </row>
    <row r="19" spans="1:26" ht="33.75" customHeight="1" x14ac:dyDescent="0.25">
      <c r="B19" s="92"/>
      <c r="C19" s="267" t="s">
        <v>676</v>
      </c>
      <c r="D19" s="739" t="s">
        <v>677</v>
      </c>
      <c r="E19" s="740"/>
      <c r="F19" s="268" t="s">
        <v>678</v>
      </c>
      <c r="G19" s="93"/>
      <c r="H19" s="93"/>
      <c r="I19" s="93"/>
    </row>
    <row r="20" spans="1:26" ht="35.25" customHeight="1" x14ac:dyDescent="0.25">
      <c r="B20" s="92"/>
      <c r="C20" s="94">
        <v>1</v>
      </c>
      <c r="D20" s="741" t="s">
        <v>679</v>
      </c>
      <c r="E20" s="742"/>
      <c r="F20" s="95">
        <v>44590</v>
      </c>
      <c r="G20" s="93"/>
      <c r="H20" s="93"/>
      <c r="I20" s="93"/>
    </row>
    <row r="21" spans="1:26" ht="15.75" customHeight="1" x14ac:dyDescent="0.25">
      <c r="B21" s="92"/>
      <c r="C21" s="94"/>
      <c r="D21" s="96"/>
      <c r="E21" s="97"/>
      <c r="F21" s="98"/>
      <c r="G21" s="93"/>
      <c r="H21" s="93"/>
      <c r="I21" s="93"/>
    </row>
    <row r="22" spans="1:26" ht="15.75" customHeight="1" thickBot="1" x14ac:dyDescent="0.3">
      <c r="B22" s="92"/>
      <c r="C22" s="99"/>
      <c r="D22" s="100"/>
      <c r="E22" s="101"/>
      <c r="F22" s="102"/>
      <c r="G22" s="93"/>
      <c r="H22" s="93"/>
      <c r="I22" s="93"/>
    </row>
    <row r="23" spans="1:26" ht="16.5" customHeight="1" x14ac:dyDescent="0.25">
      <c r="A23" s="125"/>
      <c r="B23" s="122"/>
      <c r="C23" s="123"/>
      <c r="D23" s="123"/>
      <c r="E23" s="123"/>
      <c r="F23" s="123"/>
      <c r="G23" s="123"/>
      <c r="H23" s="123"/>
      <c r="I23" s="123"/>
      <c r="J23" s="165"/>
      <c r="K23" s="125"/>
      <c r="L23" s="123"/>
      <c r="M23" s="123"/>
      <c r="N23" s="123"/>
      <c r="O23" s="123"/>
      <c r="P23" s="123"/>
      <c r="Q23" s="123"/>
      <c r="R23" s="123"/>
      <c r="S23" s="123"/>
      <c r="T23" s="123"/>
      <c r="U23" s="123"/>
      <c r="V23" s="123"/>
      <c r="W23" s="123"/>
      <c r="X23" s="123"/>
      <c r="Y23" s="123"/>
      <c r="Z23" s="129"/>
    </row>
    <row r="24" spans="1:26" ht="16.5" customHeight="1" x14ac:dyDescent="0.25">
      <c r="A24" s="125"/>
      <c r="B24" s="122"/>
      <c r="C24" s="124"/>
      <c r="D24" s="124"/>
      <c r="E24" s="124"/>
      <c r="F24" s="123"/>
      <c r="G24" s="123"/>
      <c r="H24" s="123"/>
      <c r="I24" s="123"/>
      <c r="J24" s="165"/>
      <c r="K24" s="125"/>
      <c r="L24" s="123"/>
      <c r="M24" s="123"/>
      <c r="N24" s="123"/>
      <c r="O24" s="123"/>
      <c r="P24" s="123"/>
      <c r="Q24" s="123"/>
      <c r="R24" s="123"/>
      <c r="S24" s="123"/>
      <c r="T24" s="123"/>
      <c r="U24" s="123"/>
      <c r="V24" s="123"/>
      <c r="W24" s="123"/>
      <c r="X24" s="123"/>
      <c r="Y24" s="123"/>
      <c r="Z24" s="129"/>
    </row>
    <row r="25" spans="1:26" ht="16.5" hidden="1" customHeight="1" x14ac:dyDescent="0.25">
      <c r="A25" s="125"/>
      <c r="B25" s="122"/>
      <c r="C25" s="124"/>
      <c r="D25" s="124"/>
      <c r="E25" s="124"/>
      <c r="F25" s="123"/>
      <c r="G25" s="123"/>
      <c r="H25" s="123"/>
      <c r="I25" s="123"/>
      <c r="J25" s="165"/>
      <c r="K25" s="125"/>
      <c r="L25" s="123"/>
      <c r="M25" s="123"/>
      <c r="N25" s="123"/>
      <c r="O25" s="123"/>
      <c r="P25" s="123"/>
      <c r="Q25" s="123"/>
      <c r="R25" s="123"/>
      <c r="S25" s="123"/>
      <c r="T25" s="123"/>
      <c r="U25" s="123"/>
      <c r="V25" s="123"/>
      <c r="W25" s="123"/>
      <c r="X25" s="123"/>
      <c r="Y25" s="123"/>
      <c r="Z25" s="129"/>
    </row>
    <row r="26" spans="1:26" ht="16.5" hidden="1" customHeight="1" x14ac:dyDescent="0.25">
      <c r="A26" s="125"/>
      <c r="B26" s="122"/>
      <c r="C26" s="124"/>
      <c r="D26" s="124"/>
      <c r="E26" s="124"/>
      <c r="F26" s="123"/>
      <c r="G26" s="123"/>
      <c r="H26" s="123"/>
      <c r="I26" s="123"/>
      <c r="J26" s="165"/>
      <c r="K26" s="125"/>
      <c r="L26" s="123"/>
      <c r="M26" s="123"/>
      <c r="N26" s="123"/>
      <c r="O26" s="123"/>
      <c r="P26" s="123"/>
      <c r="Q26" s="123"/>
      <c r="R26" s="123"/>
      <c r="S26" s="123"/>
      <c r="T26" s="123"/>
      <c r="U26" s="123"/>
      <c r="V26" s="123"/>
      <c r="W26" s="123"/>
      <c r="X26" s="123"/>
      <c r="Y26" s="123"/>
      <c r="Z26" s="129"/>
    </row>
    <row r="27" spans="1:26" ht="16.5" hidden="1" customHeight="1" x14ac:dyDescent="0.25">
      <c r="A27" s="125"/>
      <c r="B27" s="122"/>
      <c r="C27" s="124"/>
      <c r="D27" s="124"/>
      <c r="E27" s="124"/>
      <c r="F27" s="123"/>
      <c r="G27" s="123"/>
      <c r="H27" s="123"/>
      <c r="I27" s="123"/>
      <c r="J27" s="165"/>
      <c r="K27" s="125"/>
      <c r="L27" s="123"/>
      <c r="M27" s="123"/>
      <c r="N27" s="123"/>
      <c r="O27" s="123"/>
      <c r="P27" s="123"/>
      <c r="Q27" s="123"/>
      <c r="R27" s="123"/>
      <c r="S27" s="123"/>
      <c r="T27" s="123"/>
      <c r="U27" s="123"/>
      <c r="V27" s="123"/>
      <c r="W27" s="123"/>
      <c r="X27" s="123"/>
      <c r="Y27" s="123"/>
      <c r="Z27" s="129"/>
    </row>
    <row r="28" spans="1:26" ht="16.5" hidden="1" customHeight="1" x14ac:dyDescent="0.25">
      <c r="A28" s="125"/>
      <c r="B28" s="122"/>
      <c r="C28" s="124"/>
      <c r="D28" s="124"/>
      <c r="E28" s="124"/>
      <c r="F28" s="123"/>
      <c r="G28" s="123"/>
      <c r="H28" s="123"/>
      <c r="I28" s="123"/>
      <c r="J28" s="165"/>
      <c r="K28" s="125"/>
      <c r="L28" s="123"/>
      <c r="M28" s="123"/>
      <c r="N28" s="123"/>
      <c r="O28" s="123"/>
      <c r="P28" s="123"/>
      <c r="Q28" s="123"/>
      <c r="R28" s="123"/>
      <c r="S28" s="123"/>
      <c r="T28" s="123"/>
      <c r="U28" s="123"/>
      <c r="V28" s="123"/>
      <c r="W28" s="123"/>
      <c r="X28" s="123"/>
      <c r="Y28" s="123"/>
      <c r="Z28" s="129"/>
    </row>
    <row r="29" spans="1:26" ht="16.5" hidden="1" customHeight="1" x14ac:dyDescent="0.25">
      <c r="A29" s="125"/>
      <c r="B29" s="122"/>
      <c r="C29" s="124"/>
      <c r="D29" s="124"/>
      <c r="E29" s="124"/>
      <c r="F29" s="123"/>
      <c r="G29" s="123"/>
      <c r="H29" s="123"/>
      <c r="I29" s="123"/>
      <c r="J29" s="165"/>
      <c r="K29" s="125"/>
      <c r="L29" s="123"/>
      <c r="M29" s="123"/>
      <c r="N29" s="123"/>
      <c r="O29" s="123"/>
      <c r="P29" s="123"/>
      <c r="Q29" s="123"/>
      <c r="R29" s="123"/>
      <c r="S29" s="123"/>
      <c r="T29" s="123"/>
      <c r="U29" s="123"/>
      <c r="V29" s="123"/>
      <c r="W29" s="123"/>
      <c r="X29" s="123"/>
      <c r="Y29" s="123"/>
      <c r="Z29" s="129"/>
    </row>
    <row r="30" spans="1:26" ht="16.5" hidden="1" customHeight="1" x14ac:dyDescent="0.25">
      <c r="A30" s="125"/>
      <c r="B30" s="122"/>
      <c r="C30" s="124"/>
      <c r="D30" s="124"/>
      <c r="E30" s="124"/>
      <c r="F30" s="123"/>
      <c r="G30" s="123"/>
      <c r="H30" s="123"/>
      <c r="I30" s="123"/>
      <c r="J30" s="165"/>
      <c r="K30" s="125"/>
      <c r="L30" s="123"/>
      <c r="M30" s="123"/>
      <c r="N30" s="123"/>
      <c r="O30" s="123"/>
      <c r="P30" s="123"/>
      <c r="Q30" s="123"/>
      <c r="R30" s="123"/>
      <c r="S30" s="123"/>
      <c r="T30" s="123"/>
      <c r="U30" s="123"/>
      <c r="V30" s="123"/>
      <c r="W30" s="123"/>
      <c r="X30" s="123"/>
      <c r="Y30" s="123"/>
      <c r="Z30" s="129"/>
    </row>
    <row r="31" spans="1:26" ht="16.5" hidden="1" customHeight="1" x14ac:dyDescent="0.25">
      <c r="A31" s="125"/>
      <c r="B31" s="122"/>
      <c r="C31" s="124"/>
      <c r="D31" s="124"/>
      <c r="E31" s="124"/>
      <c r="F31" s="123"/>
      <c r="G31" s="123"/>
      <c r="H31" s="123"/>
      <c r="I31" s="123"/>
      <c r="J31" s="165"/>
      <c r="K31" s="125"/>
      <c r="L31" s="123"/>
      <c r="M31" s="123"/>
      <c r="N31" s="123"/>
      <c r="O31" s="123"/>
      <c r="P31" s="123"/>
      <c r="Q31" s="123"/>
      <c r="R31" s="123"/>
      <c r="S31" s="123"/>
      <c r="T31" s="123"/>
      <c r="U31" s="123"/>
      <c r="V31" s="123"/>
      <c r="W31" s="123"/>
      <c r="X31" s="123"/>
      <c r="Y31" s="123"/>
      <c r="Z31" s="129"/>
    </row>
    <row r="32" spans="1:26" ht="16.5" hidden="1" customHeight="1" x14ac:dyDescent="0.25">
      <c r="A32" s="125"/>
      <c r="B32" s="122"/>
      <c r="C32" s="124"/>
      <c r="D32" s="124"/>
      <c r="E32" s="124"/>
      <c r="F32" s="123"/>
      <c r="G32" s="123"/>
      <c r="H32" s="123"/>
      <c r="I32" s="123"/>
      <c r="J32" s="165"/>
      <c r="K32" s="125"/>
      <c r="L32" s="123"/>
      <c r="M32" s="123"/>
      <c r="N32" s="123"/>
      <c r="O32" s="123"/>
      <c r="P32" s="123"/>
      <c r="Q32" s="123"/>
      <c r="R32" s="123"/>
      <c r="S32" s="123"/>
      <c r="T32" s="123"/>
      <c r="U32" s="123"/>
      <c r="V32" s="123"/>
      <c r="W32" s="123"/>
      <c r="X32" s="123"/>
      <c r="Y32" s="123"/>
      <c r="Z32" s="129"/>
    </row>
    <row r="33" spans="1:26" ht="16.5" hidden="1" customHeight="1" x14ac:dyDescent="0.25">
      <c r="A33" s="125"/>
      <c r="B33" s="122"/>
      <c r="C33" s="124"/>
      <c r="D33" s="124"/>
      <c r="E33" s="124"/>
      <c r="F33" s="123"/>
      <c r="G33" s="123"/>
      <c r="H33" s="123"/>
      <c r="I33" s="123"/>
      <c r="J33" s="165"/>
      <c r="K33" s="125"/>
      <c r="L33" s="123"/>
      <c r="M33" s="123"/>
      <c r="N33" s="123"/>
      <c r="O33" s="123"/>
      <c r="P33" s="123"/>
      <c r="Q33" s="123"/>
      <c r="R33" s="123"/>
      <c r="S33" s="123"/>
      <c r="T33" s="123"/>
      <c r="U33" s="123"/>
      <c r="V33" s="123"/>
      <c r="W33" s="123"/>
      <c r="X33" s="123"/>
      <c r="Y33" s="123"/>
      <c r="Z33" s="129"/>
    </row>
    <row r="34" spans="1:26" ht="16.5" hidden="1" customHeight="1" x14ac:dyDescent="0.25">
      <c r="A34" s="125"/>
      <c r="B34" s="122"/>
      <c r="C34" s="124"/>
      <c r="D34" s="124"/>
      <c r="E34" s="124"/>
      <c r="F34" s="123"/>
      <c r="G34" s="123"/>
      <c r="H34" s="123"/>
      <c r="I34" s="123"/>
      <c r="J34" s="165"/>
      <c r="K34" s="125"/>
      <c r="L34" s="123"/>
      <c r="M34" s="123"/>
      <c r="N34" s="123"/>
      <c r="O34" s="123"/>
      <c r="P34" s="123"/>
      <c r="Q34" s="123"/>
      <c r="R34" s="123"/>
      <c r="S34" s="123"/>
      <c r="T34" s="123"/>
      <c r="U34" s="123"/>
      <c r="V34" s="123"/>
      <c r="W34" s="123"/>
      <c r="X34" s="123"/>
      <c r="Y34" s="123"/>
      <c r="Z34" s="129"/>
    </row>
    <row r="35" spans="1:26" ht="16.5" hidden="1" customHeight="1" x14ac:dyDescent="0.25">
      <c r="A35" s="125"/>
      <c r="B35" s="122"/>
      <c r="C35" s="124"/>
      <c r="D35" s="124"/>
      <c r="E35" s="124"/>
      <c r="F35" s="123"/>
      <c r="G35" s="123"/>
      <c r="H35" s="123"/>
      <c r="I35" s="123"/>
      <c r="J35" s="165"/>
      <c r="K35" s="125"/>
      <c r="L35" s="123"/>
      <c r="M35" s="123"/>
      <c r="N35" s="123"/>
      <c r="O35" s="123"/>
      <c r="P35" s="123"/>
      <c r="Q35" s="123"/>
      <c r="R35" s="123"/>
      <c r="S35" s="123"/>
      <c r="T35" s="123"/>
      <c r="U35" s="123"/>
      <c r="V35" s="123"/>
      <c r="W35" s="123"/>
      <c r="X35" s="123"/>
      <c r="Y35" s="123"/>
      <c r="Z35" s="129"/>
    </row>
    <row r="36" spans="1:26" ht="16.5" hidden="1" customHeight="1" x14ac:dyDescent="0.25">
      <c r="A36" s="125"/>
      <c r="B36" s="122"/>
      <c r="C36" s="124"/>
      <c r="D36" s="124"/>
      <c r="E36" s="124"/>
      <c r="F36" s="123"/>
      <c r="G36" s="123"/>
      <c r="H36" s="123"/>
      <c r="I36" s="123"/>
      <c r="J36" s="165"/>
      <c r="K36" s="125"/>
      <c r="L36" s="123"/>
      <c r="M36" s="123"/>
      <c r="N36" s="123"/>
      <c r="O36" s="123"/>
      <c r="P36" s="123"/>
      <c r="Q36" s="123"/>
      <c r="R36" s="123"/>
      <c r="S36" s="123"/>
      <c r="T36" s="123"/>
      <c r="U36" s="123"/>
      <c r="V36" s="123"/>
      <c r="W36" s="123"/>
      <c r="X36" s="123"/>
      <c r="Y36" s="123"/>
      <c r="Z36" s="129"/>
    </row>
    <row r="37" spans="1:26" ht="16.5" hidden="1" customHeight="1" x14ac:dyDescent="0.25">
      <c r="A37" s="125"/>
      <c r="B37" s="122"/>
      <c r="C37" s="124"/>
      <c r="D37" s="124"/>
      <c r="E37" s="124"/>
      <c r="F37" s="123"/>
      <c r="G37" s="123"/>
      <c r="H37" s="123"/>
      <c r="I37" s="123"/>
      <c r="J37" s="165"/>
      <c r="K37" s="125"/>
      <c r="L37" s="123"/>
      <c r="M37" s="123"/>
      <c r="N37" s="123"/>
      <c r="O37" s="123"/>
      <c r="P37" s="123"/>
      <c r="Q37" s="123"/>
      <c r="R37" s="123"/>
      <c r="S37" s="123"/>
      <c r="T37" s="123"/>
      <c r="U37" s="123"/>
      <c r="V37" s="123"/>
      <c r="W37" s="123"/>
      <c r="X37" s="123"/>
      <c r="Y37" s="123"/>
      <c r="Z37" s="129"/>
    </row>
    <row r="38" spans="1:26" ht="16.5" hidden="1" customHeight="1" x14ac:dyDescent="0.25">
      <c r="A38" s="125"/>
      <c r="B38" s="122"/>
      <c r="C38" s="124"/>
      <c r="D38" s="124"/>
      <c r="E38" s="124"/>
      <c r="F38" s="123"/>
      <c r="G38" s="123"/>
      <c r="H38" s="123"/>
      <c r="I38" s="123"/>
      <c r="J38" s="165"/>
      <c r="K38" s="125"/>
      <c r="L38" s="123"/>
      <c r="M38" s="123"/>
      <c r="N38" s="123"/>
      <c r="O38" s="123"/>
      <c r="P38" s="123"/>
      <c r="Q38" s="123"/>
      <c r="R38" s="123"/>
      <c r="S38" s="123"/>
      <c r="T38" s="123"/>
      <c r="U38" s="123"/>
      <c r="V38" s="123"/>
      <c r="W38" s="123"/>
      <c r="X38" s="123"/>
      <c r="Y38" s="123"/>
      <c r="Z38" s="129"/>
    </row>
    <row r="39" spans="1:26" ht="16.5" hidden="1" customHeight="1" x14ac:dyDescent="0.25">
      <c r="A39" s="125"/>
      <c r="B39" s="122"/>
      <c r="C39" s="124"/>
      <c r="D39" s="124"/>
      <c r="E39" s="124"/>
      <c r="F39" s="123"/>
      <c r="G39" s="123"/>
      <c r="H39" s="123"/>
      <c r="I39" s="123"/>
      <c r="J39" s="165"/>
      <c r="K39" s="125"/>
      <c r="L39" s="123"/>
      <c r="M39" s="123"/>
      <c r="N39" s="123"/>
      <c r="O39" s="123"/>
      <c r="P39" s="123"/>
      <c r="Q39" s="123"/>
      <c r="R39" s="123"/>
      <c r="S39" s="123"/>
      <c r="T39" s="123"/>
      <c r="U39" s="123"/>
      <c r="V39" s="123"/>
      <c r="W39" s="123"/>
      <c r="X39" s="123"/>
      <c r="Y39" s="123"/>
      <c r="Z39" s="129"/>
    </row>
    <row r="40" spans="1:26" ht="16.5" hidden="1" customHeight="1" x14ac:dyDescent="0.25">
      <c r="A40" s="125"/>
      <c r="B40" s="122"/>
      <c r="C40" s="124"/>
      <c r="D40" s="124"/>
      <c r="E40" s="124"/>
      <c r="F40" s="123"/>
      <c r="G40" s="123"/>
      <c r="H40" s="123"/>
      <c r="I40" s="123"/>
      <c r="J40" s="165"/>
      <c r="K40" s="125"/>
      <c r="L40" s="123"/>
      <c r="M40" s="123"/>
      <c r="N40" s="123"/>
      <c r="O40" s="123"/>
      <c r="P40" s="123"/>
      <c r="Q40" s="123"/>
      <c r="R40" s="123"/>
      <c r="S40" s="123"/>
      <c r="T40" s="123"/>
      <c r="U40" s="123"/>
      <c r="V40" s="123"/>
      <c r="W40" s="123"/>
      <c r="X40" s="123"/>
      <c r="Y40" s="123"/>
      <c r="Z40" s="129"/>
    </row>
    <row r="41" spans="1:26" ht="16.5" hidden="1" customHeight="1" x14ac:dyDescent="0.25">
      <c r="A41" s="125"/>
      <c r="B41" s="122"/>
      <c r="C41" s="124"/>
      <c r="D41" s="124"/>
      <c r="E41" s="124"/>
      <c r="F41" s="123"/>
      <c r="G41" s="123"/>
      <c r="H41" s="123"/>
      <c r="I41" s="123"/>
      <c r="J41" s="165"/>
      <c r="K41" s="125"/>
      <c r="L41" s="123"/>
      <c r="M41" s="123"/>
      <c r="N41" s="123"/>
      <c r="O41" s="123"/>
      <c r="P41" s="123"/>
      <c r="Q41" s="123"/>
      <c r="R41" s="123"/>
      <c r="S41" s="123"/>
      <c r="T41" s="123"/>
      <c r="U41" s="123"/>
      <c r="V41" s="123"/>
      <c r="W41" s="123"/>
      <c r="X41" s="123"/>
      <c r="Y41" s="123"/>
      <c r="Z41" s="129"/>
    </row>
    <row r="42" spans="1:26" ht="16.5" hidden="1" customHeight="1" x14ac:dyDescent="0.25">
      <c r="A42" s="125"/>
      <c r="B42" s="122"/>
      <c r="C42" s="124"/>
      <c r="D42" s="124"/>
      <c r="E42" s="124"/>
      <c r="F42" s="123"/>
      <c r="G42" s="123"/>
      <c r="H42" s="123"/>
      <c r="I42" s="123"/>
      <c r="J42" s="165"/>
      <c r="K42" s="125"/>
      <c r="L42" s="123"/>
      <c r="M42" s="123"/>
      <c r="N42" s="123"/>
      <c r="O42" s="123"/>
      <c r="P42" s="123"/>
      <c r="Q42" s="123"/>
      <c r="R42" s="123"/>
      <c r="S42" s="123"/>
      <c r="T42" s="123"/>
      <c r="U42" s="123"/>
      <c r="V42" s="123"/>
      <c r="W42" s="123"/>
      <c r="X42" s="123"/>
      <c r="Y42" s="123"/>
      <c r="Z42" s="129"/>
    </row>
    <row r="43" spans="1:26" ht="16.5" hidden="1" customHeight="1" x14ac:dyDescent="0.25">
      <c r="A43" s="125"/>
      <c r="B43" s="122"/>
      <c r="C43" s="124"/>
      <c r="D43" s="124"/>
      <c r="E43" s="124"/>
      <c r="F43" s="123"/>
      <c r="G43" s="123"/>
      <c r="H43" s="123"/>
      <c r="I43" s="123"/>
      <c r="J43" s="165"/>
      <c r="K43" s="125"/>
      <c r="L43" s="123"/>
      <c r="M43" s="123"/>
      <c r="N43" s="123"/>
      <c r="O43" s="123"/>
      <c r="P43" s="123"/>
      <c r="Q43" s="123"/>
      <c r="R43" s="123"/>
      <c r="S43" s="123"/>
      <c r="T43" s="123"/>
      <c r="U43" s="123"/>
      <c r="V43" s="123"/>
      <c r="W43" s="123"/>
      <c r="X43" s="123"/>
      <c r="Y43" s="123"/>
      <c r="Z43" s="129"/>
    </row>
    <row r="44" spans="1:26" ht="16.5" hidden="1" customHeight="1" x14ac:dyDescent="0.25">
      <c r="A44" s="125"/>
      <c r="B44" s="122"/>
      <c r="C44" s="124"/>
      <c r="D44" s="124"/>
      <c r="E44" s="124"/>
      <c r="F44" s="123"/>
      <c r="G44" s="123"/>
      <c r="H44" s="123"/>
      <c r="I44" s="123"/>
      <c r="J44" s="165"/>
      <c r="K44" s="125"/>
      <c r="L44" s="123"/>
      <c r="M44" s="123"/>
      <c r="N44" s="123"/>
      <c r="O44" s="123"/>
      <c r="P44" s="123"/>
      <c r="Q44" s="123"/>
      <c r="R44" s="123"/>
      <c r="S44" s="123"/>
      <c r="T44" s="123"/>
      <c r="U44" s="123"/>
      <c r="V44" s="123"/>
      <c r="W44" s="123"/>
      <c r="X44" s="123"/>
      <c r="Y44" s="123"/>
      <c r="Z44" s="129"/>
    </row>
    <row r="45" spans="1:26" ht="16.5" hidden="1" customHeight="1" x14ac:dyDescent="0.25">
      <c r="A45" s="125"/>
      <c r="B45" s="122"/>
      <c r="C45" s="124"/>
      <c r="D45" s="124"/>
      <c r="E45" s="124"/>
      <c r="F45" s="123"/>
      <c r="G45" s="123"/>
      <c r="H45" s="123"/>
      <c r="I45" s="123"/>
      <c r="J45" s="165"/>
      <c r="K45" s="125"/>
      <c r="L45" s="123"/>
      <c r="M45" s="123"/>
      <c r="N45" s="123"/>
      <c r="O45" s="123"/>
      <c r="P45" s="123"/>
      <c r="Q45" s="123"/>
      <c r="R45" s="123"/>
      <c r="S45" s="123"/>
      <c r="T45" s="123"/>
      <c r="U45" s="123"/>
      <c r="V45" s="123"/>
      <c r="W45" s="123"/>
      <c r="X45" s="123"/>
      <c r="Y45" s="123"/>
      <c r="Z45" s="129"/>
    </row>
    <row r="46" spans="1:26" ht="16.5" hidden="1" customHeight="1" x14ac:dyDescent="0.25">
      <c r="A46" s="125"/>
      <c r="B46" s="122"/>
      <c r="C46" s="124"/>
      <c r="D46" s="124"/>
      <c r="E46" s="124"/>
      <c r="F46" s="123"/>
      <c r="G46" s="123"/>
      <c r="H46" s="123"/>
      <c r="I46" s="123"/>
      <c r="J46" s="165"/>
      <c r="K46" s="125"/>
      <c r="L46" s="123"/>
      <c r="M46" s="123"/>
      <c r="N46" s="123"/>
      <c r="O46" s="123"/>
      <c r="P46" s="123"/>
      <c r="Q46" s="123"/>
      <c r="R46" s="123"/>
      <c r="S46" s="123"/>
      <c r="T46" s="123"/>
      <c r="U46" s="123"/>
      <c r="V46" s="123"/>
      <c r="W46" s="123"/>
      <c r="X46" s="123"/>
      <c r="Y46" s="123"/>
      <c r="Z46" s="129"/>
    </row>
    <row r="47" spans="1:26" ht="16.5" hidden="1" customHeight="1" x14ac:dyDescent="0.25">
      <c r="A47" s="125"/>
      <c r="B47" s="122"/>
      <c r="C47" s="124"/>
      <c r="D47" s="124"/>
      <c r="E47" s="124"/>
      <c r="F47" s="123"/>
      <c r="G47" s="123"/>
      <c r="H47" s="123"/>
      <c r="I47" s="123"/>
      <c r="J47" s="165"/>
      <c r="K47" s="125"/>
      <c r="L47" s="123"/>
      <c r="M47" s="123"/>
      <c r="N47" s="123"/>
      <c r="O47" s="123"/>
      <c r="P47" s="123"/>
      <c r="Q47" s="123"/>
      <c r="R47" s="123"/>
      <c r="S47" s="123"/>
      <c r="T47" s="123"/>
      <c r="U47" s="123"/>
      <c r="V47" s="123"/>
      <c r="W47" s="123"/>
      <c r="X47" s="123"/>
      <c r="Y47" s="123"/>
      <c r="Z47" s="129"/>
    </row>
    <row r="48" spans="1:26" ht="16.5" hidden="1" customHeight="1" x14ac:dyDescent="0.25">
      <c r="A48" s="125"/>
      <c r="B48" s="122"/>
      <c r="C48" s="124"/>
      <c r="D48" s="124"/>
      <c r="E48" s="124"/>
      <c r="F48" s="123"/>
      <c r="G48" s="123"/>
      <c r="H48" s="123"/>
      <c r="I48" s="123"/>
      <c r="J48" s="165"/>
      <c r="K48" s="125"/>
      <c r="L48" s="123"/>
      <c r="M48" s="123"/>
      <c r="N48" s="123"/>
      <c r="O48" s="123"/>
      <c r="P48" s="123"/>
      <c r="Q48" s="123"/>
      <c r="R48" s="123"/>
      <c r="S48" s="123"/>
      <c r="T48" s="123"/>
      <c r="U48" s="123"/>
      <c r="V48" s="123"/>
      <c r="W48" s="123"/>
      <c r="X48" s="123"/>
      <c r="Y48" s="123"/>
      <c r="Z48" s="129"/>
    </row>
    <row r="49" spans="1:26" ht="16.5" hidden="1" customHeight="1" x14ac:dyDescent="0.25">
      <c r="A49" s="125"/>
      <c r="B49" s="122"/>
      <c r="C49" s="124"/>
      <c r="D49" s="124"/>
      <c r="E49" s="124"/>
      <c r="F49" s="123"/>
      <c r="G49" s="123"/>
      <c r="H49" s="123"/>
      <c r="I49" s="123"/>
      <c r="J49" s="165"/>
      <c r="K49" s="125"/>
      <c r="L49" s="123"/>
      <c r="M49" s="123"/>
      <c r="N49" s="123"/>
      <c r="O49" s="123"/>
      <c r="P49" s="123"/>
      <c r="Q49" s="123"/>
      <c r="R49" s="123"/>
      <c r="S49" s="123"/>
      <c r="T49" s="123"/>
      <c r="U49" s="123"/>
      <c r="V49" s="123"/>
      <c r="W49" s="123"/>
      <c r="X49" s="123"/>
      <c r="Y49" s="123"/>
      <c r="Z49" s="129"/>
    </row>
    <row r="50" spans="1:26" ht="16.5" hidden="1" customHeight="1" x14ac:dyDescent="0.25">
      <c r="A50" s="125"/>
      <c r="B50" s="122"/>
      <c r="C50" s="124"/>
      <c r="D50" s="124"/>
      <c r="E50" s="124"/>
      <c r="F50" s="123"/>
      <c r="G50" s="123"/>
      <c r="H50" s="123"/>
      <c r="I50" s="123"/>
      <c r="J50" s="165"/>
      <c r="K50" s="125"/>
      <c r="L50" s="123"/>
      <c r="M50" s="123"/>
      <c r="N50" s="123"/>
      <c r="O50" s="123"/>
      <c r="P50" s="123"/>
      <c r="Q50" s="123"/>
      <c r="R50" s="123"/>
      <c r="S50" s="123"/>
      <c r="T50" s="123"/>
      <c r="U50" s="123"/>
      <c r="V50" s="123"/>
      <c r="W50" s="123"/>
      <c r="X50" s="123"/>
      <c r="Y50" s="123"/>
      <c r="Z50" s="129"/>
    </row>
    <row r="51" spans="1:26" ht="16.5" hidden="1" customHeight="1" x14ac:dyDescent="0.25">
      <c r="A51" s="125"/>
      <c r="B51" s="122"/>
      <c r="C51" s="124"/>
      <c r="D51" s="124"/>
      <c r="E51" s="124"/>
      <c r="F51" s="123"/>
      <c r="G51" s="123"/>
      <c r="H51" s="123"/>
      <c r="I51" s="123"/>
      <c r="J51" s="165"/>
      <c r="K51" s="125"/>
      <c r="L51" s="123"/>
      <c r="M51" s="123"/>
      <c r="N51" s="123"/>
      <c r="O51" s="123"/>
      <c r="P51" s="123"/>
      <c r="Q51" s="123"/>
      <c r="R51" s="123"/>
      <c r="S51" s="123"/>
      <c r="T51" s="123"/>
      <c r="U51" s="123"/>
      <c r="V51" s="123"/>
      <c r="W51" s="123"/>
      <c r="X51" s="123"/>
      <c r="Y51" s="123"/>
      <c r="Z51" s="129"/>
    </row>
    <row r="52" spans="1:26" ht="16.5" hidden="1" customHeight="1" x14ac:dyDescent="0.25">
      <c r="A52" s="125"/>
      <c r="B52" s="122"/>
      <c r="C52" s="124"/>
      <c r="D52" s="124"/>
      <c r="E52" s="124"/>
      <c r="F52" s="123"/>
      <c r="G52" s="123"/>
      <c r="H52" s="123"/>
      <c r="I52" s="123"/>
      <c r="J52" s="165"/>
      <c r="K52" s="125"/>
      <c r="L52" s="123"/>
      <c r="M52" s="123"/>
      <c r="N52" s="123"/>
      <c r="O52" s="123"/>
      <c r="P52" s="123"/>
      <c r="Q52" s="123"/>
      <c r="R52" s="123"/>
      <c r="S52" s="123"/>
      <c r="T52" s="123"/>
      <c r="U52" s="123"/>
      <c r="V52" s="123"/>
      <c r="W52" s="123"/>
      <c r="X52" s="123"/>
      <c r="Y52" s="123"/>
      <c r="Z52" s="129"/>
    </row>
    <row r="53" spans="1:26" ht="15" hidden="1" customHeight="1" x14ac:dyDescent="0.25">
      <c r="A53" s="125"/>
      <c r="B53" s="122"/>
      <c r="C53" s="124"/>
      <c r="D53" s="124"/>
      <c r="E53" s="124"/>
      <c r="F53" s="123"/>
      <c r="G53" s="123"/>
      <c r="H53" s="123"/>
      <c r="I53" s="123"/>
      <c r="J53" s="165"/>
      <c r="K53" s="125"/>
      <c r="L53" s="123"/>
      <c r="M53" s="123"/>
      <c r="N53" s="123"/>
      <c r="O53" s="123"/>
      <c r="P53" s="123"/>
      <c r="Q53" s="123"/>
      <c r="R53" s="123"/>
      <c r="S53" s="123"/>
      <c r="T53" s="123"/>
      <c r="U53" s="123"/>
      <c r="V53" s="123"/>
      <c r="W53" s="123"/>
      <c r="X53" s="123"/>
      <c r="Y53" s="123"/>
      <c r="Z53" s="129"/>
    </row>
    <row r="54" spans="1:26" ht="15" hidden="1" customHeight="1" x14ac:dyDescent="0.25">
      <c r="A54" s="125"/>
      <c r="B54" s="122"/>
      <c r="C54" s="124"/>
      <c r="D54" s="124"/>
      <c r="E54" s="124"/>
      <c r="F54" s="123"/>
      <c r="G54" s="123"/>
      <c r="H54" s="123"/>
      <c r="I54" s="123"/>
      <c r="J54" s="165"/>
      <c r="K54" s="125"/>
      <c r="L54" s="123"/>
      <c r="M54" s="123"/>
      <c r="N54" s="123"/>
      <c r="O54" s="123"/>
      <c r="P54" s="123"/>
      <c r="Q54" s="123"/>
      <c r="R54" s="123"/>
      <c r="S54" s="123"/>
      <c r="T54" s="123"/>
      <c r="U54" s="123"/>
      <c r="V54" s="123"/>
      <c r="W54" s="123"/>
      <c r="X54" s="123"/>
      <c r="Y54" s="123"/>
      <c r="Z54" s="129"/>
    </row>
    <row r="55" spans="1:26" ht="15" hidden="1" customHeight="1" x14ac:dyDescent="0.25">
      <c r="A55" s="125"/>
      <c r="B55" s="122"/>
      <c r="C55" s="124"/>
      <c r="D55" s="124"/>
      <c r="E55" s="124"/>
      <c r="F55" s="123"/>
      <c r="G55" s="123"/>
      <c r="H55" s="123"/>
      <c r="I55" s="123"/>
      <c r="J55" s="165"/>
      <c r="K55" s="125"/>
      <c r="L55" s="123"/>
      <c r="M55" s="123"/>
      <c r="N55" s="123"/>
      <c r="O55" s="123"/>
      <c r="P55" s="123"/>
      <c r="Q55" s="123"/>
      <c r="R55" s="123"/>
      <c r="S55" s="123"/>
      <c r="T55" s="123"/>
      <c r="U55" s="123"/>
      <c r="V55" s="123"/>
      <c r="W55" s="123"/>
      <c r="X55" s="123"/>
      <c r="Y55" s="123"/>
      <c r="Z55" s="129"/>
    </row>
    <row r="56" spans="1:26" ht="15" hidden="1" customHeight="1" x14ac:dyDescent="0.25">
      <c r="A56" s="125"/>
      <c r="B56" s="122"/>
      <c r="C56" s="124"/>
      <c r="D56" s="124"/>
      <c r="E56" s="124"/>
      <c r="F56" s="123"/>
      <c r="G56" s="123"/>
      <c r="H56" s="123"/>
      <c r="I56" s="123"/>
      <c r="J56" s="165"/>
      <c r="K56" s="125"/>
      <c r="L56" s="123"/>
      <c r="M56" s="123"/>
      <c r="N56" s="123"/>
      <c r="O56" s="123"/>
      <c r="P56" s="123"/>
      <c r="Q56" s="123"/>
      <c r="R56" s="123"/>
      <c r="S56" s="123"/>
      <c r="T56" s="123"/>
      <c r="U56" s="123"/>
      <c r="V56" s="123"/>
      <c r="W56" s="123"/>
      <c r="X56" s="123"/>
      <c r="Y56" s="123"/>
      <c r="Z56" s="129"/>
    </row>
    <row r="57" spans="1:26" ht="15" hidden="1" customHeight="1" x14ac:dyDescent="0.25">
      <c r="A57" s="125"/>
      <c r="B57" s="122"/>
      <c r="C57" s="124"/>
      <c r="D57" s="124"/>
      <c r="E57" s="124"/>
      <c r="F57" s="123"/>
      <c r="G57" s="123"/>
      <c r="H57" s="123"/>
      <c r="I57" s="123"/>
      <c r="J57" s="165"/>
      <c r="K57" s="125"/>
      <c r="L57" s="123"/>
      <c r="M57" s="123"/>
      <c r="N57" s="123"/>
      <c r="O57" s="123"/>
      <c r="P57" s="123"/>
      <c r="Q57" s="123"/>
      <c r="R57" s="123"/>
      <c r="S57" s="123"/>
      <c r="T57" s="123"/>
      <c r="U57" s="123"/>
      <c r="V57" s="123"/>
      <c r="W57" s="123"/>
      <c r="X57" s="123"/>
      <c r="Y57" s="123"/>
      <c r="Z57" s="129"/>
    </row>
    <row r="58" spans="1:26" ht="15" hidden="1" customHeight="1" x14ac:dyDescent="0.25">
      <c r="A58" s="125"/>
      <c r="B58" s="122"/>
      <c r="C58" s="124"/>
      <c r="D58" s="124"/>
      <c r="E58" s="124"/>
      <c r="F58" s="123"/>
      <c r="G58" s="123"/>
      <c r="H58" s="123"/>
      <c r="I58" s="123"/>
      <c r="J58" s="165"/>
      <c r="K58" s="125"/>
      <c r="L58" s="123"/>
      <c r="M58" s="123"/>
      <c r="N58" s="123"/>
      <c r="O58" s="123"/>
      <c r="P58" s="123"/>
      <c r="Q58" s="123"/>
      <c r="R58" s="123"/>
      <c r="S58" s="123"/>
      <c r="T58" s="123"/>
      <c r="U58" s="123"/>
      <c r="V58" s="123"/>
      <c r="W58" s="123"/>
      <c r="X58" s="123"/>
      <c r="Y58" s="123"/>
      <c r="Z58" s="129"/>
    </row>
    <row r="59" spans="1:26" ht="15" hidden="1" customHeight="1" x14ac:dyDescent="0.25">
      <c r="A59" s="125"/>
      <c r="B59" s="122"/>
      <c r="C59" s="124"/>
      <c r="D59" s="124"/>
      <c r="E59" s="124"/>
      <c r="F59" s="123"/>
      <c r="G59" s="123"/>
      <c r="H59" s="123"/>
      <c r="I59" s="123"/>
      <c r="J59" s="165"/>
      <c r="K59" s="125"/>
      <c r="L59" s="123"/>
      <c r="M59" s="123"/>
      <c r="N59" s="123"/>
      <c r="O59" s="123"/>
      <c r="P59" s="123"/>
      <c r="Q59" s="123"/>
      <c r="R59" s="123"/>
      <c r="S59" s="123"/>
      <c r="T59" s="123"/>
      <c r="U59" s="123"/>
      <c r="V59" s="123"/>
      <c r="W59" s="123"/>
      <c r="X59" s="123"/>
      <c r="Y59" s="123"/>
      <c r="Z59" s="129"/>
    </row>
    <row r="60" spans="1:26" ht="15" hidden="1" customHeight="1" x14ac:dyDescent="0.25">
      <c r="A60" s="125"/>
      <c r="B60" s="122"/>
      <c r="C60" s="124"/>
      <c r="D60" s="124"/>
      <c r="E60" s="124"/>
      <c r="F60" s="123"/>
      <c r="G60" s="123"/>
      <c r="H60" s="123"/>
      <c r="I60" s="123"/>
      <c r="J60" s="165"/>
      <c r="K60" s="125"/>
      <c r="L60" s="123"/>
      <c r="M60" s="123"/>
      <c r="N60" s="123"/>
      <c r="O60" s="123"/>
      <c r="P60" s="123"/>
      <c r="Q60" s="123"/>
      <c r="R60" s="123"/>
      <c r="S60" s="123"/>
      <c r="T60" s="123"/>
      <c r="U60" s="123"/>
      <c r="V60" s="123"/>
      <c r="W60" s="123"/>
      <c r="X60" s="123"/>
      <c r="Y60" s="123"/>
      <c r="Z60" s="129"/>
    </row>
    <row r="61" spans="1:26" ht="15" hidden="1" customHeight="1" x14ac:dyDescent="0.25">
      <c r="A61" s="125"/>
      <c r="B61" s="122"/>
      <c r="C61" s="124"/>
      <c r="D61" s="124"/>
      <c r="E61" s="124"/>
      <c r="F61" s="123"/>
      <c r="G61" s="123"/>
      <c r="H61" s="123"/>
      <c r="I61" s="123"/>
      <c r="J61" s="165"/>
      <c r="K61" s="125"/>
      <c r="L61" s="123"/>
      <c r="M61" s="123"/>
      <c r="N61" s="123"/>
      <c r="O61" s="123"/>
      <c r="P61" s="123"/>
      <c r="Q61" s="123"/>
      <c r="R61" s="123"/>
      <c r="S61" s="123"/>
      <c r="T61" s="123"/>
      <c r="U61" s="123"/>
      <c r="V61" s="123"/>
      <c r="W61" s="123"/>
      <c r="X61" s="123"/>
      <c r="Y61" s="123"/>
      <c r="Z61" s="129"/>
    </row>
    <row r="62" spans="1:26" ht="15" hidden="1" customHeight="1" x14ac:dyDescent="0.25">
      <c r="A62" s="125"/>
      <c r="B62" s="122"/>
      <c r="C62" s="124"/>
      <c r="D62" s="124"/>
      <c r="E62" s="124"/>
      <c r="F62" s="123"/>
      <c r="G62" s="123"/>
      <c r="H62" s="123"/>
      <c r="I62" s="123"/>
      <c r="J62" s="165"/>
      <c r="K62" s="125"/>
      <c r="L62" s="123"/>
      <c r="M62" s="123"/>
      <c r="N62" s="123"/>
      <c r="O62" s="123"/>
      <c r="P62" s="123"/>
      <c r="Q62" s="123"/>
      <c r="R62" s="123"/>
      <c r="S62" s="123"/>
      <c r="T62" s="123"/>
      <c r="U62" s="123"/>
      <c r="V62" s="123"/>
      <c r="W62" s="123"/>
      <c r="X62" s="123"/>
      <c r="Y62" s="123"/>
      <c r="Z62" s="129"/>
    </row>
    <row r="63" spans="1:26" ht="15.75" hidden="1" customHeight="1" x14ac:dyDescent="0.25">
      <c r="A63" s="125"/>
      <c r="B63" s="122"/>
      <c r="C63" s="124"/>
      <c r="D63" s="124"/>
      <c r="E63" s="124"/>
      <c r="F63" s="123"/>
      <c r="G63" s="123"/>
      <c r="H63" s="123"/>
      <c r="I63" s="123"/>
      <c r="J63" s="165"/>
      <c r="K63" s="125"/>
      <c r="L63" s="123"/>
      <c r="M63" s="123"/>
      <c r="N63" s="123"/>
      <c r="O63" s="123"/>
      <c r="P63" s="123"/>
      <c r="Q63" s="123"/>
      <c r="R63" s="123"/>
      <c r="S63" s="123"/>
      <c r="T63" s="123"/>
      <c r="U63" s="123"/>
      <c r="V63" s="123"/>
      <c r="W63" s="123"/>
      <c r="X63" s="123"/>
      <c r="Y63" s="123"/>
      <c r="Z63" s="129"/>
    </row>
    <row r="64" spans="1:26" ht="15.75" hidden="1" customHeight="1" x14ac:dyDescent="0.25">
      <c r="A64" s="125"/>
      <c r="B64" s="122"/>
      <c r="C64" s="124"/>
      <c r="D64" s="124"/>
      <c r="E64" s="124"/>
      <c r="F64" s="123"/>
      <c r="G64" s="123"/>
      <c r="H64" s="123"/>
      <c r="I64" s="123"/>
      <c r="J64" s="165"/>
      <c r="K64" s="125"/>
      <c r="L64" s="123"/>
      <c r="M64" s="123"/>
      <c r="N64" s="123"/>
      <c r="O64" s="123"/>
      <c r="P64" s="123"/>
      <c r="Q64" s="123"/>
      <c r="R64" s="123"/>
      <c r="S64" s="123"/>
      <c r="T64" s="123"/>
      <c r="U64" s="123"/>
      <c r="V64" s="123"/>
      <c r="W64" s="123"/>
      <c r="X64" s="123"/>
      <c r="Y64" s="123"/>
      <c r="Z64" s="129"/>
    </row>
    <row r="65" spans="1:26" ht="15.75" hidden="1" customHeight="1" x14ac:dyDescent="0.25">
      <c r="A65" s="125"/>
      <c r="B65" s="122"/>
      <c r="C65" s="124"/>
      <c r="D65" s="124"/>
      <c r="E65" s="124"/>
      <c r="F65" s="123"/>
      <c r="G65" s="123"/>
      <c r="H65" s="123"/>
      <c r="I65" s="123"/>
      <c r="J65" s="165"/>
      <c r="K65" s="125"/>
      <c r="L65" s="123"/>
      <c r="M65" s="123"/>
      <c r="N65" s="123"/>
      <c r="O65" s="123"/>
      <c r="P65" s="123"/>
      <c r="Q65" s="123"/>
      <c r="R65" s="123"/>
      <c r="S65" s="123"/>
      <c r="T65" s="123"/>
      <c r="U65" s="123"/>
      <c r="V65" s="123"/>
      <c r="W65" s="123"/>
      <c r="X65" s="123"/>
      <c r="Y65" s="123"/>
      <c r="Z65" s="129"/>
    </row>
    <row r="66" spans="1:26" ht="15.75" hidden="1" customHeight="1" x14ac:dyDescent="0.25">
      <c r="A66" s="125"/>
      <c r="B66" s="122"/>
      <c r="C66" s="124"/>
      <c r="D66" s="124"/>
      <c r="E66" s="124"/>
      <c r="F66" s="123"/>
      <c r="G66" s="123"/>
      <c r="H66" s="123"/>
      <c r="I66" s="123"/>
      <c r="J66" s="165"/>
      <c r="K66" s="125"/>
      <c r="L66" s="123"/>
      <c r="M66" s="123"/>
      <c r="N66" s="123"/>
      <c r="O66" s="123"/>
      <c r="P66" s="123"/>
      <c r="Q66" s="123"/>
      <c r="R66" s="123"/>
      <c r="S66" s="123"/>
      <c r="T66" s="123"/>
      <c r="U66" s="123"/>
      <c r="V66" s="123"/>
      <c r="W66" s="123"/>
      <c r="X66" s="123"/>
      <c r="Y66" s="123"/>
      <c r="Z66" s="129"/>
    </row>
    <row r="67" spans="1:26" ht="15.75" hidden="1" customHeight="1" x14ac:dyDescent="0.25">
      <c r="A67" s="125"/>
      <c r="B67" s="122"/>
      <c r="C67" s="124"/>
      <c r="D67" s="124"/>
      <c r="E67" s="124"/>
      <c r="F67" s="123"/>
      <c r="G67" s="123"/>
      <c r="H67" s="123"/>
      <c r="I67" s="123"/>
      <c r="J67" s="165"/>
      <c r="K67" s="125"/>
      <c r="L67" s="123"/>
      <c r="M67" s="123"/>
      <c r="N67" s="123"/>
      <c r="O67" s="123"/>
      <c r="P67" s="123"/>
      <c r="Q67" s="123"/>
      <c r="R67" s="123"/>
      <c r="S67" s="123"/>
      <c r="T67" s="123"/>
      <c r="U67" s="123"/>
      <c r="V67" s="123"/>
      <c r="W67" s="123"/>
      <c r="X67" s="123"/>
      <c r="Y67" s="123"/>
      <c r="Z67" s="129"/>
    </row>
    <row r="68" spans="1:26" ht="15.75" hidden="1" customHeight="1" x14ac:dyDescent="0.25">
      <c r="A68" s="125"/>
      <c r="B68" s="122"/>
      <c r="C68" s="124"/>
      <c r="D68" s="124"/>
      <c r="E68" s="124"/>
      <c r="F68" s="123"/>
      <c r="G68" s="123"/>
      <c r="H68" s="123"/>
      <c r="I68" s="123"/>
      <c r="J68" s="165"/>
      <c r="K68" s="125"/>
      <c r="L68" s="123"/>
      <c r="M68" s="123"/>
      <c r="N68" s="123"/>
      <c r="O68" s="123"/>
      <c r="P68" s="123"/>
      <c r="Q68" s="123"/>
      <c r="R68" s="123"/>
      <c r="S68" s="123"/>
      <c r="T68" s="123"/>
      <c r="U68" s="123"/>
      <c r="V68" s="123"/>
      <c r="W68" s="123"/>
      <c r="X68" s="123"/>
      <c r="Y68" s="123"/>
      <c r="Z68" s="129"/>
    </row>
    <row r="69" spans="1:26" ht="15.75" hidden="1" customHeight="1" x14ac:dyDescent="0.25">
      <c r="A69" s="125"/>
      <c r="B69" s="122"/>
      <c r="C69" s="124"/>
      <c r="D69" s="124"/>
      <c r="E69" s="124"/>
      <c r="F69" s="123"/>
      <c r="G69" s="123"/>
      <c r="H69" s="123"/>
      <c r="I69" s="123"/>
      <c r="J69" s="165"/>
      <c r="K69" s="125"/>
      <c r="L69" s="123"/>
      <c r="M69" s="123"/>
      <c r="N69" s="123"/>
      <c r="O69" s="123"/>
      <c r="P69" s="123"/>
      <c r="Q69" s="123"/>
      <c r="R69" s="123"/>
      <c r="S69" s="123"/>
      <c r="T69" s="123"/>
      <c r="U69" s="123"/>
      <c r="V69" s="123"/>
      <c r="W69" s="123"/>
      <c r="X69" s="123"/>
      <c r="Y69" s="123"/>
      <c r="Z69" s="129"/>
    </row>
    <row r="70" spans="1:26" ht="15.75" hidden="1" customHeight="1" x14ac:dyDescent="0.25">
      <c r="A70" s="125"/>
      <c r="B70" s="122"/>
      <c r="C70" s="124"/>
      <c r="D70" s="124"/>
      <c r="E70" s="124"/>
      <c r="F70" s="123"/>
      <c r="G70" s="123"/>
      <c r="H70" s="123"/>
      <c r="I70" s="123"/>
      <c r="J70" s="165"/>
      <c r="K70" s="125"/>
      <c r="L70" s="123"/>
      <c r="M70" s="123"/>
      <c r="N70" s="123"/>
      <c r="O70" s="123"/>
      <c r="P70" s="123"/>
      <c r="Q70" s="123"/>
      <c r="R70" s="123"/>
      <c r="S70" s="123"/>
      <c r="T70" s="123"/>
      <c r="U70" s="123"/>
      <c r="V70" s="123"/>
      <c r="W70" s="123"/>
      <c r="X70" s="123"/>
      <c r="Y70" s="123"/>
      <c r="Z70" s="129"/>
    </row>
    <row r="71" spans="1:26" ht="15.75" hidden="1" customHeight="1" x14ac:dyDescent="0.25">
      <c r="A71" s="125"/>
      <c r="B71" s="122"/>
      <c r="C71" s="124"/>
      <c r="D71" s="124"/>
      <c r="E71" s="124"/>
      <c r="F71" s="123"/>
      <c r="G71" s="123"/>
      <c r="H71" s="123"/>
      <c r="I71" s="123"/>
      <c r="J71" s="165"/>
      <c r="K71" s="125"/>
      <c r="L71" s="123"/>
      <c r="M71" s="123"/>
      <c r="N71" s="123"/>
      <c r="O71" s="123"/>
      <c r="P71" s="123"/>
      <c r="Q71" s="123"/>
      <c r="R71" s="123"/>
      <c r="S71" s="123"/>
      <c r="T71" s="123"/>
      <c r="U71" s="123"/>
      <c r="V71" s="123"/>
      <c r="W71" s="123"/>
      <c r="X71" s="123"/>
      <c r="Y71" s="123"/>
      <c r="Z71" s="129"/>
    </row>
    <row r="72" spans="1:26" ht="15.75" hidden="1" customHeight="1" x14ac:dyDescent="0.25">
      <c r="A72" s="125"/>
      <c r="B72" s="122"/>
      <c r="C72" s="124"/>
      <c r="D72" s="124"/>
      <c r="E72" s="124"/>
      <c r="F72" s="123"/>
      <c r="G72" s="123"/>
      <c r="H72" s="123"/>
      <c r="I72" s="123"/>
      <c r="J72" s="165"/>
      <c r="K72" s="125"/>
      <c r="L72" s="123"/>
      <c r="M72" s="123"/>
      <c r="N72" s="123"/>
      <c r="O72" s="123"/>
      <c r="P72" s="123"/>
      <c r="Q72" s="123"/>
      <c r="R72" s="123"/>
      <c r="S72" s="123"/>
      <c r="T72" s="123"/>
      <c r="U72" s="123"/>
      <c r="V72" s="123"/>
      <c r="W72" s="123"/>
      <c r="X72" s="123"/>
      <c r="Y72" s="123"/>
      <c r="Z72" s="129"/>
    </row>
    <row r="73" spans="1:26" ht="15.75" hidden="1" customHeight="1" x14ac:dyDescent="0.25">
      <c r="A73" s="125"/>
      <c r="B73" s="122"/>
      <c r="C73" s="124"/>
      <c r="D73" s="124"/>
      <c r="E73" s="124"/>
      <c r="F73" s="123"/>
      <c r="G73" s="123"/>
      <c r="H73" s="123"/>
      <c r="I73" s="123"/>
      <c r="J73" s="165"/>
      <c r="K73" s="125"/>
      <c r="L73" s="123"/>
      <c r="M73" s="123"/>
      <c r="N73" s="123"/>
      <c r="O73" s="123"/>
      <c r="P73" s="123"/>
      <c r="Q73" s="123"/>
      <c r="R73" s="123"/>
      <c r="S73" s="123"/>
      <c r="T73" s="123"/>
      <c r="U73" s="123"/>
      <c r="V73" s="123"/>
      <c r="W73" s="123"/>
      <c r="X73" s="123"/>
      <c r="Y73" s="123"/>
      <c r="Z73" s="129"/>
    </row>
    <row r="74" spans="1:26" ht="15.75" hidden="1" customHeight="1" x14ac:dyDescent="0.25">
      <c r="A74" s="125"/>
      <c r="B74" s="122"/>
      <c r="C74" s="124"/>
      <c r="D74" s="124"/>
      <c r="E74" s="124"/>
      <c r="F74" s="123"/>
      <c r="G74" s="123"/>
      <c r="H74" s="123"/>
      <c r="I74" s="123"/>
      <c r="J74" s="165"/>
      <c r="K74" s="125"/>
      <c r="L74" s="123"/>
      <c r="M74" s="123"/>
      <c r="N74" s="123"/>
      <c r="O74" s="123"/>
      <c r="P74" s="123"/>
      <c r="Q74" s="123"/>
      <c r="R74" s="123"/>
      <c r="S74" s="123"/>
      <c r="T74" s="123"/>
      <c r="U74" s="123"/>
      <c r="V74" s="123"/>
      <c r="W74" s="123"/>
      <c r="X74" s="123"/>
      <c r="Y74" s="123"/>
      <c r="Z74" s="129"/>
    </row>
    <row r="75" spans="1:26" ht="15.75" hidden="1" customHeight="1" x14ac:dyDescent="0.25">
      <c r="A75" s="125"/>
      <c r="B75" s="122"/>
      <c r="C75" s="124"/>
      <c r="D75" s="124"/>
      <c r="E75" s="124"/>
      <c r="F75" s="123"/>
      <c r="G75" s="123"/>
      <c r="H75" s="123"/>
      <c r="I75" s="123"/>
      <c r="J75" s="165"/>
      <c r="K75" s="125"/>
      <c r="L75" s="123"/>
      <c r="M75" s="123"/>
      <c r="N75" s="123"/>
      <c r="O75" s="123"/>
      <c r="P75" s="123"/>
      <c r="Q75" s="123"/>
      <c r="R75" s="123"/>
      <c r="S75" s="123"/>
      <c r="T75" s="123"/>
      <c r="U75" s="123"/>
      <c r="V75" s="123"/>
      <c r="W75" s="123"/>
      <c r="X75" s="123"/>
      <c r="Y75" s="123"/>
      <c r="Z75" s="129"/>
    </row>
    <row r="76" spans="1:26" ht="15.75" hidden="1" customHeight="1" x14ac:dyDescent="0.25">
      <c r="A76" s="125"/>
      <c r="B76" s="122"/>
      <c r="C76" s="124"/>
      <c r="D76" s="124"/>
      <c r="E76" s="124"/>
      <c r="F76" s="123"/>
      <c r="G76" s="123"/>
      <c r="H76" s="123"/>
      <c r="I76" s="123"/>
      <c r="J76" s="165"/>
      <c r="K76" s="125"/>
      <c r="L76" s="123"/>
      <c r="M76" s="123"/>
      <c r="N76" s="123"/>
      <c r="O76" s="123"/>
      <c r="P76" s="123"/>
      <c r="Q76" s="123"/>
      <c r="R76" s="123"/>
      <c r="S76" s="123"/>
      <c r="T76" s="123"/>
      <c r="U76" s="123"/>
      <c r="V76" s="123"/>
      <c r="W76" s="123"/>
      <c r="X76" s="123"/>
      <c r="Y76" s="123"/>
      <c r="Z76" s="129"/>
    </row>
    <row r="77" spans="1:26" ht="15.75" hidden="1" customHeight="1" x14ac:dyDescent="0.25">
      <c r="A77" s="125"/>
      <c r="B77" s="122"/>
      <c r="C77" s="124"/>
      <c r="D77" s="124"/>
      <c r="E77" s="124"/>
      <c r="F77" s="123"/>
      <c r="G77" s="123"/>
      <c r="H77" s="123"/>
      <c r="I77" s="123"/>
      <c r="J77" s="165"/>
      <c r="K77" s="125"/>
      <c r="L77" s="123"/>
      <c r="M77" s="123"/>
      <c r="N77" s="123"/>
      <c r="O77" s="123"/>
      <c r="P77" s="123"/>
      <c r="Q77" s="123"/>
      <c r="R77" s="123"/>
      <c r="S77" s="123"/>
      <c r="T77" s="123"/>
      <c r="U77" s="123"/>
      <c r="V77" s="123"/>
      <c r="W77" s="123"/>
      <c r="X77" s="123"/>
      <c r="Y77" s="123"/>
      <c r="Z77" s="129"/>
    </row>
    <row r="78" spans="1:26" ht="15.75" hidden="1" customHeight="1" x14ac:dyDescent="0.25">
      <c r="A78" s="125"/>
      <c r="B78" s="122"/>
      <c r="C78" s="124"/>
      <c r="D78" s="124"/>
      <c r="E78" s="124"/>
      <c r="F78" s="123"/>
      <c r="G78" s="123"/>
      <c r="H78" s="123"/>
      <c r="I78" s="123"/>
      <c r="J78" s="165"/>
      <c r="K78" s="125"/>
      <c r="L78" s="123"/>
      <c r="M78" s="123"/>
      <c r="N78" s="123"/>
      <c r="O78" s="123"/>
      <c r="P78" s="123"/>
      <c r="Q78" s="123"/>
      <c r="R78" s="123"/>
      <c r="S78" s="123"/>
      <c r="T78" s="123"/>
      <c r="U78" s="123"/>
      <c r="V78" s="123"/>
      <c r="W78" s="123"/>
      <c r="X78" s="123"/>
      <c r="Y78" s="123"/>
      <c r="Z78" s="129"/>
    </row>
    <row r="79" spans="1:26" ht="15.75" hidden="1" customHeight="1" x14ac:dyDescent="0.25">
      <c r="A79" s="125"/>
      <c r="B79" s="122"/>
      <c r="C79" s="124"/>
      <c r="D79" s="124"/>
      <c r="E79" s="124"/>
      <c r="F79" s="123"/>
      <c r="G79" s="123"/>
      <c r="H79" s="123"/>
      <c r="I79" s="123"/>
      <c r="J79" s="165"/>
      <c r="K79" s="125"/>
      <c r="L79" s="123"/>
      <c r="M79" s="123"/>
      <c r="N79" s="123"/>
      <c r="O79" s="123"/>
      <c r="P79" s="123"/>
      <c r="Q79" s="123"/>
      <c r="R79" s="123"/>
      <c r="S79" s="123"/>
      <c r="T79" s="123"/>
      <c r="U79" s="123"/>
      <c r="V79" s="123"/>
      <c r="W79" s="123"/>
      <c r="X79" s="123"/>
      <c r="Y79" s="123"/>
      <c r="Z79" s="129"/>
    </row>
    <row r="80" spans="1:26" ht="15.75" hidden="1" customHeight="1" x14ac:dyDescent="0.25">
      <c r="A80" s="125"/>
      <c r="B80" s="122"/>
      <c r="C80" s="124"/>
      <c r="D80" s="124"/>
      <c r="E80" s="124"/>
      <c r="F80" s="123"/>
      <c r="G80" s="123"/>
      <c r="H80" s="123"/>
      <c r="I80" s="123"/>
      <c r="J80" s="165"/>
      <c r="K80" s="125"/>
      <c r="L80" s="123"/>
      <c r="M80" s="123"/>
      <c r="N80" s="123"/>
      <c r="O80" s="123"/>
      <c r="P80" s="123"/>
      <c r="Q80" s="123"/>
      <c r="R80" s="123"/>
      <c r="S80" s="123"/>
      <c r="T80" s="123"/>
      <c r="U80" s="123"/>
      <c r="V80" s="123"/>
      <c r="W80" s="123"/>
      <c r="X80" s="123"/>
      <c r="Y80" s="123"/>
      <c r="Z80" s="129"/>
    </row>
    <row r="81" spans="1:26" ht="15.75" hidden="1" customHeight="1" x14ac:dyDescent="0.25">
      <c r="A81" s="125"/>
      <c r="B81" s="122"/>
      <c r="C81" s="124"/>
      <c r="D81" s="124"/>
      <c r="E81" s="124"/>
      <c r="F81" s="123"/>
      <c r="G81" s="123"/>
      <c r="H81" s="123"/>
      <c r="I81" s="123"/>
      <c r="J81" s="165"/>
      <c r="K81" s="125"/>
      <c r="L81" s="123"/>
      <c r="M81" s="123"/>
      <c r="N81" s="123"/>
      <c r="O81" s="123"/>
      <c r="P81" s="123"/>
      <c r="Q81" s="123"/>
      <c r="R81" s="123"/>
      <c r="S81" s="123"/>
      <c r="T81" s="123"/>
      <c r="U81" s="123"/>
      <c r="V81" s="123"/>
      <c r="W81" s="123"/>
      <c r="X81" s="123"/>
      <c r="Y81" s="123"/>
      <c r="Z81" s="129"/>
    </row>
    <row r="82" spans="1:26" ht="15.75" hidden="1" customHeight="1" x14ac:dyDescent="0.25">
      <c r="A82" s="125"/>
      <c r="B82" s="122"/>
      <c r="C82" s="124"/>
      <c r="D82" s="124"/>
      <c r="E82" s="124"/>
      <c r="F82" s="123"/>
      <c r="G82" s="123"/>
      <c r="H82" s="123"/>
      <c r="I82" s="123"/>
      <c r="J82" s="165"/>
      <c r="K82" s="125"/>
      <c r="L82" s="123"/>
      <c r="M82" s="123"/>
      <c r="N82" s="123"/>
      <c r="O82" s="123"/>
      <c r="P82" s="123"/>
      <c r="Q82" s="123"/>
      <c r="R82" s="123"/>
      <c r="S82" s="123"/>
      <c r="T82" s="123"/>
      <c r="U82" s="123"/>
      <c r="V82" s="123"/>
      <c r="W82" s="123"/>
      <c r="X82" s="123"/>
      <c r="Y82" s="123"/>
      <c r="Z82" s="129"/>
    </row>
    <row r="83" spans="1:26" ht="15.75" hidden="1" customHeight="1" x14ac:dyDescent="0.25">
      <c r="A83" s="125"/>
      <c r="B83" s="122"/>
      <c r="C83" s="124"/>
      <c r="D83" s="124"/>
      <c r="E83" s="124"/>
      <c r="F83" s="123"/>
      <c r="G83" s="123"/>
      <c r="H83" s="123"/>
      <c r="I83" s="123"/>
      <c r="J83" s="165"/>
      <c r="K83" s="125"/>
      <c r="L83" s="123"/>
      <c r="M83" s="123"/>
      <c r="N83" s="123"/>
      <c r="O83" s="123"/>
      <c r="P83" s="123"/>
      <c r="Q83" s="123"/>
      <c r="R83" s="123"/>
      <c r="S83" s="123"/>
      <c r="T83" s="123"/>
      <c r="U83" s="123"/>
      <c r="V83" s="123"/>
      <c r="W83" s="123"/>
      <c r="X83" s="123"/>
      <c r="Y83" s="123"/>
      <c r="Z83" s="129"/>
    </row>
    <row r="84" spans="1:26" ht="15.75" hidden="1" customHeight="1" x14ac:dyDescent="0.25">
      <c r="A84" s="125"/>
      <c r="B84" s="122"/>
      <c r="C84" s="124"/>
      <c r="D84" s="124"/>
      <c r="E84" s="124"/>
      <c r="F84" s="123"/>
      <c r="G84" s="123"/>
      <c r="H84" s="123"/>
      <c r="I84" s="123"/>
      <c r="J84" s="165"/>
      <c r="K84" s="125"/>
      <c r="L84" s="123"/>
      <c r="M84" s="123"/>
      <c r="N84" s="123"/>
      <c r="O84" s="123"/>
      <c r="P84" s="123"/>
      <c r="Q84" s="123"/>
      <c r="R84" s="123"/>
      <c r="S84" s="123"/>
      <c r="T84" s="123"/>
      <c r="U84" s="123"/>
      <c r="V84" s="123"/>
      <c r="W84" s="123"/>
      <c r="X84" s="123"/>
      <c r="Y84" s="123"/>
      <c r="Z84" s="129"/>
    </row>
    <row r="85" spans="1:26" ht="15.75" hidden="1" customHeight="1" x14ac:dyDescent="0.25">
      <c r="A85" s="125"/>
      <c r="B85" s="122"/>
      <c r="C85" s="124"/>
      <c r="D85" s="124"/>
      <c r="E85" s="124"/>
      <c r="F85" s="123"/>
      <c r="G85" s="123"/>
      <c r="H85" s="123"/>
      <c r="I85" s="123"/>
      <c r="J85" s="165"/>
      <c r="K85" s="125"/>
      <c r="L85" s="123"/>
      <c r="M85" s="123"/>
      <c r="N85" s="123"/>
      <c r="O85" s="123"/>
      <c r="P85" s="123"/>
      <c r="Q85" s="123"/>
      <c r="R85" s="123"/>
      <c r="S85" s="123"/>
      <c r="T85" s="123"/>
      <c r="U85" s="123"/>
      <c r="V85" s="123"/>
      <c r="W85" s="123"/>
      <c r="X85" s="123"/>
      <c r="Y85" s="123"/>
      <c r="Z85" s="129"/>
    </row>
    <row r="86" spans="1:26" ht="15.75" hidden="1" customHeight="1" x14ac:dyDescent="0.25">
      <c r="A86" s="125"/>
      <c r="B86" s="122"/>
      <c r="C86" s="124"/>
      <c r="D86" s="124"/>
      <c r="E86" s="124"/>
      <c r="F86" s="123"/>
      <c r="G86" s="123"/>
      <c r="H86" s="123"/>
      <c r="I86" s="123"/>
      <c r="J86" s="165"/>
      <c r="K86" s="125"/>
      <c r="L86" s="123"/>
      <c r="M86" s="123"/>
      <c r="N86" s="123"/>
      <c r="O86" s="123"/>
      <c r="P86" s="123"/>
      <c r="Q86" s="123"/>
      <c r="R86" s="123"/>
      <c r="S86" s="123"/>
      <c r="T86" s="123"/>
      <c r="U86" s="123"/>
      <c r="V86" s="123"/>
      <c r="W86" s="123"/>
      <c r="X86" s="123"/>
      <c r="Y86" s="123"/>
      <c r="Z86" s="129"/>
    </row>
    <row r="87" spans="1:26" ht="15.75" hidden="1" customHeight="1" x14ac:dyDescent="0.25">
      <c r="A87" s="125"/>
      <c r="B87" s="122"/>
      <c r="C87" s="124"/>
      <c r="D87" s="124"/>
      <c r="E87" s="124"/>
      <c r="F87" s="123"/>
      <c r="G87" s="123"/>
      <c r="H87" s="123"/>
      <c r="I87" s="123"/>
      <c r="J87" s="165"/>
      <c r="K87" s="125"/>
      <c r="L87" s="123"/>
      <c r="M87" s="123"/>
      <c r="N87" s="123"/>
      <c r="O87" s="123"/>
      <c r="P87" s="123"/>
      <c r="Q87" s="123"/>
      <c r="R87" s="123"/>
      <c r="S87" s="123"/>
      <c r="T87" s="123"/>
      <c r="U87" s="123"/>
      <c r="V87" s="123"/>
      <c r="W87" s="123"/>
      <c r="X87" s="123"/>
      <c r="Y87" s="123"/>
      <c r="Z87" s="129"/>
    </row>
    <row r="88" spans="1:26" ht="15.75" hidden="1" customHeight="1" x14ac:dyDescent="0.25">
      <c r="A88" s="125"/>
      <c r="B88" s="122"/>
      <c r="C88" s="124"/>
      <c r="D88" s="124"/>
      <c r="E88" s="124"/>
      <c r="F88" s="123"/>
      <c r="G88" s="123"/>
      <c r="H88" s="123"/>
      <c r="I88" s="123"/>
      <c r="J88" s="165"/>
      <c r="K88" s="125"/>
      <c r="L88" s="123"/>
      <c r="M88" s="123"/>
      <c r="N88" s="123"/>
      <c r="O88" s="123"/>
      <c r="P88" s="123"/>
      <c r="Q88" s="123"/>
      <c r="R88" s="123"/>
      <c r="S88" s="123"/>
      <c r="T88" s="123"/>
      <c r="U88" s="123"/>
      <c r="V88" s="123"/>
      <c r="W88" s="123"/>
      <c r="X88" s="123"/>
      <c r="Y88" s="123"/>
      <c r="Z88" s="129"/>
    </row>
    <row r="89" spans="1:26" ht="15.75" hidden="1" customHeight="1" x14ac:dyDescent="0.25">
      <c r="A89" s="125"/>
      <c r="B89" s="122"/>
      <c r="C89" s="124"/>
      <c r="D89" s="124"/>
      <c r="E89" s="124"/>
      <c r="F89" s="123"/>
      <c r="G89" s="123"/>
      <c r="H89" s="123"/>
      <c r="I89" s="123"/>
      <c r="J89" s="165"/>
      <c r="K89" s="125"/>
      <c r="L89" s="123"/>
      <c r="M89" s="123"/>
      <c r="N89" s="123"/>
      <c r="O89" s="123"/>
      <c r="P89" s="123"/>
      <c r="Q89" s="123"/>
      <c r="R89" s="123"/>
      <c r="S89" s="123"/>
      <c r="T89" s="123"/>
      <c r="U89" s="123"/>
      <c r="V89" s="123"/>
      <c r="W89" s="123"/>
      <c r="X89" s="123"/>
      <c r="Y89" s="123"/>
      <c r="Z89" s="129"/>
    </row>
    <row r="90" spans="1:26" ht="15.75" hidden="1" customHeight="1" x14ac:dyDescent="0.25">
      <c r="A90" s="125"/>
      <c r="B90" s="122"/>
      <c r="C90" s="124"/>
      <c r="D90" s="124"/>
      <c r="E90" s="124"/>
      <c r="F90" s="123"/>
      <c r="G90" s="123"/>
      <c r="H90" s="123"/>
      <c r="I90" s="123"/>
      <c r="J90" s="165"/>
      <c r="K90" s="125"/>
      <c r="L90" s="123"/>
      <c r="M90" s="123"/>
      <c r="N90" s="123"/>
      <c r="O90" s="123"/>
      <c r="P90" s="123"/>
      <c r="Q90" s="123"/>
      <c r="R90" s="123"/>
      <c r="S90" s="123"/>
      <c r="T90" s="123"/>
      <c r="U90" s="123"/>
      <c r="V90" s="123"/>
      <c r="W90" s="123"/>
      <c r="X90" s="123"/>
      <c r="Y90" s="123"/>
      <c r="Z90" s="129"/>
    </row>
    <row r="91" spans="1:26" ht="15.75" hidden="1" customHeight="1" x14ac:dyDescent="0.25">
      <c r="A91" s="125"/>
      <c r="B91" s="122"/>
      <c r="C91" s="124"/>
      <c r="D91" s="124"/>
      <c r="E91" s="124"/>
      <c r="F91" s="123"/>
      <c r="G91" s="123"/>
      <c r="H91" s="123"/>
      <c r="I91" s="123"/>
      <c r="J91" s="165"/>
      <c r="K91" s="125"/>
      <c r="L91" s="123"/>
      <c r="M91" s="123"/>
      <c r="N91" s="123"/>
      <c r="O91" s="123"/>
      <c r="P91" s="123"/>
      <c r="Q91" s="123"/>
      <c r="R91" s="123"/>
      <c r="S91" s="123"/>
      <c r="T91" s="123"/>
      <c r="U91" s="123"/>
      <c r="V91" s="123"/>
      <c r="W91" s="123"/>
      <c r="X91" s="123"/>
      <c r="Y91" s="123"/>
      <c r="Z91" s="129"/>
    </row>
    <row r="92" spans="1:26" ht="15.75" hidden="1" customHeight="1" x14ac:dyDescent="0.25">
      <c r="A92" s="125"/>
      <c r="B92" s="122"/>
      <c r="C92" s="124"/>
      <c r="D92" s="124"/>
      <c r="E92" s="124"/>
      <c r="F92" s="123"/>
      <c r="G92" s="123"/>
      <c r="H92" s="123"/>
      <c r="I92" s="123"/>
      <c r="J92" s="165"/>
      <c r="K92" s="125"/>
      <c r="L92" s="123"/>
      <c r="M92" s="123"/>
      <c r="N92" s="123"/>
      <c r="O92" s="123"/>
      <c r="P92" s="123"/>
      <c r="Q92" s="123"/>
      <c r="R92" s="123"/>
      <c r="S92" s="123"/>
      <c r="T92" s="123"/>
      <c r="U92" s="123"/>
      <c r="V92" s="123"/>
      <c r="W92" s="123"/>
      <c r="X92" s="123"/>
      <c r="Y92" s="123"/>
      <c r="Z92" s="129"/>
    </row>
    <row r="93" spans="1:26" ht="15.75" hidden="1" customHeight="1" x14ac:dyDescent="0.25">
      <c r="A93" s="125"/>
      <c r="B93" s="122"/>
      <c r="C93" s="124"/>
      <c r="D93" s="124"/>
      <c r="E93" s="124"/>
      <c r="F93" s="123"/>
      <c r="G93" s="123"/>
      <c r="H93" s="123"/>
      <c r="I93" s="123"/>
      <c r="J93" s="165"/>
      <c r="K93" s="125"/>
      <c r="L93" s="123"/>
      <c r="M93" s="123"/>
      <c r="N93" s="123"/>
      <c r="O93" s="123"/>
      <c r="P93" s="123"/>
      <c r="Q93" s="123"/>
      <c r="R93" s="123"/>
      <c r="S93" s="123"/>
      <c r="T93" s="123"/>
      <c r="U93" s="123"/>
      <c r="V93" s="123"/>
      <c r="W93" s="123"/>
      <c r="X93" s="123"/>
      <c r="Y93" s="123"/>
      <c r="Z93" s="129"/>
    </row>
    <row r="94" spans="1:26" ht="15.75" hidden="1" customHeight="1" x14ac:dyDescent="0.25">
      <c r="A94" s="125"/>
      <c r="B94" s="122"/>
      <c r="C94" s="124"/>
      <c r="D94" s="124"/>
      <c r="E94" s="124"/>
      <c r="F94" s="123"/>
      <c r="G94" s="123"/>
      <c r="H94" s="123"/>
      <c r="I94" s="123"/>
      <c r="J94" s="165"/>
      <c r="K94" s="125"/>
      <c r="L94" s="123"/>
      <c r="M94" s="123"/>
      <c r="N94" s="123"/>
      <c r="O94" s="123"/>
      <c r="P94" s="123"/>
      <c r="Q94" s="123"/>
      <c r="R94" s="123"/>
      <c r="S94" s="123"/>
      <c r="T94" s="123"/>
      <c r="U94" s="123"/>
      <c r="V94" s="123"/>
      <c r="W94" s="123"/>
      <c r="X94" s="123"/>
      <c r="Y94" s="123"/>
      <c r="Z94" s="129"/>
    </row>
    <row r="95" spans="1:26" ht="15.75" hidden="1" customHeight="1" x14ac:dyDescent="0.25">
      <c r="A95" s="125"/>
      <c r="B95" s="122"/>
      <c r="C95" s="124"/>
      <c r="D95" s="124"/>
      <c r="E95" s="124"/>
      <c r="F95" s="123"/>
      <c r="G95" s="123"/>
      <c r="H95" s="123"/>
      <c r="I95" s="123"/>
      <c r="J95" s="165"/>
      <c r="K95" s="125"/>
      <c r="L95" s="123"/>
      <c r="M95" s="123"/>
      <c r="N95" s="123"/>
      <c r="O95" s="123"/>
      <c r="P95" s="123"/>
      <c r="Q95" s="123"/>
      <c r="R95" s="123"/>
      <c r="S95" s="123"/>
      <c r="T95" s="123"/>
      <c r="U95" s="123"/>
      <c r="V95" s="123"/>
      <c r="W95" s="123"/>
      <c r="X95" s="123"/>
      <c r="Y95" s="123"/>
      <c r="Z95" s="129"/>
    </row>
    <row r="96" spans="1:26" ht="15.75" hidden="1" customHeight="1" x14ac:dyDescent="0.25">
      <c r="A96" s="125"/>
      <c r="B96" s="122"/>
      <c r="C96" s="124"/>
      <c r="D96" s="124"/>
      <c r="E96" s="124"/>
      <c r="F96" s="123"/>
      <c r="G96" s="123"/>
      <c r="H96" s="123"/>
      <c r="I96" s="123"/>
      <c r="J96" s="165"/>
      <c r="K96" s="125"/>
      <c r="L96" s="123"/>
      <c r="M96" s="123"/>
      <c r="N96" s="123"/>
      <c r="O96" s="123"/>
      <c r="P96" s="123"/>
      <c r="Q96" s="123"/>
      <c r="R96" s="123"/>
      <c r="S96" s="123"/>
      <c r="T96" s="123"/>
      <c r="U96" s="123"/>
      <c r="V96" s="123"/>
      <c r="W96" s="123"/>
      <c r="X96" s="123"/>
      <c r="Y96" s="123"/>
      <c r="Z96" s="129"/>
    </row>
    <row r="97" spans="1:26" ht="15.75" hidden="1" customHeight="1" x14ac:dyDescent="0.25">
      <c r="A97" s="125"/>
      <c r="B97" s="122"/>
      <c r="C97" s="124"/>
      <c r="D97" s="124"/>
      <c r="E97" s="124"/>
      <c r="F97" s="123"/>
      <c r="G97" s="123"/>
      <c r="H97" s="123"/>
      <c r="I97" s="123"/>
      <c r="J97" s="165"/>
      <c r="K97" s="125"/>
      <c r="L97" s="123"/>
      <c r="M97" s="123"/>
      <c r="N97" s="123"/>
      <c r="O97" s="123"/>
      <c r="P97" s="123"/>
      <c r="Q97" s="123"/>
      <c r="R97" s="123"/>
      <c r="S97" s="123"/>
      <c r="T97" s="123"/>
      <c r="U97" s="123"/>
      <c r="V97" s="123"/>
      <c r="W97" s="123"/>
      <c r="X97" s="123"/>
      <c r="Y97" s="123"/>
      <c r="Z97" s="129"/>
    </row>
    <row r="98" spans="1:26" ht="15.75" hidden="1" customHeight="1" x14ac:dyDescent="0.25">
      <c r="A98" s="125"/>
      <c r="B98" s="122"/>
      <c r="C98" s="124"/>
      <c r="D98" s="124"/>
      <c r="E98" s="124"/>
      <c r="F98" s="123"/>
      <c r="G98" s="123"/>
      <c r="H98" s="123"/>
      <c r="I98" s="123"/>
      <c r="J98" s="165"/>
      <c r="K98" s="125"/>
      <c r="L98" s="123"/>
      <c r="M98" s="123"/>
      <c r="N98" s="123"/>
      <c r="O98" s="123"/>
      <c r="P98" s="123"/>
      <c r="Q98" s="123"/>
      <c r="R98" s="123"/>
      <c r="S98" s="123"/>
      <c r="T98" s="123"/>
      <c r="U98" s="123"/>
      <c r="V98" s="123"/>
      <c r="W98" s="123"/>
      <c r="X98" s="123"/>
      <c r="Y98" s="123"/>
      <c r="Z98" s="129"/>
    </row>
    <row r="99" spans="1:26" ht="15.75" hidden="1" customHeight="1" x14ac:dyDescent="0.25">
      <c r="A99" s="125"/>
      <c r="B99" s="122"/>
      <c r="C99" s="124"/>
      <c r="D99" s="124"/>
      <c r="E99" s="124"/>
      <c r="F99" s="123"/>
      <c r="G99" s="123"/>
      <c r="H99" s="123"/>
      <c r="I99" s="123"/>
      <c r="J99" s="165"/>
      <c r="K99" s="125"/>
      <c r="L99" s="123"/>
      <c r="M99" s="123"/>
      <c r="N99" s="123"/>
      <c r="O99" s="123"/>
      <c r="P99" s="123"/>
      <c r="Q99" s="123"/>
      <c r="R99" s="123"/>
      <c r="S99" s="123"/>
      <c r="T99" s="123"/>
      <c r="U99" s="123"/>
      <c r="V99" s="123"/>
      <c r="W99" s="123"/>
      <c r="X99" s="123"/>
      <c r="Y99" s="123"/>
      <c r="Z99" s="129"/>
    </row>
    <row r="100" spans="1:26" ht="15.75" hidden="1" customHeight="1" x14ac:dyDescent="0.25">
      <c r="A100" s="125"/>
      <c r="B100" s="122"/>
      <c r="C100" s="124"/>
      <c r="D100" s="124"/>
      <c r="E100" s="124"/>
      <c r="F100" s="123"/>
      <c r="G100" s="123"/>
      <c r="H100" s="123"/>
      <c r="I100" s="123"/>
      <c r="J100" s="165"/>
      <c r="K100" s="125"/>
      <c r="L100" s="123"/>
      <c r="M100" s="123"/>
      <c r="N100" s="123"/>
      <c r="O100" s="123"/>
      <c r="P100" s="123"/>
      <c r="Q100" s="123"/>
      <c r="R100" s="123"/>
      <c r="S100" s="123"/>
      <c r="T100" s="123"/>
      <c r="U100" s="123"/>
      <c r="V100" s="123"/>
      <c r="W100" s="123"/>
      <c r="X100" s="123"/>
      <c r="Y100" s="123"/>
      <c r="Z100" s="129"/>
    </row>
    <row r="101" spans="1:26" ht="15.75" hidden="1" customHeight="1" x14ac:dyDescent="0.25">
      <c r="A101" s="125"/>
      <c r="B101" s="122"/>
      <c r="C101" s="124"/>
      <c r="D101" s="124"/>
      <c r="E101" s="124"/>
      <c r="F101" s="123"/>
      <c r="G101" s="123"/>
      <c r="H101" s="123"/>
      <c r="I101" s="123"/>
      <c r="J101" s="165"/>
      <c r="K101" s="125"/>
      <c r="L101" s="123"/>
      <c r="M101" s="123"/>
      <c r="N101" s="123"/>
      <c r="O101" s="123"/>
      <c r="P101" s="123"/>
      <c r="Q101" s="123"/>
      <c r="R101" s="123"/>
      <c r="S101" s="123"/>
      <c r="T101" s="123"/>
      <c r="U101" s="123"/>
      <c r="V101" s="123"/>
      <c r="W101" s="123"/>
      <c r="X101" s="123"/>
      <c r="Y101" s="123"/>
      <c r="Z101" s="129"/>
    </row>
    <row r="102" spans="1:26" ht="15.75" hidden="1" customHeight="1" x14ac:dyDescent="0.25">
      <c r="A102" s="125"/>
      <c r="B102" s="122"/>
      <c r="C102" s="124"/>
      <c r="D102" s="124"/>
      <c r="E102" s="124"/>
      <c r="F102" s="123"/>
      <c r="G102" s="123"/>
      <c r="H102" s="123"/>
      <c r="I102" s="123"/>
      <c r="J102" s="165"/>
      <c r="K102" s="125"/>
      <c r="L102" s="123"/>
      <c r="M102" s="123"/>
      <c r="N102" s="123"/>
      <c r="O102" s="123"/>
      <c r="P102" s="123"/>
      <c r="Q102" s="123"/>
      <c r="R102" s="123"/>
      <c r="S102" s="123"/>
      <c r="T102" s="123"/>
      <c r="U102" s="123"/>
      <c r="V102" s="123"/>
      <c r="W102" s="123"/>
      <c r="X102" s="123"/>
      <c r="Y102" s="123"/>
      <c r="Z102" s="129"/>
    </row>
    <row r="103" spans="1:26" ht="15.75" hidden="1" customHeight="1" x14ac:dyDescent="0.25">
      <c r="A103" s="125"/>
      <c r="B103" s="122"/>
      <c r="C103" s="124"/>
      <c r="D103" s="124"/>
      <c r="E103" s="124"/>
      <c r="F103" s="123"/>
      <c r="G103" s="123"/>
      <c r="H103" s="123"/>
      <c r="I103" s="123"/>
      <c r="J103" s="165"/>
      <c r="K103" s="125"/>
      <c r="L103" s="123"/>
      <c r="M103" s="123"/>
      <c r="N103" s="123"/>
      <c r="O103" s="123"/>
      <c r="P103" s="123"/>
      <c r="Q103" s="123"/>
      <c r="R103" s="123"/>
      <c r="S103" s="123"/>
      <c r="T103" s="123"/>
      <c r="U103" s="123"/>
      <c r="V103" s="123"/>
      <c r="W103" s="123"/>
      <c r="X103" s="123"/>
      <c r="Y103" s="123"/>
      <c r="Z103" s="129"/>
    </row>
    <row r="104" spans="1:26" ht="15.75" hidden="1" customHeight="1" x14ac:dyDescent="0.25">
      <c r="A104" s="125"/>
      <c r="B104" s="122"/>
      <c r="C104" s="124"/>
      <c r="D104" s="124"/>
      <c r="E104" s="124"/>
      <c r="F104" s="123"/>
      <c r="G104" s="123"/>
      <c r="H104" s="123"/>
      <c r="I104" s="123"/>
      <c r="J104" s="165"/>
      <c r="K104" s="125"/>
      <c r="L104" s="123"/>
      <c r="M104" s="123"/>
      <c r="N104" s="123"/>
      <c r="O104" s="123"/>
      <c r="P104" s="123"/>
      <c r="Q104" s="123"/>
      <c r="R104" s="123"/>
      <c r="S104" s="123"/>
      <c r="T104" s="123"/>
      <c r="U104" s="123"/>
      <c r="V104" s="123"/>
      <c r="W104" s="123"/>
      <c r="X104" s="123"/>
      <c r="Y104" s="123"/>
      <c r="Z104" s="129"/>
    </row>
    <row r="105" spans="1:26" ht="15.75" hidden="1" customHeight="1" x14ac:dyDescent="0.25">
      <c r="A105" s="125"/>
      <c r="B105" s="122"/>
      <c r="C105" s="124"/>
      <c r="D105" s="124"/>
      <c r="E105" s="124"/>
      <c r="F105" s="123"/>
      <c r="G105" s="123"/>
      <c r="H105" s="123"/>
      <c r="I105" s="123"/>
      <c r="J105" s="165"/>
      <c r="K105" s="125"/>
      <c r="L105" s="123"/>
      <c r="M105" s="123"/>
      <c r="N105" s="123"/>
      <c r="O105" s="123"/>
      <c r="P105" s="123"/>
      <c r="Q105" s="123"/>
      <c r="R105" s="123"/>
      <c r="S105" s="123"/>
      <c r="T105" s="123"/>
      <c r="U105" s="123"/>
      <c r="V105" s="123"/>
      <c r="W105" s="123"/>
      <c r="X105" s="123"/>
      <c r="Y105" s="123"/>
      <c r="Z105" s="129"/>
    </row>
    <row r="106" spans="1:26" ht="15.75" hidden="1" customHeight="1" x14ac:dyDescent="0.25">
      <c r="A106" s="125"/>
      <c r="B106" s="122"/>
      <c r="C106" s="124"/>
      <c r="D106" s="124"/>
      <c r="E106" s="124"/>
      <c r="F106" s="123"/>
      <c r="G106" s="123"/>
      <c r="H106" s="123"/>
      <c r="I106" s="123"/>
      <c r="J106" s="165"/>
      <c r="K106" s="125"/>
      <c r="L106" s="123"/>
      <c r="M106" s="123"/>
      <c r="N106" s="123"/>
      <c r="O106" s="123"/>
      <c r="P106" s="123"/>
      <c r="Q106" s="123"/>
      <c r="R106" s="123"/>
      <c r="S106" s="123"/>
      <c r="T106" s="123"/>
      <c r="U106" s="123"/>
      <c r="V106" s="123"/>
      <c r="W106" s="123"/>
      <c r="X106" s="123"/>
      <c r="Y106" s="123"/>
      <c r="Z106" s="129"/>
    </row>
    <row r="107" spans="1:26" ht="15.75" hidden="1" customHeight="1" x14ac:dyDescent="0.25">
      <c r="A107" s="125"/>
      <c r="B107" s="122"/>
      <c r="C107" s="124"/>
      <c r="D107" s="124"/>
      <c r="E107" s="124"/>
      <c r="F107" s="123"/>
      <c r="G107" s="123"/>
      <c r="H107" s="123"/>
      <c r="I107" s="123"/>
      <c r="J107" s="165"/>
      <c r="K107" s="125"/>
      <c r="L107" s="123"/>
      <c r="M107" s="123"/>
      <c r="N107" s="123"/>
      <c r="O107" s="123"/>
      <c r="P107" s="123"/>
      <c r="Q107" s="123"/>
      <c r="R107" s="123"/>
      <c r="S107" s="123"/>
      <c r="T107" s="123"/>
      <c r="U107" s="123"/>
      <c r="V107" s="123"/>
      <c r="W107" s="123"/>
      <c r="X107" s="123"/>
      <c r="Y107" s="123"/>
      <c r="Z107" s="129"/>
    </row>
    <row r="108" spans="1:26" ht="15.75" hidden="1" customHeight="1" x14ac:dyDescent="0.25">
      <c r="A108" s="125"/>
      <c r="B108" s="122"/>
      <c r="C108" s="124"/>
      <c r="D108" s="124"/>
      <c r="E108" s="124"/>
      <c r="F108" s="123"/>
      <c r="G108" s="123"/>
      <c r="H108" s="123"/>
      <c r="I108" s="123"/>
      <c r="J108" s="165"/>
      <c r="K108" s="125"/>
      <c r="L108" s="123"/>
      <c r="M108" s="123"/>
      <c r="N108" s="123"/>
      <c r="O108" s="123"/>
      <c r="P108" s="123"/>
      <c r="Q108" s="123"/>
      <c r="R108" s="123"/>
      <c r="S108" s="123"/>
      <c r="T108" s="123"/>
      <c r="U108" s="123"/>
      <c r="V108" s="123"/>
      <c r="W108" s="123"/>
      <c r="X108" s="123"/>
      <c r="Y108" s="123"/>
      <c r="Z108" s="129"/>
    </row>
    <row r="109" spans="1:26" ht="15.75" hidden="1" customHeight="1" x14ac:dyDescent="0.25">
      <c r="A109" s="125"/>
      <c r="B109" s="122"/>
      <c r="C109" s="124"/>
      <c r="D109" s="124"/>
      <c r="E109" s="124"/>
      <c r="F109" s="123"/>
      <c r="G109" s="123"/>
      <c r="H109" s="123"/>
      <c r="I109" s="123"/>
      <c r="J109" s="165"/>
      <c r="K109" s="125"/>
      <c r="L109" s="123"/>
      <c r="M109" s="123"/>
      <c r="N109" s="123"/>
      <c r="O109" s="123"/>
      <c r="P109" s="123"/>
      <c r="Q109" s="123"/>
      <c r="R109" s="123"/>
      <c r="S109" s="123"/>
      <c r="T109" s="123"/>
      <c r="U109" s="123"/>
      <c r="V109" s="123"/>
      <c r="W109" s="123"/>
      <c r="X109" s="123"/>
      <c r="Y109" s="123"/>
      <c r="Z109" s="129"/>
    </row>
    <row r="110" spans="1:26" ht="15.75" hidden="1" customHeight="1" x14ac:dyDescent="0.25">
      <c r="A110" s="125"/>
      <c r="B110" s="122"/>
      <c r="C110" s="124"/>
      <c r="D110" s="124"/>
      <c r="E110" s="124"/>
      <c r="F110" s="123"/>
      <c r="G110" s="123"/>
      <c r="H110" s="123"/>
      <c r="I110" s="123"/>
      <c r="J110" s="165"/>
      <c r="K110" s="125"/>
      <c r="L110" s="123"/>
      <c r="M110" s="123"/>
      <c r="N110" s="123"/>
      <c r="O110" s="123"/>
      <c r="P110" s="123"/>
      <c r="Q110" s="123"/>
      <c r="R110" s="123"/>
      <c r="S110" s="123"/>
      <c r="T110" s="123"/>
      <c r="U110" s="123"/>
      <c r="V110" s="123"/>
      <c r="W110" s="123"/>
      <c r="X110" s="123"/>
      <c r="Y110" s="123"/>
      <c r="Z110" s="129"/>
    </row>
    <row r="111" spans="1:26" ht="15.75" hidden="1" customHeight="1" x14ac:dyDescent="0.25">
      <c r="A111" s="125"/>
      <c r="B111" s="122"/>
      <c r="C111" s="124"/>
      <c r="D111" s="124"/>
      <c r="E111" s="124"/>
      <c r="F111" s="123"/>
      <c r="G111" s="123"/>
      <c r="H111" s="123"/>
      <c r="I111" s="123"/>
      <c r="J111" s="165"/>
      <c r="K111" s="125"/>
      <c r="L111" s="123"/>
      <c r="M111" s="123"/>
      <c r="N111" s="123"/>
      <c r="O111" s="123"/>
      <c r="P111" s="123"/>
      <c r="Q111" s="123"/>
      <c r="R111" s="123"/>
      <c r="S111" s="123"/>
      <c r="T111" s="123"/>
      <c r="U111" s="123"/>
      <c r="V111" s="123"/>
      <c r="W111" s="123"/>
      <c r="X111" s="123"/>
      <c r="Y111" s="123"/>
      <c r="Z111" s="129"/>
    </row>
    <row r="112" spans="1:26" ht="15.75" hidden="1" customHeight="1" x14ac:dyDescent="0.25">
      <c r="A112" s="125"/>
      <c r="B112" s="122"/>
      <c r="C112" s="124"/>
      <c r="D112" s="124"/>
      <c r="E112" s="124"/>
      <c r="F112" s="123"/>
      <c r="G112" s="123"/>
      <c r="H112" s="123"/>
      <c r="I112" s="123"/>
      <c r="J112" s="165"/>
      <c r="K112" s="125"/>
      <c r="L112" s="123"/>
      <c r="M112" s="123"/>
      <c r="N112" s="123"/>
      <c r="O112" s="123"/>
      <c r="P112" s="123"/>
      <c r="Q112" s="123"/>
      <c r="R112" s="123"/>
      <c r="S112" s="123"/>
      <c r="T112" s="123"/>
      <c r="U112" s="123"/>
      <c r="V112" s="123"/>
      <c r="W112" s="123"/>
      <c r="X112" s="123"/>
      <c r="Y112" s="123"/>
      <c r="Z112" s="129"/>
    </row>
    <row r="113" spans="1:26" ht="15.75" hidden="1" customHeight="1" x14ac:dyDescent="0.25">
      <c r="A113" s="125"/>
      <c r="B113" s="122"/>
      <c r="C113" s="124"/>
      <c r="D113" s="124"/>
      <c r="E113" s="124"/>
      <c r="F113" s="123"/>
      <c r="G113" s="123"/>
      <c r="H113" s="123"/>
      <c r="I113" s="123"/>
      <c r="J113" s="165"/>
      <c r="K113" s="125"/>
      <c r="L113" s="123"/>
      <c r="M113" s="123"/>
      <c r="N113" s="123"/>
      <c r="O113" s="123"/>
      <c r="P113" s="123"/>
      <c r="Q113" s="123"/>
      <c r="R113" s="123"/>
      <c r="S113" s="123"/>
      <c r="T113" s="123"/>
      <c r="U113" s="123"/>
      <c r="V113" s="123"/>
      <c r="W113" s="123"/>
      <c r="X113" s="123"/>
      <c r="Y113" s="123"/>
      <c r="Z113" s="129"/>
    </row>
    <row r="114" spans="1:26" ht="15.75" hidden="1" customHeight="1" x14ac:dyDescent="0.25">
      <c r="A114" s="125"/>
      <c r="B114" s="122"/>
      <c r="C114" s="124"/>
      <c r="D114" s="124"/>
      <c r="E114" s="124"/>
      <c r="F114" s="123"/>
      <c r="G114" s="123"/>
      <c r="H114" s="123"/>
      <c r="I114" s="123"/>
      <c r="J114" s="165"/>
      <c r="K114" s="125"/>
      <c r="L114" s="123"/>
      <c r="M114" s="123"/>
      <c r="N114" s="123"/>
      <c r="O114" s="123"/>
      <c r="P114" s="123"/>
      <c r="Q114" s="123"/>
      <c r="R114" s="123"/>
      <c r="S114" s="123"/>
      <c r="T114" s="123"/>
      <c r="U114" s="123"/>
      <c r="V114" s="123"/>
      <c r="W114" s="123"/>
      <c r="X114" s="123"/>
      <c r="Y114" s="123"/>
      <c r="Z114" s="129"/>
    </row>
    <row r="115" spans="1:26" ht="15.75" hidden="1" customHeight="1" x14ac:dyDescent="0.25">
      <c r="A115" s="125"/>
      <c r="B115" s="122"/>
      <c r="C115" s="124"/>
      <c r="D115" s="124"/>
      <c r="E115" s="124"/>
      <c r="F115" s="123"/>
      <c r="G115" s="123"/>
      <c r="H115" s="123"/>
      <c r="I115" s="123"/>
      <c r="J115" s="165"/>
      <c r="K115" s="125"/>
      <c r="L115" s="123"/>
      <c r="M115" s="123"/>
      <c r="N115" s="123"/>
      <c r="O115" s="123"/>
      <c r="P115" s="123"/>
      <c r="Q115" s="123"/>
      <c r="R115" s="123"/>
      <c r="S115" s="123"/>
      <c r="T115" s="123"/>
      <c r="U115" s="123"/>
      <c r="V115" s="123"/>
      <c r="W115" s="123"/>
      <c r="X115" s="123"/>
      <c r="Y115" s="123"/>
      <c r="Z115" s="129"/>
    </row>
    <row r="116" spans="1:26" ht="15.75" hidden="1" customHeight="1" x14ac:dyDescent="0.25">
      <c r="A116" s="125"/>
      <c r="B116" s="122"/>
      <c r="C116" s="124"/>
      <c r="D116" s="124"/>
      <c r="E116" s="124"/>
      <c r="F116" s="123"/>
      <c r="G116" s="123"/>
      <c r="H116" s="123"/>
      <c r="I116" s="123"/>
      <c r="J116" s="165"/>
      <c r="K116" s="125"/>
      <c r="L116" s="123"/>
      <c r="M116" s="123"/>
      <c r="N116" s="123"/>
      <c r="O116" s="123"/>
      <c r="P116" s="123"/>
      <c r="Q116" s="123"/>
      <c r="R116" s="123"/>
      <c r="S116" s="123"/>
      <c r="T116" s="123"/>
      <c r="U116" s="123"/>
      <c r="V116" s="123"/>
      <c r="W116" s="123"/>
      <c r="X116" s="123"/>
      <c r="Y116" s="123"/>
      <c r="Z116" s="129"/>
    </row>
    <row r="117" spans="1:26" ht="15.75" hidden="1" customHeight="1" x14ac:dyDescent="0.25">
      <c r="A117" s="125"/>
      <c r="B117" s="122"/>
      <c r="C117" s="124"/>
      <c r="D117" s="124"/>
      <c r="E117" s="124"/>
      <c r="F117" s="123"/>
      <c r="G117" s="123"/>
      <c r="H117" s="123"/>
      <c r="I117" s="123"/>
      <c r="J117" s="165"/>
      <c r="K117" s="125"/>
      <c r="L117" s="123"/>
      <c r="M117" s="123"/>
      <c r="N117" s="123"/>
      <c r="O117" s="123"/>
      <c r="P117" s="123"/>
      <c r="Q117" s="123"/>
      <c r="R117" s="123"/>
      <c r="S117" s="123"/>
      <c r="T117" s="123"/>
      <c r="U117" s="123"/>
      <c r="V117" s="123"/>
      <c r="W117" s="123"/>
      <c r="X117" s="123"/>
      <c r="Y117" s="123"/>
      <c r="Z117" s="129"/>
    </row>
    <row r="118" spans="1:26" ht="15.75" hidden="1" customHeight="1" x14ac:dyDescent="0.25">
      <c r="A118" s="125"/>
      <c r="B118" s="122"/>
      <c r="C118" s="124"/>
      <c r="D118" s="124"/>
      <c r="E118" s="124"/>
      <c r="F118" s="123"/>
      <c r="G118" s="123"/>
      <c r="H118" s="123"/>
      <c r="I118" s="123"/>
      <c r="J118" s="165"/>
      <c r="K118" s="125"/>
      <c r="L118" s="123"/>
      <c r="M118" s="123"/>
      <c r="N118" s="123"/>
      <c r="O118" s="123"/>
      <c r="P118" s="123"/>
      <c r="Q118" s="123"/>
      <c r="R118" s="123"/>
      <c r="S118" s="123"/>
      <c r="T118" s="123"/>
      <c r="U118" s="123"/>
      <c r="V118" s="123"/>
      <c r="W118" s="123"/>
      <c r="X118" s="123"/>
      <c r="Y118" s="123"/>
      <c r="Z118" s="129"/>
    </row>
    <row r="119" spans="1:26" ht="15.75" hidden="1" customHeight="1" x14ac:dyDescent="0.25">
      <c r="A119" s="125"/>
      <c r="B119" s="122"/>
      <c r="C119" s="124"/>
      <c r="D119" s="124"/>
      <c r="E119" s="124"/>
      <c r="F119" s="123"/>
      <c r="G119" s="123"/>
      <c r="H119" s="123"/>
      <c r="I119" s="123"/>
      <c r="J119" s="165"/>
      <c r="K119" s="125"/>
      <c r="L119" s="123"/>
      <c r="M119" s="123"/>
      <c r="N119" s="123"/>
      <c r="O119" s="123"/>
      <c r="P119" s="123"/>
      <c r="Q119" s="123"/>
      <c r="R119" s="123"/>
      <c r="S119" s="123"/>
      <c r="T119" s="123"/>
      <c r="U119" s="123"/>
      <c r="V119" s="123"/>
      <c r="W119" s="123"/>
      <c r="X119" s="123"/>
      <c r="Y119" s="123"/>
      <c r="Z119" s="129"/>
    </row>
    <row r="120" spans="1:26" ht="15.75" hidden="1" customHeight="1" x14ac:dyDescent="0.25">
      <c r="A120" s="125"/>
      <c r="B120" s="122"/>
      <c r="C120" s="124"/>
      <c r="D120" s="124"/>
      <c r="E120" s="124"/>
      <c r="F120" s="123"/>
      <c r="G120" s="123"/>
      <c r="H120" s="123"/>
      <c r="I120" s="123"/>
      <c r="J120" s="165"/>
      <c r="K120" s="125"/>
      <c r="L120" s="123"/>
      <c r="M120" s="123"/>
      <c r="N120" s="123"/>
      <c r="O120" s="123"/>
      <c r="P120" s="123"/>
      <c r="Q120" s="123"/>
      <c r="R120" s="123"/>
      <c r="S120" s="123"/>
      <c r="T120" s="123"/>
      <c r="U120" s="123"/>
      <c r="V120" s="123"/>
      <c r="W120" s="123"/>
      <c r="X120" s="123"/>
      <c r="Y120" s="123"/>
      <c r="Z120" s="129"/>
    </row>
    <row r="121" spans="1:26" ht="15.75" hidden="1" customHeight="1" x14ac:dyDescent="0.25">
      <c r="A121" s="125"/>
      <c r="B121" s="122"/>
      <c r="C121" s="124"/>
      <c r="D121" s="124"/>
      <c r="E121" s="124"/>
      <c r="F121" s="123"/>
      <c r="G121" s="123"/>
      <c r="H121" s="123"/>
      <c r="I121" s="123"/>
      <c r="J121" s="165"/>
      <c r="K121" s="125"/>
      <c r="L121" s="123"/>
      <c r="M121" s="123"/>
      <c r="N121" s="123"/>
      <c r="O121" s="123"/>
      <c r="P121" s="123"/>
      <c r="Q121" s="123"/>
      <c r="R121" s="123"/>
      <c r="S121" s="123"/>
      <c r="T121" s="123"/>
      <c r="U121" s="123"/>
      <c r="V121" s="123"/>
      <c r="W121" s="123"/>
      <c r="X121" s="123"/>
      <c r="Y121" s="123"/>
      <c r="Z121" s="129"/>
    </row>
    <row r="122" spans="1:26" ht="15.75" hidden="1" customHeight="1" x14ac:dyDescent="0.25">
      <c r="A122" s="125"/>
      <c r="B122" s="122"/>
      <c r="C122" s="124"/>
      <c r="D122" s="124"/>
      <c r="E122" s="124"/>
      <c r="F122" s="123"/>
      <c r="G122" s="123"/>
      <c r="H122" s="123"/>
      <c r="I122" s="123"/>
      <c r="J122" s="165"/>
      <c r="K122" s="125"/>
      <c r="L122" s="123"/>
      <c r="M122" s="123"/>
      <c r="N122" s="123"/>
      <c r="O122" s="123"/>
      <c r="P122" s="123"/>
      <c r="Q122" s="123"/>
      <c r="R122" s="123"/>
      <c r="S122" s="123"/>
      <c r="T122" s="123"/>
      <c r="U122" s="123"/>
      <c r="V122" s="123"/>
      <c r="W122" s="123"/>
      <c r="X122" s="123"/>
      <c r="Y122" s="123"/>
      <c r="Z122" s="129"/>
    </row>
    <row r="123" spans="1:26" ht="15.75" hidden="1" customHeight="1" x14ac:dyDescent="0.25">
      <c r="A123" s="125"/>
      <c r="B123" s="122"/>
      <c r="C123" s="124"/>
      <c r="D123" s="124"/>
      <c r="E123" s="124"/>
      <c r="F123" s="123"/>
      <c r="G123" s="123"/>
      <c r="H123" s="123"/>
      <c r="I123" s="123"/>
      <c r="J123" s="165"/>
      <c r="K123" s="125"/>
      <c r="L123" s="123"/>
      <c r="M123" s="123"/>
      <c r="N123" s="123"/>
      <c r="O123" s="123"/>
      <c r="P123" s="123"/>
      <c r="Q123" s="123"/>
      <c r="R123" s="123"/>
      <c r="S123" s="123"/>
      <c r="T123" s="123"/>
      <c r="U123" s="123"/>
      <c r="V123" s="123"/>
      <c r="W123" s="123"/>
      <c r="X123" s="123"/>
      <c r="Y123" s="123"/>
      <c r="Z123" s="129"/>
    </row>
    <row r="124" spans="1:26" ht="15.75" hidden="1" customHeight="1" x14ac:dyDescent="0.25">
      <c r="A124" s="125"/>
      <c r="B124" s="122"/>
      <c r="C124" s="124"/>
      <c r="D124" s="124"/>
      <c r="E124" s="124"/>
      <c r="F124" s="123"/>
      <c r="G124" s="123"/>
      <c r="H124" s="123"/>
      <c r="I124" s="123"/>
      <c r="J124" s="165"/>
      <c r="K124" s="125"/>
      <c r="L124" s="123"/>
      <c r="M124" s="123"/>
      <c r="N124" s="123"/>
      <c r="O124" s="123"/>
      <c r="P124" s="123"/>
      <c r="Q124" s="123"/>
      <c r="R124" s="123"/>
      <c r="S124" s="123"/>
      <c r="T124" s="123"/>
      <c r="U124" s="123"/>
      <c r="V124" s="123"/>
      <c r="W124" s="123"/>
      <c r="X124" s="123"/>
      <c r="Y124" s="123"/>
      <c r="Z124" s="129"/>
    </row>
    <row r="125" spans="1:26" ht="15.75" hidden="1" customHeight="1" x14ac:dyDescent="0.25">
      <c r="A125" s="125"/>
      <c r="B125" s="122"/>
      <c r="C125" s="124"/>
      <c r="D125" s="124"/>
      <c r="E125" s="124"/>
      <c r="F125" s="123"/>
      <c r="G125" s="123"/>
      <c r="H125" s="123"/>
      <c r="I125" s="123"/>
      <c r="J125" s="165"/>
      <c r="K125" s="125"/>
      <c r="L125" s="123"/>
      <c r="M125" s="123"/>
      <c r="N125" s="123"/>
      <c r="O125" s="123"/>
      <c r="P125" s="123"/>
      <c r="Q125" s="123"/>
      <c r="R125" s="123"/>
      <c r="S125" s="123"/>
      <c r="T125" s="123"/>
      <c r="U125" s="123"/>
      <c r="V125" s="123"/>
      <c r="W125" s="123"/>
      <c r="X125" s="123"/>
      <c r="Y125" s="123"/>
      <c r="Z125" s="129"/>
    </row>
    <row r="126" spans="1:26" ht="15.75" hidden="1" customHeight="1" x14ac:dyDescent="0.25">
      <c r="A126" s="125"/>
      <c r="B126" s="122"/>
      <c r="C126" s="124"/>
      <c r="D126" s="124"/>
      <c r="E126" s="124"/>
      <c r="F126" s="123"/>
      <c r="G126" s="123"/>
      <c r="H126" s="123"/>
      <c r="I126" s="123"/>
      <c r="J126" s="165"/>
      <c r="K126" s="125"/>
      <c r="L126" s="123"/>
      <c r="M126" s="123"/>
      <c r="N126" s="123"/>
      <c r="O126" s="123"/>
      <c r="P126" s="123"/>
      <c r="Q126" s="123"/>
      <c r="R126" s="123"/>
      <c r="S126" s="123"/>
      <c r="T126" s="123"/>
      <c r="U126" s="123"/>
      <c r="V126" s="123"/>
      <c r="W126" s="123"/>
      <c r="X126" s="123"/>
      <c r="Y126" s="123"/>
      <c r="Z126" s="129"/>
    </row>
    <row r="127" spans="1:26" ht="15.75" hidden="1" customHeight="1" x14ac:dyDescent="0.25">
      <c r="A127" s="125"/>
      <c r="B127" s="122"/>
      <c r="C127" s="124"/>
      <c r="D127" s="124"/>
      <c r="E127" s="124"/>
      <c r="F127" s="123"/>
      <c r="G127" s="123"/>
      <c r="H127" s="123"/>
      <c r="I127" s="123"/>
      <c r="J127" s="165"/>
      <c r="K127" s="125"/>
      <c r="L127" s="123"/>
      <c r="M127" s="123"/>
      <c r="N127" s="123"/>
      <c r="O127" s="123"/>
      <c r="P127" s="123"/>
      <c r="Q127" s="123"/>
      <c r="R127" s="123"/>
      <c r="S127" s="123"/>
      <c r="T127" s="123"/>
      <c r="U127" s="123"/>
      <c r="V127" s="123"/>
      <c r="W127" s="123"/>
      <c r="X127" s="123"/>
      <c r="Y127" s="123"/>
      <c r="Z127" s="129"/>
    </row>
    <row r="128" spans="1:26" ht="15.75" hidden="1" customHeight="1" x14ac:dyDescent="0.25">
      <c r="A128" s="125"/>
      <c r="B128" s="122"/>
      <c r="C128" s="124"/>
      <c r="D128" s="124"/>
      <c r="E128" s="124"/>
      <c r="F128" s="123"/>
      <c r="G128" s="123"/>
      <c r="H128" s="123"/>
      <c r="I128" s="123"/>
      <c r="J128" s="165"/>
      <c r="K128" s="125"/>
      <c r="L128" s="123"/>
      <c r="M128" s="123"/>
      <c r="N128" s="123"/>
      <c r="O128" s="123"/>
      <c r="P128" s="123"/>
      <c r="Q128" s="123"/>
      <c r="R128" s="123"/>
      <c r="S128" s="123"/>
      <c r="T128" s="123"/>
      <c r="U128" s="123"/>
      <c r="V128" s="123"/>
      <c r="W128" s="123"/>
      <c r="X128" s="123"/>
      <c r="Y128" s="123"/>
      <c r="Z128" s="129"/>
    </row>
    <row r="129" spans="1:26" ht="15.75" hidden="1" customHeight="1" x14ac:dyDescent="0.25">
      <c r="A129" s="125"/>
      <c r="B129" s="122"/>
      <c r="C129" s="124"/>
      <c r="D129" s="124"/>
      <c r="E129" s="124"/>
      <c r="F129" s="123"/>
      <c r="G129" s="123"/>
      <c r="H129" s="123"/>
      <c r="I129" s="123"/>
      <c r="J129" s="165"/>
      <c r="K129" s="125"/>
      <c r="L129" s="123"/>
      <c r="M129" s="123"/>
      <c r="N129" s="123"/>
      <c r="O129" s="123"/>
      <c r="P129" s="123"/>
      <c r="Q129" s="123"/>
      <c r="R129" s="123"/>
      <c r="S129" s="123"/>
      <c r="T129" s="123"/>
      <c r="U129" s="123"/>
      <c r="V129" s="123"/>
      <c r="W129" s="123"/>
      <c r="X129" s="123"/>
      <c r="Y129" s="123"/>
      <c r="Z129" s="129"/>
    </row>
    <row r="130" spans="1:26" ht="15.75" hidden="1" customHeight="1" x14ac:dyDescent="0.25">
      <c r="A130" s="125"/>
      <c r="B130" s="122"/>
      <c r="C130" s="124"/>
      <c r="D130" s="124"/>
      <c r="E130" s="124"/>
      <c r="F130" s="123"/>
      <c r="G130" s="123"/>
      <c r="H130" s="123"/>
      <c r="I130" s="123"/>
      <c r="J130" s="165"/>
      <c r="K130" s="125"/>
      <c r="L130" s="123"/>
      <c r="M130" s="123"/>
      <c r="N130" s="123"/>
      <c r="O130" s="123"/>
      <c r="P130" s="123"/>
      <c r="Q130" s="123"/>
      <c r="R130" s="123"/>
      <c r="S130" s="123"/>
      <c r="T130" s="123"/>
      <c r="U130" s="123"/>
      <c r="V130" s="123"/>
      <c r="W130" s="123"/>
      <c r="X130" s="123"/>
      <c r="Y130" s="123"/>
      <c r="Z130" s="129"/>
    </row>
    <row r="131" spans="1:26" ht="15.75" hidden="1" customHeight="1" x14ac:dyDescent="0.25">
      <c r="A131" s="125"/>
      <c r="B131" s="122"/>
      <c r="C131" s="124"/>
      <c r="D131" s="124"/>
      <c r="E131" s="124"/>
      <c r="F131" s="123"/>
      <c r="G131" s="123"/>
      <c r="H131" s="123"/>
      <c r="I131" s="123"/>
      <c r="J131" s="165"/>
      <c r="K131" s="125"/>
      <c r="L131" s="123"/>
      <c r="M131" s="123"/>
      <c r="N131" s="123"/>
      <c r="O131" s="123"/>
      <c r="P131" s="123"/>
      <c r="Q131" s="123"/>
      <c r="R131" s="123"/>
      <c r="S131" s="123"/>
      <c r="T131" s="123"/>
      <c r="U131" s="123"/>
      <c r="V131" s="123"/>
      <c r="W131" s="123"/>
      <c r="X131" s="123"/>
      <c r="Y131" s="123"/>
      <c r="Z131" s="129"/>
    </row>
    <row r="132" spans="1:26" ht="15.75" hidden="1" customHeight="1" x14ac:dyDescent="0.25">
      <c r="A132" s="125"/>
      <c r="B132" s="122"/>
      <c r="C132" s="124"/>
      <c r="D132" s="124"/>
      <c r="E132" s="124"/>
      <c r="F132" s="123"/>
      <c r="G132" s="123"/>
      <c r="H132" s="123"/>
      <c r="I132" s="123"/>
      <c r="J132" s="165"/>
      <c r="K132" s="125"/>
      <c r="L132" s="123"/>
      <c r="M132" s="123"/>
      <c r="N132" s="123"/>
      <c r="O132" s="123"/>
      <c r="P132" s="123"/>
      <c r="Q132" s="123"/>
      <c r="R132" s="123"/>
      <c r="S132" s="123"/>
      <c r="T132" s="123"/>
      <c r="U132" s="123"/>
      <c r="V132" s="123"/>
      <c r="W132" s="123"/>
      <c r="X132" s="123"/>
      <c r="Y132" s="123"/>
      <c r="Z132" s="129"/>
    </row>
    <row r="133" spans="1:26" ht="15.75" hidden="1" customHeight="1" x14ac:dyDescent="0.25">
      <c r="A133" s="125"/>
      <c r="B133" s="122"/>
      <c r="C133" s="124"/>
      <c r="D133" s="124"/>
      <c r="E133" s="124"/>
      <c r="F133" s="123"/>
      <c r="G133" s="123"/>
      <c r="H133" s="123"/>
      <c r="I133" s="123"/>
      <c r="J133" s="165"/>
      <c r="K133" s="125"/>
      <c r="L133" s="123"/>
      <c r="M133" s="123"/>
      <c r="N133" s="123"/>
      <c r="O133" s="123"/>
      <c r="P133" s="123"/>
      <c r="Q133" s="123"/>
      <c r="R133" s="123"/>
      <c r="S133" s="123"/>
      <c r="T133" s="123"/>
      <c r="U133" s="123"/>
      <c r="V133" s="123"/>
      <c r="W133" s="123"/>
      <c r="X133" s="123"/>
      <c r="Y133" s="123"/>
      <c r="Z133" s="129"/>
    </row>
    <row r="134" spans="1:26" ht="15.75" hidden="1" customHeight="1" x14ac:dyDescent="0.25">
      <c r="A134" s="125"/>
      <c r="B134" s="122"/>
      <c r="C134" s="124"/>
      <c r="D134" s="124"/>
      <c r="E134" s="124"/>
      <c r="F134" s="123"/>
      <c r="G134" s="123"/>
      <c r="H134" s="123"/>
      <c r="I134" s="123"/>
      <c r="J134" s="165"/>
      <c r="K134" s="125"/>
      <c r="L134" s="123"/>
      <c r="M134" s="123"/>
      <c r="N134" s="123"/>
      <c r="O134" s="123"/>
      <c r="P134" s="123"/>
      <c r="Q134" s="123"/>
      <c r="R134" s="123"/>
      <c r="S134" s="123"/>
      <c r="T134" s="123"/>
      <c r="U134" s="123"/>
      <c r="V134" s="123"/>
      <c r="W134" s="123"/>
      <c r="X134" s="123"/>
      <c r="Y134" s="123"/>
      <c r="Z134" s="129"/>
    </row>
    <row r="135" spans="1:26" ht="15.75" hidden="1" customHeight="1" x14ac:dyDescent="0.25">
      <c r="A135" s="125"/>
      <c r="B135" s="122"/>
      <c r="C135" s="124"/>
      <c r="D135" s="124"/>
      <c r="E135" s="124"/>
      <c r="F135" s="123"/>
      <c r="G135" s="123"/>
      <c r="H135" s="123"/>
      <c r="I135" s="123"/>
      <c r="J135" s="165"/>
      <c r="K135" s="125"/>
      <c r="L135" s="123"/>
      <c r="M135" s="123"/>
      <c r="N135" s="123"/>
      <c r="O135" s="123"/>
      <c r="P135" s="123"/>
      <c r="Q135" s="123"/>
      <c r="R135" s="123"/>
      <c r="S135" s="123"/>
      <c r="T135" s="123"/>
      <c r="U135" s="123"/>
      <c r="V135" s="123"/>
      <c r="W135" s="123"/>
      <c r="X135" s="123"/>
      <c r="Y135" s="123"/>
      <c r="Z135" s="129"/>
    </row>
    <row r="136" spans="1:26" ht="15.75" hidden="1" customHeight="1" x14ac:dyDescent="0.25">
      <c r="A136" s="125"/>
      <c r="B136" s="122"/>
      <c r="C136" s="124"/>
      <c r="D136" s="124"/>
      <c r="E136" s="124"/>
      <c r="F136" s="123"/>
      <c r="G136" s="123"/>
      <c r="H136" s="123"/>
      <c r="I136" s="123"/>
      <c r="J136" s="165"/>
      <c r="K136" s="125"/>
      <c r="L136" s="123"/>
      <c r="M136" s="123"/>
      <c r="N136" s="123"/>
      <c r="O136" s="123"/>
      <c r="P136" s="123"/>
      <c r="Q136" s="123"/>
      <c r="R136" s="123"/>
      <c r="S136" s="123"/>
      <c r="T136" s="123"/>
      <c r="U136" s="123"/>
      <c r="V136" s="123"/>
      <c r="W136" s="123"/>
      <c r="X136" s="123"/>
      <c r="Y136" s="123"/>
      <c r="Z136" s="129"/>
    </row>
    <row r="137" spans="1:26" ht="15.75" hidden="1" customHeight="1" x14ac:dyDescent="0.25">
      <c r="A137" s="125"/>
      <c r="B137" s="122"/>
      <c r="C137" s="124"/>
      <c r="D137" s="124"/>
      <c r="E137" s="124"/>
      <c r="F137" s="123"/>
      <c r="G137" s="123"/>
      <c r="H137" s="123"/>
      <c r="I137" s="123"/>
      <c r="J137" s="165"/>
      <c r="K137" s="125"/>
      <c r="L137" s="123"/>
      <c r="M137" s="123"/>
      <c r="N137" s="123"/>
      <c r="O137" s="123"/>
      <c r="P137" s="123"/>
      <c r="Q137" s="123"/>
      <c r="R137" s="123"/>
      <c r="S137" s="123"/>
      <c r="T137" s="123"/>
      <c r="U137" s="123"/>
      <c r="V137" s="123"/>
      <c r="W137" s="123"/>
      <c r="X137" s="123"/>
      <c r="Y137" s="123"/>
      <c r="Z137" s="129"/>
    </row>
    <row r="138" spans="1:26" ht="15.75" hidden="1" customHeight="1" x14ac:dyDescent="0.25">
      <c r="A138" s="125"/>
      <c r="B138" s="122"/>
      <c r="C138" s="124"/>
      <c r="D138" s="124"/>
      <c r="E138" s="124"/>
      <c r="F138" s="123"/>
      <c r="G138" s="123"/>
      <c r="H138" s="123"/>
      <c r="I138" s="123"/>
      <c r="J138" s="165"/>
      <c r="K138" s="125"/>
      <c r="L138" s="123"/>
      <c r="M138" s="123"/>
      <c r="N138" s="123"/>
      <c r="O138" s="123"/>
      <c r="P138" s="123"/>
      <c r="Q138" s="123"/>
      <c r="R138" s="123"/>
      <c r="S138" s="123"/>
      <c r="T138" s="123"/>
      <c r="U138" s="123"/>
      <c r="V138" s="123"/>
      <c r="W138" s="123"/>
      <c r="X138" s="123"/>
      <c r="Y138" s="123"/>
      <c r="Z138" s="129"/>
    </row>
    <row r="139" spans="1:26" ht="15.75" hidden="1" customHeight="1" x14ac:dyDescent="0.25">
      <c r="A139" s="125"/>
      <c r="B139" s="122"/>
      <c r="C139" s="124"/>
      <c r="D139" s="124"/>
      <c r="E139" s="124"/>
      <c r="F139" s="123"/>
      <c r="G139" s="123"/>
      <c r="H139" s="123"/>
      <c r="I139" s="123"/>
      <c r="J139" s="165"/>
      <c r="K139" s="125"/>
      <c r="L139" s="123"/>
      <c r="M139" s="123"/>
      <c r="N139" s="123"/>
      <c r="O139" s="123"/>
      <c r="P139" s="123"/>
      <c r="Q139" s="123"/>
      <c r="R139" s="123"/>
      <c r="S139" s="123"/>
      <c r="T139" s="123"/>
      <c r="U139" s="123"/>
      <c r="V139" s="123"/>
      <c r="W139" s="123"/>
      <c r="X139" s="123"/>
      <c r="Y139" s="123"/>
      <c r="Z139" s="129"/>
    </row>
    <row r="140" spans="1:26" ht="15.75" hidden="1" customHeight="1" x14ac:dyDescent="0.25">
      <c r="A140" s="125"/>
      <c r="B140" s="122"/>
      <c r="C140" s="124"/>
      <c r="D140" s="124"/>
      <c r="E140" s="124"/>
      <c r="F140" s="123"/>
      <c r="G140" s="123"/>
      <c r="H140" s="123"/>
      <c r="I140" s="123"/>
      <c r="J140" s="165"/>
      <c r="K140" s="125"/>
      <c r="L140" s="123"/>
      <c r="M140" s="123"/>
      <c r="N140" s="123"/>
      <c r="O140" s="123"/>
      <c r="P140" s="123"/>
      <c r="Q140" s="123"/>
      <c r="R140" s="123"/>
      <c r="S140" s="123"/>
      <c r="T140" s="123"/>
      <c r="U140" s="123"/>
      <c r="V140" s="123"/>
      <c r="W140" s="123"/>
      <c r="X140" s="123"/>
      <c r="Y140" s="123"/>
      <c r="Z140" s="129"/>
    </row>
    <row r="141" spans="1:26" ht="15.75" hidden="1" customHeight="1" x14ac:dyDescent="0.25">
      <c r="A141" s="125"/>
      <c r="B141" s="122"/>
      <c r="C141" s="124"/>
      <c r="D141" s="124"/>
      <c r="E141" s="124"/>
      <c r="F141" s="123"/>
      <c r="G141" s="123"/>
      <c r="H141" s="123"/>
      <c r="I141" s="123"/>
      <c r="J141" s="165"/>
      <c r="K141" s="125"/>
      <c r="L141" s="123"/>
      <c r="M141" s="123"/>
      <c r="N141" s="123"/>
      <c r="O141" s="123"/>
      <c r="P141" s="123"/>
      <c r="Q141" s="123"/>
      <c r="R141" s="123"/>
      <c r="S141" s="123"/>
      <c r="T141" s="123"/>
      <c r="U141" s="123"/>
      <c r="V141" s="123"/>
      <c r="W141" s="123"/>
      <c r="X141" s="123"/>
      <c r="Y141" s="123"/>
      <c r="Z141" s="129"/>
    </row>
    <row r="142" spans="1:26" ht="15.75" hidden="1" customHeight="1" x14ac:dyDescent="0.25">
      <c r="A142" s="125"/>
      <c r="B142" s="122"/>
      <c r="C142" s="124"/>
      <c r="D142" s="124"/>
      <c r="E142" s="124"/>
      <c r="F142" s="123"/>
      <c r="G142" s="123"/>
      <c r="H142" s="123"/>
      <c r="I142" s="123"/>
      <c r="J142" s="165"/>
      <c r="K142" s="125"/>
      <c r="L142" s="123"/>
      <c r="M142" s="123"/>
      <c r="N142" s="123"/>
      <c r="O142" s="123"/>
      <c r="P142" s="123"/>
      <c r="Q142" s="123"/>
      <c r="R142" s="123"/>
      <c r="S142" s="123"/>
      <c r="T142" s="123"/>
      <c r="U142" s="123"/>
      <c r="V142" s="123"/>
      <c r="W142" s="123"/>
      <c r="X142" s="123"/>
      <c r="Y142" s="123"/>
      <c r="Z142" s="129"/>
    </row>
    <row r="143" spans="1:26" ht="15.75" hidden="1" customHeight="1" x14ac:dyDescent="0.25">
      <c r="A143" s="125"/>
      <c r="B143" s="122"/>
      <c r="C143" s="124"/>
      <c r="D143" s="124"/>
      <c r="E143" s="124"/>
      <c r="F143" s="123"/>
      <c r="G143" s="123"/>
      <c r="H143" s="123"/>
      <c r="I143" s="123"/>
      <c r="J143" s="165"/>
      <c r="K143" s="125"/>
      <c r="L143" s="123"/>
      <c r="M143" s="123"/>
      <c r="N143" s="123"/>
      <c r="O143" s="123"/>
      <c r="P143" s="123"/>
      <c r="Q143" s="123"/>
      <c r="R143" s="123"/>
      <c r="S143" s="123"/>
      <c r="T143" s="123"/>
      <c r="U143" s="123"/>
      <c r="V143" s="123"/>
      <c r="W143" s="123"/>
      <c r="X143" s="123"/>
      <c r="Y143" s="123"/>
      <c r="Z143" s="129"/>
    </row>
    <row r="144" spans="1:26" ht="15.75" hidden="1" customHeight="1" x14ac:dyDescent="0.25">
      <c r="A144" s="125"/>
      <c r="B144" s="122"/>
      <c r="C144" s="124"/>
      <c r="D144" s="124"/>
      <c r="E144" s="124"/>
      <c r="F144" s="123"/>
      <c r="G144" s="123"/>
      <c r="H144" s="123"/>
      <c r="I144" s="123"/>
      <c r="J144" s="165"/>
      <c r="K144" s="125"/>
      <c r="L144" s="123"/>
      <c r="M144" s="123"/>
      <c r="N144" s="123"/>
      <c r="O144" s="123"/>
      <c r="P144" s="123"/>
      <c r="Q144" s="123"/>
      <c r="R144" s="123"/>
      <c r="S144" s="123"/>
      <c r="T144" s="123"/>
      <c r="U144" s="123"/>
      <c r="V144" s="123"/>
      <c r="W144" s="123"/>
      <c r="X144" s="123"/>
      <c r="Y144" s="123"/>
      <c r="Z144" s="129"/>
    </row>
    <row r="145" spans="1:26" ht="15.75" hidden="1" customHeight="1" x14ac:dyDescent="0.25">
      <c r="A145" s="125"/>
      <c r="B145" s="122"/>
      <c r="C145" s="124"/>
      <c r="D145" s="124"/>
      <c r="E145" s="124"/>
      <c r="F145" s="123"/>
      <c r="G145" s="123"/>
      <c r="H145" s="123"/>
      <c r="I145" s="123"/>
      <c r="J145" s="165"/>
      <c r="K145" s="125"/>
      <c r="L145" s="123"/>
      <c r="M145" s="123"/>
      <c r="N145" s="123"/>
      <c r="O145" s="123"/>
      <c r="P145" s="123"/>
      <c r="Q145" s="123"/>
      <c r="R145" s="123"/>
      <c r="S145" s="123"/>
      <c r="T145" s="123"/>
      <c r="U145" s="123"/>
      <c r="V145" s="123"/>
      <c r="W145" s="123"/>
      <c r="X145" s="123"/>
      <c r="Y145" s="123"/>
      <c r="Z145" s="129"/>
    </row>
    <row r="146" spans="1:26" ht="15.75" hidden="1" customHeight="1" x14ac:dyDescent="0.25">
      <c r="A146" s="125"/>
      <c r="B146" s="122"/>
      <c r="C146" s="124"/>
      <c r="D146" s="124"/>
      <c r="E146" s="124"/>
      <c r="F146" s="123"/>
      <c r="G146" s="123"/>
      <c r="H146" s="123"/>
      <c r="I146" s="123"/>
      <c r="J146" s="165"/>
      <c r="K146" s="125"/>
      <c r="L146" s="123"/>
      <c r="M146" s="123"/>
      <c r="N146" s="123"/>
      <c r="O146" s="123"/>
      <c r="P146" s="123"/>
      <c r="Q146" s="123"/>
      <c r="R146" s="123"/>
      <c r="S146" s="123"/>
      <c r="T146" s="123"/>
      <c r="U146" s="123"/>
      <c r="V146" s="123"/>
      <c r="W146" s="123"/>
      <c r="X146" s="123"/>
      <c r="Y146" s="123"/>
      <c r="Z146" s="129"/>
    </row>
    <row r="147" spans="1:26" ht="15.75" hidden="1" customHeight="1" x14ac:dyDescent="0.25">
      <c r="A147" s="125"/>
      <c r="B147" s="122"/>
      <c r="C147" s="124"/>
      <c r="D147" s="124"/>
      <c r="E147" s="124"/>
      <c r="F147" s="123"/>
      <c r="G147" s="123"/>
      <c r="H147" s="123"/>
      <c r="I147" s="123"/>
      <c r="J147" s="165"/>
      <c r="K147" s="125"/>
      <c r="L147" s="123"/>
      <c r="M147" s="123"/>
      <c r="N147" s="123"/>
      <c r="O147" s="123"/>
      <c r="P147" s="123"/>
      <c r="Q147" s="123"/>
      <c r="R147" s="123"/>
      <c r="S147" s="123"/>
      <c r="T147" s="123"/>
      <c r="U147" s="123"/>
      <c r="V147" s="123"/>
      <c r="W147" s="123"/>
      <c r="X147" s="123"/>
      <c r="Y147" s="123"/>
      <c r="Z147" s="129"/>
    </row>
    <row r="148" spans="1:26" ht="15.75" hidden="1" customHeight="1" x14ac:dyDescent="0.25">
      <c r="A148" s="125"/>
      <c r="B148" s="122"/>
      <c r="C148" s="124"/>
      <c r="D148" s="124"/>
      <c r="E148" s="124"/>
      <c r="F148" s="123"/>
      <c r="G148" s="123"/>
      <c r="H148" s="123"/>
      <c r="I148" s="123"/>
      <c r="J148" s="165"/>
      <c r="K148" s="125"/>
      <c r="L148" s="123"/>
      <c r="M148" s="123"/>
      <c r="N148" s="123"/>
      <c r="O148" s="123"/>
      <c r="P148" s="123"/>
      <c r="Q148" s="123"/>
      <c r="R148" s="123"/>
      <c r="S148" s="123"/>
      <c r="T148" s="123"/>
      <c r="U148" s="123"/>
      <c r="V148" s="123"/>
      <c r="W148" s="123"/>
      <c r="X148" s="123"/>
      <c r="Y148" s="123"/>
      <c r="Z148" s="129"/>
    </row>
    <row r="149" spans="1:26" ht="15.75" hidden="1" customHeight="1" x14ac:dyDescent="0.25">
      <c r="A149" s="125"/>
      <c r="B149" s="122"/>
      <c r="C149" s="124"/>
      <c r="D149" s="124"/>
      <c r="E149" s="124"/>
      <c r="F149" s="123"/>
      <c r="G149" s="123"/>
      <c r="H149" s="123"/>
      <c r="I149" s="123"/>
      <c r="J149" s="165"/>
      <c r="K149" s="125"/>
      <c r="L149" s="123"/>
      <c r="M149" s="123"/>
      <c r="N149" s="123"/>
      <c r="O149" s="123"/>
      <c r="P149" s="123"/>
      <c r="Q149" s="123"/>
      <c r="R149" s="123"/>
      <c r="S149" s="123"/>
      <c r="T149" s="123"/>
      <c r="U149" s="123"/>
      <c r="V149" s="123"/>
      <c r="W149" s="123"/>
      <c r="X149" s="123"/>
      <c r="Y149" s="123"/>
      <c r="Z149" s="129"/>
    </row>
    <row r="150" spans="1:26" ht="15.75" hidden="1" customHeight="1" x14ac:dyDescent="0.25">
      <c r="A150" s="125"/>
      <c r="B150" s="122"/>
      <c r="C150" s="124"/>
      <c r="D150" s="124"/>
      <c r="E150" s="124"/>
      <c r="F150" s="123"/>
      <c r="G150" s="123"/>
      <c r="H150" s="123"/>
      <c r="I150" s="123"/>
      <c r="J150" s="165"/>
      <c r="K150" s="125"/>
      <c r="L150" s="123"/>
      <c r="M150" s="123"/>
      <c r="N150" s="123"/>
      <c r="O150" s="123"/>
      <c r="P150" s="123"/>
      <c r="Q150" s="123"/>
      <c r="R150" s="123"/>
      <c r="S150" s="123"/>
      <c r="T150" s="123"/>
      <c r="U150" s="123"/>
      <c r="V150" s="123"/>
      <c r="W150" s="123"/>
      <c r="X150" s="123"/>
      <c r="Y150" s="123"/>
      <c r="Z150" s="129"/>
    </row>
    <row r="151" spans="1:26" ht="15.75" hidden="1" customHeight="1" x14ac:dyDescent="0.25">
      <c r="A151" s="125"/>
      <c r="B151" s="122"/>
      <c r="C151" s="124"/>
      <c r="D151" s="124"/>
      <c r="E151" s="124"/>
      <c r="F151" s="123"/>
      <c r="G151" s="123"/>
      <c r="H151" s="123"/>
      <c r="I151" s="123"/>
      <c r="J151" s="165"/>
      <c r="K151" s="125"/>
      <c r="L151" s="123"/>
      <c r="M151" s="123"/>
      <c r="N151" s="123"/>
      <c r="O151" s="123"/>
      <c r="P151" s="123"/>
      <c r="Q151" s="123"/>
      <c r="R151" s="123"/>
      <c r="S151" s="123"/>
      <c r="T151" s="123"/>
      <c r="U151" s="123"/>
      <c r="V151" s="123"/>
      <c r="W151" s="123"/>
      <c r="X151" s="123"/>
      <c r="Y151" s="123"/>
      <c r="Z151" s="129"/>
    </row>
    <row r="152" spans="1:26" ht="15.75" hidden="1" customHeight="1" x14ac:dyDescent="0.25">
      <c r="A152" s="125"/>
      <c r="B152" s="122"/>
      <c r="C152" s="124"/>
      <c r="D152" s="124"/>
      <c r="E152" s="124"/>
      <c r="F152" s="123"/>
      <c r="G152" s="123"/>
      <c r="H152" s="123"/>
      <c r="I152" s="123"/>
      <c r="J152" s="165"/>
      <c r="K152" s="125"/>
      <c r="L152" s="123"/>
      <c r="M152" s="123"/>
      <c r="N152" s="123"/>
      <c r="O152" s="123"/>
      <c r="P152" s="123"/>
      <c r="Q152" s="123"/>
      <c r="R152" s="123"/>
      <c r="S152" s="123"/>
      <c r="T152" s="123"/>
      <c r="U152" s="123"/>
      <c r="V152" s="123"/>
      <c r="W152" s="123"/>
      <c r="X152" s="123"/>
      <c r="Y152" s="123"/>
      <c r="Z152" s="129"/>
    </row>
    <row r="153" spans="1:26" ht="15.75" hidden="1" customHeight="1" x14ac:dyDescent="0.25">
      <c r="A153" s="125"/>
      <c r="B153" s="122"/>
      <c r="C153" s="124"/>
      <c r="D153" s="124"/>
      <c r="E153" s="124"/>
      <c r="F153" s="123"/>
      <c r="G153" s="123"/>
      <c r="H153" s="123"/>
      <c r="I153" s="123"/>
      <c r="J153" s="165"/>
      <c r="K153" s="125"/>
      <c r="L153" s="123"/>
      <c r="M153" s="123"/>
      <c r="N153" s="123"/>
      <c r="O153" s="123"/>
      <c r="P153" s="123"/>
      <c r="Q153" s="123"/>
      <c r="R153" s="123"/>
      <c r="S153" s="123"/>
      <c r="T153" s="123"/>
      <c r="U153" s="123"/>
      <c r="V153" s="123"/>
      <c r="W153" s="123"/>
      <c r="X153" s="123"/>
      <c r="Y153" s="123"/>
      <c r="Z153" s="129"/>
    </row>
    <row r="154" spans="1:26" ht="15.75" hidden="1" customHeight="1" x14ac:dyDescent="0.25">
      <c r="A154" s="125"/>
      <c r="B154" s="122"/>
      <c r="C154" s="124"/>
      <c r="D154" s="124"/>
      <c r="E154" s="124"/>
      <c r="F154" s="123"/>
      <c r="G154" s="123"/>
      <c r="H154" s="123"/>
      <c r="I154" s="123"/>
      <c r="J154" s="165"/>
      <c r="K154" s="125"/>
      <c r="L154" s="123"/>
      <c r="M154" s="123"/>
      <c r="N154" s="123"/>
      <c r="O154" s="123"/>
      <c r="P154" s="123"/>
      <c r="Q154" s="123"/>
      <c r="R154" s="123"/>
      <c r="S154" s="123"/>
      <c r="T154" s="123"/>
      <c r="U154" s="123"/>
      <c r="V154" s="123"/>
      <c r="W154" s="123"/>
      <c r="X154" s="123"/>
      <c r="Y154" s="123"/>
      <c r="Z154" s="129"/>
    </row>
    <row r="155" spans="1:26" ht="15.75" hidden="1" customHeight="1" x14ac:dyDescent="0.25">
      <c r="A155" s="125"/>
      <c r="B155" s="122"/>
      <c r="C155" s="124"/>
      <c r="D155" s="124"/>
      <c r="E155" s="124"/>
      <c r="F155" s="123"/>
      <c r="G155" s="123"/>
      <c r="H155" s="123"/>
      <c r="I155" s="123"/>
      <c r="J155" s="165"/>
      <c r="K155" s="125"/>
      <c r="L155" s="123"/>
      <c r="M155" s="123"/>
      <c r="N155" s="123"/>
      <c r="O155" s="123"/>
      <c r="P155" s="123"/>
      <c r="Q155" s="123"/>
      <c r="R155" s="123"/>
      <c r="S155" s="123"/>
      <c r="T155" s="123"/>
      <c r="U155" s="123"/>
      <c r="V155" s="123"/>
      <c r="W155" s="123"/>
      <c r="X155" s="123"/>
      <c r="Y155" s="123"/>
      <c r="Z155" s="129"/>
    </row>
    <row r="156" spans="1:26" ht="15.75" hidden="1" customHeight="1" x14ac:dyDescent="0.25">
      <c r="A156" s="125"/>
      <c r="B156" s="122"/>
      <c r="C156" s="124"/>
      <c r="D156" s="124"/>
      <c r="E156" s="124"/>
      <c r="F156" s="123"/>
      <c r="G156" s="123"/>
      <c r="H156" s="123"/>
      <c r="I156" s="123"/>
      <c r="J156" s="165"/>
      <c r="K156" s="125"/>
      <c r="L156" s="123"/>
      <c r="M156" s="123"/>
      <c r="N156" s="123"/>
      <c r="O156" s="123"/>
      <c r="P156" s="123"/>
      <c r="Q156" s="123"/>
      <c r="R156" s="123"/>
      <c r="S156" s="123"/>
      <c r="T156" s="123"/>
      <c r="U156" s="123"/>
      <c r="V156" s="123"/>
      <c r="W156" s="123"/>
      <c r="X156" s="123"/>
      <c r="Y156" s="123"/>
      <c r="Z156" s="129"/>
    </row>
    <row r="157" spans="1:26" ht="15.75" hidden="1" customHeight="1" x14ac:dyDescent="0.25">
      <c r="A157" s="125"/>
      <c r="B157" s="122"/>
      <c r="C157" s="124"/>
      <c r="D157" s="124"/>
      <c r="E157" s="124"/>
      <c r="F157" s="123"/>
      <c r="G157" s="123"/>
      <c r="H157" s="123"/>
      <c r="I157" s="123"/>
      <c r="J157" s="165"/>
      <c r="K157" s="125"/>
      <c r="L157" s="123"/>
      <c r="M157" s="123"/>
      <c r="N157" s="123"/>
      <c r="O157" s="123"/>
      <c r="P157" s="123"/>
      <c r="Q157" s="123"/>
      <c r="R157" s="123"/>
      <c r="S157" s="123"/>
      <c r="T157" s="123"/>
      <c r="U157" s="123"/>
      <c r="V157" s="123"/>
      <c r="W157" s="123"/>
      <c r="X157" s="123"/>
      <c r="Y157" s="123"/>
      <c r="Z157" s="129"/>
    </row>
    <row r="158" spans="1:26" ht="15.75" hidden="1" customHeight="1" x14ac:dyDescent="0.25">
      <c r="A158" s="125"/>
      <c r="B158" s="122"/>
      <c r="C158" s="124"/>
      <c r="D158" s="124"/>
      <c r="E158" s="124"/>
      <c r="F158" s="123"/>
      <c r="G158" s="123"/>
      <c r="H158" s="123"/>
      <c r="I158" s="123"/>
      <c r="J158" s="165"/>
      <c r="K158" s="125"/>
      <c r="L158" s="123"/>
      <c r="M158" s="123"/>
      <c r="N158" s="123"/>
      <c r="O158" s="123"/>
      <c r="P158" s="123"/>
      <c r="Q158" s="123"/>
      <c r="R158" s="123"/>
      <c r="S158" s="123"/>
      <c r="T158" s="123"/>
      <c r="U158" s="123"/>
      <c r="V158" s="123"/>
      <c r="W158" s="123"/>
      <c r="X158" s="123"/>
      <c r="Y158" s="123"/>
      <c r="Z158" s="129"/>
    </row>
    <row r="159" spans="1:26" ht="15.75" hidden="1" customHeight="1" x14ac:dyDescent="0.25">
      <c r="A159" s="125"/>
      <c r="B159" s="122"/>
      <c r="C159" s="124"/>
      <c r="D159" s="124"/>
      <c r="E159" s="124"/>
      <c r="F159" s="123"/>
      <c r="G159" s="123"/>
      <c r="H159" s="123"/>
      <c r="I159" s="123"/>
      <c r="J159" s="165"/>
      <c r="K159" s="125"/>
      <c r="L159" s="123"/>
      <c r="M159" s="123"/>
      <c r="N159" s="123"/>
      <c r="O159" s="123"/>
      <c r="P159" s="123"/>
      <c r="Q159" s="123"/>
      <c r="R159" s="123"/>
      <c r="S159" s="123"/>
      <c r="T159" s="123"/>
      <c r="U159" s="123"/>
      <c r="V159" s="123"/>
      <c r="W159" s="123"/>
      <c r="X159" s="123"/>
      <c r="Y159" s="123"/>
      <c r="Z159" s="129"/>
    </row>
    <row r="160" spans="1:26" ht="15.75" hidden="1" customHeight="1" x14ac:dyDescent="0.25">
      <c r="A160" s="125"/>
      <c r="B160" s="122"/>
      <c r="C160" s="124"/>
      <c r="D160" s="124"/>
      <c r="E160" s="124"/>
      <c r="F160" s="123"/>
      <c r="G160" s="123"/>
      <c r="H160" s="123"/>
      <c r="I160" s="123"/>
      <c r="J160" s="165"/>
      <c r="K160" s="125"/>
      <c r="L160" s="123"/>
      <c r="M160" s="123"/>
      <c r="N160" s="123"/>
      <c r="O160" s="123"/>
      <c r="P160" s="123"/>
      <c r="Q160" s="123"/>
      <c r="R160" s="123"/>
      <c r="S160" s="123"/>
      <c r="T160" s="123"/>
      <c r="U160" s="123"/>
      <c r="V160" s="123"/>
      <c r="W160" s="123"/>
      <c r="X160" s="123"/>
      <c r="Y160" s="123"/>
      <c r="Z160" s="129"/>
    </row>
    <row r="161" spans="1:26" ht="15.75" hidden="1" customHeight="1" x14ac:dyDescent="0.25">
      <c r="A161" s="125"/>
      <c r="B161" s="122"/>
      <c r="C161" s="124"/>
      <c r="D161" s="124"/>
      <c r="E161" s="124"/>
      <c r="F161" s="123"/>
      <c r="G161" s="123"/>
      <c r="H161" s="123"/>
      <c r="I161" s="123"/>
      <c r="J161" s="165"/>
      <c r="K161" s="125"/>
      <c r="L161" s="123"/>
      <c r="M161" s="123"/>
      <c r="N161" s="123"/>
      <c r="O161" s="123"/>
      <c r="P161" s="123"/>
      <c r="Q161" s="123"/>
      <c r="R161" s="123"/>
      <c r="S161" s="123"/>
      <c r="T161" s="123"/>
      <c r="U161" s="123"/>
      <c r="V161" s="123"/>
      <c r="W161" s="123"/>
      <c r="X161" s="123"/>
      <c r="Y161" s="123"/>
      <c r="Z161" s="129"/>
    </row>
    <row r="162" spans="1:26" ht="15.75" hidden="1" customHeight="1" x14ac:dyDescent="0.25">
      <c r="A162" s="125"/>
      <c r="B162" s="122"/>
      <c r="C162" s="124"/>
      <c r="D162" s="124"/>
      <c r="E162" s="124"/>
      <c r="F162" s="123"/>
      <c r="G162" s="123"/>
      <c r="H162" s="123"/>
      <c r="I162" s="123"/>
      <c r="J162" s="165"/>
      <c r="K162" s="125"/>
      <c r="L162" s="123"/>
      <c r="M162" s="123"/>
      <c r="N162" s="123"/>
      <c r="O162" s="123"/>
      <c r="P162" s="123"/>
      <c r="Q162" s="123"/>
      <c r="R162" s="123"/>
      <c r="S162" s="123"/>
      <c r="T162" s="123"/>
      <c r="U162" s="123"/>
      <c r="V162" s="123"/>
      <c r="W162" s="123"/>
      <c r="X162" s="123"/>
      <c r="Y162" s="123"/>
      <c r="Z162" s="129"/>
    </row>
    <row r="163" spans="1:26" ht="15.75" hidden="1" customHeight="1" x14ac:dyDescent="0.25">
      <c r="A163" s="125"/>
      <c r="B163" s="122"/>
      <c r="C163" s="124"/>
      <c r="D163" s="124"/>
      <c r="E163" s="124"/>
      <c r="F163" s="123"/>
      <c r="G163" s="123"/>
      <c r="H163" s="123"/>
      <c r="I163" s="123"/>
      <c r="J163" s="165"/>
      <c r="K163" s="125"/>
      <c r="L163" s="123"/>
      <c r="M163" s="123"/>
      <c r="N163" s="123"/>
      <c r="O163" s="123"/>
      <c r="P163" s="123"/>
      <c r="Q163" s="123"/>
      <c r="R163" s="123"/>
      <c r="S163" s="123"/>
      <c r="T163" s="123"/>
      <c r="U163" s="123"/>
      <c r="V163" s="123"/>
      <c r="W163" s="123"/>
      <c r="X163" s="123"/>
      <c r="Y163" s="123"/>
      <c r="Z163" s="129"/>
    </row>
    <row r="164" spans="1:26" ht="15.75" hidden="1" customHeight="1" x14ac:dyDescent="0.25">
      <c r="A164" s="125"/>
      <c r="B164" s="122"/>
      <c r="C164" s="124"/>
      <c r="D164" s="124"/>
      <c r="E164" s="124"/>
      <c r="F164" s="123"/>
      <c r="G164" s="123"/>
      <c r="H164" s="123"/>
      <c r="I164" s="123"/>
      <c r="J164" s="165"/>
      <c r="K164" s="125"/>
      <c r="L164" s="123"/>
      <c r="M164" s="123"/>
      <c r="N164" s="123"/>
      <c r="O164" s="123"/>
      <c r="P164" s="123"/>
      <c r="Q164" s="123"/>
      <c r="R164" s="123"/>
      <c r="S164" s="123"/>
      <c r="T164" s="123"/>
      <c r="U164" s="123"/>
      <c r="V164" s="123"/>
      <c r="W164" s="123"/>
      <c r="X164" s="123"/>
      <c r="Y164" s="123"/>
      <c r="Z164" s="129"/>
    </row>
    <row r="165" spans="1:26" ht="15.75" hidden="1" customHeight="1" x14ac:dyDescent="0.25">
      <c r="A165" s="125"/>
      <c r="B165" s="122"/>
      <c r="C165" s="124"/>
      <c r="D165" s="124"/>
      <c r="E165" s="124"/>
      <c r="F165" s="123"/>
      <c r="G165" s="123"/>
      <c r="H165" s="123"/>
      <c r="I165" s="123"/>
      <c r="J165" s="165"/>
      <c r="K165" s="125"/>
      <c r="L165" s="123"/>
      <c r="M165" s="123"/>
      <c r="N165" s="123"/>
      <c r="O165" s="123"/>
      <c r="P165" s="123"/>
      <c r="Q165" s="123"/>
      <c r="R165" s="123"/>
      <c r="S165" s="123"/>
      <c r="T165" s="123"/>
      <c r="U165" s="123"/>
      <c r="V165" s="123"/>
      <c r="W165" s="123"/>
      <c r="X165" s="123"/>
      <c r="Y165" s="123"/>
      <c r="Z165" s="129"/>
    </row>
    <row r="166" spans="1:26" ht="15.75" hidden="1" customHeight="1" x14ac:dyDescent="0.25">
      <c r="A166" s="125"/>
      <c r="B166" s="122"/>
      <c r="C166" s="124"/>
      <c r="D166" s="124"/>
      <c r="E166" s="124"/>
      <c r="F166" s="123"/>
      <c r="G166" s="123"/>
      <c r="H166" s="123"/>
      <c r="I166" s="123"/>
      <c r="J166" s="165"/>
      <c r="K166" s="125"/>
      <c r="L166" s="123"/>
      <c r="M166" s="123"/>
      <c r="N166" s="123"/>
      <c r="O166" s="123"/>
      <c r="P166" s="123"/>
      <c r="Q166" s="123"/>
      <c r="R166" s="123"/>
      <c r="S166" s="123"/>
      <c r="T166" s="123"/>
      <c r="U166" s="123"/>
      <c r="V166" s="123"/>
      <c r="W166" s="123"/>
      <c r="X166" s="123"/>
      <c r="Y166" s="123"/>
      <c r="Z166" s="129"/>
    </row>
    <row r="167" spans="1:26" ht="15.75" hidden="1" customHeight="1" x14ac:dyDescent="0.25">
      <c r="A167" s="125"/>
      <c r="B167" s="122"/>
      <c r="C167" s="124"/>
      <c r="D167" s="124"/>
      <c r="E167" s="124"/>
      <c r="F167" s="123"/>
      <c r="G167" s="123"/>
      <c r="H167" s="123"/>
      <c r="I167" s="123"/>
      <c r="J167" s="165"/>
      <c r="K167" s="125"/>
      <c r="L167" s="123"/>
      <c r="M167" s="123"/>
      <c r="N167" s="123"/>
      <c r="O167" s="123"/>
      <c r="P167" s="123"/>
      <c r="Q167" s="123"/>
      <c r="R167" s="123"/>
      <c r="S167" s="123"/>
      <c r="T167" s="123"/>
      <c r="U167" s="123"/>
      <c r="V167" s="123"/>
      <c r="W167" s="123"/>
      <c r="X167" s="123"/>
      <c r="Y167" s="123"/>
      <c r="Z167" s="129"/>
    </row>
    <row r="168" spans="1:26" ht="15.75" hidden="1" customHeight="1" x14ac:dyDescent="0.25">
      <c r="A168" s="125"/>
      <c r="B168" s="122"/>
      <c r="C168" s="124"/>
      <c r="D168" s="124"/>
      <c r="E168" s="124"/>
      <c r="F168" s="123"/>
      <c r="G168" s="123"/>
      <c r="H168" s="123"/>
      <c r="I168" s="123"/>
      <c r="J168" s="165"/>
      <c r="K168" s="125"/>
      <c r="L168" s="123"/>
      <c r="M168" s="123"/>
      <c r="N168" s="123"/>
      <c r="O168" s="123"/>
      <c r="P168" s="123"/>
      <c r="Q168" s="123"/>
      <c r="R168" s="123"/>
      <c r="S168" s="123"/>
      <c r="T168" s="123"/>
      <c r="U168" s="123"/>
      <c r="V168" s="123"/>
      <c r="W168" s="123"/>
      <c r="X168" s="123"/>
      <c r="Y168" s="123"/>
      <c r="Z168" s="129"/>
    </row>
    <row r="169" spans="1:26" ht="15.75" hidden="1" customHeight="1" x14ac:dyDescent="0.25">
      <c r="A169" s="125"/>
      <c r="B169" s="122"/>
      <c r="C169" s="124"/>
      <c r="D169" s="124"/>
      <c r="E169" s="124"/>
      <c r="F169" s="123"/>
      <c r="G169" s="123"/>
      <c r="H169" s="123"/>
      <c r="I169" s="123"/>
      <c r="J169" s="165"/>
      <c r="K169" s="125"/>
      <c r="L169" s="123"/>
      <c r="M169" s="123"/>
      <c r="N169" s="123"/>
      <c r="O169" s="123"/>
      <c r="P169" s="123"/>
      <c r="Q169" s="123"/>
      <c r="R169" s="123"/>
      <c r="S169" s="123"/>
      <c r="T169" s="123"/>
      <c r="U169" s="123"/>
      <c r="V169" s="123"/>
      <c r="W169" s="123"/>
      <c r="X169" s="123"/>
      <c r="Y169" s="123"/>
      <c r="Z169" s="129"/>
    </row>
    <row r="170" spans="1:26" ht="15.75" hidden="1" customHeight="1" x14ac:dyDescent="0.25">
      <c r="A170" s="125"/>
      <c r="B170" s="122"/>
      <c r="C170" s="124"/>
      <c r="D170" s="124"/>
      <c r="E170" s="124"/>
      <c r="F170" s="123"/>
      <c r="G170" s="123"/>
      <c r="H170" s="123"/>
      <c r="I170" s="123"/>
      <c r="J170" s="165"/>
      <c r="K170" s="125"/>
      <c r="L170" s="123"/>
      <c r="M170" s="123"/>
      <c r="N170" s="123"/>
      <c r="O170" s="123"/>
      <c r="P170" s="123"/>
      <c r="Q170" s="123"/>
      <c r="R170" s="123"/>
      <c r="S170" s="123"/>
      <c r="T170" s="123"/>
      <c r="U170" s="123"/>
      <c r="V170" s="123"/>
      <c r="W170" s="123"/>
      <c r="X170" s="123"/>
      <c r="Y170" s="123"/>
      <c r="Z170" s="129"/>
    </row>
    <row r="171" spans="1:26" ht="15.75" hidden="1" customHeight="1" x14ac:dyDescent="0.25">
      <c r="A171" s="125"/>
      <c r="B171" s="122"/>
      <c r="C171" s="124"/>
      <c r="D171" s="124"/>
      <c r="E171" s="124"/>
      <c r="F171" s="123"/>
      <c r="G171" s="123"/>
      <c r="H171" s="123"/>
      <c r="I171" s="123"/>
      <c r="J171" s="165"/>
      <c r="K171" s="125"/>
      <c r="L171" s="123"/>
      <c r="M171" s="123"/>
      <c r="N171" s="123"/>
      <c r="O171" s="123"/>
      <c r="P171" s="123"/>
      <c r="Q171" s="123"/>
      <c r="R171" s="123"/>
      <c r="S171" s="123"/>
      <c r="T171" s="123"/>
      <c r="U171" s="123"/>
      <c r="V171" s="123"/>
      <c r="W171" s="123"/>
      <c r="X171" s="123"/>
      <c r="Y171" s="123"/>
      <c r="Z171" s="129"/>
    </row>
    <row r="172" spans="1:26" ht="15.75" hidden="1" customHeight="1" x14ac:dyDescent="0.25">
      <c r="A172" s="125"/>
      <c r="B172" s="122"/>
      <c r="C172" s="124"/>
      <c r="D172" s="124"/>
      <c r="E172" s="124"/>
      <c r="F172" s="123"/>
      <c r="G172" s="123"/>
      <c r="H172" s="123"/>
      <c r="I172" s="123"/>
      <c r="J172" s="165"/>
      <c r="K172" s="125"/>
      <c r="L172" s="123"/>
      <c r="M172" s="123"/>
      <c r="N172" s="123"/>
      <c r="O172" s="123"/>
      <c r="P172" s="123"/>
      <c r="Q172" s="123"/>
      <c r="R172" s="123"/>
      <c r="S172" s="123"/>
      <c r="T172" s="123"/>
      <c r="U172" s="123"/>
      <c r="V172" s="123"/>
      <c r="W172" s="123"/>
      <c r="X172" s="123"/>
      <c r="Y172" s="123"/>
      <c r="Z172" s="129"/>
    </row>
    <row r="173" spans="1:26" ht="15.75" hidden="1" customHeight="1" x14ac:dyDescent="0.25">
      <c r="A173" s="125"/>
      <c r="B173" s="122"/>
      <c r="C173" s="124"/>
      <c r="D173" s="124"/>
      <c r="E173" s="124"/>
      <c r="F173" s="123"/>
      <c r="G173" s="123"/>
      <c r="H173" s="123"/>
      <c r="I173" s="123"/>
      <c r="J173" s="165"/>
      <c r="K173" s="125"/>
      <c r="L173" s="123"/>
      <c r="M173" s="123"/>
      <c r="N173" s="123"/>
      <c r="O173" s="123"/>
      <c r="P173" s="123"/>
      <c r="Q173" s="123"/>
      <c r="R173" s="123"/>
      <c r="S173" s="123"/>
      <c r="T173" s="123"/>
      <c r="U173" s="123"/>
      <c r="V173" s="123"/>
      <c r="W173" s="123"/>
      <c r="X173" s="123"/>
      <c r="Y173" s="123"/>
      <c r="Z173" s="129"/>
    </row>
    <row r="174" spans="1:26" ht="15.75" hidden="1" customHeight="1" x14ac:dyDescent="0.25">
      <c r="A174" s="125"/>
      <c r="B174" s="122"/>
      <c r="C174" s="124"/>
      <c r="D174" s="124"/>
      <c r="E174" s="124"/>
      <c r="F174" s="123"/>
      <c r="G174" s="123"/>
      <c r="H174" s="123"/>
      <c r="I174" s="123"/>
      <c r="J174" s="165"/>
      <c r="K174" s="125"/>
      <c r="L174" s="123"/>
      <c r="M174" s="123"/>
      <c r="N174" s="123"/>
      <c r="O174" s="123"/>
      <c r="P174" s="123"/>
      <c r="Q174" s="123"/>
      <c r="R174" s="123"/>
      <c r="S174" s="123"/>
      <c r="T174" s="123"/>
      <c r="U174" s="123"/>
      <c r="V174" s="123"/>
      <c r="W174" s="123"/>
      <c r="X174" s="123"/>
      <c r="Y174" s="123"/>
      <c r="Z174" s="129"/>
    </row>
    <row r="175" spans="1:26" ht="15.75" hidden="1" customHeight="1" x14ac:dyDescent="0.25">
      <c r="A175" s="125"/>
      <c r="B175" s="122"/>
      <c r="C175" s="124"/>
      <c r="D175" s="124"/>
      <c r="E175" s="124"/>
      <c r="F175" s="123"/>
      <c r="G175" s="123"/>
      <c r="H175" s="123"/>
      <c r="I175" s="123"/>
      <c r="J175" s="165"/>
      <c r="K175" s="125"/>
      <c r="L175" s="123"/>
      <c r="M175" s="123"/>
      <c r="N175" s="123"/>
      <c r="O175" s="123"/>
      <c r="P175" s="123"/>
      <c r="Q175" s="123"/>
      <c r="R175" s="123"/>
      <c r="S175" s="123"/>
      <c r="T175" s="123"/>
      <c r="U175" s="123"/>
      <c r="V175" s="123"/>
      <c r="W175" s="123"/>
      <c r="X175" s="123"/>
      <c r="Y175" s="123"/>
      <c r="Z175" s="129"/>
    </row>
    <row r="176" spans="1:26" ht="15.75" hidden="1" customHeight="1" x14ac:dyDescent="0.25">
      <c r="A176" s="125"/>
      <c r="B176" s="122"/>
      <c r="C176" s="124"/>
      <c r="D176" s="124"/>
      <c r="E176" s="124"/>
      <c r="F176" s="123"/>
      <c r="G176" s="123"/>
      <c r="H176" s="123"/>
      <c r="I176" s="123"/>
      <c r="J176" s="165"/>
      <c r="K176" s="125"/>
      <c r="L176" s="123"/>
      <c r="M176" s="123"/>
      <c r="N176" s="123"/>
      <c r="O176" s="123"/>
      <c r="P176" s="123"/>
      <c r="Q176" s="123"/>
      <c r="R176" s="123"/>
      <c r="S176" s="123"/>
      <c r="T176" s="123"/>
      <c r="U176" s="123"/>
      <c r="V176" s="123"/>
      <c r="W176" s="123"/>
      <c r="X176" s="123"/>
      <c r="Y176" s="123"/>
      <c r="Z176" s="129"/>
    </row>
    <row r="177" spans="1:26" ht="15.75" hidden="1" customHeight="1" x14ac:dyDescent="0.25">
      <c r="A177" s="125"/>
      <c r="B177" s="122"/>
      <c r="C177" s="124"/>
      <c r="D177" s="124"/>
      <c r="E177" s="124"/>
      <c r="F177" s="123"/>
      <c r="G177" s="123"/>
      <c r="H177" s="123"/>
      <c r="I177" s="123"/>
      <c r="J177" s="165"/>
      <c r="K177" s="125"/>
      <c r="L177" s="123"/>
      <c r="M177" s="123"/>
      <c r="N177" s="123"/>
      <c r="O177" s="123"/>
      <c r="P177" s="123"/>
      <c r="Q177" s="123"/>
      <c r="R177" s="123"/>
      <c r="S177" s="123"/>
      <c r="T177" s="123"/>
      <c r="U177" s="123"/>
      <c r="V177" s="123"/>
      <c r="W177" s="123"/>
      <c r="X177" s="123"/>
      <c r="Y177" s="123"/>
      <c r="Z177" s="129"/>
    </row>
    <row r="178" spans="1:26" ht="15.75" hidden="1" customHeight="1" x14ac:dyDescent="0.25">
      <c r="A178" s="125"/>
      <c r="B178" s="122"/>
      <c r="C178" s="124"/>
      <c r="D178" s="124"/>
      <c r="E178" s="124"/>
      <c r="F178" s="123"/>
      <c r="G178" s="123"/>
      <c r="H178" s="123"/>
      <c r="I178" s="123"/>
      <c r="J178" s="165"/>
      <c r="K178" s="125"/>
      <c r="L178" s="123"/>
      <c r="M178" s="123"/>
      <c r="N178" s="123"/>
      <c r="O178" s="123"/>
      <c r="P178" s="123"/>
      <c r="Q178" s="123"/>
      <c r="R178" s="123"/>
      <c r="S178" s="123"/>
      <c r="T178" s="123"/>
      <c r="U178" s="123"/>
      <c r="V178" s="123"/>
      <c r="W178" s="123"/>
      <c r="X178" s="123"/>
      <c r="Y178" s="123"/>
      <c r="Z178" s="129"/>
    </row>
    <row r="179" spans="1:26" ht="15.75" hidden="1" customHeight="1" x14ac:dyDescent="0.25">
      <c r="A179" s="125"/>
      <c r="B179" s="122"/>
      <c r="C179" s="124"/>
      <c r="D179" s="124"/>
      <c r="E179" s="124"/>
      <c r="F179" s="123"/>
      <c r="G179" s="123"/>
      <c r="H179" s="123"/>
      <c r="I179" s="123"/>
      <c r="J179" s="165"/>
      <c r="K179" s="125"/>
      <c r="L179" s="123"/>
      <c r="M179" s="123"/>
      <c r="N179" s="123"/>
      <c r="O179" s="123"/>
      <c r="P179" s="123"/>
      <c r="Q179" s="123"/>
      <c r="R179" s="123"/>
      <c r="S179" s="123"/>
      <c r="T179" s="123"/>
      <c r="U179" s="123"/>
      <c r="V179" s="123"/>
      <c r="W179" s="123"/>
      <c r="X179" s="123"/>
      <c r="Y179" s="123"/>
      <c r="Z179" s="129"/>
    </row>
    <row r="180" spans="1:26" ht="15.75" hidden="1" customHeight="1" x14ac:dyDescent="0.25">
      <c r="A180" s="125"/>
      <c r="B180" s="122"/>
      <c r="C180" s="124"/>
      <c r="D180" s="124"/>
      <c r="E180" s="124"/>
      <c r="F180" s="123"/>
      <c r="G180" s="123"/>
      <c r="H180" s="123"/>
      <c r="I180" s="123"/>
      <c r="J180" s="165"/>
      <c r="K180" s="125"/>
      <c r="L180" s="123"/>
      <c r="M180" s="123"/>
      <c r="N180" s="123"/>
      <c r="O180" s="123"/>
      <c r="P180" s="123"/>
      <c r="Q180" s="123"/>
      <c r="R180" s="123"/>
      <c r="S180" s="123"/>
      <c r="T180" s="123"/>
      <c r="U180" s="123"/>
      <c r="V180" s="123"/>
      <c r="W180" s="123"/>
      <c r="X180" s="123"/>
      <c r="Y180" s="123"/>
      <c r="Z180" s="129"/>
    </row>
    <row r="181" spans="1:26" ht="15.75" hidden="1" customHeight="1" x14ac:dyDescent="0.25">
      <c r="A181" s="125"/>
      <c r="B181" s="122"/>
      <c r="C181" s="124"/>
      <c r="D181" s="124"/>
      <c r="E181" s="124"/>
      <c r="F181" s="123"/>
      <c r="G181" s="123"/>
      <c r="H181" s="123"/>
      <c r="I181" s="123"/>
      <c r="J181" s="165"/>
      <c r="K181" s="125"/>
      <c r="L181" s="123"/>
      <c r="M181" s="123"/>
      <c r="N181" s="123"/>
      <c r="O181" s="123"/>
      <c r="P181" s="123"/>
      <c r="Q181" s="123"/>
      <c r="R181" s="123"/>
      <c r="S181" s="123"/>
      <c r="T181" s="123"/>
      <c r="U181" s="123"/>
      <c r="V181" s="123"/>
      <c r="W181" s="123"/>
      <c r="X181" s="123"/>
      <c r="Y181" s="123"/>
      <c r="Z181" s="129"/>
    </row>
    <row r="182" spans="1:26" ht="15.75" hidden="1" customHeight="1" x14ac:dyDescent="0.25">
      <c r="A182" s="125"/>
      <c r="B182" s="122"/>
      <c r="C182" s="124"/>
      <c r="D182" s="124"/>
      <c r="E182" s="124"/>
      <c r="F182" s="123"/>
      <c r="G182" s="123"/>
      <c r="H182" s="123"/>
      <c r="I182" s="123"/>
      <c r="J182" s="165"/>
      <c r="K182" s="125"/>
      <c r="L182" s="123"/>
      <c r="M182" s="123"/>
      <c r="N182" s="123"/>
      <c r="O182" s="123"/>
      <c r="P182" s="123"/>
      <c r="Q182" s="123"/>
      <c r="R182" s="123"/>
      <c r="S182" s="123"/>
      <c r="T182" s="123"/>
      <c r="U182" s="123"/>
      <c r="V182" s="123"/>
      <c r="W182" s="123"/>
      <c r="X182" s="123"/>
      <c r="Y182" s="123"/>
      <c r="Z182" s="129"/>
    </row>
    <row r="183" spans="1:26" ht="15.75" hidden="1" customHeight="1" x14ac:dyDescent="0.25">
      <c r="A183" s="125"/>
      <c r="B183" s="122"/>
      <c r="C183" s="124"/>
      <c r="D183" s="124"/>
      <c r="E183" s="124"/>
      <c r="F183" s="123"/>
      <c r="G183" s="123"/>
      <c r="H183" s="123"/>
      <c r="I183" s="123"/>
      <c r="J183" s="165"/>
      <c r="K183" s="125"/>
      <c r="L183" s="123"/>
      <c r="M183" s="123"/>
      <c r="N183" s="123"/>
      <c r="O183" s="123"/>
      <c r="P183" s="123"/>
      <c r="Q183" s="123"/>
      <c r="R183" s="123"/>
      <c r="S183" s="123"/>
      <c r="T183" s="123"/>
      <c r="U183" s="123"/>
      <c r="V183" s="123"/>
      <c r="W183" s="123"/>
      <c r="X183" s="123"/>
      <c r="Y183" s="123"/>
      <c r="Z183" s="129"/>
    </row>
    <row r="184" spans="1:26" ht="15.75" hidden="1" customHeight="1" x14ac:dyDescent="0.25">
      <c r="A184" s="125"/>
      <c r="B184" s="122"/>
      <c r="C184" s="124"/>
      <c r="D184" s="124"/>
      <c r="E184" s="124"/>
      <c r="F184" s="123"/>
      <c r="G184" s="123"/>
      <c r="H184" s="123"/>
      <c r="I184" s="123"/>
      <c r="J184" s="165"/>
      <c r="K184" s="125"/>
      <c r="L184" s="123"/>
      <c r="M184" s="123"/>
      <c r="N184" s="123"/>
      <c r="O184" s="123"/>
      <c r="P184" s="123"/>
      <c r="Q184" s="123"/>
      <c r="R184" s="123"/>
      <c r="S184" s="123"/>
      <c r="T184" s="123"/>
      <c r="U184" s="123"/>
      <c r="V184" s="123"/>
      <c r="W184" s="123"/>
      <c r="X184" s="123"/>
      <c r="Y184" s="123"/>
      <c r="Z184" s="129"/>
    </row>
    <row r="185" spans="1:26" ht="15.75" hidden="1" customHeight="1" x14ac:dyDescent="0.25">
      <c r="A185" s="125"/>
      <c r="B185" s="122"/>
      <c r="C185" s="124"/>
      <c r="D185" s="124"/>
      <c r="E185" s="124"/>
      <c r="F185" s="123"/>
      <c r="G185" s="123"/>
      <c r="H185" s="123"/>
      <c r="I185" s="123"/>
      <c r="J185" s="165"/>
      <c r="K185" s="125"/>
      <c r="L185" s="123"/>
      <c r="M185" s="123"/>
      <c r="N185" s="123"/>
      <c r="O185" s="123"/>
      <c r="P185" s="123"/>
      <c r="Q185" s="123"/>
      <c r="R185" s="123"/>
      <c r="S185" s="123"/>
      <c r="T185" s="123"/>
      <c r="U185" s="123"/>
      <c r="V185" s="123"/>
      <c r="W185" s="123"/>
      <c r="X185" s="123"/>
      <c r="Y185" s="123"/>
      <c r="Z185" s="129"/>
    </row>
    <row r="186" spans="1:26" ht="15.75" hidden="1" customHeight="1" x14ac:dyDescent="0.25">
      <c r="A186" s="125"/>
      <c r="B186" s="122"/>
      <c r="C186" s="124"/>
      <c r="D186" s="124"/>
      <c r="E186" s="124"/>
      <c r="F186" s="123"/>
      <c r="G186" s="123"/>
      <c r="H186" s="123"/>
      <c r="I186" s="123"/>
      <c r="J186" s="165"/>
      <c r="K186" s="125"/>
      <c r="L186" s="123"/>
      <c r="M186" s="123"/>
      <c r="N186" s="123"/>
      <c r="O186" s="123"/>
      <c r="P186" s="123"/>
      <c r="Q186" s="123"/>
      <c r="R186" s="123"/>
      <c r="S186" s="123"/>
      <c r="T186" s="123"/>
      <c r="U186" s="123"/>
      <c r="V186" s="123"/>
      <c r="W186" s="123"/>
      <c r="X186" s="123"/>
      <c r="Y186" s="123"/>
      <c r="Z186" s="129"/>
    </row>
    <row r="187" spans="1:26" ht="15.75" hidden="1" customHeight="1" x14ac:dyDescent="0.25">
      <c r="A187" s="125"/>
      <c r="B187" s="122"/>
      <c r="C187" s="124"/>
      <c r="D187" s="124"/>
      <c r="E187" s="124"/>
      <c r="F187" s="123"/>
      <c r="G187" s="123"/>
      <c r="H187" s="123"/>
      <c r="I187" s="123"/>
      <c r="J187" s="165"/>
      <c r="K187" s="125"/>
      <c r="L187" s="123"/>
      <c r="M187" s="123"/>
      <c r="N187" s="123"/>
      <c r="O187" s="123"/>
      <c r="P187" s="123"/>
      <c r="Q187" s="123"/>
      <c r="R187" s="123"/>
      <c r="S187" s="123"/>
      <c r="T187" s="123"/>
      <c r="U187" s="123"/>
      <c r="V187" s="123"/>
      <c r="W187" s="123"/>
      <c r="X187" s="123"/>
      <c r="Y187" s="123"/>
      <c r="Z187" s="129"/>
    </row>
    <row r="188" spans="1:26" ht="15.75" hidden="1" customHeight="1" x14ac:dyDescent="0.25">
      <c r="A188" s="125"/>
      <c r="B188" s="122"/>
      <c r="C188" s="124"/>
      <c r="D188" s="124"/>
      <c r="E188" s="124"/>
      <c r="F188" s="123"/>
      <c r="G188" s="123"/>
      <c r="H188" s="123"/>
      <c r="I188" s="123"/>
      <c r="J188" s="165"/>
      <c r="K188" s="125"/>
      <c r="L188" s="123"/>
      <c r="M188" s="123"/>
      <c r="N188" s="123"/>
      <c r="O188" s="123"/>
      <c r="P188" s="123"/>
      <c r="Q188" s="123"/>
      <c r="R188" s="123"/>
      <c r="S188" s="123"/>
      <c r="T188" s="123"/>
      <c r="U188" s="123"/>
      <c r="V188" s="123"/>
      <c r="W188" s="123"/>
      <c r="X188" s="123"/>
      <c r="Y188" s="123"/>
      <c r="Z188" s="129"/>
    </row>
    <row r="189" spans="1:26" ht="15.75" hidden="1" customHeight="1" x14ac:dyDescent="0.25">
      <c r="A189" s="125"/>
      <c r="B189" s="122"/>
      <c r="C189" s="124"/>
      <c r="D189" s="124"/>
      <c r="E189" s="124"/>
      <c r="F189" s="123"/>
      <c r="G189" s="123"/>
      <c r="H189" s="123"/>
      <c r="I189" s="123"/>
      <c r="J189" s="165"/>
      <c r="K189" s="125"/>
      <c r="L189" s="123"/>
      <c r="M189" s="123"/>
      <c r="N189" s="123"/>
      <c r="O189" s="123"/>
      <c r="P189" s="123"/>
      <c r="Q189" s="123"/>
      <c r="R189" s="123"/>
      <c r="S189" s="123"/>
      <c r="T189" s="123"/>
      <c r="U189" s="123"/>
      <c r="V189" s="123"/>
      <c r="W189" s="123"/>
      <c r="X189" s="123"/>
      <c r="Y189" s="123"/>
      <c r="Z189" s="129"/>
    </row>
    <row r="190" spans="1:26" ht="15.75" hidden="1" customHeight="1" x14ac:dyDescent="0.25">
      <c r="A190" s="125"/>
      <c r="B190" s="122"/>
      <c r="C190" s="124"/>
      <c r="D190" s="124"/>
      <c r="E190" s="124"/>
      <c r="F190" s="123"/>
      <c r="G190" s="123"/>
      <c r="H190" s="123"/>
      <c r="I190" s="123"/>
      <c r="J190" s="165"/>
      <c r="K190" s="125"/>
      <c r="L190" s="123"/>
      <c r="M190" s="123"/>
      <c r="N190" s="123"/>
      <c r="O190" s="123"/>
      <c r="P190" s="123"/>
      <c r="Q190" s="123"/>
      <c r="R190" s="123"/>
      <c r="S190" s="123"/>
      <c r="T190" s="123"/>
      <c r="U190" s="123"/>
      <c r="V190" s="123"/>
      <c r="W190" s="123"/>
      <c r="X190" s="123"/>
      <c r="Y190" s="123"/>
      <c r="Z190" s="129"/>
    </row>
    <row r="191" spans="1:26" ht="15.75" hidden="1" customHeight="1" x14ac:dyDescent="0.25">
      <c r="A191" s="125"/>
      <c r="B191" s="122"/>
      <c r="C191" s="124"/>
      <c r="D191" s="124"/>
      <c r="E191" s="124"/>
      <c r="F191" s="123"/>
      <c r="G191" s="123"/>
      <c r="H191" s="123"/>
      <c r="I191" s="123"/>
      <c r="J191" s="165"/>
      <c r="K191" s="125"/>
      <c r="L191" s="123"/>
      <c r="M191" s="123"/>
      <c r="N191" s="123"/>
      <c r="O191" s="123"/>
      <c r="P191" s="123"/>
      <c r="Q191" s="123"/>
      <c r="R191" s="123"/>
      <c r="S191" s="123"/>
      <c r="T191" s="123"/>
      <c r="U191" s="123"/>
      <c r="V191" s="123"/>
      <c r="W191" s="123"/>
      <c r="X191" s="123"/>
      <c r="Y191" s="123"/>
      <c r="Z191" s="129"/>
    </row>
    <row r="192" spans="1:26" ht="15.75" hidden="1" customHeight="1" x14ac:dyDescent="0.25">
      <c r="A192" s="125"/>
      <c r="B192" s="122"/>
      <c r="C192" s="124"/>
      <c r="D192" s="124"/>
      <c r="E192" s="124"/>
      <c r="F192" s="123"/>
      <c r="G192" s="123"/>
      <c r="H192" s="123"/>
      <c r="I192" s="123"/>
      <c r="J192" s="165"/>
      <c r="K192" s="125"/>
      <c r="L192" s="123"/>
      <c r="M192" s="123"/>
      <c r="N192" s="123"/>
      <c r="O192" s="123"/>
      <c r="P192" s="123"/>
      <c r="Q192" s="123"/>
      <c r="R192" s="123"/>
      <c r="S192" s="123"/>
      <c r="T192" s="123"/>
      <c r="U192" s="123"/>
      <c r="V192" s="123"/>
      <c r="W192" s="123"/>
      <c r="X192" s="123"/>
      <c r="Y192" s="123"/>
      <c r="Z192" s="129"/>
    </row>
    <row r="193" spans="1:26" ht="15.75" hidden="1" customHeight="1" x14ac:dyDescent="0.25">
      <c r="A193" s="125"/>
      <c r="B193" s="122"/>
      <c r="C193" s="124"/>
      <c r="D193" s="124"/>
      <c r="E193" s="124"/>
      <c r="F193" s="123"/>
      <c r="G193" s="123"/>
      <c r="H193" s="123"/>
      <c r="I193" s="123"/>
      <c r="J193" s="165"/>
      <c r="K193" s="125"/>
      <c r="L193" s="123"/>
      <c r="M193" s="123"/>
      <c r="N193" s="123"/>
      <c r="O193" s="123"/>
      <c r="P193" s="123"/>
      <c r="Q193" s="123"/>
      <c r="R193" s="123"/>
      <c r="S193" s="123"/>
      <c r="T193" s="123"/>
      <c r="U193" s="123"/>
      <c r="V193" s="123"/>
      <c r="W193" s="123"/>
      <c r="X193" s="123"/>
      <c r="Y193" s="123"/>
      <c r="Z193" s="129"/>
    </row>
    <row r="194" spans="1:26" ht="15.75" hidden="1" customHeight="1" x14ac:dyDescent="0.25">
      <c r="A194" s="125"/>
      <c r="B194" s="122"/>
      <c r="C194" s="124"/>
      <c r="D194" s="124"/>
      <c r="E194" s="124"/>
      <c r="F194" s="123"/>
      <c r="G194" s="123"/>
      <c r="H194" s="123"/>
      <c r="I194" s="123"/>
      <c r="J194" s="165"/>
      <c r="K194" s="125"/>
      <c r="L194" s="123"/>
      <c r="M194" s="123"/>
      <c r="N194" s="123"/>
      <c r="O194" s="123"/>
      <c r="P194" s="123"/>
      <c r="Q194" s="123"/>
      <c r="R194" s="123"/>
      <c r="S194" s="123"/>
      <c r="T194" s="123"/>
      <c r="U194" s="123"/>
      <c r="V194" s="123"/>
      <c r="W194" s="123"/>
      <c r="X194" s="123"/>
      <c r="Y194" s="123"/>
      <c r="Z194" s="129"/>
    </row>
    <row r="195" spans="1:26" ht="15.75" hidden="1" customHeight="1" x14ac:dyDescent="0.25">
      <c r="A195" s="125"/>
      <c r="B195" s="122"/>
      <c r="C195" s="124"/>
      <c r="D195" s="124"/>
      <c r="E195" s="124"/>
      <c r="F195" s="123"/>
      <c r="G195" s="123"/>
      <c r="H195" s="123"/>
      <c r="I195" s="123"/>
      <c r="J195" s="165"/>
      <c r="K195" s="125"/>
      <c r="L195" s="123"/>
      <c r="M195" s="123"/>
      <c r="N195" s="123"/>
      <c r="O195" s="123"/>
      <c r="P195" s="123"/>
      <c r="Q195" s="123"/>
      <c r="R195" s="123"/>
      <c r="S195" s="123"/>
      <c r="T195" s="123"/>
      <c r="U195" s="123"/>
      <c r="V195" s="123"/>
      <c r="W195" s="123"/>
      <c r="X195" s="123"/>
      <c r="Y195" s="123"/>
      <c r="Z195" s="129"/>
    </row>
    <row r="196" spans="1:26" ht="15.75" hidden="1" customHeight="1" x14ac:dyDescent="0.25">
      <c r="A196" s="125"/>
      <c r="B196" s="122"/>
      <c r="C196" s="124"/>
      <c r="D196" s="124"/>
      <c r="E196" s="124"/>
      <c r="F196" s="123"/>
      <c r="G196" s="123"/>
      <c r="H196" s="123"/>
      <c r="I196" s="123"/>
      <c r="J196" s="165"/>
      <c r="K196" s="125"/>
      <c r="L196" s="123"/>
      <c r="M196" s="123"/>
      <c r="N196" s="123"/>
      <c r="O196" s="123"/>
      <c r="P196" s="123"/>
      <c r="Q196" s="123"/>
      <c r="R196" s="123"/>
      <c r="S196" s="123"/>
      <c r="T196" s="123"/>
      <c r="U196" s="123"/>
      <c r="V196" s="123"/>
      <c r="W196" s="123"/>
      <c r="X196" s="123"/>
      <c r="Y196" s="123"/>
      <c r="Z196" s="129"/>
    </row>
    <row r="197" spans="1:26" ht="15.75" hidden="1" customHeight="1" x14ac:dyDescent="0.25">
      <c r="A197" s="125"/>
      <c r="B197" s="122"/>
      <c r="C197" s="124"/>
      <c r="D197" s="124"/>
      <c r="E197" s="124"/>
      <c r="F197" s="123"/>
      <c r="G197" s="123"/>
      <c r="H197" s="123"/>
      <c r="I197" s="123"/>
      <c r="J197" s="165"/>
      <c r="K197" s="125"/>
      <c r="L197" s="123"/>
      <c r="M197" s="123"/>
      <c r="N197" s="123"/>
      <c r="O197" s="123"/>
      <c r="P197" s="123"/>
      <c r="Q197" s="123"/>
      <c r="R197" s="123"/>
      <c r="S197" s="123"/>
      <c r="T197" s="123"/>
      <c r="U197" s="123"/>
      <c r="V197" s="123"/>
      <c r="W197" s="123"/>
      <c r="X197" s="123"/>
      <c r="Y197" s="123"/>
      <c r="Z197" s="129"/>
    </row>
    <row r="198" spans="1:26" ht="15.75" hidden="1" customHeight="1" x14ac:dyDescent="0.25">
      <c r="A198" s="125"/>
      <c r="B198" s="122"/>
      <c r="C198" s="124"/>
      <c r="D198" s="124"/>
      <c r="E198" s="124"/>
      <c r="F198" s="123"/>
      <c r="G198" s="123"/>
      <c r="H198" s="123"/>
      <c r="I198" s="123"/>
      <c r="J198" s="165"/>
      <c r="K198" s="125"/>
      <c r="L198" s="123"/>
      <c r="M198" s="123"/>
      <c r="N198" s="123"/>
      <c r="O198" s="123"/>
      <c r="P198" s="123"/>
      <c r="Q198" s="123"/>
      <c r="R198" s="123"/>
      <c r="S198" s="123"/>
      <c r="T198" s="123"/>
      <c r="U198" s="123"/>
      <c r="V198" s="123"/>
      <c r="W198" s="123"/>
      <c r="X198" s="123"/>
      <c r="Y198" s="123"/>
      <c r="Z198" s="129"/>
    </row>
    <row r="199" spans="1:26" ht="15.75" hidden="1" customHeight="1" x14ac:dyDescent="0.25">
      <c r="A199" s="125"/>
      <c r="B199" s="122"/>
      <c r="C199" s="124"/>
      <c r="D199" s="124"/>
      <c r="E199" s="124"/>
      <c r="F199" s="123"/>
      <c r="G199" s="123"/>
      <c r="H199" s="123"/>
      <c r="I199" s="123"/>
      <c r="J199" s="165"/>
      <c r="K199" s="125"/>
      <c r="L199" s="123"/>
      <c r="M199" s="123"/>
      <c r="N199" s="123"/>
      <c r="O199" s="123"/>
      <c r="P199" s="123"/>
      <c r="Q199" s="123"/>
      <c r="R199" s="123"/>
      <c r="S199" s="123"/>
      <c r="T199" s="123"/>
      <c r="U199" s="123"/>
      <c r="V199" s="123"/>
      <c r="W199" s="123"/>
      <c r="X199" s="123"/>
      <c r="Y199" s="123"/>
      <c r="Z199" s="129"/>
    </row>
    <row r="200" spans="1:26" ht="15.75" hidden="1" customHeight="1" x14ac:dyDescent="0.25">
      <c r="A200" s="125"/>
      <c r="B200" s="122"/>
      <c r="C200" s="124"/>
      <c r="D200" s="124"/>
      <c r="E200" s="124"/>
      <c r="F200" s="123"/>
      <c r="G200" s="123"/>
      <c r="H200" s="123"/>
      <c r="I200" s="123"/>
      <c r="J200" s="165"/>
      <c r="K200" s="125"/>
      <c r="L200" s="123"/>
      <c r="M200" s="123"/>
      <c r="N200" s="123"/>
      <c r="O200" s="123"/>
      <c r="P200" s="123"/>
      <c r="Q200" s="123"/>
      <c r="R200" s="123"/>
      <c r="S200" s="123"/>
      <c r="T200" s="123"/>
      <c r="U200" s="123"/>
      <c r="V200" s="123"/>
      <c r="W200" s="123"/>
      <c r="X200" s="123"/>
      <c r="Y200" s="123"/>
      <c r="Z200" s="129"/>
    </row>
    <row r="201" spans="1:26" ht="15.75" hidden="1" customHeight="1" x14ac:dyDescent="0.25">
      <c r="A201" s="125"/>
      <c r="B201" s="122"/>
      <c r="C201" s="124"/>
      <c r="D201" s="124"/>
      <c r="E201" s="124"/>
      <c r="F201" s="123"/>
      <c r="G201" s="123"/>
      <c r="H201" s="123"/>
      <c r="I201" s="123"/>
      <c r="J201" s="165"/>
      <c r="K201" s="125"/>
      <c r="L201" s="123"/>
      <c r="M201" s="123"/>
      <c r="N201" s="123"/>
      <c r="O201" s="123"/>
      <c r="P201" s="123"/>
      <c r="Q201" s="123"/>
      <c r="R201" s="123"/>
      <c r="S201" s="123"/>
      <c r="T201" s="123"/>
      <c r="U201" s="123"/>
      <c r="V201" s="123"/>
      <c r="W201" s="123"/>
      <c r="X201" s="123"/>
      <c r="Y201" s="123"/>
      <c r="Z201" s="129"/>
    </row>
    <row r="202" spans="1:26" ht="15.75" hidden="1" customHeight="1" x14ac:dyDescent="0.25">
      <c r="A202" s="125"/>
      <c r="B202" s="122"/>
      <c r="C202" s="124"/>
      <c r="D202" s="124"/>
      <c r="E202" s="124"/>
      <c r="F202" s="123"/>
      <c r="G202" s="123"/>
      <c r="H202" s="123"/>
      <c r="I202" s="123"/>
      <c r="J202" s="165"/>
      <c r="K202" s="125"/>
      <c r="L202" s="123"/>
      <c r="M202" s="123"/>
      <c r="N202" s="123"/>
      <c r="O202" s="123"/>
      <c r="P202" s="123"/>
      <c r="Q202" s="123"/>
      <c r="R202" s="123"/>
      <c r="S202" s="123"/>
      <c r="T202" s="123"/>
      <c r="U202" s="123"/>
      <c r="V202" s="123"/>
      <c r="W202" s="123"/>
      <c r="X202" s="123"/>
      <c r="Y202" s="123"/>
      <c r="Z202" s="129"/>
    </row>
    <row r="203" spans="1:26" ht="15.75" hidden="1" customHeight="1" x14ac:dyDescent="0.25">
      <c r="A203" s="125"/>
      <c r="B203" s="122"/>
      <c r="C203" s="124"/>
      <c r="D203" s="124"/>
      <c r="E203" s="124"/>
      <c r="F203" s="123"/>
      <c r="G203" s="123"/>
      <c r="H203" s="123"/>
      <c r="I203" s="123"/>
      <c r="J203" s="165"/>
      <c r="K203" s="125"/>
      <c r="L203" s="123"/>
      <c r="M203" s="123"/>
      <c r="N203" s="123"/>
      <c r="O203" s="123"/>
      <c r="P203" s="123"/>
      <c r="Q203" s="123"/>
      <c r="R203" s="123"/>
      <c r="S203" s="123"/>
      <c r="T203" s="123"/>
      <c r="U203" s="123"/>
      <c r="V203" s="123"/>
      <c r="W203" s="123"/>
      <c r="X203" s="123"/>
      <c r="Y203" s="123"/>
      <c r="Z203" s="129"/>
    </row>
    <row r="204" spans="1:26" ht="15.75" hidden="1" customHeight="1" x14ac:dyDescent="0.25">
      <c r="A204" s="125"/>
      <c r="B204" s="122"/>
      <c r="C204" s="124"/>
      <c r="D204" s="124"/>
      <c r="E204" s="124"/>
      <c r="F204" s="123"/>
      <c r="G204" s="123"/>
      <c r="H204" s="123"/>
      <c r="I204" s="123"/>
      <c r="J204" s="165"/>
      <c r="K204" s="125"/>
      <c r="L204" s="123"/>
      <c r="M204" s="123"/>
      <c r="N204" s="123"/>
      <c r="O204" s="123"/>
      <c r="P204" s="123"/>
      <c r="Q204" s="123"/>
      <c r="R204" s="123"/>
      <c r="S204" s="123"/>
      <c r="T204" s="123"/>
      <c r="U204" s="123"/>
      <c r="V204" s="123"/>
      <c r="W204" s="123"/>
      <c r="X204" s="123"/>
      <c r="Y204" s="123"/>
      <c r="Z204" s="129"/>
    </row>
    <row r="205" spans="1:26" ht="15.75" hidden="1" customHeight="1" x14ac:dyDescent="0.25">
      <c r="A205" s="125"/>
      <c r="B205" s="122"/>
      <c r="C205" s="124"/>
      <c r="D205" s="124"/>
      <c r="E205" s="124"/>
      <c r="F205" s="123"/>
      <c r="G205" s="123"/>
      <c r="H205" s="123"/>
      <c r="I205" s="123"/>
      <c r="J205" s="165"/>
      <c r="K205" s="125"/>
      <c r="L205" s="123"/>
      <c r="M205" s="123"/>
      <c r="N205" s="123"/>
      <c r="O205" s="123"/>
      <c r="P205" s="123"/>
      <c r="Q205" s="123"/>
      <c r="R205" s="123"/>
      <c r="S205" s="123"/>
      <c r="T205" s="123"/>
      <c r="U205" s="123"/>
      <c r="V205" s="123"/>
      <c r="W205" s="123"/>
      <c r="X205" s="123"/>
      <c r="Y205" s="123"/>
      <c r="Z205" s="129"/>
    </row>
    <row r="206" spans="1:26" ht="15.75" hidden="1" customHeight="1" x14ac:dyDescent="0.25">
      <c r="A206" s="125"/>
      <c r="B206" s="122"/>
      <c r="C206" s="124"/>
      <c r="D206" s="124"/>
      <c r="E206" s="124"/>
      <c r="F206" s="123"/>
      <c r="G206" s="123"/>
      <c r="H206" s="123"/>
      <c r="I206" s="123"/>
      <c r="J206" s="165"/>
      <c r="K206" s="125"/>
      <c r="L206" s="123"/>
      <c r="M206" s="123"/>
      <c r="N206" s="123"/>
      <c r="O206" s="123"/>
      <c r="P206" s="123"/>
      <c r="Q206" s="123"/>
      <c r="R206" s="123"/>
      <c r="S206" s="123"/>
      <c r="T206" s="123"/>
      <c r="U206" s="123"/>
      <c r="V206" s="123"/>
      <c r="W206" s="123"/>
      <c r="X206" s="123"/>
      <c r="Y206" s="123"/>
      <c r="Z206" s="129"/>
    </row>
    <row r="207" spans="1:26" ht="15.75" hidden="1" customHeight="1" x14ac:dyDescent="0.25">
      <c r="A207" s="125"/>
      <c r="B207" s="122"/>
      <c r="C207" s="124"/>
      <c r="D207" s="124"/>
      <c r="E207" s="124"/>
      <c r="F207" s="123"/>
      <c r="G207" s="123"/>
      <c r="H207" s="123"/>
      <c r="I207" s="123"/>
      <c r="J207" s="165"/>
      <c r="K207" s="125"/>
      <c r="L207" s="123"/>
      <c r="M207" s="123"/>
      <c r="N207" s="123"/>
      <c r="O207" s="123"/>
      <c r="P207" s="123"/>
      <c r="Q207" s="123"/>
      <c r="R207" s="123"/>
      <c r="S207" s="123"/>
      <c r="T207" s="123"/>
      <c r="U207" s="123"/>
      <c r="V207" s="123"/>
      <c r="W207" s="123"/>
      <c r="X207" s="123"/>
      <c r="Y207" s="123"/>
      <c r="Z207" s="129"/>
    </row>
    <row r="208" spans="1:26" ht="15.75" hidden="1" customHeight="1" x14ac:dyDescent="0.25">
      <c r="A208" s="125"/>
      <c r="B208" s="122"/>
      <c r="C208" s="124"/>
      <c r="D208" s="124"/>
      <c r="E208" s="124"/>
      <c r="F208" s="123"/>
      <c r="G208" s="123"/>
      <c r="H208" s="123"/>
      <c r="I208" s="123"/>
      <c r="J208" s="165"/>
      <c r="K208" s="125"/>
      <c r="L208" s="123"/>
      <c r="M208" s="123"/>
      <c r="N208" s="123"/>
      <c r="O208" s="123"/>
      <c r="P208" s="123"/>
      <c r="Q208" s="123"/>
      <c r="R208" s="123"/>
      <c r="S208" s="123"/>
      <c r="T208" s="123"/>
      <c r="U208" s="123"/>
      <c r="V208" s="123"/>
      <c r="W208" s="123"/>
      <c r="X208" s="123"/>
      <c r="Y208" s="123"/>
      <c r="Z208" s="129"/>
    </row>
    <row r="209" spans="1:26" ht="15.75" hidden="1" customHeight="1" x14ac:dyDescent="0.25">
      <c r="A209" s="125"/>
      <c r="B209" s="122"/>
      <c r="C209" s="124"/>
      <c r="D209" s="124"/>
      <c r="E209" s="124"/>
      <c r="F209" s="123"/>
      <c r="G209" s="123"/>
      <c r="H209" s="123"/>
      <c r="I209" s="123"/>
      <c r="J209" s="165"/>
      <c r="K209" s="125"/>
      <c r="L209" s="123"/>
      <c r="M209" s="123"/>
      <c r="N209" s="123"/>
      <c r="O209" s="123"/>
      <c r="P209" s="123"/>
      <c r="Q209" s="123"/>
      <c r="R209" s="123"/>
      <c r="S209" s="123"/>
      <c r="T209" s="123"/>
      <c r="U209" s="123"/>
      <c r="V209" s="123"/>
      <c r="W209" s="123"/>
      <c r="X209" s="123"/>
      <c r="Y209" s="123"/>
      <c r="Z209" s="129"/>
    </row>
    <row r="210" spans="1:26" ht="15.75" hidden="1" customHeight="1" x14ac:dyDescent="0.25">
      <c r="A210" s="125"/>
      <c r="B210" s="122"/>
      <c r="C210" s="124"/>
      <c r="D210" s="124"/>
      <c r="E210" s="124"/>
      <c r="F210" s="123"/>
      <c r="G210" s="123"/>
      <c r="H210" s="123"/>
      <c r="I210" s="123"/>
      <c r="J210" s="165"/>
      <c r="K210" s="125"/>
      <c r="L210" s="123"/>
      <c r="M210" s="123"/>
      <c r="N210" s="123"/>
      <c r="O210" s="123"/>
      <c r="P210" s="123"/>
      <c r="Q210" s="123"/>
      <c r="R210" s="123"/>
      <c r="S210" s="123"/>
      <c r="T210" s="123"/>
      <c r="U210" s="123"/>
      <c r="V210" s="123"/>
      <c r="W210" s="123"/>
      <c r="X210" s="123"/>
      <c r="Y210" s="123"/>
      <c r="Z210" s="129"/>
    </row>
    <row r="211" spans="1:26" ht="15.75" hidden="1" customHeight="1" x14ac:dyDescent="0.25">
      <c r="A211" s="125"/>
      <c r="B211" s="122"/>
      <c r="C211" s="124"/>
      <c r="D211" s="124"/>
      <c r="E211" s="124"/>
      <c r="F211" s="123"/>
      <c r="G211" s="123"/>
      <c r="H211" s="123"/>
      <c r="I211" s="123"/>
      <c r="J211" s="165"/>
      <c r="K211" s="125"/>
      <c r="L211" s="123"/>
      <c r="M211" s="123"/>
      <c r="N211" s="123"/>
      <c r="O211" s="123"/>
      <c r="P211" s="123"/>
      <c r="Q211" s="123"/>
      <c r="R211" s="123"/>
      <c r="S211" s="123"/>
      <c r="T211" s="123"/>
      <c r="U211" s="123"/>
      <c r="V211" s="123"/>
      <c r="W211" s="123"/>
      <c r="X211" s="123"/>
      <c r="Y211" s="123"/>
      <c r="Z211" s="129"/>
    </row>
    <row r="212" spans="1:26" ht="15.75" hidden="1" customHeight="1" x14ac:dyDescent="0.25">
      <c r="A212" s="125"/>
      <c r="B212" s="122"/>
      <c r="C212" s="124"/>
      <c r="D212" s="124"/>
      <c r="E212" s="124"/>
      <c r="F212" s="123"/>
      <c r="G212" s="123"/>
      <c r="H212" s="123"/>
      <c r="I212" s="123"/>
      <c r="J212" s="165"/>
      <c r="K212" s="125"/>
      <c r="L212" s="123"/>
      <c r="M212" s="123"/>
      <c r="N212" s="123"/>
      <c r="O212" s="123"/>
      <c r="P212" s="123"/>
      <c r="Q212" s="123"/>
      <c r="R212" s="123"/>
      <c r="S212" s="123"/>
      <c r="T212" s="123"/>
      <c r="U212" s="123"/>
      <c r="V212" s="123"/>
      <c r="W212" s="123"/>
      <c r="X212" s="123"/>
      <c r="Y212" s="123"/>
      <c r="Z212" s="129"/>
    </row>
    <row r="213" spans="1:26" ht="15.75" hidden="1" customHeight="1" x14ac:dyDescent="0.25">
      <c r="A213" s="125"/>
      <c r="B213" s="122"/>
      <c r="C213" s="124"/>
      <c r="D213" s="124"/>
      <c r="E213" s="124"/>
      <c r="F213" s="123"/>
      <c r="G213" s="123"/>
      <c r="H213" s="123"/>
      <c r="I213" s="123"/>
      <c r="J213" s="165"/>
      <c r="K213" s="125"/>
      <c r="L213" s="123"/>
      <c r="M213" s="123"/>
      <c r="N213" s="123"/>
      <c r="O213" s="123"/>
      <c r="P213" s="123"/>
      <c r="Q213" s="123"/>
      <c r="R213" s="123"/>
      <c r="S213" s="123"/>
      <c r="T213" s="123"/>
      <c r="U213" s="123"/>
      <c r="V213" s="123"/>
      <c r="W213" s="123"/>
      <c r="X213" s="123"/>
      <c r="Y213" s="123"/>
      <c r="Z213" s="129"/>
    </row>
    <row r="214" spans="1:26" ht="15.75" hidden="1" customHeight="1" x14ac:dyDescent="0.25">
      <c r="A214" s="125"/>
      <c r="B214" s="122"/>
      <c r="C214" s="124"/>
      <c r="D214" s="124"/>
      <c r="E214" s="124"/>
      <c r="F214" s="123"/>
      <c r="G214" s="123"/>
      <c r="H214" s="123"/>
      <c r="I214" s="123"/>
      <c r="J214" s="165"/>
      <c r="K214" s="125"/>
      <c r="L214" s="123"/>
      <c r="M214" s="123"/>
      <c r="N214" s="123"/>
      <c r="O214" s="123"/>
      <c r="P214" s="123"/>
      <c r="Q214" s="123"/>
      <c r="R214" s="123"/>
      <c r="S214" s="123"/>
      <c r="T214" s="123"/>
      <c r="U214" s="123"/>
      <c r="V214" s="123"/>
      <c r="W214" s="123"/>
      <c r="X214" s="123"/>
      <c r="Y214" s="123"/>
      <c r="Z214" s="129"/>
    </row>
    <row r="215" spans="1:26" ht="15.75" hidden="1" customHeight="1" x14ac:dyDescent="0.25">
      <c r="A215" s="125"/>
      <c r="B215" s="122"/>
      <c r="C215" s="124"/>
      <c r="D215" s="124"/>
      <c r="E215" s="124"/>
      <c r="F215" s="123"/>
      <c r="G215" s="123"/>
      <c r="H215" s="123"/>
      <c r="I215" s="123"/>
      <c r="J215" s="165"/>
      <c r="K215" s="125"/>
      <c r="L215" s="123"/>
      <c r="M215" s="123"/>
      <c r="N215" s="123"/>
      <c r="O215" s="123"/>
      <c r="P215" s="123"/>
      <c r="Q215" s="123"/>
      <c r="R215" s="123"/>
      <c r="S215" s="123"/>
      <c r="T215" s="123"/>
      <c r="U215" s="123"/>
      <c r="V215" s="123"/>
      <c r="W215" s="123"/>
      <c r="X215" s="123"/>
      <c r="Y215" s="123"/>
      <c r="Z215" s="129"/>
    </row>
    <row r="216" spans="1:26" ht="15.75" hidden="1" customHeight="1" x14ac:dyDescent="0.25">
      <c r="A216" s="129"/>
      <c r="B216" s="129"/>
      <c r="C216" s="129"/>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row>
    <row r="217" spans="1:26" ht="15.75" hidden="1" customHeight="1" x14ac:dyDescent="0.25">
      <c r="A217" s="129"/>
      <c r="B217" s="129"/>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row>
    <row r="218" spans="1:26" ht="15.75" hidden="1" customHeight="1" x14ac:dyDescent="0.25">
      <c r="A218" s="129"/>
      <c r="B218" s="129"/>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row>
    <row r="219" spans="1:26" ht="15.75" hidden="1" customHeight="1" x14ac:dyDescent="0.25">
      <c r="A219" s="129"/>
      <c r="B219" s="129"/>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row>
    <row r="220" spans="1:26" ht="15.75" hidden="1" customHeight="1" x14ac:dyDescent="0.25">
      <c r="A220" s="129"/>
      <c r="B220" s="129"/>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row>
    <row r="221" spans="1:26" ht="15.75" hidden="1" customHeight="1" x14ac:dyDescent="0.25">
      <c r="A221" s="129"/>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row>
    <row r="222" spans="1:26" ht="15.75" hidden="1" customHeight="1" x14ac:dyDescent="0.25">
      <c r="A222" s="129"/>
      <c r="B222" s="129"/>
      <c r="C222" s="129"/>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row>
    <row r="223" spans="1:26" ht="15.75" hidden="1" customHeight="1" x14ac:dyDescent="0.25">
      <c r="A223" s="129"/>
      <c r="B223" s="129"/>
      <c r="C223" s="129"/>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row>
    <row r="224" spans="1:26" ht="15.75" hidden="1" customHeight="1" x14ac:dyDescent="0.25">
      <c r="A224" s="129"/>
      <c r="B224" s="129"/>
      <c r="C224" s="129"/>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row>
    <row r="225" spans="1:26" ht="15.75" hidden="1" customHeight="1" x14ac:dyDescent="0.25">
      <c r="A225" s="129"/>
      <c r="B225" s="129"/>
      <c r="C225" s="129"/>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row>
    <row r="226" spans="1:26" ht="15.75" hidden="1" customHeight="1" x14ac:dyDescent="0.25">
      <c r="A226" s="129"/>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spans="1:26" ht="15.75" hidden="1" customHeight="1" x14ac:dyDescent="0.25">
      <c r="A227" s="129"/>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row>
    <row r="228" spans="1:26" ht="15.75" hidden="1" customHeight="1" x14ac:dyDescent="0.25">
      <c r="A228" s="129"/>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row>
    <row r="229" spans="1:26" ht="15.75" hidden="1" customHeight="1" x14ac:dyDescent="0.25">
      <c r="A229" s="129"/>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row>
    <row r="230" spans="1:26" ht="15.75" hidden="1" customHeight="1" x14ac:dyDescent="0.25">
      <c r="A230" s="129"/>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row>
    <row r="231" spans="1:26" ht="15.75" hidden="1" customHeight="1" x14ac:dyDescent="0.25">
      <c r="A231" s="129"/>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row>
    <row r="232" spans="1:26" ht="15.75" hidden="1" customHeight="1" x14ac:dyDescent="0.25">
      <c r="A232" s="129"/>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row>
    <row r="233" spans="1:26" ht="15.75" hidden="1" customHeight="1" x14ac:dyDescent="0.25">
      <c r="A233" s="129"/>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row>
    <row r="234" spans="1:26" ht="15.75" hidden="1" customHeight="1" x14ac:dyDescent="0.25">
      <c r="A234" s="129"/>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row>
    <row r="235" spans="1:26" ht="15.75" hidden="1" customHeight="1" x14ac:dyDescent="0.25">
      <c r="A235" s="129"/>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row>
    <row r="236" spans="1:26" ht="15.75" hidden="1" customHeight="1" x14ac:dyDescent="0.25">
      <c r="A236" s="129"/>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row>
    <row r="237" spans="1:26" ht="15.75" hidden="1" customHeight="1" x14ac:dyDescent="0.25">
      <c r="A237" s="129"/>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row>
    <row r="238" spans="1:26" ht="15.75" hidden="1" customHeight="1" x14ac:dyDescent="0.25">
      <c r="A238" s="129"/>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row>
    <row r="239" spans="1:26" ht="15.75" hidden="1" customHeight="1" x14ac:dyDescent="0.25">
      <c r="A239" s="129"/>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row>
    <row r="240" spans="1:26" ht="15.75" hidden="1" customHeight="1" x14ac:dyDescent="0.25">
      <c r="A240" s="129"/>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row>
    <row r="241" spans="1:26" ht="15.75" hidden="1" customHeight="1" x14ac:dyDescent="0.25">
      <c r="A241" s="129"/>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row>
    <row r="242" spans="1:26" ht="15.75" hidden="1" customHeight="1" x14ac:dyDescent="0.25">
      <c r="A242" s="129"/>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row>
    <row r="243" spans="1:26" ht="15.75" hidden="1" customHeight="1" x14ac:dyDescent="0.25">
      <c r="A243" s="129"/>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row>
    <row r="244" spans="1:26" ht="15.75" hidden="1" customHeight="1" x14ac:dyDescent="0.25">
      <c r="A244" s="129"/>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row>
    <row r="245" spans="1:26" ht="15.75" hidden="1" customHeight="1" x14ac:dyDescent="0.25">
      <c r="A245" s="129"/>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row>
    <row r="246" spans="1:26" ht="15.75" hidden="1" customHeight="1" x14ac:dyDescent="0.25">
      <c r="A246" s="129"/>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row>
    <row r="247" spans="1:26" ht="15.75" hidden="1" customHeight="1" x14ac:dyDescent="0.25">
      <c r="A247" s="129"/>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row>
    <row r="248" spans="1:26" ht="15.75" hidden="1" customHeight="1" x14ac:dyDescent="0.25">
      <c r="A248" s="129"/>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row>
    <row r="249" spans="1:26" ht="15.75" hidden="1" customHeight="1" x14ac:dyDescent="0.25">
      <c r="A249" s="129"/>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row>
    <row r="250" spans="1:26" ht="15.75" hidden="1" customHeight="1" x14ac:dyDescent="0.25">
      <c r="A250" s="129"/>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row>
    <row r="251" spans="1:26" ht="15.75" hidden="1" customHeight="1" x14ac:dyDescent="0.25">
      <c r="A251" s="129"/>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row>
    <row r="252" spans="1:26" ht="15.75" hidden="1" customHeight="1" x14ac:dyDescent="0.25">
      <c r="A252" s="129"/>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row>
    <row r="253" spans="1:26" ht="15.75" hidden="1" customHeight="1" x14ac:dyDescent="0.25">
      <c r="A253" s="129"/>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row>
    <row r="254" spans="1:26" ht="15.75" hidden="1" customHeight="1" x14ac:dyDescent="0.25">
      <c r="A254" s="129"/>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row>
    <row r="255" spans="1:26" ht="15.75" hidden="1" customHeight="1" x14ac:dyDescent="0.25">
      <c r="A255" s="129"/>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row>
    <row r="256" spans="1:26" ht="15.75" hidden="1" customHeight="1" x14ac:dyDescent="0.25">
      <c r="A256" s="129"/>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row>
    <row r="257" spans="1:26" ht="15.75" hidden="1" customHeight="1" x14ac:dyDescent="0.25">
      <c r="A257" s="129"/>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row>
    <row r="258" spans="1:26" ht="15.75" hidden="1" customHeight="1" x14ac:dyDescent="0.25">
      <c r="A258" s="129"/>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row>
    <row r="259" spans="1:26" ht="15.75" hidden="1" customHeight="1" x14ac:dyDescent="0.25">
      <c r="A259" s="129"/>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row>
    <row r="260" spans="1:26" ht="15.75" hidden="1" customHeight="1" x14ac:dyDescent="0.25">
      <c r="A260" s="129"/>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row>
    <row r="261" spans="1:26" ht="15.75" hidden="1" customHeight="1" x14ac:dyDescent="0.25">
      <c r="A261" s="129"/>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row>
    <row r="262" spans="1:26" ht="15.75" hidden="1" customHeight="1" x14ac:dyDescent="0.25">
      <c r="A262" s="129"/>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spans="1:26" ht="15.75" hidden="1" customHeight="1" x14ac:dyDescent="0.25">
      <c r="A263" s="129"/>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row>
    <row r="264" spans="1:26" ht="15.75" hidden="1" customHeight="1" x14ac:dyDescent="0.25">
      <c r="A264" s="129"/>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row>
    <row r="265" spans="1:26" ht="15.75" hidden="1" customHeight="1" x14ac:dyDescent="0.25">
      <c r="A265" s="129"/>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row>
    <row r="266" spans="1:26" ht="15.75" hidden="1" customHeight="1" x14ac:dyDescent="0.25">
      <c r="A266" s="129"/>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row>
    <row r="267" spans="1:26" ht="15.75" hidden="1" customHeight="1" x14ac:dyDescent="0.25">
      <c r="A267" s="129"/>
      <c r="B267" s="129"/>
      <c r="C267" s="129"/>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row>
    <row r="268" spans="1:26" ht="15.75" hidden="1" customHeight="1" x14ac:dyDescent="0.25">
      <c r="A268" s="129"/>
      <c r="B268" s="129"/>
      <c r="C268" s="129"/>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row>
    <row r="269" spans="1:26" ht="15.75" hidden="1" customHeight="1" x14ac:dyDescent="0.25">
      <c r="A269" s="129"/>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row>
    <row r="270" spans="1:26" ht="15.75" hidden="1" customHeight="1" x14ac:dyDescent="0.25">
      <c r="A270" s="129"/>
      <c r="B270" s="129"/>
      <c r="C270" s="129"/>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row>
    <row r="271" spans="1:26" ht="15.75" hidden="1" customHeight="1" x14ac:dyDescent="0.25">
      <c r="A271" s="129"/>
      <c r="B271" s="129"/>
      <c r="C271" s="129"/>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row>
    <row r="272" spans="1:26" ht="15.75" hidden="1" customHeight="1" x14ac:dyDescent="0.25">
      <c r="A272" s="129"/>
      <c r="B272" s="129"/>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row>
    <row r="273" spans="1:26" ht="15.75" hidden="1" customHeight="1" x14ac:dyDescent="0.25">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row>
    <row r="274" spans="1:26" ht="15.75" hidden="1" customHeight="1" x14ac:dyDescent="0.25">
      <c r="A274" s="129"/>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row>
    <row r="275" spans="1:26" ht="15.75" hidden="1" customHeight="1" x14ac:dyDescent="0.25">
      <c r="A275" s="129"/>
      <c r="B275" s="129"/>
      <c r="C275" s="129"/>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row>
    <row r="276" spans="1:26" ht="15.75" hidden="1" customHeight="1" x14ac:dyDescent="0.25">
      <c r="A276" s="129"/>
      <c r="B276" s="129"/>
      <c r="C276" s="12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row>
    <row r="277" spans="1:26" ht="15.75" hidden="1" customHeight="1" x14ac:dyDescent="0.25">
      <c r="A277" s="129"/>
      <c r="B277" s="129"/>
      <c r="C277" s="129"/>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row>
    <row r="278" spans="1:26" ht="15.75" hidden="1" customHeight="1" x14ac:dyDescent="0.25">
      <c r="A278" s="129"/>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row>
    <row r="279" spans="1:26" ht="15.75" hidden="1" customHeight="1" x14ac:dyDescent="0.25">
      <c r="A279" s="129"/>
      <c r="B279" s="129"/>
      <c r="C279" s="129"/>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row>
    <row r="280" spans="1:26" ht="15.75" hidden="1" customHeight="1" x14ac:dyDescent="0.25">
      <c r="A280" s="129"/>
      <c r="B280" s="129"/>
      <c r="C280" s="129"/>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row>
    <row r="281" spans="1:26" ht="15.75" hidden="1" customHeight="1" x14ac:dyDescent="0.25">
      <c r="A281" s="129"/>
      <c r="B281" s="129"/>
      <c r="C281" s="129"/>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row>
    <row r="282" spans="1:26" ht="15.75" hidden="1" customHeight="1" x14ac:dyDescent="0.25">
      <c r="A282" s="129"/>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row>
    <row r="283" spans="1:26" ht="15.75" hidden="1" customHeight="1" x14ac:dyDescent="0.25">
      <c r="A283" s="129"/>
      <c r="B283" s="129"/>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row>
    <row r="284" spans="1:26" ht="15.75" hidden="1" customHeight="1" x14ac:dyDescent="0.25">
      <c r="A284" s="129"/>
      <c r="B284" s="129"/>
      <c r="C284" s="129"/>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row>
    <row r="285" spans="1:26" ht="15.75" hidden="1" customHeight="1" x14ac:dyDescent="0.25">
      <c r="A285" s="129"/>
      <c r="B285" s="129"/>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row>
    <row r="286" spans="1:26" ht="15.75" hidden="1" customHeight="1" x14ac:dyDescent="0.25">
      <c r="A286" s="129"/>
      <c r="B286" s="129"/>
      <c r="C286" s="129"/>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row>
    <row r="287" spans="1:26" ht="15.75" hidden="1" customHeight="1" x14ac:dyDescent="0.25">
      <c r="A287" s="129"/>
      <c r="B287" s="129"/>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row>
    <row r="288" spans="1:26" ht="15.75" hidden="1" customHeight="1" x14ac:dyDescent="0.25">
      <c r="A288" s="129"/>
      <c r="B288" s="129"/>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row>
    <row r="289" spans="1:26" ht="15.75" hidden="1" customHeight="1" x14ac:dyDescent="0.25">
      <c r="A289" s="129"/>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row>
    <row r="290" spans="1:26" ht="15.75" hidden="1" customHeight="1" x14ac:dyDescent="0.25">
      <c r="A290" s="129"/>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row>
    <row r="291" spans="1:26" ht="15.75" hidden="1" customHeight="1" x14ac:dyDescent="0.25">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row>
    <row r="292" spans="1:26" ht="15.75" hidden="1" customHeight="1" x14ac:dyDescent="0.25">
      <c r="A292" s="129"/>
      <c r="B292" s="129"/>
      <c r="C292" s="129"/>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row>
    <row r="293" spans="1:26" ht="15.75" hidden="1" customHeight="1" x14ac:dyDescent="0.25">
      <c r="A293" s="129"/>
      <c r="B293" s="129"/>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row>
    <row r="294" spans="1:26" ht="15.75" hidden="1" customHeight="1" x14ac:dyDescent="0.25">
      <c r="A294" s="129"/>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row>
    <row r="295" spans="1:26" ht="15.75" hidden="1" customHeight="1" x14ac:dyDescent="0.25">
      <c r="A295" s="129"/>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row>
    <row r="296" spans="1:26" ht="15.75" hidden="1" customHeight="1" x14ac:dyDescent="0.25">
      <c r="A296" s="129"/>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row>
    <row r="297" spans="1:26" ht="15.75" hidden="1" customHeight="1" x14ac:dyDescent="0.25">
      <c r="A297" s="129"/>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row>
    <row r="298" spans="1:26" ht="15.75" hidden="1" customHeight="1" x14ac:dyDescent="0.25">
      <c r="A298" s="129"/>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row>
    <row r="299" spans="1:26" ht="15.75" hidden="1" customHeight="1" x14ac:dyDescent="0.25">
      <c r="A299" s="129"/>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row>
    <row r="300" spans="1:26" ht="15.75" hidden="1" customHeight="1" x14ac:dyDescent="0.25">
      <c r="A300" s="129"/>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row>
    <row r="301" spans="1:26" ht="15.75" hidden="1" customHeight="1" x14ac:dyDescent="0.25">
      <c r="A301" s="129"/>
      <c r="B301" s="129"/>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row>
    <row r="302" spans="1:26" ht="15.75" hidden="1" customHeight="1" x14ac:dyDescent="0.25">
      <c r="A302" s="129"/>
      <c r="B302" s="129"/>
      <c r="C302" s="129"/>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row>
    <row r="303" spans="1:26" ht="15.75" hidden="1" customHeight="1" x14ac:dyDescent="0.25">
      <c r="A303" s="129"/>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row>
    <row r="304" spans="1:26" ht="15.75" hidden="1" customHeight="1" x14ac:dyDescent="0.25">
      <c r="A304" s="129"/>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row>
    <row r="305" spans="1:26" ht="15.75" hidden="1" customHeight="1" x14ac:dyDescent="0.25">
      <c r="A305" s="129"/>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row>
    <row r="306" spans="1:26" ht="15.75" hidden="1" customHeight="1" x14ac:dyDescent="0.25">
      <c r="A306" s="129"/>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row>
    <row r="307" spans="1:26" ht="15.75" hidden="1" customHeight="1" x14ac:dyDescent="0.25">
      <c r="A307" s="129"/>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row>
    <row r="308" spans="1:26" ht="15.75" hidden="1" customHeight="1" x14ac:dyDescent="0.25">
      <c r="A308" s="129"/>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row>
    <row r="309" spans="1:26" ht="15.75" hidden="1" customHeight="1" x14ac:dyDescent="0.25">
      <c r="A309" s="129"/>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row>
    <row r="310" spans="1:26" ht="15.75" hidden="1" customHeight="1" x14ac:dyDescent="0.25">
      <c r="A310" s="129"/>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row>
    <row r="311" spans="1:26" ht="15.75" hidden="1" customHeight="1" x14ac:dyDescent="0.25">
      <c r="A311" s="129"/>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row>
    <row r="312" spans="1:26" ht="15.75" hidden="1" customHeight="1" x14ac:dyDescent="0.25">
      <c r="A312" s="129"/>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row>
    <row r="313" spans="1:26" ht="15.75" hidden="1" customHeight="1" x14ac:dyDescent="0.25">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row>
    <row r="314" spans="1:26" ht="15.75" hidden="1" customHeight="1" x14ac:dyDescent="0.25">
      <c r="A314" s="129"/>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row>
    <row r="315" spans="1:26" ht="15.75" hidden="1" customHeight="1" x14ac:dyDescent="0.25">
      <c r="A315" s="129"/>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row>
    <row r="316" spans="1:26" ht="15.75" hidden="1" customHeight="1" x14ac:dyDescent="0.25">
      <c r="A316" s="129"/>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row>
    <row r="317" spans="1:26" ht="15.75" hidden="1" customHeight="1" x14ac:dyDescent="0.25">
      <c r="A317" s="129"/>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row>
    <row r="318" spans="1:26" ht="15.75" hidden="1" customHeight="1" x14ac:dyDescent="0.25">
      <c r="A318" s="129"/>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row>
    <row r="319" spans="1:26" ht="15.75" hidden="1" customHeight="1" x14ac:dyDescent="0.25">
      <c r="A319" s="129"/>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row>
    <row r="320" spans="1:26" ht="15.75" hidden="1" customHeight="1" x14ac:dyDescent="0.25">
      <c r="A320" s="129"/>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row>
    <row r="321" spans="1:26" ht="15.75" hidden="1" customHeight="1" x14ac:dyDescent="0.25">
      <c r="A321" s="129"/>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row>
    <row r="322" spans="1:26" ht="15.75" hidden="1" customHeight="1" x14ac:dyDescent="0.25">
      <c r="A322" s="129"/>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row>
    <row r="323" spans="1:26" ht="15.75" hidden="1" customHeight="1" x14ac:dyDescent="0.25">
      <c r="A323" s="129"/>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row>
    <row r="324" spans="1:26" ht="15.75" hidden="1" customHeight="1" x14ac:dyDescent="0.25">
      <c r="A324" s="129"/>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row>
    <row r="325" spans="1:26" ht="15.75" hidden="1" customHeight="1" x14ac:dyDescent="0.25">
      <c r="A325" s="129"/>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row>
    <row r="326" spans="1:26" ht="15.75" hidden="1" customHeight="1" x14ac:dyDescent="0.25">
      <c r="A326" s="129"/>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row>
    <row r="327" spans="1:26" ht="15.75" hidden="1" customHeight="1" x14ac:dyDescent="0.25">
      <c r="A327" s="129"/>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row>
    <row r="328" spans="1:26" ht="15.75" hidden="1" customHeight="1" x14ac:dyDescent="0.25">
      <c r="A328" s="129"/>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row>
    <row r="329" spans="1:26" ht="15.75" hidden="1" customHeight="1" x14ac:dyDescent="0.25">
      <c r="A329" s="129"/>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row>
    <row r="330" spans="1:26" ht="15.75" hidden="1" customHeight="1" x14ac:dyDescent="0.25">
      <c r="A330" s="129"/>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row>
    <row r="331" spans="1:26" ht="15.75" hidden="1" customHeight="1" x14ac:dyDescent="0.25">
      <c r="A331" s="129"/>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row>
    <row r="332" spans="1:26" ht="15.75" hidden="1" customHeight="1" x14ac:dyDescent="0.25">
      <c r="A332" s="129"/>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row>
    <row r="333" spans="1:26" ht="15.75" hidden="1" customHeight="1" x14ac:dyDescent="0.25">
      <c r="A333" s="129"/>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row>
    <row r="334" spans="1:26" ht="15.75" hidden="1" customHeight="1" x14ac:dyDescent="0.25">
      <c r="A334" s="129"/>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row>
    <row r="335" spans="1:26" ht="15.75" hidden="1" customHeight="1" x14ac:dyDescent="0.25">
      <c r="A335" s="129"/>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row>
    <row r="336" spans="1:26" ht="15.75" hidden="1" customHeight="1" x14ac:dyDescent="0.25">
      <c r="A336" s="129"/>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row>
    <row r="337" spans="1:26" ht="15.75" hidden="1" customHeight="1" x14ac:dyDescent="0.25">
      <c r="A337" s="129"/>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row>
    <row r="338" spans="1:26" ht="15.75" hidden="1" customHeight="1" x14ac:dyDescent="0.25">
      <c r="A338" s="129"/>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row>
    <row r="339" spans="1:26" ht="15.75" hidden="1" customHeight="1" x14ac:dyDescent="0.25">
      <c r="A339" s="129"/>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row>
    <row r="340" spans="1:26" ht="15.75" hidden="1" customHeight="1" x14ac:dyDescent="0.25">
      <c r="A340" s="129"/>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row>
    <row r="341" spans="1:26" ht="15.75" hidden="1" customHeight="1" x14ac:dyDescent="0.25">
      <c r="A341" s="129"/>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row>
    <row r="342" spans="1:26" ht="15.75" hidden="1" customHeight="1" x14ac:dyDescent="0.25">
      <c r="A342" s="129"/>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row>
    <row r="343" spans="1:26" ht="15.75" hidden="1" customHeight="1" x14ac:dyDescent="0.25">
      <c r="A343" s="129"/>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row>
    <row r="344" spans="1:26" ht="15.75" hidden="1" customHeight="1" x14ac:dyDescent="0.25">
      <c r="A344" s="129"/>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row>
    <row r="345" spans="1:26" ht="15.75" hidden="1" customHeight="1" x14ac:dyDescent="0.25">
      <c r="A345" s="129"/>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row>
    <row r="346" spans="1:26" ht="15.75" hidden="1" customHeight="1" x14ac:dyDescent="0.25">
      <c r="A346" s="129"/>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row>
    <row r="347" spans="1:26" ht="15.75" hidden="1" customHeight="1" x14ac:dyDescent="0.25">
      <c r="A347" s="129"/>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row>
    <row r="348" spans="1:26" ht="15.75" hidden="1" customHeight="1" x14ac:dyDescent="0.25">
      <c r="A348" s="129"/>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row>
    <row r="349" spans="1:26" ht="15.75" hidden="1" customHeight="1" x14ac:dyDescent="0.25">
      <c r="A349" s="129"/>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row>
    <row r="350" spans="1:26" ht="15.75" hidden="1" customHeight="1" x14ac:dyDescent="0.25">
      <c r="A350" s="129"/>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row>
    <row r="351" spans="1:26" ht="15.75" hidden="1" customHeight="1" x14ac:dyDescent="0.25">
      <c r="A351" s="129"/>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row>
    <row r="352" spans="1:26" ht="15.75" hidden="1" customHeight="1" x14ac:dyDescent="0.25">
      <c r="A352" s="129"/>
      <c r="B352" s="129"/>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row>
    <row r="353" spans="1:26" ht="15.75" hidden="1" customHeight="1" x14ac:dyDescent="0.25">
      <c r="A353" s="129"/>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row>
    <row r="354" spans="1:26" ht="15.75" hidden="1" customHeight="1" x14ac:dyDescent="0.25">
      <c r="A354" s="129"/>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row>
    <row r="355" spans="1:26" ht="15.75" hidden="1" customHeight="1" x14ac:dyDescent="0.25">
      <c r="A355" s="129"/>
      <c r="B355" s="129"/>
      <c r="C355" s="129"/>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row>
    <row r="356" spans="1:26" ht="15.75" hidden="1" customHeight="1" x14ac:dyDescent="0.25">
      <c r="A356" s="129"/>
      <c r="B356" s="129"/>
      <c r="C356" s="129"/>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row>
    <row r="357" spans="1:26" ht="15.75" hidden="1" customHeight="1" x14ac:dyDescent="0.25">
      <c r="A357" s="129"/>
      <c r="B357" s="129"/>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row>
    <row r="358" spans="1:26" ht="15.75" hidden="1" customHeight="1" x14ac:dyDescent="0.25">
      <c r="A358" s="129"/>
      <c r="B358" s="129"/>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row>
    <row r="359" spans="1:26" ht="15.75" hidden="1" customHeight="1" x14ac:dyDescent="0.25">
      <c r="A359" s="129"/>
      <c r="B359" s="129"/>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row>
    <row r="360" spans="1:26" ht="15.75" hidden="1" customHeight="1" x14ac:dyDescent="0.25">
      <c r="A360" s="129"/>
      <c r="B360" s="129"/>
      <c r="C360" s="129"/>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row>
    <row r="361" spans="1:26" ht="15.75" hidden="1" customHeight="1" x14ac:dyDescent="0.25">
      <c r="A361" s="129"/>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row>
    <row r="362" spans="1:26" ht="15.75" hidden="1" customHeight="1" x14ac:dyDescent="0.25">
      <c r="A362" s="129"/>
      <c r="B362" s="129"/>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row>
    <row r="363" spans="1:26" ht="15.75" hidden="1" customHeight="1" x14ac:dyDescent="0.25">
      <c r="A363" s="129"/>
      <c r="B363" s="129"/>
      <c r="C363" s="129"/>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row>
    <row r="364" spans="1:26" ht="15.75" hidden="1" customHeight="1" x14ac:dyDescent="0.25">
      <c r="A364" s="129"/>
      <c r="B364" s="129"/>
      <c r="C364" s="129"/>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row>
    <row r="365" spans="1:26" ht="15.75" hidden="1" customHeight="1" x14ac:dyDescent="0.25">
      <c r="A365" s="129"/>
      <c r="B365" s="129"/>
      <c r="C365" s="129"/>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row>
    <row r="366" spans="1:26" ht="15.75" hidden="1" customHeight="1" x14ac:dyDescent="0.25">
      <c r="A366" s="129"/>
      <c r="B366" s="129"/>
      <c r="C366" s="129"/>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row>
    <row r="367" spans="1:26" ht="15.75" hidden="1" customHeight="1" x14ac:dyDescent="0.25">
      <c r="A367" s="129"/>
      <c r="B367" s="129"/>
      <c r="C367" s="129"/>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row>
    <row r="368" spans="1:26" ht="15.75" hidden="1" customHeight="1" x14ac:dyDescent="0.25">
      <c r="A368" s="129"/>
      <c r="B368" s="129"/>
      <c r="C368" s="129"/>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row>
    <row r="369" spans="1:26" ht="15.75" hidden="1" customHeight="1" x14ac:dyDescent="0.25">
      <c r="A369" s="129"/>
      <c r="B369" s="129"/>
      <c r="C369" s="129"/>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row>
    <row r="370" spans="1:26" ht="15.75" hidden="1" customHeight="1" x14ac:dyDescent="0.25">
      <c r="A370" s="129"/>
      <c r="B370" s="129"/>
      <c r="C370" s="129"/>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row>
    <row r="371" spans="1:26" ht="15.75" hidden="1" customHeight="1" x14ac:dyDescent="0.25">
      <c r="A371" s="129"/>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row>
    <row r="372" spans="1:26" ht="15.75" hidden="1" customHeight="1" x14ac:dyDescent="0.25">
      <c r="A372" s="129"/>
      <c r="B372" s="129"/>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row>
    <row r="373" spans="1:26" ht="15.75" hidden="1" customHeight="1" x14ac:dyDescent="0.25">
      <c r="A373" s="129"/>
      <c r="B373" s="129"/>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row>
    <row r="374" spans="1:26" ht="15.75" hidden="1" customHeight="1" x14ac:dyDescent="0.25">
      <c r="A374" s="129"/>
      <c r="B374" s="129"/>
      <c r="C374" s="129"/>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row>
    <row r="375" spans="1:26" ht="15.75" hidden="1" customHeight="1" x14ac:dyDescent="0.25">
      <c r="A375" s="129"/>
      <c r="B375" s="129"/>
      <c r="C375" s="129"/>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row>
    <row r="376" spans="1:26" ht="15.75" hidden="1" customHeight="1" x14ac:dyDescent="0.25">
      <c r="A376" s="129"/>
      <c r="B376" s="129"/>
      <c r="C376" s="129"/>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row>
    <row r="377" spans="1:26" ht="15.75" hidden="1" customHeight="1" x14ac:dyDescent="0.25">
      <c r="A377" s="129"/>
      <c r="B377" s="129"/>
      <c r="C377" s="129"/>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row>
    <row r="378" spans="1:26" ht="15.75" hidden="1" customHeight="1" x14ac:dyDescent="0.25">
      <c r="A378" s="129"/>
      <c r="B378" s="129"/>
      <c r="C378" s="129"/>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row>
    <row r="379" spans="1:26" ht="15.75" hidden="1" customHeight="1" x14ac:dyDescent="0.25">
      <c r="A379" s="129"/>
      <c r="B379" s="129"/>
      <c r="C379" s="129"/>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row>
    <row r="380" spans="1:26" ht="15.75" hidden="1" customHeight="1" x14ac:dyDescent="0.25">
      <c r="A380" s="129"/>
      <c r="B380" s="129"/>
      <c r="C380" s="129"/>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row>
    <row r="381" spans="1:26" ht="15.75" hidden="1" customHeight="1" x14ac:dyDescent="0.25">
      <c r="A381" s="129"/>
      <c r="B381" s="129"/>
      <c r="C381" s="129"/>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row>
    <row r="382" spans="1:26" ht="15.75" hidden="1" customHeight="1" x14ac:dyDescent="0.25">
      <c r="A382" s="129"/>
      <c r="B382" s="129"/>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row>
    <row r="383" spans="1:26" ht="15.75" hidden="1" customHeight="1" x14ac:dyDescent="0.25">
      <c r="A383" s="129"/>
      <c r="B383" s="129"/>
      <c r="C383" s="129"/>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row>
    <row r="384" spans="1:26" ht="15.75" hidden="1" customHeight="1" x14ac:dyDescent="0.25">
      <c r="A384" s="129"/>
      <c r="B384" s="129"/>
      <c r="C384" s="129"/>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row>
    <row r="385" spans="1:26" ht="15.75" hidden="1" customHeight="1" x14ac:dyDescent="0.25">
      <c r="A385" s="129"/>
      <c r="B385" s="129"/>
      <c r="C385" s="129"/>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row>
    <row r="386" spans="1:26" ht="15.75" hidden="1" customHeight="1" x14ac:dyDescent="0.25">
      <c r="A386" s="129"/>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row>
    <row r="387" spans="1:26" ht="15.75" hidden="1" customHeight="1" x14ac:dyDescent="0.25">
      <c r="A387" s="129"/>
      <c r="B387" s="129"/>
      <c r="C387" s="129"/>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row>
    <row r="388" spans="1:26" ht="15.75" hidden="1" customHeight="1" x14ac:dyDescent="0.25">
      <c r="A388" s="129"/>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row>
    <row r="389" spans="1:26" ht="15.75" hidden="1" customHeight="1" x14ac:dyDescent="0.25">
      <c r="A389" s="129"/>
      <c r="B389" s="129"/>
      <c r="C389" s="129"/>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row>
    <row r="390" spans="1:26" ht="15.75" hidden="1" customHeight="1" x14ac:dyDescent="0.25">
      <c r="A390" s="129"/>
      <c r="B390" s="129"/>
      <c r="C390" s="129"/>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row>
    <row r="391" spans="1:26" ht="15.75" hidden="1" customHeight="1" x14ac:dyDescent="0.25">
      <c r="A391" s="129"/>
      <c r="B391" s="129"/>
      <c r="C391" s="129"/>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row>
    <row r="392" spans="1:26" ht="15.75" hidden="1" customHeight="1" x14ac:dyDescent="0.25">
      <c r="A392" s="129"/>
      <c r="B392" s="129"/>
      <c r="C392" s="129"/>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row>
    <row r="393" spans="1:26" ht="15.75" hidden="1" customHeight="1" x14ac:dyDescent="0.25">
      <c r="A393" s="129"/>
      <c r="B393" s="129"/>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row>
    <row r="394" spans="1:26" ht="15.75" hidden="1" customHeight="1" x14ac:dyDescent="0.25">
      <c r="A394" s="129"/>
      <c r="B394" s="129"/>
      <c r="C394" s="129"/>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row>
    <row r="395" spans="1:26" ht="15.75" hidden="1" customHeight="1" x14ac:dyDescent="0.25">
      <c r="A395" s="129"/>
      <c r="B395" s="129"/>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row>
    <row r="396" spans="1:26" ht="15.75" hidden="1" customHeight="1" x14ac:dyDescent="0.25">
      <c r="A396" s="129"/>
      <c r="B396" s="129"/>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row>
    <row r="397" spans="1:26" ht="15.75" hidden="1" customHeight="1" x14ac:dyDescent="0.25">
      <c r="A397" s="129"/>
      <c r="B397" s="129"/>
      <c r="C397" s="129"/>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row>
    <row r="398" spans="1:26" ht="15.75" hidden="1" customHeight="1" x14ac:dyDescent="0.25">
      <c r="A398" s="129"/>
      <c r="B398" s="129"/>
      <c r="C398" s="129"/>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row>
    <row r="399" spans="1:26" ht="15.75" hidden="1" customHeight="1" x14ac:dyDescent="0.25">
      <c r="A399" s="129"/>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row>
    <row r="400" spans="1:26" ht="15.75" hidden="1" customHeight="1" x14ac:dyDescent="0.25">
      <c r="A400" s="129"/>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row>
    <row r="401" spans="1:26" ht="15.75" hidden="1" customHeight="1" x14ac:dyDescent="0.25">
      <c r="A401" s="129"/>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row>
    <row r="402" spans="1:26" ht="15.75" hidden="1" customHeight="1" x14ac:dyDescent="0.25">
      <c r="A402" s="129"/>
      <c r="B402" s="129"/>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row>
    <row r="403" spans="1:26" ht="15.75" hidden="1" customHeight="1" x14ac:dyDescent="0.25">
      <c r="A403" s="129"/>
      <c r="B403" s="129"/>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row>
    <row r="404" spans="1:26" ht="15.75" hidden="1" customHeight="1" x14ac:dyDescent="0.25">
      <c r="A404" s="129"/>
      <c r="B404" s="129"/>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row>
    <row r="405" spans="1:26" ht="15.75" hidden="1" customHeight="1" x14ac:dyDescent="0.25">
      <c r="A405" s="129"/>
      <c r="B405" s="129"/>
      <c r="C405" s="129"/>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row>
    <row r="406" spans="1:26" ht="15.75" hidden="1" customHeight="1" x14ac:dyDescent="0.25">
      <c r="A406" s="129"/>
      <c r="B406" s="129"/>
      <c r="C406" s="129"/>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row>
    <row r="407" spans="1:26" ht="15.75" hidden="1" customHeight="1" x14ac:dyDescent="0.25">
      <c r="A407" s="129"/>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row>
    <row r="408" spans="1:26" ht="15.75" hidden="1" customHeight="1" x14ac:dyDescent="0.25">
      <c r="A408" s="129"/>
      <c r="B408" s="129"/>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row>
    <row r="409" spans="1:26" ht="15.75" hidden="1" customHeight="1" x14ac:dyDescent="0.25">
      <c r="A409" s="129"/>
      <c r="B409" s="129"/>
      <c r="C409" s="129"/>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row>
    <row r="410" spans="1:26" ht="15.75" hidden="1" customHeight="1" x14ac:dyDescent="0.25">
      <c r="A410" s="129"/>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row>
    <row r="411" spans="1:26" ht="15.75" hidden="1" customHeight="1" x14ac:dyDescent="0.25">
      <c r="A411" s="129"/>
      <c r="B411" s="129"/>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row>
    <row r="412" spans="1:26" ht="15.75" hidden="1" customHeight="1" x14ac:dyDescent="0.25">
      <c r="A412" s="129"/>
      <c r="B412" s="129"/>
      <c r="C412" s="129"/>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row>
    <row r="413" spans="1:26" ht="15.75" hidden="1" customHeight="1" x14ac:dyDescent="0.25">
      <c r="A413" s="129"/>
      <c r="B413" s="129"/>
      <c r="C413" s="129"/>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row>
    <row r="414" spans="1:26" ht="15.75" hidden="1" customHeight="1" x14ac:dyDescent="0.25">
      <c r="A414" s="129"/>
      <c r="B414" s="129"/>
      <c r="C414" s="129"/>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row>
    <row r="415" spans="1:26" ht="15.75" hidden="1" customHeight="1" x14ac:dyDescent="0.25">
      <c r="A415" s="129"/>
      <c r="B415" s="129"/>
      <c r="C415" s="129"/>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row>
    <row r="416" spans="1:26" ht="15.75" hidden="1" customHeight="1" x14ac:dyDescent="0.25">
      <c r="A416" s="129"/>
      <c r="B416" s="129"/>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row>
    <row r="417" spans="1:26" ht="15.75" hidden="1" customHeight="1" x14ac:dyDescent="0.25">
      <c r="A417" s="129"/>
      <c r="B417" s="129"/>
      <c r="C417" s="129"/>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row>
    <row r="418" spans="1:26" ht="15.75" hidden="1" customHeight="1" x14ac:dyDescent="0.25">
      <c r="A418" s="129"/>
      <c r="B418" s="129"/>
      <c r="C418" s="129"/>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row>
    <row r="419" spans="1:26" ht="15.75" hidden="1" customHeight="1" x14ac:dyDescent="0.25">
      <c r="A419" s="129"/>
      <c r="B419" s="129"/>
      <c r="C419" s="129"/>
      <c r="D419" s="129"/>
      <c r="E419" s="129"/>
      <c r="F419" s="129"/>
      <c r="G419" s="129"/>
      <c r="H419" s="129"/>
      <c r="I419" s="129"/>
      <c r="J419" s="129"/>
      <c r="K419" s="129"/>
      <c r="L419" s="129"/>
      <c r="M419" s="129"/>
      <c r="N419" s="129"/>
      <c r="O419" s="129"/>
      <c r="P419" s="129"/>
      <c r="Q419" s="129"/>
      <c r="R419" s="129"/>
      <c r="S419" s="129"/>
      <c r="T419" s="129"/>
      <c r="U419" s="129"/>
      <c r="V419" s="129"/>
      <c r="W419" s="129"/>
      <c r="X419" s="129"/>
      <c r="Y419" s="129"/>
      <c r="Z419" s="129"/>
    </row>
    <row r="420" spans="1:26" ht="15.75" hidden="1" customHeight="1" x14ac:dyDescent="0.25">
      <c r="A420" s="129"/>
      <c r="B420" s="129"/>
      <c r="C420" s="12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row>
    <row r="421" spans="1:26" ht="15.75" hidden="1" customHeight="1" x14ac:dyDescent="0.25">
      <c r="A421" s="129"/>
      <c r="B421" s="129"/>
      <c r="C421" s="129"/>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row>
    <row r="422" spans="1:26" ht="15.75" hidden="1" customHeight="1" x14ac:dyDescent="0.25">
      <c r="A422" s="129"/>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row>
    <row r="423" spans="1:26" ht="15.75" hidden="1" customHeight="1" x14ac:dyDescent="0.25">
      <c r="A423" s="129"/>
      <c r="B423" s="129"/>
      <c r="C423" s="129"/>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row>
    <row r="424" spans="1:26" ht="15.75" hidden="1" customHeight="1" x14ac:dyDescent="0.25">
      <c r="A424" s="129"/>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row>
    <row r="425" spans="1:26" ht="15.75" hidden="1" customHeight="1" x14ac:dyDescent="0.25">
      <c r="A425" s="129"/>
      <c r="B425" s="129"/>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row>
    <row r="426" spans="1:26" ht="15.75" hidden="1" customHeight="1" x14ac:dyDescent="0.25">
      <c r="A426" s="129"/>
      <c r="B426" s="129"/>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row>
    <row r="427" spans="1:26" ht="15.75" hidden="1" customHeight="1" x14ac:dyDescent="0.25">
      <c r="A427" s="129"/>
      <c r="B427" s="129"/>
      <c r="C427" s="129"/>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row>
    <row r="428" spans="1:26" ht="15.75" hidden="1" customHeight="1" x14ac:dyDescent="0.25">
      <c r="A428" s="129"/>
      <c r="B428" s="129"/>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row>
    <row r="429" spans="1:26" ht="15.75" hidden="1" customHeight="1" x14ac:dyDescent="0.25">
      <c r="A429" s="129"/>
      <c r="B429" s="129"/>
      <c r="C429" s="129"/>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row>
    <row r="430" spans="1:26" ht="15.75" hidden="1" customHeight="1" x14ac:dyDescent="0.25">
      <c r="A430" s="129"/>
      <c r="B430" s="129"/>
      <c r="C430" s="129"/>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row>
    <row r="431" spans="1:26" ht="15.75" hidden="1" customHeight="1" x14ac:dyDescent="0.25">
      <c r="A431" s="129"/>
      <c r="B431" s="129"/>
      <c r="C431" s="129"/>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row>
    <row r="432" spans="1:26" ht="15.75" hidden="1" customHeight="1" x14ac:dyDescent="0.25">
      <c r="A432" s="129"/>
      <c r="B432" s="129"/>
      <c r="C432" s="129"/>
      <c r="D432" s="129"/>
      <c r="E432" s="129"/>
      <c r="F432" s="129"/>
      <c r="G432" s="129"/>
      <c r="H432" s="129"/>
      <c r="I432" s="129"/>
      <c r="J432" s="129"/>
      <c r="K432" s="129"/>
      <c r="L432" s="129"/>
      <c r="M432" s="129"/>
      <c r="N432" s="129"/>
      <c r="O432" s="129"/>
      <c r="P432" s="129"/>
      <c r="Q432" s="129"/>
      <c r="R432" s="129"/>
      <c r="S432" s="129"/>
      <c r="T432" s="129"/>
      <c r="U432" s="129"/>
      <c r="V432" s="129"/>
      <c r="W432" s="129"/>
      <c r="X432" s="129"/>
      <c r="Y432" s="129"/>
      <c r="Z432" s="129"/>
    </row>
    <row r="433" spans="1:26" ht="15.75" hidden="1" customHeight="1" x14ac:dyDescent="0.25">
      <c r="A433" s="129"/>
      <c r="B433" s="129"/>
      <c r="C433" s="12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row>
    <row r="434" spans="1:26" ht="15.75" hidden="1" customHeight="1" x14ac:dyDescent="0.25">
      <c r="A434" s="129"/>
      <c r="B434" s="129"/>
      <c r="C434" s="129"/>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row>
    <row r="435" spans="1:26" ht="15.75" hidden="1" customHeight="1" x14ac:dyDescent="0.25">
      <c r="A435" s="129"/>
      <c r="B435" s="129"/>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row>
    <row r="436" spans="1:26" ht="15.75" hidden="1" customHeight="1" x14ac:dyDescent="0.25">
      <c r="A436" s="129"/>
      <c r="B436" s="129"/>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row>
    <row r="437" spans="1:26" ht="15.75" hidden="1" customHeight="1" x14ac:dyDescent="0.25">
      <c r="A437" s="129"/>
      <c r="B437" s="129"/>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row>
    <row r="438" spans="1:26" ht="15.75" hidden="1" customHeight="1" x14ac:dyDescent="0.25">
      <c r="A438" s="129"/>
      <c r="B438" s="129"/>
      <c r="C438" s="129"/>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row>
    <row r="439" spans="1:26" ht="15.75" hidden="1" customHeight="1" x14ac:dyDescent="0.25">
      <c r="A439" s="129"/>
      <c r="B439" s="129"/>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row>
    <row r="440" spans="1:26" ht="15.75" hidden="1" customHeight="1" x14ac:dyDescent="0.25">
      <c r="A440" s="129"/>
      <c r="B440" s="129"/>
      <c r="C440" s="12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row>
    <row r="441" spans="1:26" ht="15.75" hidden="1" customHeight="1" x14ac:dyDescent="0.25">
      <c r="A441" s="129"/>
      <c r="B441" s="129"/>
      <c r="C441" s="129"/>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row>
    <row r="442" spans="1:26" ht="15.75" hidden="1" customHeight="1" x14ac:dyDescent="0.25">
      <c r="A442" s="129"/>
      <c r="B442" s="129"/>
      <c r="C442" s="129"/>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row>
    <row r="443" spans="1:26" ht="15.75" hidden="1" customHeight="1" x14ac:dyDescent="0.25">
      <c r="A443" s="129"/>
      <c r="B443" s="129"/>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row>
    <row r="444" spans="1:26" ht="15.75" hidden="1" customHeight="1" x14ac:dyDescent="0.25">
      <c r="A444" s="129"/>
      <c r="B444" s="129"/>
      <c r="C444" s="129"/>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row>
    <row r="445" spans="1:26" ht="15.75" hidden="1" customHeight="1" x14ac:dyDescent="0.25">
      <c r="A445" s="129"/>
      <c r="B445" s="129"/>
      <c r="C445" s="129"/>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row>
    <row r="446" spans="1:26" ht="15.75" hidden="1" customHeight="1" x14ac:dyDescent="0.25">
      <c r="A446" s="129"/>
      <c r="B446" s="129"/>
      <c r="C446" s="129"/>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row>
    <row r="447" spans="1:26" ht="15.75" hidden="1" customHeight="1" x14ac:dyDescent="0.25">
      <c r="A447" s="129"/>
      <c r="B447" s="129"/>
      <c r="C447" s="129"/>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row>
    <row r="448" spans="1:26" ht="15.75" hidden="1" customHeight="1" x14ac:dyDescent="0.25">
      <c r="A448" s="129"/>
      <c r="B448" s="129"/>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row>
    <row r="449" spans="1:26" ht="15.75" hidden="1" customHeight="1" x14ac:dyDescent="0.25">
      <c r="A449" s="129"/>
      <c r="B449" s="129"/>
      <c r="C449" s="129"/>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row>
    <row r="450" spans="1:26" ht="15.75" hidden="1" customHeight="1" x14ac:dyDescent="0.25">
      <c r="A450" s="129"/>
      <c r="B450" s="129"/>
      <c r="C450" s="129"/>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row>
    <row r="451" spans="1:26" ht="15.75" hidden="1" customHeight="1" x14ac:dyDescent="0.25">
      <c r="A451" s="129"/>
      <c r="B451" s="129"/>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row>
    <row r="452" spans="1:26" ht="15.75" hidden="1" customHeight="1" x14ac:dyDescent="0.25">
      <c r="A452" s="129"/>
      <c r="B452" s="129"/>
      <c r="C452" s="129"/>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row>
    <row r="453" spans="1:26" ht="15.75" hidden="1" customHeight="1" x14ac:dyDescent="0.25">
      <c r="A453" s="129"/>
      <c r="B453" s="129"/>
      <c r="C453" s="129"/>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row>
    <row r="454" spans="1:26" ht="15.75" hidden="1" customHeight="1" x14ac:dyDescent="0.25">
      <c r="A454" s="129"/>
      <c r="B454" s="129"/>
      <c r="C454" s="129"/>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row>
    <row r="455" spans="1:26" ht="15.75" hidden="1" customHeight="1" x14ac:dyDescent="0.25">
      <c r="A455" s="129"/>
      <c r="B455" s="129"/>
      <c r="C455" s="129"/>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row>
    <row r="456" spans="1:26" ht="15.75" hidden="1" customHeight="1" x14ac:dyDescent="0.25">
      <c r="A456" s="129"/>
      <c r="B456" s="129"/>
      <c r="C456" s="129"/>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row>
    <row r="457" spans="1:26" ht="15.75" hidden="1" customHeight="1" x14ac:dyDescent="0.25">
      <c r="A457" s="129"/>
      <c r="B457" s="129"/>
      <c r="C457" s="129"/>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row>
    <row r="458" spans="1:26" ht="15.75" hidden="1" customHeight="1" x14ac:dyDescent="0.25">
      <c r="A458" s="129"/>
      <c r="B458" s="129"/>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row>
    <row r="459" spans="1:26" ht="15.75" hidden="1" customHeight="1" x14ac:dyDescent="0.25">
      <c r="A459" s="129"/>
      <c r="B459" s="129"/>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row>
    <row r="460" spans="1:26" ht="15.75" hidden="1" customHeight="1" x14ac:dyDescent="0.25">
      <c r="A460" s="129"/>
      <c r="B460" s="129"/>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row>
    <row r="461" spans="1:26" ht="15.75" hidden="1" customHeight="1" x14ac:dyDescent="0.25">
      <c r="A461" s="129"/>
      <c r="B461" s="129"/>
      <c r="C461" s="129"/>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row>
    <row r="462" spans="1:26" ht="15.75" hidden="1" customHeight="1" x14ac:dyDescent="0.25">
      <c r="A462" s="129"/>
      <c r="B462" s="129"/>
      <c r="C462" s="129"/>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row>
    <row r="463" spans="1:26" ht="15.75" hidden="1" customHeight="1" x14ac:dyDescent="0.25">
      <c r="A463" s="129"/>
      <c r="B463" s="129"/>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row>
    <row r="464" spans="1:26" ht="15.75" hidden="1" customHeight="1" x14ac:dyDescent="0.25">
      <c r="A464" s="129"/>
      <c r="B464" s="129"/>
      <c r="C464" s="129"/>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row>
    <row r="465" spans="1:26" ht="15.75" hidden="1" customHeight="1" x14ac:dyDescent="0.25">
      <c r="A465" s="129"/>
      <c r="B465" s="129"/>
      <c r="C465" s="129"/>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row>
    <row r="466" spans="1:26" ht="15.75" hidden="1" customHeight="1" x14ac:dyDescent="0.25">
      <c r="A466" s="129"/>
      <c r="B466" s="129"/>
      <c r="C466" s="129"/>
      <c r="D466" s="129"/>
      <c r="E466" s="129"/>
      <c r="F466" s="129"/>
      <c r="G466" s="129"/>
      <c r="H466" s="129"/>
      <c r="I466" s="129"/>
      <c r="J466" s="129"/>
      <c r="K466" s="129"/>
      <c r="L466" s="129"/>
      <c r="M466" s="129"/>
      <c r="N466" s="129"/>
      <c r="O466" s="129"/>
      <c r="P466" s="129"/>
      <c r="Q466" s="129"/>
      <c r="R466" s="129"/>
      <c r="S466" s="129"/>
      <c r="T466" s="129"/>
      <c r="U466" s="129"/>
      <c r="V466" s="129"/>
      <c r="W466" s="129"/>
      <c r="X466" s="129"/>
      <c r="Y466" s="129"/>
      <c r="Z466" s="129"/>
    </row>
    <row r="467" spans="1:26" ht="15.75" hidden="1" customHeight="1" x14ac:dyDescent="0.25">
      <c r="A467" s="129"/>
      <c r="B467" s="129"/>
      <c r="C467" s="129"/>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row>
    <row r="468" spans="1:26" ht="15.75" hidden="1" customHeight="1" x14ac:dyDescent="0.25">
      <c r="A468" s="129"/>
      <c r="B468" s="129"/>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row>
    <row r="469" spans="1:26" ht="15.75" hidden="1" customHeight="1" x14ac:dyDescent="0.25">
      <c r="A469" s="129"/>
      <c r="B469" s="129"/>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row>
    <row r="470" spans="1:26" ht="15.75" hidden="1" customHeight="1" x14ac:dyDescent="0.25">
      <c r="A470" s="129"/>
      <c r="B470" s="129"/>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row>
    <row r="471" spans="1:26" ht="15.75" hidden="1" customHeight="1" x14ac:dyDescent="0.25">
      <c r="A471" s="129"/>
      <c r="B471" s="129"/>
      <c r="C471" s="129"/>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row>
    <row r="472" spans="1:26" ht="15.75" hidden="1" customHeight="1" x14ac:dyDescent="0.25">
      <c r="A472" s="129"/>
      <c r="B472" s="129"/>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row>
    <row r="473" spans="1:26" ht="15.75" hidden="1" customHeight="1" x14ac:dyDescent="0.25">
      <c r="A473" s="129"/>
      <c r="B473" s="129"/>
      <c r="C473" s="129"/>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row>
    <row r="474" spans="1:26" ht="15.75" hidden="1" customHeight="1" x14ac:dyDescent="0.25">
      <c r="A474" s="129"/>
      <c r="B474" s="129"/>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row>
    <row r="475" spans="1:26" ht="15.75" hidden="1" customHeight="1" x14ac:dyDescent="0.25">
      <c r="A475" s="129"/>
      <c r="B475" s="129"/>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row>
    <row r="476" spans="1:26" ht="15.75" hidden="1" customHeight="1" x14ac:dyDescent="0.25">
      <c r="A476" s="129"/>
      <c r="B476" s="129"/>
      <c r="C476" s="129"/>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row>
    <row r="477" spans="1:26" ht="15.75" hidden="1" customHeight="1" x14ac:dyDescent="0.25">
      <c r="A477" s="129"/>
      <c r="B477" s="129"/>
      <c r="C477" s="129"/>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row>
    <row r="478" spans="1:26" ht="15.75" hidden="1" customHeight="1" x14ac:dyDescent="0.25">
      <c r="A478" s="129"/>
      <c r="B478" s="129"/>
      <c r="C478" s="129"/>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row>
    <row r="479" spans="1:26" ht="15.75" hidden="1" customHeight="1" x14ac:dyDescent="0.25">
      <c r="A479" s="129"/>
      <c r="B479" s="129"/>
      <c r="C479" s="129"/>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row>
    <row r="480" spans="1:26" ht="15.75" hidden="1" customHeight="1" x14ac:dyDescent="0.25">
      <c r="A480" s="129"/>
      <c r="B480" s="129"/>
      <c r="C480" s="129"/>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row>
    <row r="481" spans="1:26" ht="15.75" hidden="1" customHeight="1" x14ac:dyDescent="0.25">
      <c r="A481" s="129"/>
      <c r="B481" s="129"/>
      <c r="C481" s="129"/>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row>
    <row r="482" spans="1:26" ht="15.75" hidden="1" customHeight="1" x14ac:dyDescent="0.25">
      <c r="A482" s="129"/>
      <c r="B482" s="129"/>
      <c r="C482" s="129"/>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row>
    <row r="483" spans="1:26" ht="15.75" hidden="1" customHeight="1" x14ac:dyDescent="0.25">
      <c r="A483" s="129"/>
      <c r="B483" s="129"/>
      <c r="C483" s="129"/>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row>
    <row r="484" spans="1:26" ht="15.75" hidden="1" customHeight="1" x14ac:dyDescent="0.25">
      <c r="A484" s="129"/>
      <c r="B484" s="129"/>
      <c r="C484" s="129"/>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row>
    <row r="485" spans="1:26" ht="15.75" hidden="1" customHeight="1" x14ac:dyDescent="0.25">
      <c r="A485" s="129"/>
      <c r="B485" s="129"/>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row>
    <row r="486" spans="1:26" ht="15.75" hidden="1" customHeight="1" x14ac:dyDescent="0.25">
      <c r="A486" s="129"/>
      <c r="B486" s="129"/>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row>
    <row r="487" spans="1:26" ht="15.75" hidden="1" customHeight="1" x14ac:dyDescent="0.25">
      <c r="A487" s="129"/>
      <c r="B487" s="129"/>
      <c r="C487" s="129"/>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row>
    <row r="488" spans="1:26" ht="15.75" hidden="1" customHeight="1" x14ac:dyDescent="0.25">
      <c r="A488" s="129"/>
      <c r="B488" s="129"/>
      <c r="C488" s="129"/>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row>
    <row r="489" spans="1:26" ht="15.75" hidden="1" customHeight="1" x14ac:dyDescent="0.25">
      <c r="A489" s="129"/>
      <c r="B489" s="129"/>
      <c r="C489" s="129"/>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row>
    <row r="490" spans="1:26" ht="15.75" hidden="1" customHeight="1" x14ac:dyDescent="0.25">
      <c r="A490" s="129"/>
      <c r="B490" s="129"/>
      <c r="C490" s="129"/>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row>
    <row r="491" spans="1:26" ht="15.75" hidden="1" customHeight="1" x14ac:dyDescent="0.25">
      <c r="A491" s="129"/>
      <c r="B491" s="129"/>
      <c r="C491" s="129"/>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row>
    <row r="492" spans="1:26" ht="15.75" hidden="1" customHeight="1" x14ac:dyDescent="0.25">
      <c r="A492" s="129"/>
      <c r="B492" s="129"/>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row>
    <row r="493" spans="1:26" ht="15.75" hidden="1" customHeight="1" x14ac:dyDescent="0.25">
      <c r="A493" s="129"/>
      <c r="B493" s="129"/>
      <c r="C493" s="129"/>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row>
    <row r="494" spans="1:26" ht="15.75" hidden="1" customHeight="1" x14ac:dyDescent="0.25">
      <c r="A494" s="129"/>
      <c r="B494" s="129"/>
      <c r="C494" s="129"/>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29"/>
      <c r="Z494" s="129"/>
    </row>
    <row r="495" spans="1:26" ht="15.75" hidden="1" customHeight="1" x14ac:dyDescent="0.25">
      <c r="A495" s="129"/>
      <c r="B495" s="129"/>
      <c r="C495" s="129"/>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row>
    <row r="496" spans="1:26" ht="15.75" hidden="1" customHeight="1" x14ac:dyDescent="0.25">
      <c r="A496" s="129"/>
      <c r="B496" s="129"/>
      <c r="C496" s="129"/>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row>
    <row r="497" spans="1:26" ht="15.75" hidden="1" customHeight="1" x14ac:dyDescent="0.25">
      <c r="A497" s="129"/>
      <c r="B497" s="129"/>
      <c r="C497" s="129"/>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row>
    <row r="498" spans="1:26" ht="15.75" hidden="1" customHeight="1" x14ac:dyDescent="0.25">
      <c r="A498" s="129"/>
      <c r="B498" s="129"/>
      <c r="C498" s="129"/>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row>
    <row r="499" spans="1:26" ht="15.75" hidden="1" customHeight="1" x14ac:dyDescent="0.25">
      <c r="A499" s="129"/>
      <c r="B499" s="129"/>
      <c r="C499" s="129"/>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row>
    <row r="500" spans="1:26" ht="15.75" hidden="1" customHeight="1" x14ac:dyDescent="0.25">
      <c r="A500" s="129"/>
      <c r="B500" s="129"/>
      <c r="C500" s="129"/>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row>
    <row r="501" spans="1:26" ht="15.75" hidden="1" customHeight="1" x14ac:dyDescent="0.25">
      <c r="A501" s="129"/>
      <c r="B501" s="129"/>
      <c r="C501" s="129"/>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row>
    <row r="502" spans="1:26" ht="15.75" hidden="1" customHeight="1" x14ac:dyDescent="0.25">
      <c r="A502" s="129"/>
      <c r="B502" s="129"/>
      <c r="C502" s="129"/>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29"/>
      <c r="Z502" s="129"/>
    </row>
    <row r="503" spans="1:26" ht="15.75" hidden="1" customHeight="1" x14ac:dyDescent="0.25">
      <c r="A503" s="129"/>
      <c r="B503" s="129"/>
      <c r="C503" s="12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row>
    <row r="504" spans="1:26" ht="15.75" hidden="1" customHeight="1" x14ac:dyDescent="0.25">
      <c r="A504" s="129"/>
      <c r="B504" s="129"/>
      <c r="C504" s="129"/>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row>
    <row r="505" spans="1:26" ht="15.75" hidden="1" customHeight="1" x14ac:dyDescent="0.25">
      <c r="A505" s="129"/>
      <c r="B505" s="129"/>
      <c r="C505" s="129"/>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row>
    <row r="506" spans="1:26" ht="15.75" hidden="1" customHeight="1" x14ac:dyDescent="0.25">
      <c r="A506" s="129"/>
      <c r="B506" s="129"/>
      <c r="C506" s="129"/>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row>
    <row r="507" spans="1:26" ht="15.75" hidden="1" customHeight="1" x14ac:dyDescent="0.25">
      <c r="A507" s="129"/>
      <c r="B507" s="129"/>
      <c r="C507" s="129"/>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row>
    <row r="508" spans="1:26" ht="15.75" hidden="1" customHeight="1" x14ac:dyDescent="0.25">
      <c r="A508" s="129"/>
      <c r="B508" s="129"/>
      <c r="C508" s="129"/>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row>
    <row r="509" spans="1:26" ht="15.75" hidden="1" customHeight="1" x14ac:dyDescent="0.25">
      <c r="A509" s="129"/>
      <c r="B509" s="129"/>
      <c r="C509" s="129"/>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row>
    <row r="510" spans="1:26" ht="15.75" hidden="1" customHeight="1" x14ac:dyDescent="0.25">
      <c r="A510" s="129"/>
      <c r="B510" s="129"/>
      <c r="C510" s="129"/>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row>
    <row r="511" spans="1:26" ht="15.75" hidden="1" customHeight="1" x14ac:dyDescent="0.25">
      <c r="A511" s="129"/>
      <c r="B511" s="129"/>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row>
    <row r="512" spans="1:26" ht="15.75" hidden="1" customHeight="1" x14ac:dyDescent="0.25">
      <c r="A512" s="129"/>
      <c r="B512" s="129"/>
      <c r="C512" s="129"/>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29"/>
      <c r="Z512" s="129"/>
    </row>
    <row r="513" spans="1:26" ht="15.75" hidden="1" customHeight="1" x14ac:dyDescent="0.25">
      <c r="A513" s="129"/>
      <c r="B513" s="129"/>
      <c r="C513" s="129"/>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row>
    <row r="514" spans="1:26" ht="15.75" hidden="1" customHeight="1" x14ac:dyDescent="0.25">
      <c r="A514" s="129"/>
      <c r="B514" s="129"/>
      <c r="C514" s="129"/>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row>
    <row r="515" spans="1:26" ht="15.75" hidden="1" customHeight="1" x14ac:dyDescent="0.25">
      <c r="A515" s="129"/>
      <c r="B515" s="129"/>
      <c r="C515" s="129"/>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row>
    <row r="516" spans="1:26" ht="15.75" hidden="1" customHeight="1" x14ac:dyDescent="0.25">
      <c r="A516" s="129"/>
      <c r="B516" s="129"/>
      <c r="C516" s="129"/>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row>
    <row r="517" spans="1:26" ht="15.75" hidden="1" customHeight="1" x14ac:dyDescent="0.25">
      <c r="A517" s="129"/>
      <c r="B517" s="129"/>
      <c r="C517" s="129"/>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row>
    <row r="518" spans="1:26" ht="15.75" hidden="1" customHeight="1" x14ac:dyDescent="0.25">
      <c r="A518" s="129"/>
      <c r="B518" s="129"/>
      <c r="C518" s="129"/>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row>
    <row r="519" spans="1:26" ht="15.75" hidden="1" customHeight="1" x14ac:dyDescent="0.25">
      <c r="A519" s="129"/>
      <c r="B519" s="129"/>
      <c r="C519" s="129"/>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row>
    <row r="520" spans="1:26" ht="15.75" hidden="1" customHeight="1" x14ac:dyDescent="0.25">
      <c r="A520" s="129"/>
      <c r="B520" s="129"/>
      <c r="C520" s="129"/>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row>
    <row r="521" spans="1:26" ht="15.75" hidden="1" customHeight="1" x14ac:dyDescent="0.25">
      <c r="A521" s="129"/>
      <c r="B521" s="129"/>
      <c r="C521" s="129"/>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row>
    <row r="522" spans="1:26" ht="15.75" hidden="1" customHeight="1" x14ac:dyDescent="0.25">
      <c r="A522" s="129"/>
      <c r="B522" s="129"/>
      <c r="C522" s="129"/>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row>
    <row r="523" spans="1:26" ht="15.75" hidden="1" customHeight="1" x14ac:dyDescent="0.25">
      <c r="A523" s="129"/>
      <c r="B523" s="129"/>
      <c r="C523" s="129"/>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row>
    <row r="524" spans="1:26" ht="15.75" hidden="1" customHeight="1" x14ac:dyDescent="0.25">
      <c r="A524" s="129"/>
      <c r="B524" s="129"/>
      <c r="C524" s="129"/>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row>
    <row r="525" spans="1:26" ht="15.75" hidden="1" customHeight="1" x14ac:dyDescent="0.25">
      <c r="A525" s="129"/>
      <c r="B525" s="129"/>
      <c r="C525" s="129"/>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row>
    <row r="526" spans="1:26" ht="15.75" hidden="1" customHeight="1" x14ac:dyDescent="0.25">
      <c r="A526" s="129"/>
      <c r="B526" s="129"/>
      <c r="C526" s="129"/>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row>
    <row r="527" spans="1:26" ht="15.75" hidden="1" customHeight="1" x14ac:dyDescent="0.25">
      <c r="A527" s="129"/>
      <c r="B527" s="129"/>
      <c r="C527" s="129"/>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row>
    <row r="528" spans="1:26" ht="15.75" hidden="1" customHeight="1" x14ac:dyDescent="0.25">
      <c r="A528" s="129"/>
      <c r="B528" s="129"/>
      <c r="C528" s="129"/>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row>
    <row r="529" spans="1:26" ht="15.75" hidden="1" customHeight="1" x14ac:dyDescent="0.25">
      <c r="A529" s="129"/>
      <c r="B529" s="129"/>
      <c r="C529" s="129"/>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row>
    <row r="530" spans="1:26" ht="15.75" hidden="1" customHeight="1" x14ac:dyDescent="0.25">
      <c r="A530" s="129"/>
      <c r="B530" s="129"/>
      <c r="C530" s="129"/>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row>
    <row r="531" spans="1:26" ht="15.75" hidden="1" customHeight="1" x14ac:dyDescent="0.25">
      <c r="A531" s="129"/>
      <c r="B531" s="129"/>
      <c r="C531" s="129"/>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row>
    <row r="532" spans="1:26" ht="15.75" hidden="1" customHeight="1" x14ac:dyDescent="0.25">
      <c r="A532" s="129"/>
      <c r="B532" s="129"/>
      <c r="C532" s="129"/>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row>
    <row r="533" spans="1:26" ht="15.75" hidden="1" customHeight="1" x14ac:dyDescent="0.25">
      <c r="A533" s="129"/>
      <c r="B533" s="129"/>
      <c r="C533" s="129"/>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row>
    <row r="534" spans="1:26" ht="15.75" hidden="1" customHeight="1" x14ac:dyDescent="0.25">
      <c r="A534" s="129"/>
      <c r="B534" s="129"/>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row>
    <row r="535" spans="1:26" ht="15.75" hidden="1" customHeight="1" x14ac:dyDescent="0.25">
      <c r="A535" s="129"/>
      <c r="B535" s="129"/>
      <c r="C535" s="129"/>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row>
    <row r="536" spans="1:26" ht="15.75" hidden="1" customHeight="1" x14ac:dyDescent="0.25">
      <c r="A536" s="129"/>
      <c r="B536" s="129"/>
      <c r="C536" s="129"/>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29"/>
      <c r="Z536" s="129"/>
    </row>
    <row r="537" spans="1:26" ht="15.75" hidden="1" customHeight="1" x14ac:dyDescent="0.25">
      <c r="A537" s="129"/>
      <c r="B537" s="129"/>
      <c r="C537" s="129"/>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row>
    <row r="538" spans="1:26" ht="15.75" hidden="1" customHeight="1" x14ac:dyDescent="0.25">
      <c r="A538" s="129"/>
      <c r="B538" s="129"/>
      <c r="C538" s="129"/>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row>
    <row r="539" spans="1:26" ht="15.75" hidden="1" customHeight="1" x14ac:dyDescent="0.25">
      <c r="A539" s="129"/>
      <c r="B539" s="129"/>
      <c r="C539" s="129"/>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row>
    <row r="540" spans="1:26" ht="15.75" hidden="1" customHeight="1" x14ac:dyDescent="0.25">
      <c r="A540" s="129"/>
      <c r="B540" s="129"/>
      <c r="C540" s="129"/>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row>
    <row r="541" spans="1:26" ht="15.75" hidden="1" customHeight="1" x14ac:dyDescent="0.25">
      <c r="A541" s="129"/>
      <c r="B541" s="129"/>
      <c r="C541" s="129"/>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row>
    <row r="542" spans="1:26" ht="15.75" hidden="1" customHeight="1" x14ac:dyDescent="0.25">
      <c r="A542" s="129"/>
      <c r="B542" s="129"/>
      <c r="C542" s="129"/>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row>
    <row r="543" spans="1:26" ht="15.75" hidden="1" customHeight="1" x14ac:dyDescent="0.25">
      <c r="A543" s="129"/>
      <c r="B543" s="129"/>
      <c r="C543" s="129"/>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row>
    <row r="544" spans="1:26" ht="15.75" hidden="1" customHeight="1" x14ac:dyDescent="0.25">
      <c r="A544" s="129"/>
      <c r="B544" s="129"/>
      <c r="C544" s="129"/>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row>
    <row r="545" spans="1:26" ht="15.75" hidden="1" customHeight="1" x14ac:dyDescent="0.25">
      <c r="A545" s="129"/>
      <c r="B545" s="129"/>
      <c r="C545" s="129"/>
      <c r="D545" s="129"/>
      <c r="E545" s="129"/>
      <c r="F545" s="129"/>
      <c r="G545" s="129"/>
      <c r="H545" s="129"/>
      <c r="I545" s="129"/>
      <c r="J545" s="129"/>
      <c r="K545" s="129"/>
      <c r="L545" s="129"/>
      <c r="M545" s="129"/>
      <c r="N545" s="129"/>
      <c r="O545" s="129"/>
      <c r="P545" s="129"/>
      <c r="Q545" s="129"/>
      <c r="R545" s="129"/>
      <c r="S545" s="129"/>
      <c r="T545" s="129"/>
      <c r="U545" s="129"/>
      <c r="V545" s="129"/>
      <c r="W545" s="129"/>
      <c r="X545" s="129"/>
      <c r="Y545" s="129"/>
      <c r="Z545" s="129"/>
    </row>
    <row r="546" spans="1:26" ht="15.75" hidden="1" customHeight="1" x14ac:dyDescent="0.25">
      <c r="A546" s="129"/>
      <c r="B546" s="129"/>
      <c r="C546" s="129"/>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row>
    <row r="547" spans="1:26" ht="15.75" hidden="1" customHeight="1" x14ac:dyDescent="0.25">
      <c r="A547" s="129"/>
      <c r="B547" s="129"/>
      <c r="C547" s="129"/>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row>
    <row r="548" spans="1:26" ht="15.75" hidden="1" customHeight="1" x14ac:dyDescent="0.25">
      <c r="A548" s="129"/>
      <c r="B548" s="129"/>
      <c r="C548" s="129"/>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row>
    <row r="549" spans="1:26" ht="15.75" hidden="1" customHeight="1" x14ac:dyDescent="0.25">
      <c r="A549" s="129"/>
      <c r="B549" s="129"/>
      <c r="C549" s="129"/>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row>
    <row r="550" spans="1:26" ht="15.75" hidden="1" customHeight="1" x14ac:dyDescent="0.25">
      <c r="A550" s="129"/>
      <c r="B550" s="129"/>
      <c r="C550" s="129"/>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row>
    <row r="551" spans="1:26" ht="15.75" hidden="1" customHeight="1" x14ac:dyDescent="0.25">
      <c r="A551" s="129"/>
      <c r="B551" s="129"/>
      <c r="C551" s="129"/>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row>
    <row r="552" spans="1:26" ht="15.75" hidden="1" customHeight="1" x14ac:dyDescent="0.25">
      <c r="A552" s="129"/>
      <c r="B552" s="129"/>
      <c r="C552" s="129"/>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29"/>
      <c r="Z552" s="129"/>
    </row>
    <row r="553" spans="1:26" ht="15.75" hidden="1" customHeight="1" x14ac:dyDescent="0.25">
      <c r="A553" s="129"/>
      <c r="B553" s="129"/>
      <c r="C553" s="129"/>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row>
    <row r="554" spans="1:26" ht="15.75" hidden="1" customHeight="1" x14ac:dyDescent="0.25">
      <c r="A554" s="129"/>
      <c r="B554" s="129"/>
      <c r="C554" s="129"/>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row>
    <row r="555" spans="1:26" ht="15.75" hidden="1" customHeight="1" x14ac:dyDescent="0.25">
      <c r="A555" s="129"/>
      <c r="B555" s="129"/>
      <c r="C555" s="129"/>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row>
    <row r="556" spans="1:26" ht="15.75" hidden="1" customHeight="1" x14ac:dyDescent="0.25">
      <c r="A556" s="129"/>
      <c r="B556" s="129"/>
      <c r="C556" s="129"/>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row>
    <row r="557" spans="1:26" ht="15.75" hidden="1" customHeight="1" x14ac:dyDescent="0.25">
      <c r="A557" s="129"/>
      <c r="B557" s="129"/>
      <c r="C557" s="129"/>
      <c r="D557" s="129"/>
      <c r="E557" s="129"/>
      <c r="F557" s="129"/>
      <c r="G557" s="129"/>
      <c r="H557" s="129"/>
      <c r="I557" s="129"/>
      <c r="J557" s="129"/>
      <c r="K557" s="129"/>
      <c r="L557" s="129"/>
      <c r="M557" s="129"/>
      <c r="N557" s="129"/>
      <c r="O557" s="129"/>
      <c r="P557" s="129"/>
      <c r="Q557" s="129"/>
      <c r="R557" s="129"/>
      <c r="S557" s="129"/>
      <c r="T557" s="129"/>
      <c r="U557" s="129"/>
      <c r="V557" s="129"/>
      <c r="W557" s="129"/>
      <c r="X557" s="129"/>
      <c r="Y557" s="129"/>
      <c r="Z557" s="129"/>
    </row>
    <row r="558" spans="1:26" ht="15.75" hidden="1" customHeight="1" x14ac:dyDescent="0.25">
      <c r="A558" s="129"/>
      <c r="B558" s="129"/>
      <c r="C558" s="129"/>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row>
    <row r="559" spans="1:26" ht="15.75" hidden="1" customHeight="1" x14ac:dyDescent="0.25">
      <c r="A559" s="129"/>
      <c r="B559" s="129"/>
      <c r="C559" s="129"/>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row>
    <row r="560" spans="1:26" ht="15.75" hidden="1" customHeight="1" x14ac:dyDescent="0.25">
      <c r="A560" s="129"/>
      <c r="B560" s="129"/>
      <c r="C560" s="129"/>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row>
    <row r="561" spans="1:26" ht="15.75" hidden="1" customHeight="1" x14ac:dyDescent="0.25">
      <c r="A561" s="129"/>
      <c r="B561" s="129"/>
      <c r="C561" s="129"/>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row>
    <row r="562" spans="1:26" ht="15.75" hidden="1" customHeight="1" x14ac:dyDescent="0.25">
      <c r="A562" s="129"/>
      <c r="B562" s="129"/>
      <c r="C562" s="129"/>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row>
    <row r="563" spans="1:26" ht="15.75" hidden="1" customHeight="1" x14ac:dyDescent="0.25">
      <c r="A563" s="129"/>
      <c r="B563" s="129"/>
      <c r="C563" s="129"/>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row>
    <row r="564" spans="1:26" ht="15.75" hidden="1" customHeight="1" x14ac:dyDescent="0.25">
      <c r="A564" s="129"/>
      <c r="B564" s="129"/>
      <c r="C564" s="129"/>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row>
    <row r="565" spans="1:26" ht="15.75" hidden="1" customHeight="1" x14ac:dyDescent="0.25">
      <c r="A565" s="129"/>
      <c r="B565" s="129"/>
      <c r="C565" s="129"/>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row>
    <row r="566" spans="1:26" ht="15.75" hidden="1" customHeight="1" x14ac:dyDescent="0.25">
      <c r="A566" s="129"/>
      <c r="B566" s="129"/>
      <c r="C566" s="129"/>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row>
    <row r="567" spans="1:26" ht="15.75" hidden="1" customHeight="1" x14ac:dyDescent="0.25">
      <c r="A567" s="129"/>
      <c r="B567" s="129"/>
      <c r="C567" s="129"/>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row>
    <row r="568" spans="1:26" ht="15.75" hidden="1" customHeight="1" x14ac:dyDescent="0.25">
      <c r="A568" s="129"/>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spans="1:26" ht="15.75" hidden="1" customHeight="1" x14ac:dyDescent="0.25">
      <c r="A569" s="129"/>
      <c r="B569" s="129"/>
      <c r="C569" s="129"/>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29"/>
    </row>
    <row r="570" spans="1:26" ht="15.75" hidden="1" customHeight="1" x14ac:dyDescent="0.25">
      <c r="A570" s="129"/>
      <c r="B570" s="129"/>
      <c r="C570" s="129"/>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row>
    <row r="571" spans="1:26" ht="15.75" hidden="1" customHeight="1" x14ac:dyDescent="0.25">
      <c r="A571" s="129"/>
      <c r="B571" s="129"/>
      <c r="C571" s="129"/>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row>
    <row r="572" spans="1:26" ht="15.75" hidden="1" customHeight="1" x14ac:dyDescent="0.25">
      <c r="A572" s="129"/>
      <c r="B572" s="129"/>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row>
    <row r="573" spans="1:26" ht="15.75" hidden="1" customHeight="1" x14ac:dyDescent="0.25">
      <c r="A573" s="129"/>
      <c r="B573" s="129"/>
      <c r="C573" s="129"/>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row>
    <row r="574" spans="1:26" ht="15.75" hidden="1" customHeight="1" x14ac:dyDescent="0.25">
      <c r="A574" s="129"/>
      <c r="B574" s="129"/>
      <c r="C574" s="129"/>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row>
    <row r="575" spans="1:26" ht="15.75" hidden="1" customHeight="1" x14ac:dyDescent="0.25">
      <c r="A575" s="129"/>
      <c r="B575" s="129"/>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row>
    <row r="576" spans="1:26" ht="15.75" hidden="1" customHeight="1" x14ac:dyDescent="0.25">
      <c r="A576" s="129"/>
      <c r="B576" s="129"/>
      <c r="C576" s="129"/>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row>
    <row r="577" spans="1:26" ht="15.75" hidden="1" customHeight="1" x14ac:dyDescent="0.25">
      <c r="A577" s="129"/>
      <c r="B577" s="129"/>
      <c r="C577" s="129"/>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row>
    <row r="578" spans="1:26" ht="15.75" hidden="1" customHeight="1" x14ac:dyDescent="0.25">
      <c r="A578" s="129"/>
      <c r="B578" s="129"/>
      <c r="C578" s="129"/>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row>
    <row r="579" spans="1:26" ht="15.75" hidden="1" customHeight="1" x14ac:dyDescent="0.25">
      <c r="A579" s="129"/>
      <c r="B579" s="129"/>
      <c r="C579" s="129"/>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row>
    <row r="580" spans="1:26" ht="15.75" hidden="1" customHeight="1" x14ac:dyDescent="0.25">
      <c r="A580" s="129"/>
      <c r="B580" s="129"/>
      <c r="C580" s="129"/>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29"/>
      <c r="Z580" s="129"/>
    </row>
    <row r="581" spans="1:26" ht="15.75" hidden="1" customHeight="1" x14ac:dyDescent="0.25">
      <c r="A581" s="129"/>
      <c r="B581" s="129"/>
      <c r="C581" s="129"/>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row>
    <row r="582" spans="1:26" ht="15.75" hidden="1" customHeight="1" x14ac:dyDescent="0.25">
      <c r="A582" s="129"/>
      <c r="B582" s="129"/>
      <c r="C582" s="129"/>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row>
    <row r="583" spans="1:26" ht="15.75" hidden="1" customHeight="1" x14ac:dyDescent="0.25">
      <c r="A583" s="129"/>
      <c r="B583" s="129"/>
      <c r="C583" s="129"/>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row>
    <row r="584" spans="1:26" ht="15.75" hidden="1" customHeight="1" x14ac:dyDescent="0.25">
      <c r="A584" s="129"/>
      <c r="B584" s="129"/>
      <c r="C584" s="129"/>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row>
    <row r="585" spans="1:26" ht="15.75" hidden="1" customHeight="1" x14ac:dyDescent="0.25">
      <c r="A585" s="129"/>
      <c r="B585" s="129"/>
      <c r="C585" s="129"/>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row>
    <row r="586" spans="1:26" ht="15.75" hidden="1" customHeight="1" x14ac:dyDescent="0.25">
      <c r="A586" s="129"/>
      <c r="B586" s="129"/>
      <c r="C586" s="129"/>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row>
    <row r="587" spans="1:26" ht="15.75" hidden="1" customHeight="1" x14ac:dyDescent="0.25">
      <c r="A587" s="129"/>
      <c r="B587" s="129"/>
      <c r="C587" s="129"/>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29"/>
      <c r="Z587" s="129"/>
    </row>
    <row r="588" spans="1:26" ht="15.75" hidden="1" customHeight="1" x14ac:dyDescent="0.25">
      <c r="A588" s="129"/>
      <c r="B588" s="129"/>
      <c r="C588" s="129"/>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row>
    <row r="589" spans="1:26" ht="15.75" hidden="1" customHeight="1" x14ac:dyDescent="0.25">
      <c r="A589" s="129"/>
      <c r="B589" s="129"/>
      <c r="C589" s="129"/>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row>
    <row r="590" spans="1:26" ht="15.75" hidden="1" customHeight="1" x14ac:dyDescent="0.25">
      <c r="A590" s="129"/>
      <c r="B590" s="129"/>
      <c r="C590" s="129"/>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row>
    <row r="591" spans="1:26" ht="15.75" hidden="1" customHeight="1" x14ac:dyDescent="0.25">
      <c r="A591" s="129"/>
      <c r="B591" s="129"/>
      <c r="C591" s="129"/>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row>
    <row r="592" spans="1:26" ht="15.75" hidden="1" customHeight="1" x14ac:dyDescent="0.25">
      <c r="A592" s="129"/>
      <c r="B592" s="129"/>
      <c r="C592" s="129"/>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row>
    <row r="593" spans="1:26" ht="15.75" hidden="1" customHeight="1" x14ac:dyDescent="0.25">
      <c r="A593" s="129"/>
      <c r="B593" s="129"/>
      <c r="C593" s="129"/>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row>
    <row r="594" spans="1:26" ht="15.75" hidden="1" customHeight="1" x14ac:dyDescent="0.25">
      <c r="A594" s="129"/>
      <c r="B594" s="129"/>
      <c r="C594" s="129"/>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row>
    <row r="595" spans="1:26" ht="15.75" hidden="1" customHeight="1" x14ac:dyDescent="0.25">
      <c r="A595" s="129"/>
      <c r="B595" s="129"/>
      <c r="C595" s="129"/>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row>
    <row r="596" spans="1:26" ht="15.75" hidden="1" customHeight="1" x14ac:dyDescent="0.25">
      <c r="A596" s="129"/>
      <c r="B596" s="129"/>
      <c r="C596" s="129"/>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row>
    <row r="597" spans="1:26" ht="15.75" hidden="1" customHeight="1" x14ac:dyDescent="0.25">
      <c r="A597" s="129"/>
      <c r="B597" s="129"/>
      <c r="C597" s="129"/>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row>
    <row r="598" spans="1:26" ht="15.75" hidden="1" customHeight="1" x14ac:dyDescent="0.25">
      <c r="A598" s="129"/>
      <c r="B598" s="129"/>
      <c r="C598" s="129"/>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row>
    <row r="599" spans="1:26" ht="15.75" hidden="1" customHeight="1" x14ac:dyDescent="0.25">
      <c r="A599" s="129"/>
      <c r="B599" s="129"/>
      <c r="C599" s="129"/>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row>
    <row r="600" spans="1:26" ht="15.75" hidden="1" customHeight="1" x14ac:dyDescent="0.25">
      <c r="A600" s="129"/>
      <c r="B600" s="129"/>
      <c r="C600" s="129"/>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29"/>
      <c r="Z600" s="129"/>
    </row>
    <row r="601" spans="1:26" ht="15.75" hidden="1" customHeight="1" x14ac:dyDescent="0.25">
      <c r="A601" s="129"/>
      <c r="B601" s="129"/>
      <c r="C601" s="129"/>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row>
    <row r="602" spans="1:26" ht="15.75" hidden="1" customHeight="1" x14ac:dyDescent="0.25">
      <c r="A602" s="129"/>
      <c r="B602" s="129"/>
      <c r="C602" s="129"/>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row>
    <row r="603" spans="1:26" ht="15.75" hidden="1" customHeight="1" x14ac:dyDescent="0.25">
      <c r="A603" s="129"/>
      <c r="B603" s="129"/>
      <c r="C603" s="129"/>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row>
    <row r="604" spans="1:26" ht="15.75" hidden="1" customHeight="1" x14ac:dyDescent="0.25">
      <c r="A604" s="129"/>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spans="1:26" ht="15.75" hidden="1" customHeight="1" x14ac:dyDescent="0.25">
      <c r="A605" s="129"/>
      <c r="B605" s="129"/>
      <c r="C605" s="129"/>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row>
    <row r="606" spans="1:26" ht="15.75" hidden="1" customHeight="1" x14ac:dyDescent="0.25">
      <c r="A606" s="129"/>
      <c r="B606" s="129"/>
      <c r="C606" s="129"/>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row>
    <row r="607" spans="1:26" ht="15.75" hidden="1" customHeight="1" x14ac:dyDescent="0.25">
      <c r="A607" s="129"/>
      <c r="B607" s="129"/>
      <c r="C607" s="129"/>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row>
    <row r="608" spans="1:26" ht="15.75" hidden="1" customHeight="1" x14ac:dyDescent="0.25">
      <c r="A608" s="129"/>
      <c r="B608" s="129"/>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row>
    <row r="609" spans="1:26" ht="15.75" hidden="1" customHeight="1" x14ac:dyDescent="0.25">
      <c r="A609" s="129"/>
      <c r="B609" s="129"/>
      <c r="C609" s="129"/>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row>
    <row r="610" spans="1:26" ht="15.75" hidden="1" customHeight="1" x14ac:dyDescent="0.25">
      <c r="A610" s="129"/>
      <c r="B610" s="129"/>
      <c r="C610" s="129"/>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row>
    <row r="611" spans="1:26" ht="15.75" hidden="1" customHeight="1" x14ac:dyDescent="0.25">
      <c r="A611" s="129"/>
      <c r="B611" s="129"/>
      <c r="C611" s="129"/>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row>
    <row r="612" spans="1:26" ht="15.75" hidden="1" customHeight="1" x14ac:dyDescent="0.25">
      <c r="A612" s="129"/>
      <c r="B612" s="129"/>
      <c r="C612" s="129"/>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row>
    <row r="613" spans="1:26" ht="15.75" hidden="1" customHeight="1" x14ac:dyDescent="0.25">
      <c r="A613" s="129"/>
      <c r="B613" s="129"/>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row>
    <row r="614" spans="1:26" ht="15.75" hidden="1" customHeight="1" x14ac:dyDescent="0.25">
      <c r="A614" s="129"/>
      <c r="B614" s="129"/>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row>
    <row r="615" spans="1:26" ht="15.75" hidden="1" customHeight="1" x14ac:dyDescent="0.25">
      <c r="A615" s="129"/>
      <c r="B615" s="129"/>
      <c r="C615" s="129"/>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row>
    <row r="616" spans="1:26" ht="15.75" hidden="1" customHeight="1" x14ac:dyDescent="0.25">
      <c r="A616" s="129"/>
      <c r="B616" s="129"/>
      <c r="C616" s="129"/>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29"/>
      <c r="Z616" s="129"/>
    </row>
    <row r="617" spans="1:26" ht="15.75" hidden="1" customHeight="1" x14ac:dyDescent="0.25">
      <c r="A617" s="129"/>
      <c r="B617" s="129"/>
      <c r="C617" s="129"/>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row>
    <row r="618" spans="1:26" ht="15.75" hidden="1" customHeight="1" x14ac:dyDescent="0.25">
      <c r="A618" s="129"/>
      <c r="B618" s="129"/>
      <c r="C618" s="129"/>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row>
    <row r="619" spans="1:26" ht="15.75" hidden="1" customHeight="1" x14ac:dyDescent="0.25">
      <c r="A619" s="129"/>
      <c r="B619" s="129"/>
      <c r="C619" s="129"/>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row>
    <row r="620" spans="1:26" ht="15.75" hidden="1" customHeight="1" x14ac:dyDescent="0.25">
      <c r="A620" s="129"/>
      <c r="B620" s="129"/>
      <c r="C620" s="129"/>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row>
    <row r="621" spans="1:26" ht="15.75" hidden="1" customHeight="1" x14ac:dyDescent="0.25">
      <c r="A621" s="129"/>
      <c r="B621" s="129"/>
      <c r="C621" s="129"/>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row>
    <row r="622" spans="1:26" ht="15.75" hidden="1" customHeight="1" x14ac:dyDescent="0.25">
      <c r="A622" s="129"/>
      <c r="B622" s="129"/>
      <c r="C622" s="129"/>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row>
    <row r="623" spans="1:26" ht="15.75" hidden="1" customHeight="1" x14ac:dyDescent="0.25">
      <c r="A623" s="129"/>
      <c r="B623" s="129"/>
      <c r="C623" s="129"/>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row>
    <row r="624" spans="1:26" ht="15.75" hidden="1" customHeight="1" x14ac:dyDescent="0.25">
      <c r="A624" s="129"/>
      <c r="B624" s="129"/>
      <c r="C624" s="129"/>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row>
    <row r="625" spans="1:26" ht="15.75" hidden="1" customHeight="1" x14ac:dyDescent="0.25">
      <c r="A625" s="129"/>
      <c r="B625" s="129"/>
      <c r="C625" s="129"/>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29"/>
      <c r="Z625" s="129"/>
    </row>
    <row r="626" spans="1:26" ht="15.75" hidden="1" customHeight="1" x14ac:dyDescent="0.25">
      <c r="A626" s="129"/>
      <c r="B626" s="129"/>
      <c r="C626" s="129"/>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row>
    <row r="627" spans="1:26" ht="15.75" hidden="1" customHeight="1" x14ac:dyDescent="0.25">
      <c r="A627" s="129"/>
      <c r="B627" s="129"/>
      <c r="C627" s="129"/>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row>
    <row r="628" spans="1:26" ht="15.75" hidden="1" customHeight="1" x14ac:dyDescent="0.25">
      <c r="A628" s="129"/>
      <c r="B628" s="129"/>
      <c r="C628" s="129"/>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29"/>
      <c r="Z628" s="129"/>
    </row>
    <row r="629" spans="1:26" ht="15.75" hidden="1" customHeight="1" x14ac:dyDescent="0.25">
      <c r="A629" s="129"/>
      <c r="B629" s="129"/>
      <c r="C629" s="129"/>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row>
    <row r="630" spans="1:26" ht="15.75" hidden="1" customHeight="1" x14ac:dyDescent="0.25">
      <c r="A630" s="129"/>
      <c r="B630" s="129"/>
      <c r="C630" s="129"/>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row>
    <row r="631" spans="1:26" ht="15.75" hidden="1" customHeight="1" x14ac:dyDescent="0.25">
      <c r="A631" s="129"/>
      <c r="B631" s="129"/>
      <c r="C631" s="129"/>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row>
    <row r="632" spans="1:26" ht="15.75" hidden="1" customHeight="1" x14ac:dyDescent="0.25">
      <c r="A632" s="129"/>
      <c r="B632" s="129"/>
      <c r="C632" s="129"/>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row>
    <row r="633" spans="1:26" ht="15.75" hidden="1" customHeight="1" x14ac:dyDescent="0.25">
      <c r="A633" s="129"/>
      <c r="B633" s="129"/>
      <c r="C633" s="129"/>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row>
    <row r="634" spans="1:26" ht="15.75" hidden="1" customHeight="1" x14ac:dyDescent="0.25">
      <c r="A634" s="129"/>
      <c r="B634" s="129"/>
      <c r="C634" s="129"/>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row>
    <row r="635" spans="1:26" ht="15.75" hidden="1" customHeight="1" x14ac:dyDescent="0.25">
      <c r="A635" s="129"/>
      <c r="B635" s="129"/>
      <c r="C635" s="129"/>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29"/>
      <c r="Z635" s="129"/>
    </row>
    <row r="636" spans="1:26" ht="15.75" hidden="1" customHeight="1" x14ac:dyDescent="0.25">
      <c r="A636" s="129"/>
      <c r="B636" s="129"/>
      <c r="C636" s="129"/>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29"/>
    </row>
    <row r="637" spans="1:26" ht="15.75" hidden="1" customHeight="1" x14ac:dyDescent="0.25">
      <c r="A637" s="129"/>
      <c r="B637" s="129"/>
      <c r="C637" s="129"/>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29"/>
      <c r="Z637" s="129"/>
    </row>
    <row r="638" spans="1:26" ht="15.75" hidden="1" customHeight="1" x14ac:dyDescent="0.25">
      <c r="A638" s="129"/>
      <c r="B638" s="129"/>
      <c r="C638" s="129"/>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row>
    <row r="639" spans="1:26" ht="15.75" hidden="1" customHeight="1" x14ac:dyDescent="0.25">
      <c r="A639" s="129"/>
      <c r="B639" s="129"/>
      <c r="C639" s="129"/>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row>
    <row r="640" spans="1:26" ht="15.75" hidden="1" customHeight="1" x14ac:dyDescent="0.25">
      <c r="A640" s="129"/>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spans="1:26" ht="15.75" hidden="1" customHeight="1" x14ac:dyDescent="0.25">
      <c r="A641" s="129"/>
      <c r="B641" s="129"/>
      <c r="C641" s="129"/>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row>
    <row r="642" spans="1:26" ht="15.75" hidden="1" customHeight="1" x14ac:dyDescent="0.25">
      <c r="A642" s="129"/>
      <c r="B642" s="129"/>
      <c r="C642" s="129"/>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29"/>
      <c r="Z642" s="129"/>
    </row>
    <row r="643" spans="1:26" ht="15.75" hidden="1" customHeight="1" x14ac:dyDescent="0.25">
      <c r="A643" s="129"/>
      <c r="B643" s="129"/>
      <c r="C643" s="129"/>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row>
    <row r="644" spans="1:26" ht="15.75" hidden="1" customHeight="1" x14ac:dyDescent="0.25">
      <c r="A644" s="129"/>
      <c r="B644" s="129"/>
      <c r="C644" s="129"/>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row>
    <row r="645" spans="1:26" ht="15.75" hidden="1" customHeight="1" x14ac:dyDescent="0.25">
      <c r="A645" s="129"/>
      <c r="B645" s="129"/>
      <c r="C645" s="129"/>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row>
    <row r="646" spans="1:26" ht="15.75" hidden="1" customHeight="1" x14ac:dyDescent="0.25">
      <c r="A646" s="129"/>
      <c r="B646" s="129"/>
      <c r="C646" s="129"/>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row>
    <row r="647" spans="1:26" ht="15.75" hidden="1" customHeight="1" x14ac:dyDescent="0.25">
      <c r="A647" s="129"/>
      <c r="B647" s="129"/>
      <c r="C647" s="129"/>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row>
    <row r="648" spans="1:26" ht="15.75" hidden="1" customHeight="1" x14ac:dyDescent="0.25">
      <c r="A648" s="129"/>
      <c r="B648" s="129"/>
      <c r="C648" s="129"/>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29"/>
      <c r="Z648" s="129"/>
    </row>
    <row r="649" spans="1:26" ht="15.75" hidden="1" customHeight="1" x14ac:dyDescent="0.25">
      <c r="A649" s="129"/>
      <c r="B649" s="129"/>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row>
    <row r="650" spans="1:26" ht="15.75" hidden="1" customHeight="1" x14ac:dyDescent="0.25">
      <c r="A650" s="129"/>
      <c r="B650" s="129"/>
      <c r="C650" s="129"/>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row>
    <row r="651" spans="1:26" ht="15.75" hidden="1" customHeight="1" x14ac:dyDescent="0.25">
      <c r="A651" s="129"/>
      <c r="B651" s="129"/>
      <c r="C651" s="129"/>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row>
    <row r="652" spans="1:26" ht="15.75" hidden="1" customHeight="1" x14ac:dyDescent="0.25">
      <c r="A652" s="129"/>
      <c r="B652" s="129"/>
      <c r="C652" s="129"/>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row>
    <row r="653" spans="1:26" ht="15.75" hidden="1" customHeight="1" x14ac:dyDescent="0.25">
      <c r="A653" s="129"/>
      <c r="B653" s="129"/>
      <c r="C653" s="129"/>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29"/>
      <c r="Z653" s="129"/>
    </row>
    <row r="654" spans="1:26" ht="15.75" hidden="1" customHeight="1" x14ac:dyDescent="0.25">
      <c r="A654" s="129"/>
      <c r="B654" s="129"/>
      <c r="C654" s="129"/>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row>
    <row r="655" spans="1:26" ht="15.75" hidden="1" customHeight="1" x14ac:dyDescent="0.25">
      <c r="A655" s="129"/>
      <c r="B655" s="129"/>
      <c r="C655" s="129"/>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row>
    <row r="656" spans="1:26" ht="15.75" hidden="1" customHeight="1" x14ac:dyDescent="0.25">
      <c r="A656" s="129"/>
      <c r="B656" s="129"/>
      <c r="C656" s="129"/>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row>
    <row r="657" spans="1:26" ht="15.75" hidden="1" customHeight="1" x14ac:dyDescent="0.25">
      <c r="A657" s="129"/>
      <c r="B657" s="129"/>
      <c r="C657" s="129"/>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row>
    <row r="658" spans="1:26" ht="15.75" hidden="1" customHeight="1" x14ac:dyDescent="0.25">
      <c r="A658" s="129"/>
      <c r="B658" s="129"/>
      <c r="C658" s="129"/>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row>
    <row r="659" spans="1:26" ht="15.75" hidden="1" customHeight="1" x14ac:dyDescent="0.25">
      <c r="A659" s="129"/>
      <c r="B659" s="129"/>
      <c r="C659" s="129"/>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row>
    <row r="660" spans="1:26" ht="15.75" hidden="1" customHeight="1" x14ac:dyDescent="0.25">
      <c r="A660" s="129"/>
      <c r="B660" s="129"/>
      <c r="C660" s="129"/>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row>
    <row r="661" spans="1:26" ht="15.75" hidden="1" customHeight="1" x14ac:dyDescent="0.25">
      <c r="A661" s="129"/>
      <c r="B661" s="129"/>
      <c r="C661" s="129"/>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row>
    <row r="662" spans="1:26" ht="15.75" hidden="1" customHeight="1" x14ac:dyDescent="0.25">
      <c r="A662" s="129"/>
      <c r="B662" s="129"/>
      <c r="C662" s="129"/>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row>
    <row r="663" spans="1:26" ht="15.75" hidden="1" customHeight="1" x14ac:dyDescent="0.25">
      <c r="A663" s="129"/>
      <c r="B663" s="129"/>
      <c r="C663" s="129"/>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29"/>
      <c r="Z663" s="129"/>
    </row>
    <row r="664" spans="1:26" ht="15.75" hidden="1" customHeight="1" x14ac:dyDescent="0.25">
      <c r="A664" s="129"/>
      <c r="B664" s="129"/>
      <c r="C664" s="129"/>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row>
    <row r="665" spans="1:26" ht="15.75" hidden="1" customHeight="1" x14ac:dyDescent="0.25">
      <c r="A665" s="129"/>
      <c r="B665" s="129"/>
      <c r="C665" s="129"/>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row>
    <row r="666" spans="1:26" ht="15.75" hidden="1" customHeight="1" x14ac:dyDescent="0.25">
      <c r="A666" s="129"/>
      <c r="B666" s="129"/>
      <c r="C666" s="129"/>
      <c r="D666" s="129"/>
      <c r="E666" s="129"/>
      <c r="F666" s="129"/>
      <c r="G666" s="129"/>
      <c r="H666" s="129"/>
      <c r="I666" s="129"/>
      <c r="J666" s="129"/>
      <c r="K666" s="129"/>
      <c r="L666" s="129"/>
      <c r="M666" s="129"/>
      <c r="N666" s="129"/>
      <c r="O666" s="129"/>
      <c r="P666" s="129"/>
      <c r="Q666" s="129"/>
      <c r="R666" s="129"/>
      <c r="S666" s="129"/>
      <c r="T666" s="129"/>
      <c r="U666" s="129"/>
      <c r="V666" s="129"/>
      <c r="W666" s="129"/>
      <c r="X666" s="129"/>
      <c r="Y666" s="129"/>
      <c r="Z666" s="129"/>
    </row>
    <row r="667" spans="1:26" ht="15.75" hidden="1" customHeight="1" x14ac:dyDescent="0.25">
      <c r="A667" s="129"/>
      <c r="B667" s="129"/>
      <c r="C667" s="129"/>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row>
    <row r="668" spans="1:26" ht="15.75" hidden="1" customHeight="1" x14ac:dyDescent="0.25">
      <c r="A668" s="129"/>
      <c r="B668" s="129"/>
      <c r="C668" s="129"/>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row>
    <row r="669" spans="1:26" ht="15.75" hidden="1" customHeight="1" x14ac:dyDescent="0.25">
      <c r="A669" s="129"/>
      <c r="B669" s="129"/>
      <c r="C669" s="129"/>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row>
    <row r="670" spans="1:26" ht="15.75" hidden="1" customHeight="1" x14ac:dyDescent="0.25">
      <c r="A670" s="129"/>
      <c r="B670" s="129"/>
      <c r="C670" s="129"/>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row>
    <row r="671" spans="1:26" ht="15.75" hidden="1" customHeight="1" x14ac:dyDescent="0.25">
      <c r="A671" s="129"/>
      <c r="B671" s="129"/>
      <c r="C671" s="129"/>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row>
    <row r="672" spans="1:26" ht="15.75" hidden="1" customHeight="1" x14ac:dyDescent="0.25">
      <c r="A672" s="129"/>
      <c r="B672" s="129"/>
      <c r="C672" s="129"/>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row>
    <row r="673" spans="1:26" ht="15.75" hidden="1" customHeight="1" x14ac:dyDescent="0.25">
      <c r="A673" s="129"/>
      <c r="B673" s="129"/>
      <c r="C673" s="129"/>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row>
    <row r="674" spans="1:26" ht="15.75" hidden="1" customHeight="1" x14ac:dyDescent="0.25">
      <c r="A674" s="129"/>
      <c r="B674" s="129"/>
      <c r="C674" s="129"/>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row>
    <row r="675" spans="1:26" ht="15.75" hidden="1" customHeight="1" x14ac:dyDescent="0.25">
      <c r="A675" s="129"/>
      <c r="B675" s="129"/>
      <c r="C675" s="129"/>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row>
    <row r="676" spans="1:26" ht="15.75" hidden="1" customHeight="1" x14ac:dyDescent="0.25">
      <c r="A676" s="129"/>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spans="1:26" ht="15.75" hidden="1" customHeight="1" x14ac:dyDescent="0.25">
      <c r="A677" s="129"/>
      <c r="B677" s="129"/>
      <c r="C677" s="129"/>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row>
    <row r="678" spans="1:26" ht="15.75" hidden="1" customHeight="1" x14ac:dyDescent="0.25">
      <c r="A678" s="129"/>
      <c r="B678" s="129"/>
      <c r="C678" s="129"/>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row>
    <row r="679" spans="1:26" ht="15.75" hidden="1" customHeight="1" x14ac:dyDescent="0.25">
      <c r="A679" s="129"/>
      <c r="B679" s="129"/>
      <c r="C679" s="129"/>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row>
    <row r="680" spans="1:26" ht="15.75" hidden="1" customHeight="1" x14ac:dyDescent="0.25">
      <c r="A680" s="129"/>
      <c r="B680" s="129"/>
      <c r="C680" s="129"/>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row>
    <row r="681" spans="1:26" ht="15.75" hidden="1" customHeight="1" x14ac:dyDescent="0.25">
      <c r="A681" s="129"/>
      <c r="B681" s="129"/>
      <c r="C681" s="129"/>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row>
    <row r="682" spans="1:26" ht="15.75" hidden="1" customHeight="1" x14ac:dyDescent="0.25">
      <c r="A682" s="129"/>
      <c r="B682" s="129"/>
      <c r="C682" s="129"/>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row>
    <row r="683" spans="1:26" ht="15.75" hidden="1" customHeight="1" x14ac:dyDescent="0.25">
      <c r="A683" s="129"/>
      <c r="B683" s="129"/>
      <c r="C683" s="129"/>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row>
    <row r="684" spans="1:26" ht="15.75" hidden="1" customHeight="1" x14ac:dyDescent="0.25">
      <c r="A684" s="129"/>
      <c r="B684" s="129"/>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row>
    <row r="685" spans="1:26" ht="15.75" hidden="1" customHeight="1" x14ac:dyDescent="0.25">
      <c r="A685" s="129"/>
      <c r="B685" s="129"/>
      <c r="C685" s="129"/>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29"/>
      <c r="Z685" s="129"/>
    </row>
    <row r="686" spans="1:26" ht="15.75" hidden="1" customHeight="1" x14ac:dyDescent="0.25">
      <c r="A686" s="129"/>
      <c r="B686" s="129"/>
      <c r="C686" s="129"/>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row>
    <row r="687" spans="1:26" ht="15.75" hidden="1" customHeight="1" x14ac:dyDescent="0.25">
      <c r="A687" s="129"/>
      <c r="B687" s="129"/>
      <c r="C687" s="129"/>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row>
    <row r="688" spans="1:26" ht="15.75" hidden="1" customHeight="1" x14ac:dyDescent="0.25">
      <c r="A688" s="129"/>
      <c r="B688" s="129"/>
      <c r="C688" s="129"/>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row>
    <row r="689" spans="1:26" ht="15.75" hidden="1" customHeight="1" x14ac:dyDescent="0.25">
      <c r="A689" s="129"/>
      <c r="B689" s="129"/>
      <c r="C689" s="129"/>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row>
    <row r="690" spans="1:26" ht="15.75" hidden="1" customHeight="1" x14ac:dyDescent="0.25">
      <c r="A690" s="129"/>
      <c r="B690" s="129"/>
      <c r="C690" s="129"/>
      <c r="D690" s="129"/>
      <c r="E690" s="129"/>
      <c r="F690" s="129"/>
      <c r="G690" s="129"/>
      <c r="H690" s="129"/>
      <c r="I690" s="129"/>
      <c r="J690" s="129"/>
      <c r="K690" s="129"/>
      <c r="L690" s="129"/>
      <c r="M690" s="129"/>
      <c r="N690" s="129"/>
      <c r="O690" s="129"/>
      <c r="P690" s="129"/>
      <c r="Q690" s="129"/>
      <c r="R690" s="129"/>
      <c r="S690" s="129"/>
      <c r="T690" s="129"/>
      <c r="U690" s="129"/>
      <c r="V690" s="129"/>
      <c r="W690" s="129"/>
      <c r="X690" s="129"/>
      <c r="Y690" s="129"/>
      <c r="Z690" s="129"/>
    </row>
    <row r="691" spans="1:26" ht="15.75" hidden="1" customHeight="1" x14ac:dyDescent="0.25">
      <c r="A691" s="129"/>
      <c r="B691" s="129"/>
      <c r="C691" s="129"/>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row>
    <row r="692" spans="1:26" ht="15.75" hidden="1" customHeight="1" x14ac:dyDescent="0.25">
      <c r="A692" s="129"/>
      <c r="B692" s="129"/>
      <c r="C692" s="129"/>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row>
    <row r="693" spans="1:26" ht="15.75" hidden="1" customHeight="1" x14ac:dyDescent="0.25">
      <c r="A693" s="129"/>
      <c r="B693" s="129"/>
      <c r="C693" s="129"/>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row>
    <row r="694" spans="1:26" ht="15.75" hidden="1" customHeight="1" x14ac:dyDescent="0.25">
      <c r="A694" s="129"/>
      <c r="B694" s="129"/>
      <c r="C694" s="129"/>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row>
    <row r="695" spans="1:26" ht="15.75" hidden="1" customHeight="1" x14ac:dyDescent="0.25">
      <c r="A695" s="129"/>
      <c r="B695" s="129"/>
      <c r="C695" s="129"/>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row>
    <row r="696" spans="1:26" ht="15.75" hidden="1" customHeight="1" x14ac:dyDescent="0.25">
      <c r="A696" s="129"/>
      <c r="B696" s="129"/>
      <c r="C696" s="129"/>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row>
    <row r="697" spans="1:26" ht="15.75" hidden="1" customHeight="1" x14ac:dyDescent="0.25">
      <c r="A697" s="129"/>
      <c r="B697" s="129"/>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row>
    <row r="698" spans="1:26" ht="15.75" hidden="1" customHeight="1" x14ac:dyDescent="0.25">
      <c r="A698" s="129"/>
      <c r="B698" s="129"/>
      <c r="C698" s="129"/>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row>
    <row r="699" spans="1:26" ht="15.75" hidden="1" customHeight="1" x14ac:dyDescent="0.25">
      <c r="A699" s="129"/>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c r="Z699" s="129"/>
    </row>
    <row r="700" spans="1:26" ht="15.75" hidden="1" customHeight="1" x14ac:dyDescent="0.25">
      <c r="A700" s="129"/>
      <c r="B700" s="129"/>
      <c r="C700" s="129"/>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row>
    <row r="701" spans="1:26" ht="15.75" hidden="1" customHeight="1" x14ac:dyDescent="0.25">
      <c r="A701" s="129"/>
      <c r="B701" s="129"/>
      <c r="C701" s="129"/>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row>
    <row r="702" spans="1:26" ht="15.75" hidden="1" customHeight="1" x14ac:dyDescent="0.25">
      <c r="A702" s="129"/>
      <c r="B702" s="129"/>
      <c r="C702" s="129"/>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row>
    <row r="703" spans="1:26" ht="15.75" hidden="1" customHeight="1" x14ac:dyDescent="0.25">
      <c r="A703" s="129"/>
      <c r="B703" s="129"/>
      <c r="C703" s="129"/>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row>
    <row r="704" spans="1:26" ht="15.75" hidden="1" customHeight="1" x14ac:dyDescent="0.25">
      <c r="A704" s="129"/>
      <c r="B704" s="129"/>
      <c r="C704" s="129"/>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row>
    <row r="705" spans="1:26" ht="15.75" hidden="1" customHeight="1" x14ac:dyDescent="0.25">
      <c r="A705" s="129"/>
      <c r="B705" s="129"/>
      <c r="C705" s="129"/>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c r="Z705" s="129"/>
    </row>
    <row r="706" spans="1:26" ht="15.75" hidden="1" customHeight="1" x14ac:dyDescent="0.25">
      <c r="A706" s="129"/>
      <c r="B706" s="129"/>
      <c r="C706" s="129"/>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row>
    <row r="707" spans="1:26" ht="15.75" hidden="1" customHeight="1" x14ac:dyDescent="0.25">
      <c r="A707" s="129"/>
      <c r="B707" s="129"/>
      <c r="C707" s="129"/>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29"/>
      <c r="Z707" s="129"/>
    </row>
    <row r="708" spans="1:26" ht="15.75" hidden="1" customHeight="1" x14ac:dyDescent="0.25">
      <c r="A708" s="129"/>
      <c r="B708" s="129"/>
      <c r="C708" s="129"/>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29"/>
      <c r="Z708" s="129"/>
    </row>
    <row r="709" spans="1:26" ht="15.75" hidden="1" customHeight="1" x14ac:dyDescent="0.25">
      <c r="A709" s="129"/>
      <c r="B709" s="129"/>
      <c r="C709" s="129"/>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row>
    <row r="710" spans="1:26" ht="15.75" hidden="1" customHeight="1" x14ac:dyDescent="0.25">
      <c r="A710" s="129"/>
      <c r="B710" s="129"/>
      <c r="C710" s="129"/>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row>
    <row r="711" spans="1:26" ht="15.75" hidden="1" customHeight="1" x14ac:dyDescent="0.25">
      <c r="A711" s="129"/>
      <c r="B711" s="129"/>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row>
    <row r="712" spans="1:26" ht="15.75" hidden="1" customHeight="1" x14ac:dyDescent="0.25">
      <c r="A712" s="129"/>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spans="1:26" ht="15.75" hidden="1" customHeight="1" x14ac:dyDescent="0.25">
      <c r="A713" s="129"/>
      <c r="B713" s="129"/>
      <c r="C713" s="129"/>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row>
    <row r="714" spans="1:26" ht="15.75" hidden="1" customHeight="1" x14ac:dyDescent="0.25">
      <c r="A714" s="129"/>
      <c r="B714" s="129"/>
      <c r="C714" s="129"/>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row>
    <row r="715" spans="1:26" ht="15.75" hidden="1" customHeight="1" x14ac:dyDescent="0.25">
      <c r="A715" s="129"/>
      <c r="B715" s="129"/>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row>
    <row r="716" spans="1:26" ht="15.75" hidden="1" customHeight="1" x14ac:dyDescent="0.25">
      <c r="A716" s="129"/>
      <c r="B716" s="129"/>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29"/>
      <c r="Z716" s="129"/>
    </row>
    <row r="717" spans="1:26" ht="15.75" hidden="1" customHeight="1" x14ac:dyDescent="0.25">
      <c r="A717" s="129"/>
      <c r="B717" s="129"/>
      <c r="C717" s="12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row>
    <row r="718" spans="1:26" ht="15.75" hidden="1" customHeight="1" x14ac:dyDescent="0.25">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row>
    <row r="719" spans="1:26" ht="15.75" hidden="1" customHeight="1" x14ac:dyDescent="0.25">
      <c r="A719" s="129"/>
      <c r="B719" s="129"/>
      <c r="C719" s="129"/>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row>
    <row r="720" spans="1:26" ht="15.75" hidden="1" customHeight="1" x14ac:dyDescent="0.25">
      <c r="A720" s="129"/>
      <c r="B720" s="129"/>
      <c r="C720" s="129"/>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row>
    <row r="721" spans="1:26" ht="15.75" hidden="1" customHeight="1" x14ac:dyDescent="0.25">
      <c r="A721" s="129"/>
      <c r="B721" s="129"/>
      <c r="C721" s="129"/>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row>
    <row r="722" spans="1:26" ht="15.75" hidden="1" customHeight="1" x14ac:dyDescent="0.25">
      <c r="A722" s="129"/>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row>
    <row r="723" spans="1:26" ht="15.75" hidden="1" customHeight="1" x14ac:dyDescent="0.25">
      <c r="A723" s="129"/>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row>
    <row r="724" spans="1:26" ht="15.75" hidden="1" customHeight="1" x14ac:dyDescent="0.25">
      <c r="A724" s="129"/>
      <c r="B724" s="129"/>
      <c r="C724" s="129"/>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row>
    <row r="725" spans="1:26" ht="15.75" hidden="1" customHeight="1" x14ac:dyDescent="0.25">
      <c r="A725" s="129"/>
      <c r="B725" s="129"/>
      <c r="C725" s="129"/>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row>
    <row r="726" spans="1:26" ht="15.75" hidden="1" customHeight="1" x14ac:dyDescent="0.25">
      <c r="A726" s="129"/>
      <c r="B726" s="129"/>
      <c r="C726" s="129"/>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row>
    <row r="727" spans="1:26" ht="15.75" hidden="1" customHeight="1" x14ac:dyDescent="0.25">
      <c r="A727" s="129"/>
      <c r="B727" s="129"/>
      <c r="C727" s="129"/>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row>
    <row r="728" spans="1:26" ht="15.75" hidden="1" customHeight="1" x14ac:dyDescent="0.25">
      <c r="A728" s="129"/>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row>
    <row r="729" spans="1:26" ht="15.75" hidden="1" customHeight="1" x14ac:dyDescent="0.25">
      <c r="A729" s="129"/>
      <c r="B729" s="129"/>
      <c r="C729" s="129"/>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row>
    <row r="730" spans="1:26" ht="15.75" hidden="1" customHeight="1" x14ac:dyDescent="0.25">
      <c r="A730" s="129"/>
      <c r="B730" s="129"/>
      <c r="C730" s="129"/>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row>
    <row r="731" spans="1:26" ht="15.75" hidden="1" customHeight="1" x14ac:dyDescent="0.25">
      <c r="A731" s="129"/>
      <c r="B731" s="129"/>
      <c r="C731" s="129"/>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29"/>
      <c r="Z731" s="129"/>
    </row>
    <row r="732" spans="1:26" ht="15.75" hidden="1" customHeight="1" x14ac:dyDescent="0.25">
      <c r="A732" s="129"/>
      <c r="B732" s="129"/>
      <c r="C732" s="129"/>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row>
    <row r="733" spans="1:26" ht="15.75" hidden="1" customHeight="1" x14ac:dyDescent="0.25">
      <c r="A733" s="129"/>
      <c r="B733" s="129"/>
      <c r="C733" s="129"/>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row>
    <row r="734" spans="1:26" ht="15.75" hidden="1" customHeight="1" x14ac:dyDescent="0.25">
      <c r="A734" s="129"/>
      <c r="B734" s="129"/>
      <c r="C734" s="129"/>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29"/>
      <c r="Z734" s="129"/>
    </row>
    <row r="735" spans="1:26" ht="15.75" hidden="1" customHeight="1" x14ac:dyDescent="0.25">
      <c r="A735" s="129"/>
      <c r="B735" s="129"/>
      <c r="C735" s="12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row>
    <row r="736" spans="1:26" ht="15.75" hidden="1" customHeight="1" x14ac:dyDescent="0.25">
      <c r="A736" s="129"/>
      <c r="B736" s="129"/>
      <c r="C736" s="129"/>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row>
    <row r="737" spans="1:26" ht="15.75" hidden="1" customHeight="1" x14ac:dyDescent="0.25">
      <c r="A737" s="129"/>
      <c r="B737" s="129"/>
      <c r="C737" s="129"/>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row>
    <row r="738" spans="1:26" ht="15.75" hidden="1" customHeight="1" x14ac:dyDescent="0.25">
      <c r="A738" s="129"/>
      <c r="B738" s="129"/>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row>
    <row r="739" spans="1:26" ht="15.75" hidden="1" customHeight="1" x14ac:dyDescent="0.25">
      <c r="A739" s="129"/>
      <c r="B739" s="129"/>
      <c r="C739" s="129"/>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row>
    <row r="740" spans="1:26" ht="15.75" hidden="1" customHeight="1" x14ac:dyDescent="0.25">
      <c r="A740" s="129"/>
      <c r="B740" s="129"/>
      <c r="C740" s="129"/>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row>
    <row r="741" spans="1:26" ht="15.75" hidden="1" customHeight="1" x14ac:dyDescent="0.25">
      <c r="A741" s="129"/>
      <c r="B741" s="129"/>
      <c r="C741" s="129"/>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row>
    <row r="742" spans="1:26" ht="15.75" hidden="1" customHeight="1" x14ac:dyDescent="0.25">
      <c r="A742" s="129"/>
      <c r="B742" s="129"/>
      <c r="C742" s="129"/>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row>
    <row r="743" spans="1:26" ht="15.75" hidden="1" customHeight="1" x14ac:dyDescent="0.25">
      <c r="A743" s="129"/>
      <c r="B743" s="129"/>
      <c r="C743" s="129"/>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row>
    <row r="744" spans="1:26" ht="15.75" hidden="1" customHeight="1" x14ac:dyDescent="0.25">
      <c r="A744" s="129"/>
      <c r="B744" s="129"/>
      <c r="C744" s="129"/>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row>
    <row r="745" spans="1:26" ht="15.75" hidden="1" customHeight="1" x14ac:dyDescent="0.25">
      <c r="A745" s="129"/>
      <c r="B745" s="129"/>
      <c r="C745" s="129"/>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row>
    <row r="746" spans="1:26" ht="15.75" hidden="1" customHeight="1" x14ac:dyDescent="0.25">
      <c r="A746" s="129"/>
      <c r="B746" s="129"/>
      <c r="C746" s="129"/>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row>
    <row r="747" spans="1:26" ht="15.75" hidden="1" customHeight="1" x14ac:dyDescent="0.25">
      <c r="A747" s="129"/>
      <c r="B747" s="129"/>
      <c r="C747" s="129"/>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row>
    <row r="748" spans="1:26" ht="15.75" hidden="1" customHeight="1" x14ac:dyDescent="0.25">
      <c r="A748" s="129"/>
      <c r="B748" s="129"/>
      <c r="C748" s="129"/>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row>
    <row r="749" spans="1:26" ht="15.75" hidden="1" customHeight="1" x14ac:dyDescent="0.25">
      <c r="A749" s="129"/>
      <c r="B749" s="129"/>
      <c r="C749" s="129"/>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row>
    <row r="750" spans="1:26" ht="15.75" hidden="1" customHeight="1" x14ac:dyDescent="0.25">
      <c r="A750" s="129"/>
      <c r="B750" s="129"/>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row>
    <row r="751" spans="1:26" ht="15.75" hidden="1" customHeight="1" x14ac:dyDescent="0.25">
      <c r="A751" s="129"/>
      <c r="B751" s="129"/>
      <c r="C751" s="129"/>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row>
    <row r="752" spans="1:26" ht="15.75" hidden="1" customHeight="1" x14ac:dyDescent="0.25">
      <c r="A752" s="129"/>
      <c r="B752" s="129"/>
      <c r="C752" s="129"/>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row>
    <row r="753" spans="1:26" ht="15.75" hidden="1" customHeight="1" x14ac:dyDescent="0.25">
      <c r="A753" s="129"/>
      <c r="B753" s="129"/>
      <c r="C753" s="129"/>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row>
    <row r="754" spans="1:26" ht="15.75" hidden="1" customHeight="1" x14ac:dyDescent="0.25">
      <c r="A754" s="129"/>
      <c r="B754" s="129"/>
      <c r="C754" s="129"/>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row>
    <row r="755" spans="1:26" ht="15.75" hidden="1" customHeight="1" x14ac:dyDescent="0.25">
      <c r="A755" s="129"/>
      <c r="B755" s="129"/>
      <c r="C755" s="129"/>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row>
    <row r="756" spans="1:26" ht="15.75" hidden="1" customHeight="1" x14ac:dyDescent="0.25">
      <c r="A756" s="129"/>
      <c r="B756" s="129"/>
      <c r="C756" s="129"/>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row>
    <row r="757" spans="1:26" ht="15.75" hidden="1" customHeight="1" x14ac:dyDescent="0.25">
      <c r="A757" s="129"/>
      <c r="B757" s="129"/>
      <c r="C757" s="129"/>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row>
    <row r="758" spans="1:26" ht="15.75" hidden="1" customHeight="1" x14ac:dyDescent="0.25">
      <c r="A758" s="129"/>
      <c r="B758" s="129"/>
      <c r="C758" s="129"/>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row>
    <row r="759" spans="1:26" ht="15.75" hidden="1" customHeight="1" x14ac:dyDescent="0.25">
      <c r="A759" s="129"/>
      <c r="B759" s="129"/>
      <c r="C759" s="129"/>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row>
    <row r="760" spans="1:26" ht="15.75" hidden="1" customHeight="1" x14ac:dyDescent="0.25">
      <c r="A760" s="129"/>
      <c r="B760" s="129"/>
      <c r="C760" s="129"/>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row>
    <row r="761" spans="1:26" ht="15.75" hidden="1" customHeight="1" x14ac:dyDescent="0.25">
      <c r="A761" s="129"/>
      <c r="B761" s="129"/>
      <c r="C761" s="129"/>
      <c r="D761" s="129"/>
      <c r="E761" s="129"/>
      <c r="F761" s="129"/>
      <c r="G761" s="129"/>
      <c r="H761" s="129"/>
      <c r="I761" s="129"/>
      <c r="J761" s="129"/>
      <c r="K761" s="129"/>
      <c r="L761" s="129"/>
      <c r="M761" s="129"/>
      <c r="N761" s="129"/>
      <c r="O761" s="129"/>
      <c r="P761" s="129"/>
      <c r="Q761" s="129"/>
      <c r="R761" s="129"/>
      <c r="S761" s="129"/>
      <c r="T761" s="129"/>
      <c r="U761" s="129"/>
      <c r="V761" s="129"/>
      <c r="W761" s="129"/>
      <c r="X761" s="129"/>
      <c r="Y761" s="129"/>
      <c r="Z761" s="129"/>
    </row>
    <row r="762" spans="1:26" ht="15.75" hidden="1" customHeight="1" x14ac:dyDescent="0.25">
      <c r="A762" s="129"/>
      <c r="B762" s="129"/>
      <c r="C762" s="129"/>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29"/>
      <c r="Z762" s="129"/>
    </row>
    <row r="763" spans="1:26" ht="15.75" hidden="1" customHeight="1" x14ac:dyDescent="0.25">
      <c r="A763" s="129"/>
      <c r="B763" s="129"/>
      <c r="C763" s="129"/>
      <c r="D763" s="129"/>
      <c r="E763" s="129"/>
      <c r="F763" s="129"/>
      <c r="G763" s="129"/>
      <c r="H763" s="129"/>
      <c r="I763" s="129"/>
      <c r="J763" s="129"/>
      <c r="K763" s="129"/>
      <c r="L763" s="129"/>
      <c r="M763" s="129"/>
      <c r="N763" s="129"/>
      <c r="O763" s="129"/>
      <c r="P763" s="129"/>
      <c r="Q763" s="129"/>
      <c r="R763" s="129"/>
      <c r="S763" s="129"/>
      <c r="T763" s="129"/>
      <c r="U763" s="129"/>
      <c r="V763" s="129"/>
      <c r="W763" s="129"/>
      <c r="X763" s="129"/>
      <c r="Y763" s="129"/>
      <c r="Z763" s="129"/>
    </row>
    <row r="764" spans="1:26" ht="15.75" hidden="1" customHeight="1" x14ac:dyDescent="0.25">
      <c r="A764" s="129"/>
      <c r="B764" s="129"/>
      <c r="C764" s="129"/>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29"/>
    </row>
    <row r="765" spans="1:26" ht="15.75" hidden="1" customHeight="1" x14ac:dyDescent="0.25">
      <c r="A765" s="129"/>
      <c r="B765" s="129"/>
      <c r="C765" s="129"/>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29"/>
      <c r="Z765" s="129"/>
    </row>
    <row r="766" spans="1:26" ht="15.75" hidden="1" customHeight="1" x14ac:dyDescent="0.25">
      <c r="A766" s="129"/>
      <c r="B766" s="129"/>
      <c r="C766" s="129"/>
      <c r="D766" s="129"/>
      <c r="E766" s="129"/>
      <c r="F766" s="129"/>
      <c r="G766" s="129"/>
      <c r="H766" s="129"/>
      <c r="I766" s="129"/>
      <c r="J766" s="129"/>
      <c r="K766" s="129"/>
      <c r="L766" s="129"/>
      <c r="M766" s="129"/>
      <c r="N766" s="129"/>
      <c r="O766" s="129"/>
      <c r="P766" s="129"/>
      <c r="Q766" s="129"/>
      <c r="R766" s="129"/>
      <c r="S766" s="129"/>
      <c r="T766" s="129"/>
      <c r="U766" s="129"/>
      <c r="V766" s="129"/>
      <c r="W766" s="129"/>
      <c r="X766" s="129"/>
      <c r="Y766" s="129"/>
      <c r="Z766" s="129"/>
    </row>
    <row r="767" spans="1:26" ht="15.75" hidden="1" customHeight="1" x14ac:dyDescent="0.25">
      <c r="A767" s="129"/>
      <c r="B767" s="129"/>
      <c r="C767" s="129"/>
      <c r="D767" s="129"/>
      <c r="E767" s="129"/>
      <c r="F767" s="129"/>
      <c r="G767" s="129"/>
      <c r="H767" s="129"/>
      <c r="I767" s="129"/>
      <c r="J767" s="129"/>
      <c r="K767" s="129"/>
      <c r="L767" s="129"/>
      <c r="M767" s="129"/>
      <c r="N767" s="129"/>
      <c r="O767" s="129"/>
      <c r="P767" s="129"/>
      <c r="Q767" s="129"/>
      <c r="R767" s="129"/>
      <c r="S767" s="129"/>
      <c r="T767" s="129"/>
      <c r="U767" s="129"/>
      <c r="V767" s="129"/>
      <c r="W767" s="129"/>
      <c r="X767" s="129"/>
      <c r="Y767" s="129"/>
      <c r="Z767" s="129"/>
    </row>
    <row r="768" spans="1:26" ht="15.75" hidden="1" customHeight="1" x14ac:dyDescent="0.25">
      <c r="A768" s="129"/>
      <c r="B768" s="129"/>
      <c r="C768" s="129"/>
      <c r="D768" s="129"/>
      <c r="E768" s="129"/>
      <c r="F768" s="129"/>
      <c r="G768" s="129"/>
      <c r="H768" s="129"/>
      <c r="I768" s="129"/>
      <c r="J768" s="129"/>
      <c r="K768" s="129"/>
      <c r="L768" s="129"/>
      <c r="M768" s="129"/>
      <c r="N768" s="129"/>
      <c r="O768" s="129"/>
      <c r="P768" s="129"/>
      <c r="Q768" s="129"/>
      <c r="R768" s="129"/>
      <c r="S768" s="129"/>
      <c r="T768" s="129"/>
      <c r="U768" s="129"/>
      <c r="V768" s="129"/>
      <c r="W768" s="129"/>
      <c r="X768" s="129"/>
      <c r="Y768" s="129"/>
      <c r="Z768" s="129"/>
    </row>
    <row r="769" spans="1:26" ht="15.75" hidden="1" customHeight="1" x14ac:dyDescent="0.25">
      <c r="A769" s="129"/>
      <c r="B769" s="129"/>
      <c r="C769" s="129"/>
      <c r="D769" s="129"/>
      <c r="E769" s="129"/>
      <c r="F769" s="129"/>
      <c r="G769" s="129"/>
      <c r="H769" s="129"/>
      <c r="I769" s="129"/>
      <c r="J769" s="129"/>
      <c r="K769" s="129"/>
      <c r="L769" s="129"/>
      <c r="M769" s="129"/>
      <c r="N769" s="129"/>
      <c r="O769" s="129"/>
      <c r="P769" s="129"/>
      <c r="Q769" s="129"/>
      <c r="R769" s="129"/>
      <c r="S769" s="129"/>
      <c r="T769" s="129"/>
      <c r="U769" s="129"/>
      <c r="V769" s="129"/>
      <c r="W769" s="129"/>
      <c r="X769" s="129"/>
      <c r="Y769" s="129"/>
      <c r="Z769" s="129"/>
    </row>
    <row r="770" spans="1:26" ht="15.75" hidden="1" customHeight="1" x14ac:dyDescent="0.25">
      <c r="A770" s="129"/>
      <c r="B770" s="129"/>
      <c r="C770" s="129"/>
      <c r="D770" s="129"/>
      <c r="E770" s="129"/>
      <c r="F770" s="129"/>
      <c r="G770" s="129"/>
      <c r="H770" s="129"/>
      <c r="I770" s="129"/>
      <c r="J770" s="129"/>
      <c r="K770" s="129"/>
      <c r="L770" s="129"/>
      <c r="M770" s="129"/>
      <c r="N770" s="129"/>
      <c r="O770" s="129"/>
      <c r="P770" s="129"/>
      <c r="Q770" s="129"/>
      <c r="R770" s="129"/>
      <c r="S770" s="129"/>
      <c r="T770" s="129"/>
      <c r="U770" s="129"/>
      <c r="V770" s="129"/>
      <c r="W770" s="129"/>
      <c r="X770" s="129"/>
      <c r="Y770" s="129"/>
      <c r="Z770" s="129"/>
    </row>
    <row r="771" spans="1:26" ht="15.75" hidden="1" customHeight="1" x14ac:dyDescent="0.25">
      <c r="A771" s="129"/>
      <c r="B771" s="129"/>
      <c r="C771" s="129"/>
      <c r="D771" s="129"/>
      <c r="E771" s="129"/>
      <c r="F771" s="129"/>
      <c r="G771" s="129"/>
      <c r="H771" s="129"/>
      <c r="I771" s="129"/>
      <c r="J771" s="129"/>
      <c r="K771" s="129"/>
      <c r="L771" s="129"/>
      <c r="M771" s="129"/>
      <c r="N771" s="129"/>
      <c r="O771" s="129"/>
      <c r="P771" s="129"/>
      <c r="Q771" s="129"/>
      <c r="R771" s="129"/>
      <c r="S771" s="129"/>
      <c r="T771" s="129"/>
      <c r="U771" s="129"/>
      <c r="V771" s="129"/>
      <c r="W771" s="129"/>
      <c r="X771" s="129"/>
      <c r="Y771" s="129"/>
      <c r="Z771" s="129"/>
    </row>
    <row r="772" spans="1:26" ht="15.75" hidden="1" customHeight="1" x14ac:dyDescent="0.25">
      <c r="A772" s="129"/>
      <c r="B772" s="129"/>
      <c r="C772" s="129"/>
      <c r="D772" s="129"/>
      <c r="E772" s="129"/>
      <c r="F772" s="129"/>
      <c r="G772" s="129"/>
      <c r="H772" s="129"/>
      <c r="I772" s="129"/>
      <c r="J772" s="129"/>
      <c r="K772" s="129"/>
      <c r="L772" s="129"/>
      <c r="M772" s="129"/>
      <c r="N772" s="129"/>
      <c r="O772" s="129"/>
      <c r="P772" s="129"/>
      <c r="Q772" s="129"/>
      <c r="R772" s="129"/>
      <c r="S772" s="129"/>
      <c r="T772" s="129"/>
      <c r="U772" s="129"/>
      <c r="V772" s="129"/>
      <c r="W772" s="129"/>
      <c r="X772" s="129"/>
      <c r="Y772" s="129"/>
      <c r="Z772" s="129"/>
    </row>
    <row r="773" spans="1:26" ht="15.75" hidden="1" customHeight="1" x14ac:dyDescent="0.25">
      <c r="A773" s="129"/>
      <c r="B773" s="129"/>
      <c r="C773" s="129"/>
      <c r="D773" s="129"/>
      <c r="E773" s="129"/>
      <c r="F773" s="129"/>
      <c r="G773" s="129"/>
      <c r="H773" s="129"/>
      <c r="I773" s="129"/>
      <c r="J773" s="129"/>
      <c r="K773" s="129"/>
      <c r="L773" s="129"/>
      <c r="M773" s="129"/>
      <c r="N773" s="129"/>
      <c r="O773" s="129"/>
      <c r="P773" s="129"/>
      <c r="Q773" s="129"/>
      <c r="R773" s="129"/>
      <c r="S773" s="129"/>
      <c r="T773" s="129"/>
      <c r="U773" s="129"/>
      <c r="V773" s="129"/>
      <c r="W773" s="129"/>
      <c r="X773" s="129"/>
      <c r="Y773" s="129"/>
      <c r="Z773" s="129"/>
    </row>
    <row r="774" spans="1:26" ht="15.75" hidden="1" customHeight="1" x14ac:dyDescent="0.25">
      <c r="A774" s="129"/>
      <c r="B774" s="129"/>
      <c r="C774" s="129"/>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row>
    <row r="775" spans="1:26" ht="15.75" hidden="1" customHeight="1" x14ac:dyDescent="0.25">
      <c r="A775" s="129"/>
      <c r="B775" s="129"/>
      <c r="C775" s="129"/>
      <c r="D775" s="129"/>
      <c r="E775" s="129"/>
      <c r="F775" s="129"/>
      <c r="G775" s="129"/>
      <c r="H775" s="129"/>
      <c r="I775" s="129"/>
      <c r="J775" s="129"/>
      <c r="K775" s="129"/>
      <c r="L775" s="129"/>
      <c r="M775" s="129"/>
      <c r="N775" s="129"/>
      <c r="O775" s="129"/>
      <c r="P775" s="129"/>
      <c r="Q775" s="129"/>
      <c r="R775" s="129"/>
      <c r="S775" s="129"/>
      <c r="T775" s="129"/>
      <c r="U775" s="129"/>
      <c r="V775" s="129"/>
      <c r="W775" s="129"/>
      <c r="X775" s="129"/>
      <c r="Y775" s="129"/>
      <c r="Z775" s="129"/>
    </row>
    <row r="776" spans="1:26" ht="15.75" hidden="1" customHeight="1" x14ac:dyDescent="0.25">
      <c r="A776" s="129"/>
      <c r="B776" s="129"/>
      <c r="C776" s="129"/>
      <c r="D776" s="129"/>
      <c r="E776" s="129"/>
      <c r="F776" s="129"/>
      <c r="G776" s="129"/>
      <c r="H776" s="129"/>
      <c r="I776" s="129"/>
      <c r="J776" s="129"/>
      <c r="K776" s="129"/>
      <c r="L776" s="129"/>
      <c r="M776" s="129"/>
      <c r="N776" s="129"/>
      <c r="O776" s="129"/>
      <c r="P776" s="129"/>
      <c r="Q776" s="129"/>
      <c r="R776" s="129"/>
      <c r="S776" s="129"/>
      <c r="T776" s="129"/>
      <c r="U776" s="129"/>
      <c r="V776" s="129"/>
      <c r="W776" s="129"/>
      <c r="X776" s="129"/>
      <c r="Y776" s="129"/>
      <c r="Z776" s="129"/>
    </row>
    <row r="777" spans="1:26" ht="15.75" hidden="1" customHeight="1" x14ac:dyDescent="0.25">
      <c r="A777" s="129"/>
      <c r="B777" s="129"/>
      <c r="C777" s="129"/>
      <c r="D777" s="129"/>
      <c r="E777" s="129"/>
      <c r="F777" s="129"/>
      <c r="G777" s="129"/>
      <c r="H777" s="129"/>
      <c r="I777" s="129"/>
      <c r="J777" s="129"/>
      <c r="K777" s="129"/>
      <c r="L777" s="129"/>
      <c r="M777" s="129"/>
      <c r="N777" s="129"/>
      <c r="O777" s="129"/>
      <c r="P777" s="129"/>
      <c r="Q777" s="129"/>
      <c r="R777" s="129"/>
      <c r="S777" s="129"/>
      <c r="T777" s="129"/>
      <c r="U777" s="129"/>
      <c r="V777" s="129"/>
      <c r="W777" s="129"/>
      <c r="X777" s="129"/>
      <c r="Y777" s="129"/>
      <c r="Z777" s="129"/>
    </row>
    <row r="778" spans="1:26" ht="15.75" hidden="1" customHeight="1" x14ac:dyDescent="0.25">
      <c r="A778" s="129"/>
      <c r="B778" s="129"/>
      <c r="C778" s="129"/>
      <c r="D778" s="129"/>
      <c r="E778" s="129"/>
      <c r="F778" s="129"/>
      <c r="G778" s="129"/>
      <c r="H778" s="129"/>
      <c r="I778" s="129"/>
      <c r="J778" s="129"/>
      <c r="K778" s="129"/>
      <c r="L778" s="129"/>
      <c r="M778" s="129"/>
      <c r="N778" s="129"/>
      <c r="O778" s="129"/>
      <c r="P778" s="129"/>
      <c r="Q778" s="129"/>
      <c r="R778" s="129"/>
      <c r="S778" s="129"/>
      <c r="T778" s="129"/>
      <c r="U778" s="129"/>
      <c r="V778" s="129"/>
      <c r="W778" s="129"/>
      <c r="X778" s="129"/>
      <c r="Y778" s="129"/>
      <c r="Z778" s="129"/>
    </row>
    <row r="779" spans="1:26" ht="15.75" hidden="1" customHeight="1" x14ac:dyDescent="0.25">
      <c r="A779" s="129"/>
      <c r="B779" s="129"/>
      <c r="C779" s="129"/>
      <c r="D779" s="129"/>
      <c r="E779" s="129"/>
      <c r="F779" s="129"/>
      <c r="G779" s="129"/>
      <c r="H779" s="129"/>
      <c r="I779" s="129"/>
      <c r="J779" s="129"/>
      <c r="K779" s="129"/>
      <c r="L779" s="129"/>
      <c r="M779" s="129"/>
      <c r="N779" s="129"/>
      <c r="O779" s="129"/>
      <c r="P779" s="129"/>
      <c r="Q779" s="129"/>
      <c r="R779" s="129"/>
      <c r="S779" s="129"/>
      <c r="T779" s="129"/>
      <c r="U779" s="129"/>
      <c r="V779" s="129"/>
      <c r="W779" s="129"/>
      <c r="X779" s="129"/>
      <c r="Y779" s="129"/>
      <c r="Z779" s="129"/>
    </row>
    <row r="780" spans="1:26" ht="15.75" hidden="1" customHeight="1" x14ac:dyDescent="0.25">
      <c r="A780" s="129"/>
      <c r="B780" s="129"/>
      <c r="C780" s="129"/>
      <c r="D780" s="129"/>
      <c r="E780" s="129"/>
      <c r="F780" s="129"/>
      <c r="G780" s="129"/>
      <c r="H780" s="129"/>
      <c r="I780" s="129"/>
      <c r="J780" s="129"/>
      <c r="K780" s="129"/>
      <c r="L780" s="129"/>
      <c r="M780" s="129"/>
      <c r="N780" s="129"/>
      <c r="O780" s="129"/>
      <c r="P780" s="129"/>
      <c r="Q780" s="129"/>
      <c r="R780" s="129"/>
      <c r="S780" s="129"/>
      <c r="T780" s="129"/>
      <c r="U780" s="129"/>
      <c r="V780" s="129"/>
      <c r="W780" s="129"/>
      <c r="X780" s="129"/>
      <c r="Y780" s="129"/>
      <c r="Z780" s="129"/>
    </row>
    <row r="781" spans="1:26" ht="15.75" hidden="1" customHeight="1" x14ac:dyDescent="0.25">
      <c r="A781" s="129"/>
      <c r="B781" s="129"/>
      <c r="C781" s="129"/>
      <c r="D781" s="129"/>
      <c r="E781" s="129"/>
      <c r="F781" s="129"/>
      <c r="G781" s="129"/>
      <c r="H781" s="129"/>
      <c r="I781" s="129"/>
      <c r="J781" s="129"/>
      <c r="K781" s="129"/>
      <c r="L781" s="129"/>
      <c r="M781" s="129"/>
      <c r="N781" s="129"/>
      <c r="O781" s="129"/>
      <c r="P781" s="129"/>
      <c r="Q781" s="129"/>
      <c r="R781" s="129"/>
      <c r="S781" s="129"/>
      <c r="T781" s="129"/>
      <c r="U781" s="129"/>
      <c r="V781" s="129"/>
      <c r="W781" s="129"/>
      <c r="X781" s="129"/>
      <c r="Y781" s="129"/>
      <c r="Z781" s="129"/>
    </row>
    <row r="782" spans="1:26" ht="15.75" hidden="1" customHeight="1" x14ac:dyDescent="0.25">
      <c r="A782" s="129"/>
      <c r="B782" s="129"/>
      <c r="C782" s="129"/>
      <c r="D782" s="129"/>
      <c r="E782" s="129"/>
      <c r="F782" s="129"/>
      <c r="G782" s="129"/>
      <c r="H782" s="129"/>
      <c r="I782" s="129"/>
      <c r="J782" s="129"/>
      <c r="K782" s="129"/>
      <c r="L782" s="129"/>
      <c r="M782" s="129"/>
      <c r="N782" s="129"/>
      <c r="O782" s="129"/>
      <c r="P782" s="129"/>
      <c r="Q782" s="129"/>
      <c r="R782" s="129"/>
      <c r="S782" s="129"/>
      <c r="T782" s="129"/>
      <c r="U782" s="129"/>
      <c r="V782" s="129"/>
      <c r="W782" s="129"/>
      <c r="X782" s="129"/>
      <c r="Y782" s="129"/>
      <c r="Z782" s="129"/>
    </row>
    <row r="783" spans="1:26" ht="15.75" hidden="1" customHeight="1" x14ac:dyDescent="0.25">
      <c r="A783" s="129"/>
      <c r="B783" s="129"/>
      <c r="C783" s="129"/>
      <c r="D783" s="129"/>
      <c r="E783" s="129"/>
      <c r="F783" s="129"/>
      <c r="G783" s="129"/>
      <c r="H783" s="129"/>
      <c r="I783" s="129"/>
      <c r="J783" s="129"/>
      <c r="K783" s="129"/>
      <c r="L783" s="129"/>
      <c r="M783" s="129"/>
      <c r="N783" s="129"/>
      <c r="O783" s="129"/>
      <c r="P783" s="129"/>
      <c r="Q783" s="129"/>
      <c r="R783" s="129"/>
      <c r="S783" s="129"/>
      <c r="T783" s="129"/>
      <c r="U783" s="129"/>
      <c r="V783" s="129"/>
      <c r="W783" s="129"/>
      <c r="X783" s="129"/>
      <c r="Y783" s="129"/>
      <c r="Z783" s="129"/>
    </row>
    <row r="784" spans="1:26" ht="15.75" hidden="1" customHeight="1" x14ac:dyDescent="0.25">
      <c r="A784" s="129"/>
      <c r="B784" s="129"/>
      <c r="C784" s="129"/>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row>
    <row r="785" spans="1:26" ht="15.75" hidden="1" customHeight="1" x14ac:dyDescent="0.25">
      <c r="A785" s="129"/>
      <c r="B785" s="129"/>
      <c r="C785" s="129"/>
      <c r="D785" s="129"/>
      <c r="E785" s="129"/>
      <c r="F785" s="129"/>
      <c r="G785" s="129"/>
      <c r="H785" s="129"/>
      <c r="I785" s="129"/>
      <c r="J785" s="129"/>
      <c r="K785" s="129"/>
      <c r="L785" s="129"/>
      <c r="M785" s="129"/>
      <c r="N785" s="129"/>
      <c r="O785" s="129"/>
      <c r="P785" s="129"/>
      <c r="Q785" s="129"/>
      <c r="R785" s="129"/>
      <c r="S785" s="129"/>
      <c r="T785" s="129"/>
      <c r="U785" s="129"/>
      <c r="V785" s="129"/>
      <c r="W785" s="129"/>
      <c r="X785" s="129"/>
      <c r="Y785" s="129"/>
      <c r="Z785" s="129"/>
    </row>
    <row r="786" spans="1:26" ht="15.75" hidden="1" customHeight="1" x14ac:dyDescent="0.25">
      <c r="A786" s="129"/>
      <c r="B786" s="129"/>
      <c r="C786" s="129"/>
      <c r="D786" s="129"/>
      <c r="E786" s="129"/>
      <c r="F786" s="129"/>
      <c r="G786" s="129"/>
      <c r="H786" s="129"/>
      <c r="I786" s="129"/>
      <c r="J786" s="129"/>
      <c r="K786" s="129"/>
      <c r="L786" s="129"/>
      <c r="M786" s="129"/>
      <c r="N786" s="129"/>
      <c r="O786" s="129"/>
      <c r="P786" s="129"/>
      <c r="Q786" s="129"/>
      <c r="R786" s="129"/>
      <c r="S786" s="129"/>
      <c r="T786" s="129"/>
      <c r="U786" s="129"/>
      <c r="V786" s="129"/>
      <c r="W786" s="129"/>
      <c r="X786" s="129"/>
      <c r="Y786" s="129"/>
      <c r="Z786" s="129"/>
    </row>
    <row r="787" spans="1:26" ht="15.75" hidden="1" customHeight="1" x14ac:dyDescent="0.25">
      <c r="A787" s="129"/>
      <c r="B787" s="129"/>
      <c r="C787" s="129"/>
      <c r="D787" s="129"/>
      <c r="E787" s="129"/>
      <c r="F787" s="129"/>
      <c r="G787" s="129"/>
      <c r="H787" s="129"/>
      <c r="I787" s="129"/>
      <c r="J787" s="129"/>
      <c r="K787" s="129"/>
      <c r="L787" s="129"/>
      <c r="M787" s="129"/>
      <c r="N787" s="129"/>
      <c r="O787" s="129"/>
      <c r="P787" s="129"/>
      <c r="Q787" s="129"/>
      <c r="R787" s="129"/>
      <c r="S787" s="129"/>
      <c r="T787" s="129"/>
      <c r="U787" s="129"/>
      <c r="V787" s="129"/>
      <c r="W787" s="129"/>
      <c r="X787" s="129"/>
      <c r="Y787" s="129"/>
      <c r="Z787" s="129"/>
    </row>
    <row r="788" spans="1:26" ht="15.75" hidden="1" customHeight="1" x14ac:dyDescent="0.25">
      <c r="A788" s="129"/>
      <c r="B788" s="129"/>
      <c r="C788" s="129"/>
      <c r="D788" s="129"/>
      <c r="E788" s="129"/>
      <c r="F788" s="129"/>
      <c r="G788" s="129"/>
      <c r="H788" s="129"/>
      <c r="I788" s="129"/>
      <c r="J788" s="129"/>
      <c r="K788" s="129"/>
      <c r="L788" s="129"/>
      <c r="M788" s="129"/>
      <c r="N788" s="129"/>
      <c r="O788" s="129"/>
      <c r="P788" s="129"/>
      <c r="Q788" s="129"/>
      <c r="R788" s="129"/>
      <c r="S788" s="129"/>
      <c r="T788" s="129"/>
      <c r="U788" s="129"/>
      <c r="V788" s="129"/>
      <c r="W788" s="129"/>
      <c r="X788" s="129"/>
      <c r="Y788" s="129"/>
      <c r="Z788" s="129"/>
    </row>
    <row r="789" spans="1:26" ht="15.75" hidden="1" customHeight="1" x14ac:dyDescent="0.25">
      <c r="A789" s="129"/>
      <c r="B789" s="129"/>
      <c r="C789" s="129"/>
      <c r="D789" s="129"/>
      <c r="E789" s="129"/>
      <c r="F789" s="129"/>
      <c r="G789" s="129"/>
      <c r="H789" s="129"/>
      <c r="I789" s="129"/>
      <c r="J789" s="129"/>
      <c r="K789" s="129"/>
      <c r="L789" s="129"/>
      <c r="M789" s="129"/>
      <c r="N789" s="129"/>
      <c r="O789" s="129"/>
      <c r="P789" s="129"/>
      <c r="Q789" s="129"/>
      <c r="R789" s="129"/>
      <c r="S789" s="129"/>
      <c r="T789" s="129"/>
      <c r="U789" s="129"/>
      <c r="V789" s="129"/>
      <c r="W789" s="129"/>
      <c r="X789" s="129"/>
      <c r="Y789" s="129"/>
      <c r="Z789" s="129"/>
    </row>
    <row r="790" spans="1:26" ht="15.75" hidden="1" customHeight="1" x14ac:dyDescent="0.25">
      <c r="A790" s="129"/>
      <c r="B790" s="129"/>
      <c r="C790" s="129"/>
      <c r="D790" s="129"/>
      <c r="E790" s="129"/>
      <c r="F790" s="129"/>
      <c r="G790" s="129"/>
      <c r="H790" s="129"/>
      <c r="I790" s="129"/>
      <c r="J790" s="129"/>
      <c r="K790" s="129"/>
      <c r="L790" s="129"/>
      <c r="M790" s="129"/>
      <c r="N790" s="129"/>
      <c r="O790" s="129"/>
      <c r="P790" s="129"/>
      <c r="Q790" s="129"/>
      <c r="R790" s="129"/>
      <c r="S790" s="129"/>
      <c r="T790" s="129"/>
      <c r="U790" s="129"/>
      <c r="V790" s="129"/>
      <c r="W790" s="129"/>
      <c r="X790" s="129"/>
      <c r="Y790" s="129"/>
      <c r="Z790" s="129"/>
    </row>
    <row r="791" spans="1:26" ht="15.75" hidden="1" customHeight="1" x14ac:dyDescent="0.25">
      <c r="A791" s="129"/>
      <c r="B791" s="129"/>
      <c r="C791" s="129"/>
      <c r="D791" s="129"/>
      <c r="E791" s="129"/>
      <c r="F791" s="129"/>
      <c r="G791" s="129"/>
      <c r="H791" s="129"/>
      <c r="I791" s="129"/>
      <c r="J791" s="129"/>
      <c r="K791" s="129"/>
      <c r="L791" s="129"/>
      <c r="M791" s="129"/>
      <c r="N791" s="129"/>
      <c r="O791" s="129"/>
      <c r="P791" s="129"/>
      <c r="Q791" s="129"/>
      <c r="R791" s="129"/>
      <c r="S791" s="129"/>
      <c r="T791" s="129"/>
      <c r="U791" s="129"/>
      <c r="V791" s="129"/>
      <c r="W791" s="129"/>
      <c r="X791" s="129"/>
      <c r="Y791" s="129"/>
      <c r="Z791" s="129"/>
    </row>
    <row r="792" spans="1:26" ht="15.75" hidden="1" customHeight="1" x14ac:dyDescent="0.25">
      <c r="A792" s="129"/>
      <c r="B792" s="129"/>
      <c r="C792" s="129"/>
      <c r="D792" s="129"/>
      <c r="E792" s="129"/>
      <c r="F792" s="129"/>
      <c r="G792" s="129"/>
      <c r="H792" s="129"/>
      <c r="I792" s="129"/>
      <c r="J792" s="129"/>
      <c r="K792" s="129"/>
      <c r="L792" s="129"/>
      <c r="M792" s="129"/>
      <c r="N792" s="129"/>
      <c r="O792" s="129"/>
      <c r="P792" s="129"/>
      <c r="Q792" s="129"/>
      <c r="R792" s="129"/>
      <c r="S792" s="129"/>
      <c r="T792" s="129"/>
      <c r="U792" s="129"/>
      <c r="V792" s="129"/>
      <c r="W792" s="129"/>
      <c r="X792" s="129"/>
      <c r="Y792" s="129"/>
      <c r="Z792" s="129"/>
    </row>
    <row r="793" spans="1:26" ht="15.75" hidden="1" customHeight="1" x14ac:dyDescent="0.25">
      <c r="A793" s="129"/>
      <c r="B793" s="129"/>
      <c r="C793" s="129"/>
      <c r="D793" s="129"/>
      <c r="E793" s="129"/>
      <c r="F793" s="129"/>
      <c r="G793" s="129"/>
      <c r="H793" s="129"/>
      <c r="I793" s="129"/>
      <c r="J793" s="129"/>
      <c r="K793" s="129"/>
      <c r="L793" s="129"/>
      <c r="M793" s="129"/>
      <c r="N793" s="129"/>
      <c r="O793" s="129"/>
      <c r="P793" s="129"/>
      <c r="Q793" s="129"/>
      <c r="R793" s="129"/>
      <c r="S793" s="129"/>
      <c r="T793" s="129"/>
      <c r="U793" s="129"/>
      <c r="V793" s="129"/>
      <c r="W793" s="129"/>
      <c r="X793" s="129"/>
      <c r="Y793" s="129"/>
      <c r="Z793" s="129"/>
    </row>
    <row r="794" spans="1:26" ht="15.75" hidden="1" customHeight="1" x14ac:dyDescent="0.25">
      <c r="A794" s="129"/>
      <c r="B794" s="129"/>
      <c r="C794" s="129"/>
      <c r="D794" s="129"/>
      <c r="E794" s="129"/>
      <c r="F794" s="129"/>
      <c r="G794" s="129"/>
      <c r="H794" s="129"/>
      <c r="I794" s="129"/>
      <c r="J794" s="129"/>
      <c r="K794" s="129"/>
      <c r="L794" s="129"/>
      <c r="M794" s="129"/>
      <c r="N794" s="129"/>
      <c r="O794" s="129"/>
      <c r="P794" s="129"/>
      <c r="Q794" s="129"/>
      <c r="R794" s="129"/>
      <c r="S794" s="129"/>
      <c r="T794" s="129"/>
      <c r="U794" s="129"/>
      <c r="V794" s="129"/>
      <c r="W794" s="129"/>
      <c r="X794" s="129"/>
      <c r="Y794" s="129"/>
      <c r="Z794" s="129"/>
    </row>
    <row r="795" spans="1:26" ht="15.75" hidden="1" customHeight="1" x14ac:dyDescent="0.25">
      <c r="A795" s="129"/>
      <c r="B795" s="129"/>
      <c r="C795" s="129"/>
      <c r="D795" s="129"/>
      <c r="E795" s="129"/>
      <c r="F795" s="129"/>
      <c r="G795" s="129"/>
      <c r="H795" s="129"/>
      <c r="I795" s="129"/>
      <c r="J795" s="129"/>
      <c r="K795" s="129"/>
      <c r="L795" s="129"/>
      <c r="M795" s="129"/>
      <c r="N795" s="129"/>
      <c r="O795" s="129"/>
      <c r="P795" s="129"/>
      <c r="Q795" s="129"/>
      <c r="R795" s="129"/>
      <c r="S795" s="129"/>
      <c r="T795" s="129"/>
      <c r="U795" s="129"/>
      <c r="V795" s="129"/>
      <c r="W795" s="129"/>
      <c r="X795" s="129"/>
      <c r="Y795" s="129"/>
      <c r="Z795" s="129"/>
    </row>
    <row r="796" spans="1:26" ht="15.75" hidden="1" customHeight="1" x14ac:dyDescent="0.25">
      <c r="A796" s="129"/>
      <c r="B796" s="129"/>
      <c r="C796" s="129"/>
      <c r="D796" s="129"/>
      <c r="E796" s="129"/>
      <c r="F796" s="129"/>
      <c r="G796" s="129"/>
      <c r="H796" s="129"/>
      <c r="I796" s="129"/>
      <c r="J796" s="129"/>
      <c r="K796" s="129"/>
      <c r="L796" s="129"/>
      <c r="M796" s="129"/>
      <c r="N796" s="129"/>
      <c r="O796" s="129"/>
      <c r="P796" s="129"/>
      <c r="Q796" s="129"/>
      <c r="R796" s="129"/>
      <c r="S796" s="129"/>
      <c r="T796" s="129"/>
      <c r="U796" s="129"/>
      <c r="V796" s="129"/>
      <c r="W796" s="129"/>
      <c r="X796" s="129"/>
      <c r="Y796" s="129"/>
      <c r="Z796" s="129"/>
    </row>
    <row r="797" spans="1:26" ht="15.75" hidden="1" customHeight="1" x14ac:dyDescent="0.25">
      <c r="A797" s="129"/>
      <c r="B797" s="129"/>
      <c r="C797" s="129"/>
      <c r="D797" s="129"/>
      <c r="E797" s="129"/>
      <c r="F797" s="129"/>
      <c r="G797" s="129"/>
      <c r="H797" s="129"/>
      <c r="I797" s="129"/>
      <c r="J797" s="129"/>
      <c r="K797" s="129"/>
      <c r="L797" s="129"/>
      <c r="M797" s="129"/>
      <c r="N797" s="129"/>
      <c r="O797" s="129"/>
      <c r="P797" s="129"/>
      <c r="Q797" s="129"/>
      <c r="R797" s="129"/>
      <c r="S797" s="129"/>
      <c r="T797" s="129"/>
      <c r="U797" s="129"/>
      <c r="V797" s="129"/>
      <c r="W797" s="129"/>
      <c r="X797" s="129"/>
      <c r="Y797" s="129"/>
      <c r="Z797" s="129"/>
    </row>
    <row r="798" spans="1:26" ht="15.75" hidden="1" customHeight="1" x14ac:dyDescent="0.25">
      <c r="A798" s="129"/>
      <c r="B798" s="129"/>
      <c r="C798" s="129"/>
      <c r="D798" s="129"/>
      <c r="E798" s="129"/>
      <c r="F798" s="129"/>
      <c r="G798" s="129"/>
      <c r="H798" s="129"/>
      <c r="I798" s="129"/>
      <c r="J798" s="129"/>
      <c r="K798" s="129"/>
      <c r="L798" s="129"/>
      <c r="M798" s="129"/>
      <c r="N798" s="129"/>
      <c r="O798" s="129"/>
      <c r="P798" s="129"/>
      <c r="Q798" s="129"/>
      <c r="R798" s="129"/>
      <c r="S798" s="129"/>
      <c r="T798" s="129"/>
      <c r="U798" s="129"/>
      <c r="V798" s="129"/>
      <c r="W798" s="129"/>
      <c r="X798" s="129"/>
      <c r="Y798" s="129"/>
      <c r="Z798" s="129"/>
    </row>
    <row r="799" spans="1:26" ht="15.75" hidden="1" customHeight="1" x14ac:dyDescent="0.25">
      <c r="A799" s="129"/>
      <c r="B799" s="129"/>
      <c r="C799" s="129"/>
      <c r="D799" s="129"/>
      <c r="E799" s="129"/>
      <c r="F799" s="129"/>
      <c r="G799" s="129"/>
      <c r="H799" s="129"/>
      <c r="I799" s="129"/>
      <c r="J799" s="129"/>
      <c r="K799" s="129"/>
      <c r="L799" s="129"/>
      <c r="M799" s="129"/>
      <c r="N799" s="129"/>
      <c r="O799" s="129"/>
      <c r="P799" s="129"/>
      <c r="Q799" s="129"/>
      <c r="R799" s="129"/>
      <c r="S799" s="129"/>
      <c r="T799" s="129"/>
      <c r="U799" s="129"/>
      <c r="V799" s="129"/>
      <c r="W799" s="129"/>
      <c r="X799" s="129"/>
      <c r="Y799" s="129"/>
      <c r="Z799" s="129"/>
    </row>
    <row r="800" spans="1:26" ht="15.75" hidden="1" customHeight="1" x14ac:dyDescent="0.25">
      <c r="A800" s="129"/>
      <c r="B800" s="129"/>
      <c r="C800" s="129"/>
      <c r="D800" s="129"/>
      <c r="E800" s="129"/>
      <c r="F800" s="129"/>
      <c r="G800" s="129"/>
      <c r="H800" s="129"/>
      <c r="I800" s="129"/>
      <c r="J800" s="129"/>
      <c r="K800" s="129"/>
      <c r="L800" s="129"/>
      <c r="M800" s="129"/>
      <c r="N800" s="129"/>
      <c r="O800" s="129"/>
      <c r="P800" s="129"/>
      <c r="Q800" s="129"/>
      <c r="R800" s="129"/>
      <c r="S800" s="129"/>
      <c r="T800" s="129"/>
      <c r="U800" s="129"/>
      <c r="V800" s="129"/>
      <c r="W800" s="129"/>
      <c r="X800" s="129"/>
      <c r="Y800" s="129"/>
      <c r="Z800" s="129"/>
    </row>
    <row r="801" spans="1:26" ht="15.75" hidden="1" customHeight="1" x14ac:dyDescent="0.25">
      <c r="A801" s="129"/>
      <c r="B801" s="129"/>
      <c r="C801" s="129"/>
      <c r="D801" s="129"/>
      <c r="E801" s="129"/>
      <c r="F801" s="129"/>
      <c r="G801" s="129"/>
      <c r="H801" s="129"/>
      <c r="I801" s="129"/>
      <c r="J801" s="129"/>
      <c r="K801" s="129"/>
      <c r="L801" s="129"/>
      <c r="M801" s="129"/>
      <c r="N801" s="129"/>
      <c r="O801" s="129"/>
      <c r="P801" s="129"/>
      <c r="Q801" s="129"/>
      <c r="R801" s="129"/>
      <c r="S801" s="129"/>
      <c r="T801" s="129"/>
      <c r="U801" s="129"/>
      <c r="V801" s="129"/>
      <c r="W801" s="129"/>
      <c r="X801" s="129"/>
      <c r="Y801" s="129"/>
      <c r="Z801" s="129"/>
    </row>
    <row r="802" spans="1:26" ht="15.75" hidden="1" customHeight="1" x14ac:dyDescent="0.25">
      <c r="A802" s="129"/>
      <c r="B802" s="129"/>
      <c r="C802" s="129"/>
      <c r="D802" s="129"/>
      <c r="E802" s="129"/>
      <c r="F802" s="129"/>
      <c r="G802" s="129"/>
      <c r="H802" s="129"/>
      <c r="I802" s="129"/>
      <c r="J802" s="129"/>
      <c r="K802" s="129"/>
      <c r="L802" s="129"/>
      <c r="M802" s="129"/>
      <c r="N802" s="129"/>
      <c r="O802" s="129"/>
      <c r="P802" s="129"/>
      <c r="Q802" s="129"/>
      <c r="R802" s="129"/>
      <c r="S802" s="129"/>
      <c r="T802" s="129"/>
      <c r="U802" s="129"/>
      <c r="V802" s="129"/>
      <c r="W802" s="129"/>
      <c r="X802" s="129"/>
      <c r="Y802" s="129"/>
      <c r="Z802" s="129"/>
    </row>
    <row r="803" spans="1:26" ht="15.75" hidden="1" customHeight="1" x14ac:dyDescent="0.25">
      <c r="A803" s="129"/>
      <c r="B803" s="129"/>
      <c r="C803" s="129"/>
      <c r="D803" s="129"/>
      <c r="E803" s="129"/>
      <c r="F803" s="129"/>
      <c r="G803" s="129"/>
      <c r="H803" s="129"/>
      <c r="I803" s="129"/>
      <c r="J803" s="129"/>
      <c r="K803" s="129"/>
      <c r="L803" s="129"/>
      <c r="M803" s="129"/>
      <c r="N803" s="129"/>
      <c r="O803" s="129"/>
      <c r="P803" s="129"/>
      <c r="Q803" s="129"/>
      <c r="R803" s="129"/>
      <c r="S803" s="129"/>
      <c r="T803" s="129"/>
      <c r="U803" s="129"/>
      <c r="V803" s="129"/>
      <c r="W803" s="129"/>
      <c r="X803" s="129"/>
      <c r="Y803" s="129"/>
      <c r="Z803" s="129"/>
    </row>
    <row r="804" spans="1:26" ht="15.75" hidden="1" customHeight="1" x14ac:dyDescent="0.25">
      <c r="A804" s="129"/>
      <c r="B804" s="129"/>
      <c r="C804" s="129"/>
      <c r="D804" s="129"/>
      <c r="E804" s="129"/>
      <c r="F804" s="129"/>
      <c r="G804" s="129"/>
      <c r="H804" s="129"/>
      <c r="I804" s="129"/>
      <c r="J804" s="129"/>
      <c r="K804" s="129"/>
      <c r="L804" s="129"/>
      <c r="M804" s="129"/>
      <c r="N804" s="129"/>
      <c r="O804" s="129"/>
      <c r="P804" s="129"/>
      <c r="Q804" s="129"/>
      <c r="R804" s="129"/>
      <c r="S804" s="129"/>
      <c r="T804" s="129"/>
      <c r="U804" s="129"/>
      <c r="V804" s="129"/>
      <c r="W804" s="129"/>
      <c r="X804" s="129"/>
      <c r="Y804" s="129"/>
      <c r="Z804" s="129"/>
    </row>
    <row r="805" spans="1:26" ht="15.75" hidden="1" customHeight="1" x14ac:dyDescent="0.25">
      <c r="A805" s="129"/>
      <c r="B805" s="129"/>
      <c r="C805" s="129"/>
      <c r="D805" s="129"/>
      <c r="E805" s="129"/>
      <c r="F805" s="129"/>
      <c r="G805" s="129"/>
      <c r="H805" s="129"/>
      <c r="I805" s="129"/>
      <c r="J805" s="129"/>
      <c r="K805" s="129"/>
      <c r="L805" s="129"/>
      <c r="M805" s="129"/>
      <c r="N805" s="129"/>
      <c r="O805" s="129"/>
      <c r="P805" s="129"/>
      <c r="Q805" s="129"/>
      <c r="R805" s="129"/>
      <c r="S805" s="129"/>
      <c r="T805" s="129"/>
      <c r="U805" s="129"/>
      <c r="V805" s="129"/>
      <c r="W805" s="129"/>
      <c r="X805" s="129"/>
      <c r="Y805" s="129"/>
      <c r="Z805" s="129"/>
    </row>
    <row r="806" spans="1:26" ht="15.75" hidden="1" customHeight="1" x14ac:dyDescent="0.25">
      <c r="A806" s="129"/>
      <c r="B806" s="129"/>
      <c r="C806" s="129"/>
      <c r="D806" s="129"/>
      <c r="E806" s="129"/>
      <c r="F806" s="129"/>
      <c r="G806" s="129"/>
      <c r="H806" s="129"/>
      <c r="I806" s="129"/>
      <c r="J806" s="129"/>
      <c r="K806" s="129"/>
      <c r="L806" s="129"/>
      <c r="M806" s="129"/>
      <c r="N806" s="129"/>
      <c r="O806" s="129"/>
      <c r="P806" s="129"/>
      <c r="Q806" s="129"/>
      <c r="R806" s="129"/>
      <c r="S806" s="129"/>
      <c r="T806" s="129"/>
      <c r="U806" s="129"/>
      <c r="V806" s="129"/>
      <c r="W806" s="129"/>
      <c r="X806" s="129"/>
      <c r="Y806" s="129"/>
      <c r="Z806" s="129"/>
    </row>
    <row r="807" spans="1:26" ht="15.75" hidden="1" customHeight="1" x14ac:dyDescent="0.25">
      <c r="A807" s="129"/>
      <c r="B807" s="129"/>
      <c r="C807" s="129"/>
      <c r="D807" s="129"/>
      <c r="E807" s="129"/>
      <c r="F807" s="129"/>
      <c r="G807" s="129"/>
      <c r="H807" s="129"/>
      <c r="I807" s="129"/>
      <c r="J807" s="129"/>
      <c r="K807" s="129"/>
      <c r="L807" s="129"/>
      <c r="M807" s="129"/>
      <c r="N807" s="129"/>
      <c r="O807" s="129"/>
      <c r="P807" s="129"/>
      <c r="Q807" s="129"/>
      <c r="R807" s="129"/>
      <c r="S807" s="129"/>
      <c r="T807" s="129"/>
      <c r="U807" s="129"/>
      <c r="V807" s="129"/>
      <c r="W807" s="129"/>
      <c r="X807" s="129"/>
      <c r="Y807" s="129"/>
      <c r="Z807" s="129"/>
    </row>
    <row r="808" spans="1:26" ht="15.75" hidden="1" customHeight="1" x14ac:dyDescent="0.25">
      <c r="A808" s="129"/>
      <c r="B808" s="129"/>
      <c r="C808" s="129"/>
      <c r="D808" s="129"/>
      <c r="E808" s="129"/>
      <c r="F808" s="129"/>
      <c r="G808" s="129"/>
      <c r="H808" s="129"/>
      <c r="I808" s="129"/>
      <c r="J808" s="129"/>
      <c r="K808" s="129"/>
      <c r="L808" s="129"/>
      <c r="M808" s="129"/>
      <c r="N808" s="129"/>
      <c r="O808" s="129"/>
      <c r="P808" s="129"/>
      <c r="Q808" s="129"/>
      <c r="R808" s="129"/>
      <c r="S808" s="129"/>
      <c r="T808" s="129"/>
      <c r="U808" s="129"/>
      <c r="V808" s="129"/>
      <c r="W808" s="129"/>
      <c r="X808" s="129"/>
      <c r="Y808" s="129"/>
      <c r="Z808" s="129"/>
    </row>
    <row r="809" spans="1:26" ht="15.75" hidden="1" customHeight="1" x14ac:dyDescent="0.25">
      <c r="A809" s="129"/>
      <c r="B809" s="129"/>
      <c r="C809" s="129"/>
      <c r="D809" s="129"/>
      <c r="E809" s="129"/>
      <c r="F809" s="129"/>
      <c r="G809" s="129"/>
      <c r="H809" s="129"/>
      <c r="I809" s="129"/>
      <c r="J809" s="129"/>
      <c r="K809" s="129"/>
      <c r="L809" s="129"/>
      <c r="M809" s="129"/>
      <c r="N809" s="129"/>
      <c r="O809" s="129"/>
      <c r="P809" s="129"/>
      <c r="Q809" s="129"/>
      <c r="R809" s="129"/>
      <c r="S809" s="129"/>
      <c r="T809" s="129"/>
      <c r="U809" s="129"/>
      <c r="V809" s="129"/>
      <c r="W809" s="129"/>
      <c r="X809" s="129"/>
      <c r="Y809" s="129"/>
      <c r="Z809" s="129"/>
    </row>
    <row r="810" spans="1:26" ht="15.75" hidden="1" customHeight="1" x14ac:dyDescent="0.25">
      <c r="A810" s="129"/>
      <c r="B810" s="129"/>
      <c r="C810" s="129"/>
      <c r="D810" s="129"/>
      <c r="E810" s="129"/>
      <c r="F810" s="129"/>
      <c r="G810" s="129"/>
      <c r="H810" s="129"/>
      <c r="I810" s="129"/>
      <c r="J810" s="129"/>
      <c r="K810" s="129"/>
      <c r="L810" s="129"/>
      <c r="M810" s="129"/>
      <c r="N810" s="129"/>
      <c r="O810" s="129"/>
      <c r="P810" s="129"/>
      <c r="Q810" s="129"/>
      <c r="R810" s="129"/>
      <c r="S810" s="129"/>
      <c r="T810" s="129"/>
      <c r="U810" s="129"/>
      <c r="V810" s="129"/>
      <c r="W810" s="129"/>
      <c r="X810" s="129"/>
      <c r="Y810" s="129"/>
      <c r="Z810" s="129"/>
    </row>
    <row r="811" spans="1:26" ht="15.75" hidden="1" customHeight="1" x14ac:dyDescent="0.25">
      <c r="A811" s="129"/>
      <c r="B811" s="129"/>
      <c r="C811" s="129"/>
      <c r="D811" s="129"/>
      <c r="E811" s="129"/>
      <c r="F811" s="129"/>
      <c r="G811" s="129"/>
      <c r="H811" s="129"/>
      <c r="I811" s="129"/>
      <c r="J811" s="129"/>
      <c r="K811" s="129"/>
      <c r="L811" s="129"/>
      <c r="M811" s="129"/>
      <c r="N811" s="129"/>
      <c r="O811" s="129"/>
      <c r="P811" s="129"/>
      <c r="Q811" s="129"/>
      <c r="R811" s="129"/>
      <c r="S811" s="129"/>
      <c r="T811" s="129"/>
      <c r="U811" s="129"/>
      <c r="V811" s="129"/>
      <c r="W811" s="129"/>
      <c r="X811" s="129"/>
      <c r="Y811" s="129"/>
      <c r="Z811" s="129"/>
    </row>
    <row r="812" spans="1:26" ht="15.75" hidden="1" customHeight="1" x14ac:dyDescent="0.25">
      <c r="A812" s="129"/>
      <c r="B812" s="129"/>
      <c r="C812" s="129"/>
      <c r="D812" s="129"/>
      <c r="E812" s="129"/>
      <c r="F812" s="129"/>
      <c r="G812" s="129"/>
      <c r="H812" s="129"/>
      <c r="I812" s="129"/>
      <c r="J812" s="129"/>
      <c r="K812" s="129"/>
      <c r="L812" s="129"/>
      <c r="M812" s="129"/>
      <c r="N812" s="129"/>
      <c r="O812" s="129"/>
      <c r="P812" s="129"/>
      <c r="Q812" s="129"/>
      <c r="R812" s="129"/>
      <c r="S812" s="129"/>
      <c r="T812" s="129"/>
      <c r="U812" s="129"/>
      <c r="V812" s="129"/>
      <c r="W812" s="129"/>
      <c r="X812" s="129"/>
      <c r="Y812" s="129"/>
      <c r="Z812" s="129"/>
    </row>
    <row r="813" spans="1:26" ht="15.75" hidden="1" customHeight="1" x14ac:dyDescent="0.25">
      <c r="A813" s="129"/>
      <c r="B813" s="129"/>
      <c r="C813" s="129"/>
      <c r="D813" s="129"/>
      <c r="E813" s="129"/>
      <c r="F813" s="129"/>
      <c r="G813" s="129"/>
      <c r="H813" s="129"/>
      <c r="I813" s="129"/>
      <c r="J813" s="129"/>
      <c r="K813" s="129"/>
      <c r="L813" s="129"/>
      <c r="M813" s="129"/>
      <c r="N813" s="129"/>
      <c r="O813" s="129"/>
      <c r="P813" s="129"/>
      <c r="Q813" s="129"/>
      <c r="R813" s="129"/>
      <c r="S813" s="129"/>
      <c r="T813" s="129"/>
      <c r="U813" s="129"/>
      <c r="V813" s="129"/>
      <c r="W813" s="129"/>
      <c r="X813" s="129"/>
      <c r="Y813" s="129"/>
      <c r="Z813" s="129"/>
    </row>
    <row r="814" spans="1:26" ht="15.75" hidden="1" customHeight="1" x14ac:dyDescent="0.25">
      <c r="A814" s="129"/>
      <c r="B814" s="129"/>
      <c r="C814" s="129"/>
      <c r="D814" s="129"/>
      <c r="E814" s="129"/>
      <c r="F814" s="129"/>
      <c r="G814" s="129"/>
      <c r="H814" s="129"/>
      <c r="I814" s="129"/>
      <c r="J814" s="129"/>
      <c r="K814" s="129"/>
      <c r="L814" s="129"/>
      <c r="M814" s="129"/>
      <c r="N814" s="129"/>
      <c r="O814" s="129"/>
      <c r="P814" s="129"/>
      <c r="Q814" s="129"/>
      <c r="R814" s="129"/>
      <c r="S814" s="129"/>
      <c r="T814" s="129"/>
      <c r="U814" s="129"/>
      <c r="V814" s="129"/>
      <c r="W814" s="129"/>
      <c r="X814" s="129"/>
      <c r="Y814" s="129"/>
      <c r="Z814" s="129"/>
    </row>
    <row r="815" spans="1:26" ht="15.75" hidden="1" customHeight="1" x14ac:dyDescent="0.25">
      <c r="A815" s="129"/>
      <c r="B815" s="129"/>
      <c r="C815" s="129"/>
      <c r="D815" s="129"/>
      <c r="E815" s="129"/>
      <c r="F815" s="129"/>
      <c r="G815" s="129"/>
      <c r="H815" s="129"/>
      <c r="I815" s="129"/>
      <c r="J815" s="129"/>
      <c r="K815" s="129"/>
      <c r="L815" s="129"/>
      <c r="M815" s="129"/>
      <c r="N815" s="129"/>
      <c r="O815" s="129"/>
      <c r="P815" s="129"/>
      <c r="Q815" s="129"/>
      <c r="R815" s="129"/>
      <c r="S815" s="129"/>
      <c r="T815" s="129"/>
      <c r="U815" s="129"/>
      <c r="V815" s="129"/>
      <c r="W815" s="129"/>
      <c r="X815" s="129"/>
      <c r="Y815" s="129"/>
      <c r="Z815" s="129"/>
    </row>
    <row r="816" spans="1:26" ht="15.75" hidden="1" customHeight="1" x14ac:dyDescent="0.25">
      <c r="A816" s="129"/>
      <c r="B816" s="129"/>
      <c r="C816" s="129"/>
      <c r="D816" s="129"/>
      <c r="E816" s="129"/>
      <c r="F816" s="129"/>
      <c r="G816" s="129"/>
      <c r="H816" s="129"/>
      <c r="I816" s="129"/>
      <c r="J816" s="129"/>
      <c r="K816" s="129"/>
      <c r="L816" s="129"/>
      <c r="M816" s="129"/>
      <c r="N816" s="129"/>
      <c r="O816" s="129"/>
      <c r="P816" s="129"/>
      <c r="Q816" s="129"/>
      <c r="R816" s="129"/>
      <c r="S816" s="129"/>
      <c r="T816" s="129"/>
      <c r="U816" s="129"/>
      <c r="V816" s="129"/>
      <c r="W816" s="129"/>
      <c r="X816" s="129"/>
      <c r="Y816" s="129"/>
      <c r="Z816" s="129"/>
    </row>
    <row r="817" spans="1:26" ht="15.75" hidden="1" customHeight="1" x14ac:dyDescent="0.25">
      <c r="A817" s="129"/>
      <c r="B817" s="129"/>
      <c r="C817" s="129"/>
      <c r="D817" s="129"/>
      <c r="E817" s="129"/>
      <c r="F817" s="129"/>
      <c r="G817" s="129"/>
      <c r="H817" s="129"/>
      <c r="I817" s="129"/>
      <c r="J817" s="129"/>
      <c r="K817" s="129"/>
      <c r="L817" s="129"/>
      <c r="M817" s="129"/>
      <c r="N817" s="129"/>
      <c r="O817" s="129"/>
      <c r="P817" s="129"/>
      <c r="Q817" s="129"/>
      <c r="R817" s="129"/>
      <c r="S817" s="129"/>
      <c r="T817" s="129"/>
      <c r="U817" s="129"/>
      <c r="V817" s="129"/>
      <c r="W817" s="129"/>
      <c r="X817" s="129"/>
      <c r="Y817" s="129"/>
      <c r="Z817" s="129"/>
    </row>
    <row r="818" spans="1:26" ht="15.75" hidden="1" customHeight="1" x14ac:dyDescent="0.25">
      <c r="A818" s="129"/>
      <c r="B818" s="129"/>
      <c r="C818" s="129"/>
      <c r="D818" s="129"/>
      <c r="E818" s="129"/>
      <c r="F818" s="129"/>
      <c r="G818" s="129"/>
      <c r="H818" s="129"/>
      <c r="I818" s="129"/>
      <c r="J818" s="129"/>
      <c r="K818" s="129"/>
      <c r="L818" s="129"/>
      <c r="M818" s="129"/>
      <c r="N818" s="129"/>
      <c r="O818" s="129"/>
      <c r="P818" s="129"/>
      <c r="Q818" s="129"/>
      <c r="R818" s="129"/>
      <c r="S818" s="129"/>
      <c r="T818" s="129"/>
      <c r="U818" s="129"/>
      <c r="V818" s="129"/>
      <c r="W818" s="129"/>
      <c r="X818" s="129"/>
      <c r="Y818" s="129"/>
      <c r="Z818" s="129"/>
    </row>
    <row r="819" spans="1:26" ht="15.75" hidden="1" customHeight="1" x14ac:dyDescent="0.25">
      <c r="A819" s="129"/>
      <c r="B819" s="129"/>
      <c r="C819" s="129"/>
      <c r="D819" s="129"/>
      <c r="E819" s="129"/>
      <c r="F819" s="129"/>
      <c r="G819" s="129"/>
      <c r="H819" s="129"/>
      <c r="I819" s="129"/>
      <c r="J819" s="129"/>
      <c r="K819" s="129"/>
      <c r="L819" s="129"/>
      <c r="M819" s="129"/>
      <c r="N819" s="129"/>
      <c r="O819" s="129"/>
      <c r="P819" s="129"/>
      <c r="Q819" s="129"/>
      <c r="R819" s="129"/>
      <c r="S819" s="129"/>
      <c r="T819" s="129"/>
      <c r="U819" s="129"/>
      <c r="V819" s="129"/>
      <c r="W819" s="129"/>
      <c r="X819" s="129"/>
      <c r="Y819" s="129"/>
      <c r="Z819" s="129"/>
    </row>
    <row r="820" spans="1:26" ht="15.75" hidden="1" customHeight="1" x14ac:dyDescent="0.25">
      <c r="A820" s="129"/>
      <c r="B820" s="129"/>
      <c r="C820" s="129"/>
      <c r="D820" s="129"/>
      <c r="E820" s="129"/>
      <c r="F820" s="129"/>
      <c r="G820" s="129"/>
      <c r="H820" s="129"/>
      <c r="I820" s="129"/>
      <c r="J820" s="129"/>
      <c r="K820" s="129"/>
      <c r="L820" s="129"/>
      <c r="M820" s="129"/>
      <c r="N820" s="129"/>
      <c r="O820" s="129"/>
      <c r="P820" s="129"/>
      <c r="Q820" s="129"/>
      <c r="R820" s="129"/>
      <c r="S820" s="129"/>
      <c r="T820" s="129"/>
      <c r="U820" s="129"/>
      <c r="V820" s="129"/>
      <c r="W820" s="129"/>
      <c r="X820" s="129"/>
      <c r="Y820" s="129"/>
      <c r="Z820" s="129"/>
    </row>
    <row r="821" spans="1:26" ht="15.75" hidden="1" customHeight="1" x14ac:dyDescent="0.25">
      <c r="A821" s="129"/>
      <c r="B821" s="129"/>
      <c r="C821" s="129"/>
      <c r="D821" s="129"/>
      <c r="E821" s="129"/>
      <c r="F821" s="129"/>
      <c r="G821" s="129"/>
      <c r="H821" s="129"/>
      <c r="I821" s="129"/>
      <c r="J821" s="129"/>
      <c r="K821" s="129"/>
      <c r="L821" s="129"/>
      <c r="M821" s="129"/>
      <c r="N821" s="129"/>
      <c r="O821" s="129"/>
      <c r="P821" s="129"/>
      <c r="Q821" s="129"/>
      <c r="R821" s="129"/>
      <c r="S821" s="129"/>
      <c r="T821" s="129"/>
      <c r="U821" s="129"/>
      <c r="V821" s="129"/>
      <c r="W821" s="129"/>
      <c r="X821" s="129"/>
      <c r="Y821" s="129"/>
      <c r="Z821" s="129"/>
    </row>
    <row r="822" spans="1:26" ht="15.75" hidden="1" customHeight="1" x14ac:dyDescent="0.25">
      <c r="A822" s="129"/>
      <c r="B822" s="129"/>
      <c r="C822" s="129"/>
      <c r="D822" s="129"/>
      <c r="E822" s="129"/>
      <c r="F822" s="129"/>
      <c r="G822" s="129"/>
      <c r="H822" s="129"/>
      <c r="I822" s="129"/>
      <c r="J822" s="129"/>
      <c r="K822" s="129"/>
      <c r="L822" s="129"/>
      <c r="M822" s="129"/>
      <c r="N822" s="129"/>
      <c r="O822" s="129"/>
      <c r="P822" s="129"/>
      <c r="Q822" s="129"/>
      <c r="R822" s="129"/>
      <c r="S822" s="129"/>
      <c r="T822" s="129"/>
      <c r="U822" s="129"/>
      <c r="V822" s="129"/>
      <c r="W822" s="129"/>
      <c r="X822" s="129"/>
      <c r="Y822" s="129"/>
      <c r="Z822" s="129"/>
    </row>
    <row r="823" spans="1:26" ht="15.75" hidden="1" customHeight="1" x14ac:dyDescent="0.25">
      <c r="A823" s="129"/>
      <c r="B823" s="129"/>
      <c r="C823" s="129"/>
      <c r="D823" s="129"/>
      <c r="E823" s="129"/>
      <c r="F823" s="129"/>
      <c r="G823" s="129"/>
      <c r="H823" s="129"/>
      <c r="I823" s="129"/>
      <c r="J823" s="129"/>
      <c r="K823" s="129"/>
      <c r="L823" s="129"/>
      <c r="M823" s="129"/>
      <c r="N823" s="129"/>
      <c r="O823" s="129"/>
      <c r="P823" s="129"/>
      <c r="Q823" s="129"/>
      <c r="R823" s="129"/>
      <c r="S823" s="129"/>
      <c r="T823" s="129"/>
      <c r="U823" s="129"/>
      <c r="V823" s="129"/>
      <c r="W823" s="129"/>
      <c r="X823" s="129"/>
      <c r="Y823" s="129"/>
      <c r="Z823" s="129"/>
    </row>
    <row r="824" spans="1:26" ht="15.75" hidden="1" customHeight="1" x14ac:dyDescent="0.25">
      <c r="A824" s="129"/>
      <c r="B824" s="129"/>
      <c r="C824" s="129"/>
      <c r="D824" s="129"/>
      <c r="E824" s="129"/>
      <c r="F824" s="129"/>
      <c r="G824" s="129"/>
      <c r="H824" s="129"/>
      <c r="I824" s="129"/>
      <c r="J824" s="129"/>
      <c r="K824" s="129"/>
      <c r="L824" s="129"/>
      <c r="M824" s="129"/>
      <c r="N824" s="129"/>
      <c r="O824" s="129"/>
      <c r="P824" s="129"/>
      <c r="Q824" s="129"/>
      <c r="R824" s="129"/>
      <c r="S824" s="129"/>
      <c r="T824" s="129"/>
      <c r="U824" s="129"/>
      <c r="V824" s="129"/>
      <c r="W824" s="129"/>
      <c r="X824" s="129"/>
      <c r="Y824" s="129"/>
      <c r="Z824" s="129"/>
    </row>
    <row r="825" spans="1:26" ht="15.75" hidden="1" customHeight="1" x14ac:dyDescent="0.25">
      <c r="A825" s="129"/>
      <c r="B825" s="129"/>
      <c r="C825" s="129"/>
      <c r="D825" s="129"/>
      <c r="E825" s="129"/>
      <c r="F825" s="129"/>
      <c r="G825" s="129"/>
      <c r="H825" s="129"/>
      <c r="I825" s="129"/>
      <c r="J825" s="129"/>
      <c r="K825" s="129"/>
      <c r="L825" s="129"/>
      <c r="M825" s="129"/>
      <c r="N825" s="129"/>
      <c r="O825" s="129"/>
      <c r="P825" s="129"/>
      <c r="Q825" s="129"/>
      <c r="R825" s="129"/>
      <c r="S825" s="129"/>
      <c r="T825" s="129"/>
      <c r="U825" s="129"/>
      <c r="V825" s="129"/>
      <c r="W825" s="129"/>
      <c r="X825" s="129"/>
      <c r="Y825" s="129"/>
      <c r="Z825" s="129"/>
    </row>
    <row r="826" spans="1:26" ht="15.75" hidden="1" customHeight="1" x14ac:dyDescent="0.25">
      <c r="A826" s="129"/>
      <c r="B826" s="129"/>
      <c r="C826" s="129"/>
      <c r="D826" s="129"/>
      <c r="E826" s="129"/>
      <c r="F826" s="129"/>
      <c r="G826" s="129"/>
      <c r="H826" s="129"/>
      <c r="I826" s="129"/>
      <c r="J826" s="129"/>
      <c r="K826" s="129"/>
      <c r="L826" s="129"/>
      <c r="M826" s="129"/>
      <c r="N826" s="129"/>
      <c r="O826" s="129"/>
      <c r="P826" s="129"/>
      <c r="Q826" s="129"/>
      <c r="R826" s="129"/>
      <c r="S826" s="129"/>
      <c r="T826" s="129"/>
      <c r="U826" s="129"/>
      <c r="V826" s="129"/>
      <c r="W826" s="129"/>
      <c r="X826" s="129"/>
      <c r="Y826" s="129"/>
      <c r="Z826" s="129"/>
    </row>
    <row r="827" spans="1:26" ht="15.75" hidden="1" customHeight="1" x14ac:dyDescent="0.25">
      <c r="A827" s="129"/>
      <c r="B827" s="129"/>
      <c r="C827" s="129"/>
      <c r="D827" s="129"/>
      <c r="E827" s="129"/>
      <c r="F827" s="129"/>
      <c r="G827" s="129"/>
      <c r="H827" s="129"/>
      <c r="I827" s="129"/>
      <c r="J827" s="129"/>
      <c r="K827" s="129"/>
      <c r="L827" s="129"/>
      <c r="M827" s="129"/>
      <c r="N827" s="129"/>
      <c r="O827" s="129"/>
      <c r="P827" s="129"/>
      <c r="Q827" s="129"/>
      <c r="R827" s="129"/>
      <c r="S827" s="129"/>
      <c r="T827" s="129"/>
      <c r="U827" s="129"/>
      <c r="V827" s="129"/>
      <c r="W827" s="129"/>
      <c r="X827" s="129"/>
      <c r="Y827" s="129"/>
      <c r="Z827" s="129"/>
    </row>
    <row r="828" spans="1:26" ht="15.75" hidden="1" customHeight="1" x14ac:dyDescent="0.25">
      <c r="A828" s="129"/>
      <c r="B828" s="129"/>
      <c r="C828" s="129"/>
      <c r="D828" s="129"/>
      <c r="E828" s="129"/>
      <c r="F828" s="129"/>
      <c r="G828" s="129"/>
      <c r="H828" s="129"/>
      <c r="I828" s="129"/>
      <c r="J828" s="129"/>
      <c r="K828" s="129"/>
      <c r="L828" s="129"/>
      <c r="M828" s="129"/>
      <c r="N828" s="129"/>
      <c r="O828" s="129"/>
      <c r="P828" s="129"/>
      <c r="Q828" s="129"/>
      <c r="R828" s="129"/>
      <c r="S828" s="129"/>
      <c r="T828" s="129"/>
      <c r="U828" s="129"/>
      <c r="V828" s="129"/>
      <c r="W828" s="129"/>
      <c r="X828" s="129"/>
      <c r="Y828" s="129"/>
      <c r="Z828" s="129"/>
    </row>
    <row r="829" spans="1:26" ht="15.75" hidden="1" customHeight="1" x14ac:dyDescent="0.25">
      <c r="A829" s="129"/>
      <c r="B829" s="129"/>
      <c r="C829" s="129"/>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row>
    <row r="830" spans="1:26" ht="15.75" hidden="1" customHeight="1" x14ac:dyDescent="0.25">
      <c r="A830" s="129"/>
      <c r="B830" s="129"/>
      <c r="C830" s="129"/>
      <c r="D830" s="129"/>
      <c r="E830" s="129"/>
      <c r="F830" s="129"/>
      <c r="G830" s="129"/>
      <c r="H830" s="129"/>
      <c r="I830" s="129"/>
      <c r="J830" s="129"/>
      <c r="K830" s="129"/>
      <c r="L830" s="129"/>
      <c r="M830" s="129"/>
      <c r="N830" s="129"/>
      <c r="O830" s="129"/>
      <c r="P830" s="129"/>
      <c r="Q830" s="129"/>
      <c r="R830" s="129"/>
      <c r="S830" s="129"/>
      <c r="T830" s="129"/>
      <c r="U830" s="129"/>
      <c r="V830" s="129"/>
      <c r="W830" s="129"/>
      <c r="X830" s="129"/>
      <c r="Y830" s="129"/>
      <c r="Z830" s="129"/>
    </row>
    <row r="831" spans="1:26" ht="15.75" hidden="1" customHeight="1" x14ac:dyDescent="0.25">
      <c r="A831" s="129"/>
      <c r="B831" s="129"/>
      <c r="C831" s="129"/>
      <c r="D831" s="129"/>
      <c r="E831" s="129"/>
      <c r="F831" s="129"/>
      <c r="G831" s="129"/>
      <c r="H831" s="129"/>
      <c r="I831" s="129"/>
      <c r="J831" s="129"/>
      <c r="K831" s="129"/>
      <c r="L831" s="129"/>
      <c r="M831" s="129"/>
      <c r="N831" s="129"/>
      <c r="O831" s="129"/>
      <c r="P831" s="129"/>
      <c r="Q831" s="129"/>
      <c r="R831" s="129"/>
      <c r="S831" s="129"/>
      <c r="T831" s="129"/>
      <c r="U831" s="129"/>
      <c r="V831" s="129"/>
      <c r="W831" s="129"/>
      <c r="X831" s="129"/>
      <c r="Y831" s="129"/>
      <c r="Z831" s="129"/>
    </row>
    <row r="832" spans="1:26" ht="15.75" hidden="1" customHeight="1" x14ac:dyDescent="0.25">
      <c r="A832" s="129"/>
      <c r="B832" s="129"/>
      <c r="C832" s="129"/>
      <c r="D832" s="129"/>
      <c r="E832" s="129"/>
      <c r="F832" s="129"/>
      <c r="G832" s="129"/>
      <c r="H832" s="129"/>
      <c r="I832" s="129"/>
      <c r="J832" s="129"/>
      <c r="K832" s="129"/>
      <c r="L832" s="129"/>
      <c r="M832" s="129"/>
      <c r="N832" s="129"/>
      <c r="O832" s="129"/>
      <c r="P832" s="129"/>
      <c r="Q832" s="129"/>
      <c r="R832" s="129"/>
      <c r="S832" s="129"/>
      <c r="T832" s="129"/>
      <c r="U832" s="129"/>
      <c r="V832" s="129"/>
      <c r="W832" s="129"/>
      <c r="X832" s="129"/>
      <c r="Y832" s="129"/>
      <c r="Z832" s="129"/>
    </row>
    <row r="833" spans="1:26" ht="15.75" hidden="1" customHeight="1" x14ac:dyDescent="0.25">
      <c r="A833" s="129"/>
      <c r="B833" s="129"/>
      <c r="C833" s="129"/>
      <c r="D833" s="129"/>
      <c r="E833" s="129"/>
      <c r="F833" s="129"/>
      <c r="G833" s="129"/>
      <c r="H833" s="129"/>
      <c r="I833" s="129"/>
      <c r="J833" s="129"/>
      <c r="K833" s="129"/>
      <c r="L833" s="129"/>
      <c r="M833" s="129"/>
      <c r="N833" s="129"/>
      <c r="O833" s="129"/>
      <c r="P833" s="129"/>
      <c r="Q833" s="129"/>
      <c r="R833" s="129"/>
      <c r="S833" s="129"/>
      <c r="T833" s="129"/>
      <c r="U833" s="129"/>
      <c r="V833" s="129"/>
      <c r="W833" s="129"/>
      <c r="X833" s="129"/>
      <c r="Y833" s="129"/>
      <c r="Z833" s="129"/>
    </row>
    <row r="834" spans="1:26" ht="15.75" hidden="1" customHeight="1" x14ac:dyDescent="0.25">
      <c r="A834" s="129"/>
      <c r="B834" s="129"/>
      <c r="C834" s="129"/>
      <c r="D834" s="129"/>
      <c r="E834" s="129"/>
      <c r="F834" s="129"/>
      <c r="G834" s="129"/>
      <c r="H834" s="129"/>
      <c r="I834" s="129"/>
      <c r="J834" s="129"/>
      <c r="K834" s="129"/>
      <c r="L834" s="129"/>
      <c r="M834" s="129"/>
      <c r="N834" s="129"/>
      <c r="O834" s="129"/>
      <c r="P834" s="129"/>
      <c r="Q834" s="129"/>
      <c r="R834" s="129"/>
      <c r="S834" s="129"/>
      <c r="T834" s="129"/>
      <c r="U834" s="129"/>
      <c r="V834" s="129"/>
      <c r="W834" s="129"/>
      <c r="X834" s="129"/>
      <c r="Y834" s="129"/>
      <c r="Z834" s="129"/>
    </row>
    <row r="835" spans="1:26" ht="15.75" hidden="1" customHeight="1" x14ac:dyDescent="0.25">
      <c r="A835" s="129"/>
      <c r="B835" s="129"/>
      <c r="C835" s="129"/>
      <c r="D835" s="129"/>
      <c r="E835" s="129"/>
      <c r="F835" s="129"/>
      <c r="G835" s="129"/>
      <c r="H835" s="129"/>
      <c r="I835" s="129"/>
      <c r="J835" s="129"/>
      <c r="K835" s="129"/>
      <c r="L835" s="129"/>
      <c r="M835" s="129"/>
      <c r="N835" s="129"/>
      <c r="O835" s="129"/>
      <c r="P835" s="129"/>
      <c r="Q835" s="129"/>
      <c r="R835" s="129"/>
      <c r="S835" s="129"/>
      <c r="T835" s="129"/>
      <c r="U835" s="129"/>
      <c r="V835" s="129"/>
      <c r="W835" s="129"/>
      <c r="X835" s="129"/>
      <c r="Y835" s="129"/>
      <c r="Z835" s="129"/>
    </row>
    <row r="836" spans="1:26" ht="15.75" hidden="1" customHeight="1" x14ac:dyDescent="0.25">
      <c r="A836" s="129"/>
      <c r="B836" s="129"/>
      <c r="C836" s="129"/>
      <c r="D836" s="129"/>
      <c r="E836" s="129"/>
      <c r="F836" s="129"/>
      <c r="G836" s="129"/>
      <c r="H836" s="129"/>
      <c r="I836" s="129"/>
      <c r="J836" s="129"/>
      <c r="K836" s="129"/>
      <c r="L836" s="129"/>
      <c r="M836" s="129"/>
      <c r="N836" s="129"/>
      <c r="O836" s="129"/>
      <c r="P836" s="129"/>
      <c r="Q836" s="129"/>
      <c r="R836" s="129"/>
      <c r="S836" s="129"/>
      <c r="T836" s="129"/>
      <c r="U836" s="129"/>
      <c r="V836" s="129"/>
      <c r="W836" s="129"/>
      <c r="X836" s="129"/>
      <c r="Y836" s="129"/>
      <c r="Z836" s="129"/>
    </row>
    <row r="837" spans="1:26" ht="15.75" hidden="1" customHeight="1" x14ac:dyDescent="0.25">
      <c r="A837" s="129"/>
      <c r="B837" s="129"/>
      <c r="C837" s="129"/>
      <c r="D837" s="129"/>
      <c r="E837" s="129"/>
      <c r="F837" s="129"/>
      <c r="G837" s="129"/>
      <c r="H837" s="129"/>
      <c r="I837" s="129"/>
      <c r="J837" s="129"/>
      <c r="K837" s="129"/>
      <c r="L837" s="129"/>
      <c r="M837" s="129"/>
      <c r="N837" s="129"/>
      <c r="O837" s="129"/>
      <c r="P837" s="129"/>
      <c r="Q837" s="129"/>
      <c r="R837" s="129"/>
      <c r="S837" s="129"/>
      <c r="T837" s="129"/>
      <c r="U837" s="129"/>
      <c r="V837" s="129"/>
      <c r="W837" s="129"/>
      <c r="X837" s="129"/>
      <c r="Y837" s="129"/>
      <c r="Z837" s="129"/>
    </row>
    <row r="838" spans="1:26" ht="15.75" hidden="1" customHeight="1" x14ac:dyDescent="0.25">
      <c r="A838" s="129"/>
      <c r="B838" s="129"/>
      <c r="C838" s="129"/>
      <c r="D838" s="129"/>
      <c r="E838" s="129"/>
      <c r="F838" s="129"/>
      <c r="G838" s="129"/>
      <c r="H838" s="129"/>
      <c r="I838" s="129"/>
      <c r="J838" s="129"/>
      <c r="K838" s="129"/>
      <c r="L838" s="129"/>
      <c r="M838" s="129"/>
      <c r="N838" s="129"/>
      <c r="O838" s="129"/>
      <c r="P838" s="129"/>
      <c r="Q838" s="129"/>
      <c r="R838" s="129"/>
      <c r="S838" s="129"/>
      <c r="T838" s="129"/>
      <c r="U838" s="129"/>
      <c r="V838" s="129"/>
      <c r="W838" s="129"/>
      <c r="X838" s="129"/>
      <c r="Y838" s="129"/>
      <c r="Z838" s="129"/>
    </row>
    <row r="839" spans="1:26" ht="15.75" hidden="1" customHeight="1" x14ac:dyDescent="0.25">
      <c r="A839" s="129"/>
      <c r="B839" s="129"/>
      <c r="C839" s="129"/>
      <c r="D839" s="129"/>
      <c r="E839" s="129"/>
      <c r="F839" s="129"/>
      <c r="G839" s="129"/>
      <c r="H839" s="129"/>
      <c r="I839" s="129"/>
      <c r="J839" s="129"/>
      <c r="K839" s="129"/>
      <c r="L839" s="129"/>
      <c r="M839" s="129"/>
      <c r="N839" s="129"/>
      <c r="O839" s="129"/>
      <c r="P839" s="129"/>
      <c r="Q839" s="129"/>
      <c r="R839" s="129"/>
      <c r="S839" s="129"/>
      <c r="T839" s="129"/>
      <c r="U839" s="129"/>
      <c r="V839" s="129"/>
      <c r="W839" s="129"/>
      <c r="X839" s="129"/>
      <c r="Y839" s="129"/>
      <c r="Z839" s="129"/>
    </row>
    <row r="840" spans="1:26" ht="15.75" hidden="1" customHeight="1" x14ac:dyDescent="0.25">
      <c r="A840" s="129"/>
      <c r="B840" s="129"/>
      <c r="C840" s="129"/>
      <c r="D840" s="129"/>
      <c r="E840" s="129"/>
      <c r="F840" s="129"/>
      <c r="G840" s="129"/>
      <c r="H840" s="129"/>
      <c r="I840" s="129"/>
      <c r="J840" s="129"/>
      <c r="K840" s="129"/>
      <c r="L840" s="129"/>
      <c r="M840" s="129"/>
      <c r="N840" s="129"/>
      <c r="O840" s="129"/>
      <c r="P840" s="129"/>
      <c r="Q840" s="129"/>
      <c r="R840" s="129"/>
      <c r="S840" s="129"/>
      <c r="T840" s="129"/>
      <c r="U840" s="129"/>
      <c r="V840" s="129"/>
      <c r="W840" s="129"/>
      <c r="X840" s="129"/>
      <c r="Y840" s="129"/>
      <c r="Z840" s="129"/>
    </row>
    <row r="841" spans="1:26" ht="15.75" hidden="1" customHeight="1" x14ac:dyDescent="0.25">
      <c r="A841" s="129"/>
      <c r="B841" s="129"/>
      <c r="C841" s="129"/>
      <c r="D841" s="129"/>
      <c r="E841" s="129"/>
      <c r="F841" s="129"/>
      <c r="G841" s="129"/>
      <c r="H841" s="129"/>
      <c r="I841" s="129"/>
      <c r="J841" s="129"/>
      <c r="K841" s="129"/>
      <c r="L841" s="129"/>
      <c r="M841" s="129"/>
      <c r="N841" s="129"/>
      <c r="O841" s="129"/>
      <c r="P841" s="129"/>
      <c r="Q841" s="129"/>
      <c r="R841" s="129"/>
      <c r="S841" s="129"/>
      <c r="T841" s="129"/>
      <c r="U841" s="129"/>
      <c r="V841" s="129"/>
      <c r="W841" s="129"/>
      <c r="X841" s="129"/>
      <c r="Y841" s="129"/>
      <c r="Z841" s="129"/>
    </row>
    <row r="842" spans="1:26" ht="15.75" hidden="1" customHeight="1" x14ac:dyDescent="0.25">
      <c r="A842" s="129"/>
      <c r="B842" s="129"/>
      <c r="C842" s="129"/>
      <c r="D842" s="129"/>
      <c r="E842" s="129"/>
      <c r="F842" s="129"/>
      <c r="G842" s="129"/>
      <c r="H842" s="129"/>
      <c r="I842" s="129"/>
      <c r="J842" s="129"/>
      <c r="K842" s="129"/>
      <c r="L842" s="129"/>
      <c r="M842" s="129"/>
      <c r="N842" s="129"/>
      <c r="O842" s="129"/>
      <c r="P842" s="129"/>
      <c r="Q842" s="129"/>
      <c r="R842" s="129"/>
      <c r="S842" s="129"/>
      <c r="T842" s="129"/>
      <c r="U842" s="129"/>
      <c r="V842" s="129"/>
      <c r="W842" s="129"/>
      <c r="X842" s="129"/>
      <c r="Y842" s="129"/>
      <c r="Z842" s="129"/>
    </row>
    <row r="843" spans="1:26" ht="15.75" hidden="1" customHeight="1" x14ac:dyDescent="0.25">
      <c r="A843" s="129"/>
      <c r="B843" s="129"/>
      <c r="C843" s="129"/>
      <c r="D843" s="129"/>
      <c r="E843" s="129"/>
      <c r="F843" s="129"/>
      <c r="G843" s="129"/>
      <c r="H843" s="129"/>
      <c r="I843" s="129"/>
      <c r="J843" s="129"/>
      <c r="K843" s="129"/>
      <c r="L843" s="129"/>
      <c r="M843" s="129"/>
      <c r="N843" s="129"/>
      <c r="O843" s="129"/>
      <c r="P843" s="129"/>
      <c r="Q843" s="129"/>
      <c r="R843" s="129"/>
      <c r="S843" s="129"/>
      <c r="T843" s="129"/>
      <c r="U843" s="129"/>
      <c r="V843" s="129"/>
      <c r="W843" s="129"/>
      <c r="X843" s="129"/>
      <c r="Y843" s="129"/>
      <c r="Z843" s="129"/>
    </row>
    <row r="844" spans="1:26" ht="15.75" hidden="1" customHeight="1" x14ac:dyDescent="0.25">
      <c r="A844" s="129"/>
      <c r="B844" s="129"/>
      <c r="C844" s="129"/>
      <c r="D844" s="129"/>
      <c r="E844" s="129"/>
      <c r="F844" s="129"/>
      <c r="G844" s="129"/>
      <c r="H844" s="129"/>
      <c r="I844" s="129"/>
      <c r="J844" s="129"/>
      <c r="K844" s="129"/>
      <c r="L844" s="129"/>
      <c r="M844" s="129"/>
      <c r="N844" s="129"/>
      <c r="O844" s="129"/>
      <c r="P844" s="129"/>
      <c r="Q844" s="129"/>
      <c r="R844" s="129"/>
      <c r="S844" s="129"/>
      <c r="T844" s="129"/>
      <c r="U844" s="129"/>
      <c r="V844" s="129"/>
      <c r="W844" s="129"/>
      <c r="X844" s="129"/>
      <c r="Y844" s="129"/>
      <c r="Z844" s="129"/>
    </row>
    <row r="845" spans="1:26" ht="15.75" hidden="1" customHeight="1" x14ac:dyDescent="0.25">
      <c r="A845" s="129"/>
      <c r="B845" s="129"/>
      <c r="C845" s="129"/>
      <c r="D845" s="129"/>
      <c r="E845" s="129"/>
      <c r="F845" s="129"/>
      <c r="G845" s="129"/>
      <c r="H845" s="129"/>
      <c r="I845" s="129"/>
      <c r="J845" s="129"/>
      <c r="K845" s="129"/>
      <c r="L845" s="129"/>
      <c r="M845" s="129"/>
      <c r="N845" s="129"/>
      <c r="O845" s="129"/>
      <c r="P845" s="129"/>
      <c r="Q845" s="129"/>
      <c r="R845" s="129"/>
      <c r="S845" s="129"/>
      <c r="T845" s="129"/>
      <c r="U845" s="129"/>
      <c r="V845" s="129"/>
      <c r="W845" s="129"/>
      <c r="X845" s="129"/>
      <c r="Y845" s="129"/>
      <c r="Z845" s="129"/>
    </row>
    <row r="846" spans="1:26" ht="15.75" hidden="1" customHeight="1" x14ac:dyDescent="0.25">
      <c r="A846" s="129"/>
      <c r="B846" s="129"/>
      <c r="C846" s="129"/>
      <c r="D846" s="129"/>
      <c r="E846" s="129"/>
      <c r="F846" s="129"/>
      <c r="G846" s="129"/>
      <c r="H846" s="129"/>
      <c r="I846" s="129"/>
      <c r="J846" s="129"/>
      <c r="K846" s="129"/>
      <c r="L846" s="129"/>
      <c r="M846" s="129"/>
      <c r="N846" s="129"/>
      <c r="O846" s="129"/>
      <c r="P846" s="129"/>
      <c r="Q846" s="129"/>
      <c r="R846" s="129"/>
      <c r="S846" s="129"/>
      <c r="T846" s="129"/>
      <c r="U846" s="129"/>
      <c r="V846" s="129"/>
      <c r="W846" s="129"/>
      <c r="X846" s="129"/>
      <c r="Y846" s="129"/>
      <c r="Z846" s="129"/>
    </row>
    <row r="847" spans="1:26" ht="15.75" hidden="1" customHeight="1" x14ac:dyDescent="0.25">
      <c r="A847" s="129"/>
      <c r="B847" s="129"/>
      <c r="C847" s="129"/>
      <c r="D847" s="129"/>
      <c r="E847" s="129"/>
      <c r="F847" s="129"/>
      <c r="G847" s="129"/>
      <c r="H847" s="129"/>
      <c r="I847" s="129"/>
      <c r="J847" s="129"/>
      <c r="K847" s="129"/>
      <c r="L847" s="129"/>
      <c r="M847" s="129"/>
      <c r="N847" s="129"/>
      <c r="O847" s="129"/>
      <c r="P847" s="129"/>
      <c r="Q847" s="129"/>
      <c r="R847" s="129"/>
      <c r="S847" s="129"/>
      <c r="T847" s="129"/>
      <c r="U847" s="129"/>
      <c r="V847" s="129"/>
      <c r="W847" s="129"/>
      <c r="X847" s="129"/>
      <c r="Y847" s="129"/>
      <c r="Z847" s="129"/>
    </row>
    <row r="848" spans="1:26" ht="15.75" hidden="1" customHeight="1" x14ac:dyDescent="0.25">
      <c r="A848" s="129"/>
      <c r="B848" s="129"/>
      <c r="C848" s="129"/>
      <c r="D848" s="129"/>
      <c r="E848" s="129"/>
      <c r="F848" s="129"/>
      <c r="G848" s="129"/>
      <c r="H848" s="129"/>
      <c r="I848" s="129"/>
      <c r="J848" s="129"/>
      <c r="K848" s="129"/>
      <c r="L848" s="129"/>
      <c r="M848" s="129"/>
      <c r="N848" s="129"/>
      <c r="O848" s="129"/>
      <c r="P848" s="129"/>
      <c r="Q848" s="129"/>
      <c r="R848" s="129"/>
      <c r="S848" s="129"/>
      <c r="T848" s="129"/>
      <c r="U848" s="129"/>
      <c r="V848" s="129"/>
      <c r="W848" s="129"/>
      <c r="X848" s="129"/>
      <c r="Y848" s="129"/>
      <c r="Z848" s="129"/>
    </row>
    <row r="849" spans="1:26" ht="15.75" hidden="1" customHeight="1" x14ac:dyDescent="0.25">
      <c r="A849" s="129"/>
      <c r="B849" s="129"/>
      <c r="C849" s="129"/>
      <c r="D849" s="129"/>
      <c r="E849" s="129"/>
      <c r="F849" s="129"/>
      <c r="G849" s="129"/>
      <c r="H849" s="129"/>
      <c r="I849" s="129"/>
      <c r="J849" s="129"/>
      <c r="K849" s="129"/>
      <c r="L849" s="129"/>
      <c r="M849" s="129"/>
      <c r="N849" s="129"/>
      <c r="O849" s="129"/>
      <c r="P849" s="129"/>
      <c r="Q849" s="129"/>
      <c r="R849" s="129"/>
      <c r="S849" s="129"/>
      <c r="T849" s="129"/>
      <c r="U849" s="129"/>
      <c r="V849" s="129"/>
      <c r="W849" s="129"/>
      <c r="X849" s="129"/>
      <c r="Y849" s="129"/>
      <c r="Z849" s="129"/>
    </row>
    <row r="850" spans="1:26" ht="15.75" hidden="1" customHeight="1" x14ac:dyDescent="0.25">
      <c r="A850" s="129"/>
      <c r="B850" s="129"/>
      <c r="C850" s="129"/>
      <c r="D850" s="129"/>
      <c r="E850" s="129"/>
      <c r="F850" s="129"/>
      <c r="G850" s="129"/>
      <c r="H850" s="129"/>
      <c r="I850" s="129"/>
      <c r="J850" s="129"/>
      <c r="K850" s="129"/>
      <c r="L850" s="129"/>
      <c r="M850" s="129"/>
      <c r="N850" s="129"/>
      <c r="O850" s="129"/>
      <c r="P850" s="129"/>
      <c r="Q850" s="129"/>
      <c r="R850" s="129"/>
      <c r="S850" s="129"/>
      <c r="T850" s="129"/>
      <c r="U850" s="129"/>
      <c r="V850" s="129"/>
      <c r="W850" s="129"/>
      <c r="X850" s="129"/>
      <c r="Y850" s="129"/>
      <c r="Z850" s="129"/>
    </row>
    <row r="851" spans="1:26" ht="15.75" hidden="1" customHeight="1" x14ac:dyDescent="0.25">
      <c r="A851" s="129"/>
      <c r="B851" s="129"/>
      <c r="C851" s="129"/>
      <c r="D851" s="129"/>
      <c r="E851" s="129"/>
      <c r="F851" s="129"/>
      <c r="G851" s="129"/>
      <c r="H851" s="129"/>
      <c r="I851" s="129"/>
      <c r="J851" s="129"/>
      <c r="K851" s="129"/>
      <c r="L851" s="129"/>
      <c r="M851" s="129"/>
      <c r="N851" s="129"/>
      <c r="O851" s="129"/>
      <c r="P851" s="129"/>
      <c r="Q851" s="129"/>
      <c r="R851" s="129"/>
      <c r="S851" s="129"/>
      <c r="T851" s="129"/>
      <c r="U851" s="129"/>
      <c r="V851" s="129"/>
      <c r="W851" s="129"/>
      <c r="X851" s="129"/>
      <c r="Y851" s="129"/>
      <c r="Z851" s="129"/>
    </row>
    <row r="852" spans="1:26" ht="15.75" hidden="1" customHeight="1" x14ac:dyDescent="0.25">
      <c r="A852" s="129"/>
      <c r="B852" s="129"/>
      <c r="C852" s="129"/>
      <c r="D852" s="129"/>
      <c r="E852" s="129"/>
      <c r="F852" s="129"/>
      <c r="G852" s="129"/>
      <c r="H852" s="129"/>
      <c r="I852" s="129"/>
      <c r="J852" s="129"/>
      <c r="K852" s="129"/>
      <c r="L852" s="129"/>
      <c r="M852" s="129"/>
      <c r="N852" s="129"/>
      <c r="O852" s="129"/>
      <c r="P852" s="129"/>
      <c r="Q852" s="129"/>
      <c r="R852" s="129"/>
      <c r="S852" s="129"/>
      <c r="T852" s="129"/>
      <c r="U852" s="129"/>
      <c r="V852" s="129"/>
      <c r="W852" s="129"/>
      <c r="X852" s="129"/>
      <c r="Y852" s="129"/>
      <c r="Z852" s="129"/>
    </row>
    <row r="853" spans="1:26" ht="15.75" hidden="1" customHeight="1" x14ac:dyDescent="0.25">
      <c r="A853" s="129"/>
      <c r="B853" s="129"/>
      <c r="C853" s="129"/>
      <c r="D853" s="129"/>
      <c r="E853" s="129"/>
      <c r="F853" s="129"/>
      <c r="G853" s="129"/>
      <c r="H853" s="129"/>
      <c r="I853" s="129"/>
      <c r="J853" s="129"/>
      <c r="K853" s="129"/>
      <c r="L853" s="129"/>
      <c r="M853" s="129"/>
      <c r="N853" s="129"/>
      <c r="O853" s="129"/>
      <c r="P853" s="129"/>
      <c r="Q853" s="129"/>
      <c r="R853" s="129"/>
      <c r="S853" s="129"/>
      <c r="T853" s="129"/>
      <c r="U853" s="129"/>
      <c r="V853" s="129"/>
      <c r="W853" s="129"/>
      <c r="X853" s="129"/>
      <c r="Y853" s="129"/>
      <c r="Z853" s="129"/>
    </row>
    <row r="854" spans="1:26" ht="15.75" hidden="1" customHeight="1" x14ac:dyDescent="0.25">
      <c r="A854" s="129"/>
      <c r="B854" s="129"/>
      <c r="C854" s="129"/>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row>
    <row r="855" spans="1:26" ht="15.75" hidden="1" customHeight="1" x14ac:dyDescent="0.25">
      <c r="A855" s="129"/>
      <c r="B855" s="129"/>
      <c r="C855" s="129"/>
      <c r="D855" s="129"/>
      <c r="E855" s="129"/>
      <c r="F855" s="129"/>
      <c r="G855" s="129"/>
      <c r="H855" s="129"/>
      <c r="I855" s="129"/>
      <c r="J855" s="129"/>
      <c r="K855" s="129"/>
      <c r="L855" s="129"/>
      <c r="M855" s="129"/>
      <c r="N855" s="129"/>
      <c r="O855" s="129"/>
      <c r="P855" s="129"/>
      <c r="Q855" s="129"/>
      <c r="R855" s="129"/>
      <c r="S855" s="129"/>
      <c r="T855" s="129"/>
      <c r="U855" s="129"/>
      <c r="V855" s="129"/>
      <c r="W855" s="129"/>
      <c r="X855" s="129"/>
      <c r="Y855" s="129"/>
      <c r="Z855" s="129"/>
    </row>
    <row r="856" spans="1:26" ht="15.75" hidden="1" customHeight="1" x14ac:dyDescent="0.25">
      <c r="A856" s="129"/>
      <c r="B856" s="129"/>
      <c r="C856" s="129"/>
      <c r="D856" s="129"/>
      <c r="E856" s="129"/>
      <c r="F856" s="129"/>
      <c r="G856" s="129"/>
      <c r="H856" s="129"/>
      <c r="I856" s="129"/>
      <c r="J856" s="129"/>
      <c r="K856" s="129"/>
      <c r="L856" s="129"/>
      <c r="M856" s="129"/>
      <c r="N856" s="129"/>
      <c r="O856" s="129"/>
      <c r="P856" s="129"/>
      <c r="Q856" s="129"/>
      <c r="R856" s="129"/>
      <c r="S856" s="129"/>
      <c r="T856" s="129"/>
      <c r="U856" s="129"/>
      <c r="V856" s="129"/>
      <c r="W856" s="129"/>
      <c r="X856" s="129"/>
      <c r="Y856" s="129"/>
      <c r="Z856" s="129"/>
    </row>
    <row r="857" spans="1:26" ht="15.75" hidden="1" customHeight="1" x14ac:dyDescent="0.25">
      <c r="A857" s="129"/>
      <c r="B857" s="129"/>
      <c r="C857" s="129"/>
      <c r="D857" s="129"/>
      <c r="E857" s="129"/>
      <c r="F857" s="129"/>
      <c r="G857" s="129"/>
      <c r="H857" s="129"/>
      <c r="I857" s="129"/>
      <c r="J857" s="129"/>
      <c r="K857" s="129"/>
      <c r="L857" s="129"/>
      <c r="M857" s="129"/>
      <c r="N857" s="129"/>
      <c r="O857" s="129"/>
      <c r="P857" s="129"/>
      <c r="Q857" s="129"/>
      <c r="R857" s="129"/>
      <c r="S857" s="129"/>
      <c r="T857" s="129"/>
      <c r="U857" s="129"/>
      <c r="V857" s="129"/>
      <c r="W857" s="129"/>
      <c r="X857" s="129"/>
      <c r="Y857" s="129"/>
      <c r="Z857" s="129"/>
    </row>
    <row r="858" spans="1:26" ht="15.75" hidden="1" customHeight="1" x14ac:dyDescent="0.25">
      <c r="A858" s="129"/>
      <c r="B858" s="129"/>
      <c r="C858" s="129"/>
      <c r="D858" s="129"/>
      <c r="E858" s="129"/>
      <c r="F858" s="129"/>
      <c r="G858" s="129"/>
      <c r="H858" s="129"/>
      <c r="I858" s="129"/>
      <c r="J858" s="129"/>
      <c r="K858" s="129"/>
      <c r="L858" s="129"/>
      <c r="M858" s="129"/>
      <c r="N858" s="129"/>
      <c r="O858" s="129"/>
      <c r="P858" s="129"/>
      <c r="Q858" s="129"/>
      <c r="R858" s="129"/>
      <c r="S858" s="129"/>
      <c r="T858" s="129"/>
      <c r="U858" s="129"/>
      <c r="V858" s="129"/>
      <c r="W858" s="129"/>
      <c r="X858" s="129"/>
      <c r="Y858" s="129"/>
      <c r="Z858" s="129"/>
    </row>
    <row r="859" spans="1:26" ht="15.75" hidden="1" customHeight="1" x14ac:dyDescent="0.25">
      <c r="A859" s="129"/>
      <c r="B859" s="129"/>
      <c r="C859" s="129"/>
      <c r="D859" s="129"/>
      <c r="E859" s="129"/>
      <c r="F859" s="129"/>
      <c r="G859" s="129"/>
      <c r="H859" s="129"/>
      <c r="I859" s="129"/>
      <c r="J859" s="129"/>
      <c r="K859" s="129"/>
      <c r="L859" s="129"/>
      <c r="M859" s="129"/>
      <c r="N859" s="129"/>
      <c r="O859" s="129"/>
      <c r="P859" s="129"/>
      <c r="Q859" s="129"/>
      <c r="R859" s="129"/>
      <c r="S859" s="129"/>
      <c r="T859" s="129"/>
      <c r="U859" s="129"/>
      <c r="V859" s="129"/>
      <c r="W859" s="129"/>
      <c r="X859" s="129"/>
      <c r="Y859" s="129"/>
      <c r="Z859" s="129"/>
    </row>
    <row r="860" spans="1:26" ht="15.75" hidden="1" customHeight="1" x14ac:dyDescent="0.25">
      <c r="A860" s="129"/>
      <c r="B860" s="129"/>
      <c r="C860" s="129"/>
      <c r="D860" s="129"/>
      <c r="E860" s="129"/>
      <c r="F860" s="129"/>
      <c r="G860" s="129"/>
      <c r="H860" s="129"/>
      <c r="I860" s="129"/>
      <c r="J860" s="129"/>
      <c r="K860" s="129"/>
      <c r="L860" s="129"/>
      <c r="M860" s="129"/>
      <c r="N860" s="129"/>
      <c r="O860" s="129"/>
      <c r="P860" s="129"/>
      <c r="Q860" s="129"/>
      <c r="R860" s="129"/>
      <c r="S860" s="129"/>
      <c r="T860" s="129"/>
      <c r="U860" s="129"/>
      <c r="V860" s="129"/>
      <c r="W860" s="129"/>
      <c r="X860" s="129"/>
      <c r="Y860" s="129"/>
      <c r="Z860" s="129"/>
    </row>
    <row r="861" spans="1:26" ht="15.75" hidden="1" customHeight="1" x14ac:dyDescent="0.25">
      <c r="A861" s="129"/>
      <c r="B861" s="129"/>
      <c r="C861" s="129"/>
      <c r="D861" s="129"/>
      <c r="E861" s="129"/>
      <c r="F861" s="129"/>
      <c r="G861" s="129"/>
      <c r="H861" s="129"/>
      <c r="I861" s="129"/>
      <c r="J861" s="129"/>
      <c r="K861" s="129"/>
      <c r="L861" s="129"/>
      <c r="M861" s="129"/>
      <c r="N861" s="129"/>
      <c r="O861" s="129"/>
      <c r="P861" s="129"/>
      <c r="Q861" s="129"/>
      <c r="R861" s="129"/>
      <c r="S861" s="129"/>
      <c r="T861" s="129"/>
      <c r="U861" s="129"/>
      <c r="V861" s="129"/>
      <c r="W861" s="129"/>
      <c r="X861" s="129"/>
      <c r="Y861" s="129"/>
      <c r="Z861" s="129"/>
    </row>
    <row r="862" spans="1:26" ht="15.75" hidden="1" customHeight="1" x14ac:dyDescent="0.25">
      <c r="A862" s="129"/>
      <c r="B862" s="129"/>
      <c r="C862" s="129"/>
      <c r="D862" s="129"/>
      <c r="E862" s="129"/>
      <c r="F862" s="129"/>
      <c r="G862" s="129"/>
      <c r="H862" s="129"/>
      <c r="I862" s="129"/>
      <c r="J862" s="129"/>
      <c r="K862" s="129"/>
      <c r="L862" s="129"/>
      <c r="M862" s="129"/>
      <c r="N862" s="129"/>
      <c r="O862" s="129"/>
      <c r="P862" s="129"/>
      <c r="Q862" s="129"/>
      <c r="R862" s="129"/>
      <c r="S862" s="129"/>
      <c r="T862" s="129"/>
      <c r="U862" s="129"/>
      <c r="V862" s="129"/>
      <c r="W862" s="129"/>
      <c r="X862" s="129"/>
      <c r="Y862" s="129"/>
      <c r="Z862" s="129"/>
    </row>
    <row r="863" spans="1:26" ht="15.75" hidden="1" customHeight="1" x14ac:dyDescent="0.25">
      <c r="A863" s="129"/>
      <c r="B863" s="129"/>
      <c r="C863" s="129"/>
      <c r="D863" s="129"/>
      <c r="E863" s="129"/>
      <c r="F863" s="129"/>
      <c r="G863" s="129"/>
      <c r="H863" s="129"/>
      <c r="I863" s="129"/>
      <c r="J863" s="129"/>
      <c r="K863" s="129"/>
      <c r="L863" s="129"/>
      <c r="M863" s="129"/>
      <c r="N863" s="129"/>
      <c r="O863" s="129"/>
      <c r="P863" s="129"/>
      <c r="Q863" s="129"/>
      <c r="R863" s="129"/>
      <c r="S863" s="129"/>
      <c r="T863" s="129"/>
      <c r="U863" s="129"/>
      <c r="V863" s="129"/>
      <c r="W863" s="129"/>
      <c r="X863" s="129"/>
      <c r="Y863" s="129"/>
      <c r="Z863" s="129"/>
    </row>
    <row r="864" spans="1:26" ht="15.75" hidden="1" customHeight="1" x14ac:dyDescent="0.25">
      <c r="A864" s="129"/>
      <c r="B864" s="129"/>
      <c r="C864" s="129"/>
      <c r="D864" s="129"/>
      <c r="E864" s="129"/>
      <c r="F864" s="129"/>
      <c r="G864" s="129"/>
      <c r="H864" s="129"/>
      <c r="I864" s="129"/>
      <c r="J864" s="129"/>
      <c r="K864" s="129"/>
      <c r="L864" s="129"/>
      <c r="M864" s="129"/>
      <c r="N864" s="129"/>
      <c r="O864" s="129"/>
      <c r="P864" s="129"/>
      <c r="Q864" s="129"/>
      <c r="R864" s="129"/>
      <c r="S864" s="129"/>
      <c r="T864" s="129"/>
      <c r="U864" s="129"/>
      <c r="V864" s="129"/>
      <c r="W864" s="129"/>
      <c r="X864" s="129"/>
      <c r="Y864" s="129"/>
      <c r="Z864" s="129"/>
    </row>
    <row r="865" spans="1:26" ht="15.75" hidden="1" customHeight="1" x14ac:dyDescent="0.25">
      <c r="A865" s="129"/>
      <c r="B865" s="129"/>
      <c r="C865" s="129"/>
      <c r="D865" s="129"/>
      <c r="E865" s="129"/>
      <c r="F865" s="129"/>
      <c r="G865" s="129"/>
      <c r="H865" s="129"/>
      <c r="I865" s="129"/>
      <c r="J865" s="129"/>
      <c r="K865" s="129"/>
      <c r="L865" s="129"/>
      <c r="M865" s="129"/>
      <c r="N865" s="129"/>
      <c r="O865" s="129"/>
      <c r="P865" s="129"/>
      <c r="Q865" s="129"/>
      <c r="R865" s="129"/>
      <c r="S865" s="129"/>
      <c r="T865" s="129"/>
      <c r="U865" s="129"/>
      <c r="V865" s="129"/>
      <c r="W865" s="129"/>
      <c r="X865" s="129"/>
      <c r="Y865" s="129"/>
      <c r="Z865" s="129"/>
    </row>
    <row r="866" spans="1:26" ht="15.75" hidden="1" customHeight="1" x14ac:dyDescent="0.25">
      <c r="A866" s="129"/>
      <c r="B866" s="129"/>
      <c r="C866" s="129"/>
      <c r="D866" s="129"/>
      <c r="E866" s="129"/>
      <c r="F866" s="129"/>
      <c r="G866" s="129"/>
      <c r="H866" s="129"/>
      <c r="I866" s="129"/>
      <c r="J866" s="129"/>
      <c r="K866" s="129"/>
      <c r="L866" s="129"/>
      <c r="M866" s="129"/>
      <c r="N866" s="129"/>
      <c r="O866" s="129"/>
      <c r="P866" s="129"/>
      <c r="Q866" s="129"/>
      <c r="R866" s="129"/>
      <c r="S866" s="129"/>
      <c r="T866" s="129"/>
      <c r="U866" s="129"/>
      <c r="V866" s="129"/>
      <c r="W866" s="129"/>
      <c r="X866" s="129"/>
      <c r="Y866" s="129"/>
      <c r="Z866" s="129"/>
    </row>
    <row r="867" spans="1:26" ht="15.75" hidden="1" customHeight="1" x14ac:dyDescent="0.25">
      <c r="A867" s="129"/>
      <c r="B867" s="129"/>
      <c r="C867" s="129"/>
      <c r="D867" s="129"/>
      <c r="E867" s="129"/>
      <c r="F867" s="129"/>
      <c r="G867" s="129"/>
      <c r="H867" s="129"/>
      <c r="I867" s="129"/>
      <c r="J867" s="129"/>
      <c r="K867" s="129"/>
      <c r="L867" s="129"/>
      <c r="M867" s="129"/>
      <c r="N867" s="129"/>
      <c r="O867" s="129"/>
      <c r="P867" s="129"/>
      <c r="Q867" s="129"/>
      <c r="R867" s="129"/>
      <c r="S867" s="129"/>
      <c r="T867" s="129"/>
      <c r="U867" s="129"/>
      <c r="V867" s="129"/>
      <c r="W867" s="129"/>
      <c r="X867" s="129"/>
      <c r="Y867" s="129"/>
      <c r="Z867" s="129"/>
    </row>
    <row r="868" spans="1:26" ht="15.75" hidden="1" customHeight="1" x14ac:dyDescent="0.25">
      <c r="A868" s="129"/>
      <c r="B868" s="129"/>
      <c r="C868" s="129"/>
      <c r="D868" s="129"/>
      <c r="E868" s="129"/>
      <c r="F868" s="129"/>
      <c r="G868" s="129"/>
      <c r="H868" s="129"/>
      <c r="I868" s="129"/>
      <c r="J868" s="129"/>
      <c r="K868" s="129"/>
      <c r="L868" s="129"/>
      <c r="M868" s="129"/>
      <c r="N868" s="129"/>
      <c r="O868" s="129"/>
      <c r="P868" s="129"/>
      <c r="Q868" s="129"/>
      <c r="R868" s="129"/>
      <c r="S868" s="129"/>
      <c r="T868" s="129"/>
      <c r="U868" s="129"/>
      <c r="V868" s="129"/>
      <c r="W868" s="129"/>
      <c r="X868" s="129"/>
      <c r="Y868" s="129"/>
      <c r="Z868" s="129"/>
    </row>
    <row r="869" spans="1:26" ht="15.75" hidden="1" customHeight="1" x14ac:dyDescent="0.25">
      <c r="A869" s="129"/>
      <c r="B869" s="129"/>
      <c r="C869" s="129"/>
      <c r="D869" s="129"/>
      <c r="E869" s="129"/>
      <c r="F869" s="129"/>
      <c r="G869" s="129"/>
      <c r="H869" s="129"/>
      <c r="I869" s="129"/>
      <c r="J869" s="129"/>
      <c r="K869" s="129"/>
      <c r="L869" s="129"/>
      <c r="M869" s="129"/>
      <c r="N869" s="129"/>
      <c r="O869" s="129"/>
      <c r="P869" s="129"/>
      <c r="Q869" s="129"/>
      <c r="R869" s="129"/>
      <c r="S869" s="129"/>
      <c r="T869" s="129"/>
      <c r="U869" s="129"/>
      <c r="V869" s="129"/>
      <c r="W869" s="129"/>
      <c r="X869" s="129"/>
      <c r="Y869" s="129"/>
      <c r="Z869" s="129"/>
    </row>
    <row r="870" spans="1:26" ht="15.75" hidden="1" customHeight="1" x14ac:dyDescent="0.25">
      <c r="A870" s="129"/>
      <c r="B870" s="129"/>
      <c r="C870" s="129"/>
      <c r="D870" s="129"/>
      <c r="E870" s="129"/>
      <c r="F870" s="129"/>
      <c r="G870" s="129"/>
      <c r="H870" s="129"/>
      <c r="I870" s="129"/>
      <c r="J870" s="129"/>
      <c r="K870" s="129"/>
      <c r="L870" s="129"/>
      <c r="M870" s="129"/>
      <c r="N870" s="129"/>
      <c r="O870" s="129"/>
      <c r="P870" s="129"/>
      <c r="Q870" s="129"/>
      <c r="R870" s="129"/>
      <c r="S870" s="129"/>
      <c r="T870" s="129"/>
      <c r="U870" s="129"/>
      <c r="V870" s="129"/>
      <c r="W870" s="129"/>
      <c r="X870" s="129"/>
      <c r="Y870" s="129"/>
      <c r="Z870" s="129"/>
    </row>
    <row r="871" spans="1:26" ht="15.75" hidden="1" customHeight="1" x14ac:dyDescent="0.25">
      <c r="A871" s="129"/>
      <c r="B871" s="129"/>
      <c r="C871" s="129"/>
      <c r="D871" s="129"/>
      <c r="E871" s="129"/>
      <c r="F871" s="129"/>
      <c r="G871" s="129"/>
      <c r="H871" s="129"/>
      <c r="I871" s="129"/>
      <c r="J871" s="129"/>
      <c r="K871" s="129"/>
      <c r="L871" s="129"/>
      <c r="M871" s="129"/>
      <c r="N871" s="129"/>
      <c r="O871" s="129"/>
      <c r="P871" s="129"/>
      <c r="Q871" s="129"/>
      <c r="R871" s="129"/>
      <c r="S871" s="129"/>
      <c r="T871" s="129"/>
      <c r="U871" s="129"/>
      <c r="V871" s="129"/>
      <c r="W871" s="129"/>
      <c r="X871" s="129"/>
      <c r="Y871" s="129"/>
      <c r="Z871" s="129"/>
    </row>
    <row r="872" spans="1:26" ht="15.75" hidden="1" customHeight="1" x14ac:dyDescent="0.25">
      <c r="A872" s="129"/>
      <c r="B872" s="129"/>
      <c r="C872" s="129"/>
      <c r="D872" s="129"/>
      <c r="E872" s="129"/>
      <c r="F872" s="129"/>
      <c r="G872" s="129"/>
      <c r="H872" s="129"/>
      <c r="I872" s="129"/>
      <c r="J872" s="129"/>
      <c r="K872" s="129"/>
      <c r="L872" s="129"/>
      <c r="M872" s="129"/>
      <c r="N872" s="129"/>
      <c r="O872" s="129"/>
      <c r="P872" s="129"/>
      <c r="Q872" s="129"/>
      <c r="R872" s="129"/>
      <c r="S872" s="129"/>
      <c r="T872" s="129"/>
      <c r="U872" s="129"/>
      <c r="V872" s="129"/>
      <c r="W872" s="129"/>
      <c r="X872" s="129"/>
      <c r="Y872" s="129"/>
      <c r="Z872" s="129"/>
    </row>
    <row r="873" spans="1:26" ht="15.75" hidden="1" customHeight="1" x14ac:dyDescent="0.25">
      <c r="A873" s="129"/>
      <c r="B873" s="129"/>
      <c r="C873" s="129"/>
      <c r="D873" s="129"/>
      <c r="E873" s="129"/>
      <c r="F873" s="129"/>
      <c r="G873" s="129"/>
      <c r="H873" s="129"/>
      <c r="I873" s="129"/>
      <c r="J873" s="129"/>
      <c r="K873" s="129"/>
      <c r="L873" s="129"/>
      <c r="M873" s="129"/>
      <c r="N873" s="129"/>
      <c r="O873" s="129"/>
      <c r="P873" s="129"/>
      <c r="Q873" s="129"/>
      <c r="R873" s="129"/>
      <c r="S873" s="129"/>
      <c r="T873" s="129"/>
      <c r="U873" s="129"/>
      <c r="V873" s="129"/>
      <c r="W873" s="129"/>
      <c r="X873" s="129"/>
      <c r="Y873" s="129"/>
      <c r="Z873" s="129"/>
    </row>
    <row r="874" spans="1:26" ht="15.75" hidden="1" customHeight="1" x14ac:dyDescent="0.25">
      <c r="A874" s="129"/>
      <c r="B874" s="129"/>
      <c r="C874" s="129"/>
      <c r="D874" s="129"/>
      <c r="E874" s="129"/>
      <c r="F874" s="129"/>
      <c r="G874" s="129"/>
      <c r="H874" s="129"/>
      <c r="I874" s="129"/>
      <c r="J874" s="129"/>
      <c r="K874" s="129"/>
      <c r="L874" s="129"/>
      <c r="M874" s="129"/>
      <c r="N874" s="129"/>
      <c r="O874" s="129"/>
      <c r="P874" s="129"/>
      <c r="Q874" s="129"/>
      <c r="R874" s="129"/>
      <c r="S874" s="129"/>
      <c r="T874" s="129"/>
      <c r="U874" s="129"/>
      <c r="V874" s="129"/>
      <c r="W874" s="129"/>
      <c r="X874" s="129"/>
      <c r="Y874" s="129"/>
      <c r="Z874" s="129"/>
    </row>
    <row r="875" spans="1:26" ht="15.75" hidden="1" customHeight="1" x14ac:dyDescent="0.25">
      <c r="A875" s="129"/>
      <c r="B875" s="129"/>
      <c r="C875" s="129"/>
      <c r="D875" s="129"/>
      <c r="E875" s="129"/>
      <c r="F875" s="129"/>
      <c r="G875" s="129"/>
      <c r="H875" s="129"/>
      <c r="I875" s="129"/>
      <c r="J875" s="129"/>
      <c r="K875" s="129"/>
      <c r="L875" s="129"/>
      <c r="M875" s="129"/>
      <c r="N875" s="129"/>
      <c r="O875" s="129"/>
      <c r="P875" s="129"/>
      <c r="Q875" s="129"/>
      <c r="R875" s="129"/>
      <c r="S875" s="129"/>
      <c r="T875" s="129"/>
      <c r="U875" s="129"/>
      <c r="V875" s="129"/>
      <c r="W875" s="129"/>
      <c r="X875" s="129"/>
      <c r="Y875" s="129"/>
      <c r="Z875" s="129"/>
    </row>
    <row r="876" spans="1:26" ht="15.75" hidden="1" customHeight="1" x14ac:dyDescent="0.25">
      <c r="A876" s="129"/>
      <c r="B876" s="129"/>
      <c r="C876" s="129"/>
      <c r="D876" s="129"/>
      <c r="E876" s="129"/>
      <c r="F876" s="129"/>
      <c r="G876" s="129"/>
      <c r="H876" s="129"/>
      <c r="I876" s="129"/>
      <c r="J876" s="129"/>
      <c r="K876" s="129"/>
      <c r="L876" s="129"/>
      <c r="M876" s="129"/>
      <c r="N876" s="129"/>
      <c r="O876" s="129"/>
      <c r="P876" s="129"/>
      <c r="Q876" s="129"/>
      <c r="R876" s="129"/>
      <c r="S876" s="129"/>
      <c r="T876" s="129"/>
      <c r="U876" s="129"/>
      <c r="V876" s="129"/>
      <c r="W876" s="129"/>
      <c r="X876" s="129"/>
      <c r="Y876" s="129"/>
      <c r="Z876" s="129"/>
    </row>
    <row r="877" spans="1:26" ht="15.75" hidden="1" customHeight="1" x14ac:dyDescent="0.25">
      <c r="A877" s="129"/>
      <c r="B877" s="129"/>
      <c r="C877" s="129"/>
      <c r="D877" s="129"/>
      <c r="E877" s="129"/>
      <c r="F877" s="129"/>
      <c r="G877" s="129"/>
      <c r="H877" s="129"/>
      <c r="I877" s="129"/>
      <c r="J877" s="129"/>
      <c r="K877" s="129"/>
      <c r="L877" s="129"/>
      <c r="M877" s="129"/>
      <c r="N877" s="129"/>
      <c r="O877" s="129"/>
      <c r="P877" s="129"/>
      <c r="Q877" s="129"/>
      <c r="R877" s="129"/>
      <c r="S877" s="129"/>
      <c r="T877" s="129"/>
      <c r="U877" s="129"/>
      <c r="V877" s="129"/>
      <c r="W877" s="129"/>
      <c r="X877" s="129"/>
      <c r="Y877" s="129"/>
      <c r="Z877" s="129"/>
    </row>
    <row r="878" spans="1:26" ht="15.75" hidden="1" customHeight="1" x14ac:dyDescent="0.25">
      <c r="A878" s="129"/>
      <c r="B878" s="129"/>
      <c r="C878" s="129"/>
      <c r="D878" s="129"/>
      <c r="E878" s="129"/>
      <c r="F878" s="129"/>
      <c r="G878" s="129"/>
      <c r="H878" s="129"/>
      <c r="I878" s="129"/>
      <c r="J878" s="129"/>
      <c r="K878" s="129"/>
      <c r="L878" s="129"/>
      <c r="M878" s="129"/>
      <c r="N878" s="129"/>
      <c r="O878" s="129"/>
      <c r="P878" s="129"/>
      <c r="Q878" s="129"/>
      <c r="R878" s="129"/>
      <c r="S878" s="129"/>
      <c r="T878" s="129"/>
      <c r="U878" s="129"/>
      <c r="V878" s="129"/>
      <c r="W878" s="129"/>
      <c r="X878" s="129"/>
      <c r="Y878" s="129"/>
      <c r="Z878" s="129"/>
    </row>
    <row r="879" spans="1:26" ht="15.75" hidden="1" customHeight="1" x14ac:dyDescent="0.25">
      <c r="A879" s="129"/>
      <c r="B879" s="129"/>
      <c r="C879" s="129"/>
      <c r="D879" s="129"/>
      <c r="E879" s="129"/>
      <c r="F879" s="129"/>
      <c r="G879" s="129"/>
      <c r="H879" s="129"/>
      <c r="I879" s="129"/>
      <c r="J879" s="129"/>
      <c r="K879" s="129"/>
      <c r="L879" s="129"/>
      <c r="M879" s="129"/>
      <c r="N879" s="129"/>
      <c r="O879" s="129"/>
      <c r="P879" s="129"/>
      <c r="Q879" s="129"/>
      <c r="R879" s="129"/>
      <c r="S879" s="129"/>
      <c r="T879" s="129"/>
      <c r="U879" s="129"/>
      <c r="V879" s="129"/>
      <c r="W879" s="129"/>
      <c r="X879" s="129"/>
      <c r="Y879" s="129"/>
      <c r="Z879" s="129"/>
    </row>
    <row r="880" spans="1:26" ht="15.75" hidden="1" customHeight="1" x14ac:dyDescent="0.25">
      <c r="A880" s="129"/>
      <c r="B880" s="129"/>
      <c r="C880" s="129"/>
      <c r="D880" s="129"/>
      <c r="E880" s="129"/>
      <c r="F880" s="129"/>
      <c r="G880" s="129"/>
      <c r="H880" s="129"/>
      <c r="I880" s="129"/>
      <c r="J880" s="129"/>
      <c r="K880" s="129"/>
      <c r="L880" s="129"/>
      <c r="M880" s="129"/>
      <c r="N880" s="129"/>
      <c r="O880" s="129"/>
      <c r="P880" s="129"/>
      <c r="Q880" s="129"/>
      <c r="R880" s="129"/>
      <c r="S880" s="129"/>
      <c r="T880" s="129"/>
      <c r="U880" s="129"/>
      <c r="V880" s="129"/>
      <c r="W880" s="129"/>
      <c r="X880" s="129"/>
      <c r="Y880" s="129"/>
      <c r="Z880" s="129"/>
    </row>
    <row r="881" spans="1:26" ht="15.75" hidden="1" customHeight="1" x14ac:dyDescent="0.25">
      <c r="A881" s="129"/>
      <c r="B881" s="129"/>
      <c r="C881" s="129"/>
      <c r="D881" s="129"/>
      <c r="E881" s="129"/>
      <c r="F881" s="129"/>
      <c r="G881" s="129"/>
      <c r="H881" s="129"/>
      <c r="I881" s="129"/>
      <c r="J881" s="129"/>
      <c r="K881" s="129"/>
      <c r="L881" s="129"/>
      <c r="M881" s="129"/>
      <c r="N881" s="129"/>
      <c r="O881" s="129"/>
      <c r="P881" s="129"/>
      <c r="Q881" s="129"/>
      <c r="R881" s="129"/>
      <c r="S881" s="129"/>
      <c r="T881" s="129"/>
      <c r="U881" s="129"/>
      <c r="V881" s="129"/>
      <c r="W881" s="129"/>
      <c r="X881" s="129"/>
      <c r="Y881" s="129"/>
      <c r="Z881" s="129"/>
    </row>
    <row r="882" spans="1:26" ht="15.75" hidden="1" customHeight="1" x14ac:dyDescent="0.25">
      <c r="A882" s="129"/>
      <c r="B882" s="129"/>
      <c r="C882" s="129"/>
      <c r="D882" s="129"/>
      <c r="E882" s="129"/>
      <c r="F882" s="129"/>
      <c r="G882" s="129"/>
      <c r="H882" s="129"/>
      <c r="I882" s="129"/>
      <c r="J882" s="129"/>
      <c r="K882" s="129"/>
      <c r="L882" s="129"/>
      <c r="M882" s="129"/>
      <c r="N882" s="129"/>
      <c r="O882" s="129"/>
      <c r="P882" s="129"/>
      <c r="Q882" s="129"/>
      <c r="R882" s="129"/>
      <c r="S882" s="129"/>
      <c r="T882" s="129"/>
      <c r="U882" s="129"/>
      <c r="V882" s="129"/>
      <c r="W882" s="129"/>
      <c r="X882" s="129"/>
      <c r="Y882" s="129"/>
      <c r="Z882" s="129"/>
    </row>
    <row r="883" spans="1:26" ht="15.75" hidden="1" customHeight="1" x14ac:dyDescent="0.25">
      <c r="A883" s="129"/>
      <c r="B883" s="129"/>
      <c r="C883" s="129"/>
      <c r="D883" s="129"/>
      <c r="E883" s="129"/>
      <c r="F883" s="129"/>
      <c r="G883" s="129"/>
      <c r="H883" s="129"/>
      <c r="I883" s="129"/>
      <c r="J883" s="129"/>
      <c r="K883" s="129"/>
      <c r="L883" s="129"/>
      <c r="M883" s="129"/>
      <c r="N883" s="129"/>
      <c r="O883" s="129"/>
      <c r="P883" s="129"/>
      <c r="Q883" s="129"/>
      <c r="R883" s="129"/>
      <c r="S883" s="129"/>
      <c r="T883" s="129"/>
      <c r="U883" s="129"/>
      <c r="V883" s="129"/>
      <c r="W883" s="129"/>
      <c r="X883" s="129"/>
      <c r="Y883" s="129"/>
      <c r="Z883" s="129"/>
    </row>
    <row r="884" spans="1:26" ht="15.75" hidden="1" customHeight="1" x14ac:dyDescent="0.25">
      <c r="A884" s="129"/>
      <c r="B884" s="129"/>
      <c r="C884" s="129"/>
      <c r="D884" s="129"/>
      <c r="E884" s="129"/>
      <c r="F884" s="129"/>
      <c r="G884" s="129"/>
      <c r="H884" s="129"/>
      <c r="I884" s="129"/>
      <c r="J884" s="129"/>
      <c r="K884" s="129"/>
      <c r="L884" s="129"/>
      <c r="M884" s="129"/>
      <c r="N884" s="129"/>
      <c r="O884" s="129"/>
      <c r="P884" s="129"/>
      <c r="Q884" s="129"/>
      <c r="R884" s="129"/>
      <c r="S884" s="129"/>
      <c r="T884" s="129"/>
      <c r="U884" s="129"/>
      <c r="V884" s="129"/>
      <c r="W884" s="129"/>
      <c r="X884" s="129"/>
      <c r="Y884" s="129"/>
      <c r="Z884" s="129"/>
    </row>
    <row r="885" spans="1:26" ht="15.75" hidden="1" customHeight="1" x14ac:dyDescent="0.25">
      <c r="A885" s="129"/>
      <c r="B885" s="129"/>
      <c r="C885" s="129"/>
      <c r="D885" s="129"/>
      <c r="E885" s="129"/>
      <c r="F885" s="129"/>
      <c r="G885" s="129"/>
      <c r="H885" s="129"/>
      <c r="I885" s="129"/>
      <c r="J885" s="129"/>
      <c r="K885" s="129"/>
      <c r="L885" s="129"/>
      <c r="M885" s="129"/>
      <c r="N885" s="129"/>
      <c r="O885" s="129"/>
      <c r="P885" s="129"/>
      <c r="Q885" s="129"/>
      <c r="R885" s="129"/>
      <c r="S885" s="129"/>
      <c r="T885" s="129"/>
      <c r="U885" s="129"/>
      <c r="V885" s="129"/>
      <c r="W885" s="129"/>
      <c r="X885" s="129"/>
      <c r="Y885" s="129"/>
      <c r="Z885" s="129"/>
    </row>
    <row r="886" spans="1:26" ht="15.75" hidden="1" customHeight="1" x14ac:dyDescent="0.25">
      <c r="A886" s="129"/>
      <c r="B886" s="129"/>
      <c r="C886" s="129"/>
      <c r="D886" s="129"/>
      <c r="E886" s="129"/>
      <c r="F886" s="129"/>
      <c r="G886" s="129"/>
      <c r="H886" s="129"/>
      <c r="I886" s="129"/>
      <c r="J886" s="129"/>
      <c r="K886" s="129"/>
      <c r="L886" s="129"/>
      <c r="M886" s="129"/>
      <c r="N886" s="129"/>
      <c r="O886" s="129"/>
      <c r="P886" s="129"/>
      <c r="Q886" s="129"/>
      <c r="R886" s="129"/>
      <c r="S886" s="129"/>
      <c r="T886" s="129"/>
      <c r="U886" s="129"/>
      <c r="V886" s="129"/>
      <c r="W886" s="129"/>
      <c r="X886" s="129"/>
      <c r="Y886" s="129"/>
      <c r="Z886" s="129"/>
    </row>
    <row r="887" spans="1:26" ht="15.75" hidden="1" customHeight="1" x14ac:dyDescent="0.25">
      <c r="A887" s="129"/>
      <c r="B887" s="129"/>
      <c r="C887" s="129"/>
      <c r="D887" s="129"/>
      <c r="E887" s="129"/>
      <c r="F887" s="129"/>
      <c r="G887" s="129"/>
      <c r="H887" s="129"/>
      <c r="I887" s="129"/>
      <c r="J887" s="129"/>
      <c r="K887" s="129"/>
      <c r="L887" s="129"/>
      <c r="M887" s="129"/>
      <c r="N887" s="129"/>
      <c r="O887" s="129"/>
      <c r="P887" s="129"/>
      <c r="Q887" s="129"/>
      <c r="R887" s="129"/>
      <c r="S887" s="129"/>
      <c r="T887" s="129"/>
      <c r="U887" s="129"/>
      <c r="V887" s="129"/>
      <c r="W887" s="129"/>
      <c r="X887" s="129"/>
      <c r="Y887" s="129"/>
      <c r="Z887" s="129"/>
    </row>
    <row r="888" spans="1:26" ht="15.75" hidden="1" customHeight="1" x14ac:dyDescent="0.25">
      <c r="A888" s="129"/>
      <c r="B888" s="129"/>
      <c r="C888" s="129"/>
      <c r="D888" s="129"/>
      <c r="E888" s="129"/>
      <c r="F888" s="129"/>
      <c r="G888" s="129"/>
      <c r="H888" s="129"/>
      <c r="I888" s="129"/>
      <c r="J888" s="129"/>
      <c r="K888" s="129"/>
      <c r="L888" s="129"/>
      <c r="M888" s="129"/>
      <c r="N888" s="129"/>
      <c r="O888" s="129"/>
      <c r="P888" s="129"/>
      <c r="Q888" s="129"/>
      <c r="R888" s="129"/>
      <c r="S888" s="129"/>
      <c r="T888" s="129"/>
      <c r="U888" s="129"/>
      <c r="V888" s="129"/>
      <c r="W888" s="129"/>
      <c r="X888" s="129"/>
      <c r="Y888" s="129"/>
      <c r="Z888" s="129"/>
    </row>
    <row r="889" spans="1:26" ht="15.75" hidden="1" customHeight="1" x14ac:dyDescent="0.25">
      <c r="A889" s="129"/>
      <c r="B889" s="129"/>
      <c r="C889" s="129"/>
      <c r="D889" s="129"/>
      <c r="E889" s="129"/>
      <c r="F889" s="129"/>
      <c r="G889" s="129"/>
      <c r="H889" s="129"/>
      <c r="I889" s="129"/>
      <c r="J889" s="129"/>
      <c r="K889" s="129"/>
      <c r="L889" s="129"/>
      <c r="M889" s="129"/>
      <c r="N889" s="129"/>
      <c r="O889" s="129"/>
      <c r="P889" s="129"/>
      <c r="Q889" s="129"/>
      <c r="R889" s="129"/>
      <c r="S889" s="129"/>
      <c r="T889" s="129"/>
      <c r="U889" s="129"/>
      <c r="V889" s="129"/>
      <c r="W889" s="129"/>
      <c r="X889" s="129"/>
      <c r="Y889" s="129"/>
      <c r="Z889" s="129"/>
    </row>
    <row r="890" spans="1:26" ht="15.75" hidden="1" customHeight="1" x14ac:dyDescent="0.25">
      <c r="A890" s="129"/>
      <c r="B890" s="129"/>
      <c r="C890" s="129"/>
      <c r="D890" s="129"/>
      <c r="E890" s="129"/>
      <c r="F890" s="129"/>
      <c r="G890" s="129"/>
      <c r="H890" s="129"/>
      <c r="I890" s="129"/>
      <c r="J890" s="129"/>
      <c r="K890" s="129"/>
      <c r="L890" s="129"/>
      <c r="M890" s="129"/>
      <c r="N890" s="129"/>
      <c r="O890" s="129"/>
      <c r="P890" s="129"/>
      <c r="Q890" s="129"/>
      <c r="R890" s="129"/>
      <c r="S890" s="129"/>
      <c r="T890" s="129"/>
      <c r="U890" s="129"/>
      <c r="V890" s="129"/>
      <c r="W890" s="129"/>
      <c r="X890" s="129"/>
      <c r="Y890" s="129"/>
      <c r="Z890" s="129"/>
    </row>
    <row r="891" spans="1:26" ht="15.75" hidden="1" customHeight="1" x14ac:dyDescent="0.25">
      <c r="A891" s="129"/>
      <c r="B891" s="129"/>
      <c r="C891" s="129"/>
      <c r="D891" s="129"/>
      <c r="E891" s="129"/>
      <c r="F891" s="129"/>
      <c r="G891" s="129"/>
      <c r="H891" s="129"/>
      <c r="I891" s="129"/>
      <c r="J891" s="129"/>
      <c r="K891" s="129"/>
      <c r="L891" s="129"/>
      <c r="M891" s="129"/>
      <c r="N891" s="129"/>
      <c r="O891" s="129"/>
      <c r="P891" s="129"/>
      <c r="Q891" s="129"/>
      <c r="R891" s="129"/>
      <c r="S891" s="129"/>
      <c r="T891" s="129"/>
      <c r="U891" s="129"/>
      <c r="V891" s="129"/>
      <c r="W891" s="129"/>
      <c r="X891" s="129"/>
      <c r="Y891" s="129"/>
      <c r="Z891" s="129"/>
    </row>
    <row r="892" spans="1:26" ht="15.75" hidden="1" customHeight="1" x14ac:dyDescent="0.25">
      <c r="A892" s="129"/>
      <c r="B892" s="129"/>
      <c r="C892" s="129"/>
      <c r="D892" s="129"/>
      <c r="E892" s="129"/>
      <c r="F892" s="129"/>
      <c r="G892" s="129"/>
      <c r="H892" s="129"/>
      <c r="I892" s="129"/>
      <c r="J892" s="129"/>
      <c r="K892" s="129"/>
      <c r="L892" s="129"/>
      <c r="M892" s="129"/>
      <c r="N892" s="129"/>
      <c r="O892" s="129"/>
      <c r="P892" s="129"/>
      <c r="Q892" s="129"/>
      <c r="R892" s="129"/>
      <c r="S892" s="129"/>
      <c r="T892" s="129"/>
      <c r="U892" s="129"/>
      <c r="V892" s="129"/>
      <c r="W892" s="129"/>
      <c r="X892" s="129"/>
      <c r="Y892" s="129"/>
      <c r="Z892" s="129"/>
    </row>
    <row r="893" spans="1:26" ht="15.75" hidden="1" customHeight="1" x14ac:dyDescent="0.25">
      <c r="A893" s="129"/>
      <c r="B893" s="129"/>
      <c r="C893" s="129"/>
      <c r="D893" s="129"/>
      <c r="E893" s="129"/>
      <c r="F893" s="129"/>
      <c r="G893" s="129"/>
      <c r="H893" s="129"/>
      <c r="I893" s="129"/>
      <c r="J893" s="129"/>
      <c r="K893" s="129"/>
      <c r="L893" s="129"/>
      <c r="M893" s="129"/>
      <c r="N893" s="129"/>
      <c r="O893" s="129"/>
      <c r="P893" s="129"/>
      <c r="Q893" s="129"/>
      <c r="R893" s="129"/>
      <c r="S893" s="129"/>
      <c r="T893" s="129"/>
      <c r="U893" s="129"/>
      <c r="V893" s="129"/>
      <c r="W893" s="129"/>
      <c r="X893" s="129"/>
      <c r="Y893" s="129"/>
      <c r="Z893" s="129"/>
    </row>
    <row r="894" spans="1:26" ht="15.75" hidden="1" customHeight="1" x14ac:dyDescent="0.25">
      <c r="A894" s="129"/>
      <c r="B894" s="129"/>
      <c r="C894" s="129"/>
      <c r="D894" s="129"/>
      <c r="E894" s="129"/>
      <c r="F894" s="129"/>
      <c r="G894" s="129"/>
      <c r="H894" s="129"/>
      <c r="I894" s="129"/>
      <c r="J894" s="129"/>
      <c r="K894" s="129"/>
      <c r="L894" s="129"/>
      <c r="M894" s="129"/>
      <c r="N894" s="129"/>
      <c r="O894" s="129"/>
      <c r="P894" s="129"/>
      <c r="Q894" s="129"/>
      <c r="R894" s="129"/>
      <c r="S894" s="129"/>
      <c r="T894" s="129"/>
      <c r="U894" s="129"/>
      <c r="V894" s="129"/>
      <c r="W894" s="129"/>
      <c r="X894" s="129"/>
      <c r="Y894" s="129"/>
      <c r="Z894" s="129"/>
    </row>
    <row r="895" spans="1:26" ht="15.75" hidden="1" customHeight="1" x14ac:dyDescent="0.25">
      <c r="A895" s="129"/>
      <c r="B895" s="129"/>
      <c r="C895" s="129"/>
      <c r="D895" s="129"/>
      <c r="E895" s="129"/>
      <c r="F895" s="129"/>
      <c r="G895" s="129"/>
      <c r="H895" s="129"/>
      <c r="I895" s="129"/>
      <c r="J895" s="129"/>
      <c r="K895" s="129"/>
      <c r="L895" s="129"/>
      <c r="M895" s="129"/>
      <c r="N895" s="129"/>
      <c r="O895" s="129"/>
      <c r="P895" s="129"/>
      <c r="Q895" s="129"/>
      <c r="R895" s="129"/>
      <c r="S895" s="129"/>
      <c r="T895" s="129"/>
      <c r="U895" s="129"/>
      <c r="V895" s="129"/>
      <c r="W895" s="129"/>
      <c r="X895" s="129"/>
      <c r="Y895" s="129"/>
      <c r="Z895" s="129"/>
    </row>
    <row r="896" spans="1:26" ht="15.75" hidden="1" customHeight="1" x14ac:dyDescent="0.25">
      <c r="A896" s="129"/>
      <c r="B896" s="129"/>
      <c r="C896" s="129"/>
      <c r="D896" s="129"/>
      <c r="E896" s="129"/>
      <c r="F896" s="129"/>
      <c r="G896" s="129"/>
      <c r="H896" s="129"/>
      <c r="I896" s="129"/>
      <c r="J896" s="129"/>
      <c r="K896" s="129"/>
      <c r="L896" s="129"/>
      <c r="M896" s="129"/>
      <c r="N896" s="129"/>
      <c r="O896" s="129"/>
      <c r="P896" s="129"/>
      <c r="Q896" s="129"/>
      <c r="R896" s="129"/>
      <c r="S896" s="129"/>
      <c r="T896" s="129"/>
      <c r="U896" s="129"/>
      <c r="V896" s="129"/>
      <c r="W896" s="129"/>
      <c r="X896" s="129"/>
      <c r="Y896" s="129"/>
      <c r="Z896" s="129"/>
    </row>
    <row r="897" spans="1:26" ht="15.75" hidden="1" customHeight="1" x14ac:dyDescent="0.25">
      <c r="A897" s="129"/>
      <c r="B897" s="129"/>
      <c r="C897" s="129"/>
      <c r="D897" s="129"/>
      <c r="E897" s="129"/>
      <c r="F897" s="129"/>
      <c r="G897" s="129"/>
      <c r="H897" s="129"/>
      <c r="I897" s="129"/>
      <c r="J897" s="129"/>
      <c r="K897" s="129"/>
      <c r="L897" s="129"/>
      <c r="M897" s="129"/>
      <c r="N897" s="129"/>
      <c r="O897" s="129"/>
      <c r="P897" s="129"/>
      <c r="Q897" s="129"/>
      <c r="R897" s="129"/>
      <c r="S897" s="129"/>
      <c r="T897" s="129"/>
      <c r="U897" s="129"/>
      <c r="V897" s="129"/>
      <c r="W897" s="129"/>
      <c r="X897" s="129"/>
      <c r="Y897" s="129"/>
      <c r="Z897" s="129"/>
    </row>
    <row r="898" spans="1:26" ht="15.75" hidden="1" customHeight="1" x14ac:dyDescent="0.25">
      <c r="A898" s="129"/>
      <c r="B898" s="129"/>
      <c r="C898" s="129"/>
      <c r="D898" s="129"/>
      <c r="E898" s="129"/>
      <c r="F898" s="129"/>
      <c r="G898" s="129"/>
      <c r="H898" s="129"/>
      <c r="I898" s="129"/>
      <c r="J898" s="129"/>
      <c r="K898" s="129"/>
      <c r="L898" s="129"/>
      <c r="M898" s="129"/>
      <c r="N898" s="129"/>
      <c r="O898" s="129"/>
      <c r="P898" s="129"/>
      <c r="Q898" s="129"/>
      <c r="R898" s="129"/>
      <c r="S898" s="129"/>
      <c r="T898" s="129"/>
      <c r="U898" s="129"/>
      <c r="V898" s="129"/>
      <c r="W898" s="129"/>
      <c r="X898" s="129"/>
      <c r="Y898" s="129"/>
      <c r="Z898" s="129"/>
    </row>
    <row r="899" spans="1:26" ht="15.75" hidden="1" customHeight="1" x14ac:dyDescent="0.25">
      <c r="A899" s="129"/>
      <c r="B899" s="129"/>
      <c r="C899" s="129"/>
      <c r="D899" s="129"/>
      <c r="E899" s="129"/>
      <c r="F899" s="129"/>
      <c r="G899" s="129"/>
      <c r="H899" s="129"/>
      <c r="I899" s="129"/>
      <c r="J899" s="129"/>
      <c r="K899" s="129"/>
      <c r="L899" s="129"/>
      <c r="M899" s="129"/>
      <c r="N899" s="129"/>
      <c r="O899" s="129"/>
      <c r="P899" s="129"/>
      <c r="Q899" s="129"/>
      <c r="R899" s="129"/>
      <c r="S899" s="129"/>
      <c r="T899" s="129"/>
      <c r="U899" s="129"/>
      <c r="V899" s="129"/>
      <c r="W899" s="129"/>
      <c r="X899" s="129"/>
      <c r="Y899" s="129"/>
      <c r="Z899" s="129"/>
    </row>
    <row r="900" spans="1:26" ht="15.75" hidden="1" customHeight="1" x14ac:dyDescent="0.25">
      <c r="A900" s="129"/>
      <c r="B900" s="129"/>
      <c r="C900" s="129"/>
      <c r="D900" s="129"/>
      <c r="E900" s="129"/>
      <c r="F900" s="129"/>
      <c r="G900" s="129"/>
      <c r="H900" s="129"/>
      <c r="I900" s="129"/>
      <c r="J900" s="129"/>
      <c r="K900" s="129"/>
      <c r="L900" s="129"/>
      <c r="M900" s="129"/>
      <c r="N900" s="129"/>
      <c r="O900" s="129"/>
      <c r="P900" s="129"/>
      <c r="Q900" s="129"/>
      <c r="R900" s="129"/>
      <c r="S900" s="129"/>
      <c r="T900" s="129"/>
      <c r="U900" s="129"/>
      <c r="V900" s="129"/>
      <c r="W900" s="129"/>
      <c r="X900" s="129"/>
      <c r="Y900" s="129"/>
      <c r="Z900" s="129"/>
    </row>
    <row r="901" spans="1:26" ht="15.75" hidden="1" customHeight="1" x14ac:dyDescent="0.25">
      <c r="A901" s="129"/>
      <c r="B901" s="129"/>
      <c r="C901" s="129"/>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row>
    <row r="902" spans="1:26" ht="15.75" hidden="1" customHeight="1" x14ac:dyDescent="0.25">
      <c r="A902" s="129"/>
      <c r="B902" s="129"/>
      <c r="C902" s="129"/>
      <c r="D902" s="129"/>
      <c r="E902" s="129"/>
      <c r="F902" s="129"/>
      <c r="G902" s="129"/>
      <c r="H902" s="129"/>
      <c r="I902" s="129"/>
      <c r="J902" s="129"/>
      <c r="K902" s="129"/>
      <c r="L902" s="129"/>
      <c r="M902" s="129"/>
      <c r="N902" s="129"/>
      <c r="O902" s="129"/>
      <c r="P902" s="129"/>
      <c r="Q902" s="129"/>
      <c r="R902" s="129"/>
      <c r="S902" s="129"/>
      <c r="T902" s="129"/>
      <c r="U902" s="129"/>
      <c r="V902" s="129"/>
      <c r="W902" s="129"/>
      <c r="X902" s="129"/>
      <c r="Y902" s="129"/>
      <c r="Z902" s="129"/>
    </row>
    <row r="903" spans="1:26" ht="15.75" hidden="1" customHeight="1" x14ac:dyDescent="0.25">
      <c r="A903" s="129"/>
      <c r="B903" s="129"/>
      <c r="C903" s="129"/>
      <c r="D903" s="129"/>
      <c r="E903" s="129"/>
      <c r="F903" s="129"/>
      <c r="G903" s="129"/>
      <c r="H903" s="129"/>
      <c r="I903" s="129"/>
      <c r="J903" s="129"/>
      <c r="K903" s="129"/>
      <c r="L903" s="129"/>
      <c r="M903" s="129"/>
      <c r="N903" s="129"/>
      <c r="O903" s="129"/>
      <c r="P903" s="129"/>
      <c r="Q903" s="129"/>
      <c r="R903" s="129"/>
      <c r="S903" s="129"/>
      <c r="T903" s="129"/>
      <c r="U903" s="129"/>
      <c r="V903" s="129"/>
      <c r="W903" s="129"/>
      <c r="X903" s="129"/>
      <c r="Y903" s="129"/>
      <c r="Z903" s="129"/>
    </row>
    <row r="904" spans="1:26" ht="15.75" hidden="1" customHeight="1" x14ac:dyDescent="0.25">
      <c r="A904" s="129"/>
      <c r="B904" s="129"/>
      <c r="C904" s="129"/>
      <c r="D904" s="129"/>
      <c r="E904" s="129"/>
      <c r="F904" s="129"/>
      <c r="G904" s="129"/>
      <c r="H904" s="129"/>
      <c r="I904" s="129"/>
      <c r="J904" s="129"/>
      <c r="K904" s="129"/>
      <c r="L904" s="129"/>
      <c r="M904" s="129"/>
      <c r="N904" s="129"/>
      <c r="O904" s="129"/>
      <c r="P904" s="129"/>
      <c r="Q904" s="129"/>
      <c r="R904" s="129"/>
      <c r="S904" s="129"/>
      <c r="T904" s="129"/>
      <c r="U904" s="129"/>
      <c r="V904" s="129"/>
      <c r="W904" s="129"/>
      <c r="X904" s="129"/>
      <c r="Y904" s="129"/>
      <c r="Z904" s="129"/>
    </row>
    <row r="905" spans="1:26" ht="15.75" hidden="1" customHeight="1" x14ac:dyDescent="0.25">
      <c r="A905" s="129"/>
      <c r="B905" s="129"/>
      <c r="C905" s="129"/>
      <c r="D905" s="129"/>
      <c r="E905" s="129"/>
      <c r="F905" s="129"/>
      <c r="G905" s="129"/>
      <c r="H905" s="129"/>
      <c r="I905" s="129"/>
      <c r="J905" s="129"/>
      <c r="K905" s="129"/>
      <c r="L905" s="129"/>
      <c r="M905" s="129"/>
      <c r="N905" s="129"/>
      <c r="O905" s="129"/>
      <c r="P905" s="129"/>
      <c r="Q905" s="129"/>
      <c r="R905" s="129"/>
      <c r="S905" s="129"/>
      <c r="T905" s="129"/>
      <c r="U905" s="129"/>
      <c r="V905" s="129"/>
      <c r="W905" s="129"/>
      <c r="X905" s="129"/>
      <c r="Y905" s="129"/>
      <c r="Z905" s="129"/>
    </row>
    <row r="906" spans="1:26" ht="15.75" hidden="1" customHeight="1" x14ac:dyDescent="0.25">
      <c r="A906" s="129"/>
      <c r="B906" s="129"/>
      <c r="C906" s="129"/>
      <c r="D906" s="129"/>
      <c r="E906" s="129"/>
      <c r="F906" s="129"/>
      <c r="G906" s="129"/>
      <c r="H906" s="129"/>
      <c r="I906" s="129"/>
      <c r="J906" s="129"/>
      <c r="K906" s="129"/>
      <c r="L906" s="129"/>
      <c r="M906" s="129"/>
      <c r="N906" s="129"/>
      <c r="O906" s="129"/>
      <c r="P906" s="129"/>
      <c r="Q906" s="129"/>
      <c r="R906" s="129"/>
      <c r="S906" s="129"/>
      <c r="T906" s="129"/>
      <c r="U906" s="129"/>
      <c r="V906" s="129"/>
      <c r="W906" s="129"/>
      <c r="X906" s="129"/>
      <c r="Y906" s="129"/>
      <c r="Z906" s="129"/>
    </row>
    <row r="907" spans="1:26" ht="15.75" hidden="1" customHeight="1" x14ac:dyDescent="0.25">
      <c r="A907" s="129"/>
      <c r="B907" s="129"/>
      <c r="C907" s="129"/>
      <c r="D907" s="129"/>
      <c r="E907" s="129"/>
      <c r="F907" s="129"/>
      <c r="G907" s="129"/>
      <c r="H907" s="129"/>
      <c r="I907" s="129"/>
      <c r="J907" s="129"/>
      <c r="K907" s="129"/>
      <c r="L907" s="129"/>
      <c r="M907" s="129"/>
      <c r="N907" s="129"/>
      <c r="O907" s="129"/>
      <c r="P907" s="129"/>
      <c r="Q907" s="129"/>
      <c r="R907" s="129"/>
      <c r="S907" s="129"/>
      <c r="T907" s="129"/>
      <c r="U907" s="129"/>
      <c r="V907" s="129"/>
      <c r="W907" s="129"/>
      <c r="X907" s="129"/>
      <c r="Y907" s="129"/>
      <c r="Z907" s="129"/>
    </row>
    <row r="908" spans="1:26" ht="15.75" hidden="1" customHeight="1" x14ac:dyDescent="0.25">
      <c r="A908" s="129"/>
      <c r="B908" s="129"/>
      <c r="C908" s="129"/>
      <c r="D908" s="129"/>
      <c r="E908" s="129"/>
      <c r="F908" s="129"/>
      <c r="G908" s="129"/>
      <c r="H908" s="129"/>
      <c r="I908" s="129"/>
      <c r="J908" s="129"/>
      <c r="K908" s="129"/>
      <c r="L908" s="129"/>
      <c r="M908" s="129"/>
      <c r="N908" s="129"/>
      <c r="O908" s="129"/>
      <c r="P908" s="129"/>
      <c r="Q908" s="129"/>
      <c r="R908" s="129"/>
      <c r="S908" s="129"/>
      <c r="T908" s="129"/>
      <c r="U908" s="129"/>
      <c r="V908" s="129"/>
      <c r="W908" s="129"/>
      <c r="X908" s="129"/>
      <c r="Y908" s="129"/>
      <c r="Z908" s="129"/>
    </row>
    <row r="909" spans="1:26" ht="15.75" hidden="1" customHeight="1" x14ac:dyDescent="0.25">
      <c r="A909" s="129"/>
      <c r="B909" s="129"/>
      <c r="C909" s="129"/>
      <c r="D909" s="129"/>
      <c r="E909" s="129"/>
      <c r="F909" s="129"/>
      <c r="G909" s="129"/>
      <c r="H909" s="129"/>
      <c r="I909" s="129"/>
      <c r="J909" s="129"/>
      <c r="K909" s="129"/>
      <c r="L909" s="129"/>
      <c r="M909" s="129"/>
      <c r="N909" s="129"/>
      <c r="O909" s="129"/>
      <c r="P909" s="129"/>
      <c r="Q909" s="129"/>
      <c r="R909" s="129"/>
      <c r="S909" s="129"/>
      <c r="T909" s="129"/>
      <c r="U909" s="129"/>
      <c r="V909" s="129"/>
      <c r="W909" s="129"/>
      <c r="X909" s="129"/>
      <c r="Y909" s="129"/>
      <c r="Z909" s="129"/>
    </row>
    <row r="910" spans="1:26" ht="15.75" hidden="1" customHeight="1" x14ac:dyDescent="0.25">
      <c r="A910" s="129"/>
      <c r="B910" s="129"/>
      <c r="C910" s="129"/>
      <c r="D910" s="129"/>
      <c r="E910" s="129"/>
      <c r="F910" s="129"/>
      <c r="G910" s="129"/>
      <c r="H910" s="129"/>
      <c r="I910" s="129"/>
      <c r="J910" s="129"/>
      <c r="K910" s="129"/>
      <c r="L910" s="129"/>
      <c r="M910" s="129"/>
      <c r="N910" s="129"/>
      <c r="O910" s="129"/>
      <c r="P910" s="129"/>
      <c r="Q910" s="129"/>
      <c r="R910" s="129"/>
      <c r="S910" s="129"/>
      <c r="T910" s="129"/>
      <c r="U910" s="129"/>
      <c r="V910" s="129"/>
      <c r="W910" s="129"/>
      <c r="X910" s="129"/>
      <c r="Y910" s="129"/>
      <c r="Z910" s="129"/>
    </row>
    <row r="911" spans="1:26" ht="15.75" hidden="1" customHeight="1" x14ac:dyDescent="0.25">
      <c r="A911" s="129"/>
      <c r="B911" s="129"/>
      <c r="C911" s="129"/>
      <c r="D911" s="129"/>
      <c r="E911" s="129"/>
      <c r="F911" s="129"/>
      <c r="G911" s="129"/>
      <c r="H911" s="129"/>
      <c r="I911" s="129"/>
      <c r="J911" s="129"/>
      <c r="K911" s="129"/>
      <c r="L911" s="129"/>
      <c r="M911" s="129"/>
      <c r="N911" s="129"/>
      <c r="O911" s="129"/>
      <c r="P911" s="129"/>
      <c r="Q911" s="129"/>
      <c r="R911" s="129"/>
      <c r="S911" s="129"/>
      <c r="T911" s="129"/>
      <c r="U911" s="129"/>
      <c r="V911" s="129"/>
      <c r="W911" s="129"/>
      <c r="X911" s="129"/>
      <c r="Y911" s="129"/>
      <c r="Z911" s="129"/>
    </row>
    <row r="912" spans="1:26" ht="15.75" hidden="1" customHeight="1" x14ac:dyDescent="0.25">
      <c r="A912" s="129"/>
      <c r="B912" s="129"/>
      <c r="C912" s="129"/>
      <c r="D912" s="129"/>
      <c r="E912" s="129"/>
      <c r="F912" s="129"/>
      <c r="G912" s="129"/>
      <c r="H912" s="129"/>
      <c r="I912" s="129"/>
      <c r="J912" s="129"/>
      <c r="K912" s="129"/>
      <c r="L912" s="129"/>
      <c r="M912" s="129"/>
      <c r="N912" s="129"/>
      <c r="O912" s="129"/>
      <c r="P912" s="129"/>
      <c r="Q912" s="129"/>
      <c r="R912" s="129"/>
      <c r="S912" s="129"/>
      <c r="T912" s="129"/>
      <c r="U912" s="129"/>
      <c r="V912" s="129"/>
      <c r="W912" s="129"/>
      <c r="X912" s="129"/>
      <c r="Y912" s="129"/>
      <c r="Z912" s="129"/>
    </row>
    <row r="913" spans="1:26" ht="15.75" hidden="1" customHeight="1" x14ac:dyDescent="0.25">
      <c r="A913" s="129"/>
      <c r="B913" s="129"/>
      <c r="C913" s="129"/>
      <c r="D913" s="129"/>
      <c r="E913" s="129"/>
      <c r="F913" s="129"/>
      <c r="G913" s="129"/>
      <c r="H913" s="129"/>
      <c r="I913" s="129"/>
      <c r="J913" s="129"/>
      <c r="K913" s="129"/>
      <c r="L913" s="129"/>
      <c r="M913" s="129"/>
      <c r="N913" s="129"/>
      <c r="O913" s="129"/>
      <c r="P913" s="129"/>
      <c r="Q913" s="129"/>
      <c r="R913" s="129"/>
      <c r="S913" s="129"/>
      <c r="T913" s="129"/>
      <c r="U913" s="129"/>
      <c r="V913" s="129"/>
      <c r="W913" s="129"/>
      <c r="X913" s="129"/>
      <c r="Y913" s="129"/>
      <c r="Z913" s="129"/>
    </row>
    <row r="914" spans="1:26" ht="15.75" hidden="1" customHeight="1" x14ac:dyDescent="0.25">
      <c r="A914" s="129"/>
      <c r="B914" s="129"/>
      <c r="C914" s="129"/>
      <c r="D914" s="129"/>
      <c r="E914" s="129"/>
      <c r="F914" s="129"/>
      <c r="G914" s="129"/>
      <c r="H914" s="129"/>
      <c r="I914" s="129"/>
      <c r="J914" s="129"/>
      <c r="K914" s="129"/>
      <c r="L914" s="129"/>
      <c r="M914" s="129"/>
      <c r="N914" s="129"/>
      <c r="O914" s="129"/>
      <c r="P914" s="129"/>
      <c r="Q914" s="129"/>
      <c r="R914" s="129"/>
      <c r="S914" s="129"/>
      <c r="T914" s="129"/>
      <c r="U914" s="129"/>
      <c r="V914" s="129"/>
      <c r="W914" s="129"/>
      <c r="X914" s="129"/>
      <c r="Y914" s="129"/>
      <c r="Z914" s="129"/>
    </row>
    <row r="915" spans="1:26" ht="15.75" hidden="1" customHeight="1" x14ac:dyDescent="0.25">
      <c r="A915" s="129"/>
      <c r="B915" s="129"/>
      <c r="C915" s="129"/>
      <c r="D915" s="129"/>
      <c r="E915" s="129"/>
      <c r="F915" s="129"/>
      <c r="G915" s="129"/>
      <c r="H915" s="129"/>
      <c r="I915" s="129"/>
      <c r="J915" s="129"/>
      <c r="K915" s="129"/>
      <c r="L915" s="129"/>
      <c r="M915" s="129"/>
      <c r="N915" s="129"/>
      <c r="O915" s="129"/>
      <c r="P915" s="129"/>
      <c r="Q915" s="129"/>
      <c r="R915" s="129"/>
      <c r="S915" s="129"/>
      <c r="T915" s="129"/>
      <c r="U915" s="129"/>
      <c r="V915" s="129"/>
      <c r="W915" s="129"/>
      <c r="X915" s="129"/>
      <c r="Y915" s="129"/>
      <c r="Z915" s="129"/>
    </row>
    <row r="916" spans="1:26" ht="15.75" hidden="1" customHeight="1" x14ac:dyDescent="0.25">
      <c r="A916" s="129"/>
      <c r="B916" s="129"/>
      <c r="C916" s="129"/>
      <c r="D916" s="129"/>
      <c r="E916" s="129"/>
      <c r="F916" s="129"/>
      <c r="G916" s="129"/>
      <c r="H916" s="129"/>
      <c r="I916" s="129"/>
      <c r="J916" s="129"/>
      <c r="K916" s="129"/>
      <c r="L916" s="129"/>
      <c r="M916" s="129"/>
      <c r="N916" s="129"/>
      <c r="O916" s="129"/>
      <c r="P916" s="129"/>
      <c r="Q916" s="129"/>
      <c r="R916" s="129"/>
      <c r="S916" s="129"/>
      <c r="T916" s="129"/>
      <c r="U916" s="129"/>
      <c r="V916" s="129"/>
      <c r="W916" s="129"/>
      <c r="X916" s="129"/>
      <c r="Y916" s="129"/>
      <c r="Z916" s="129"/>
    </row>
    <row r="917" spans="1:26" ht="15.75" hidden="1" customHeight="1" x14ac:dyDescent="0.25">
      <c r="A917" s="129"/>
      <c r="B917" s="129"/>
      <c r="C917" s="129"/>
      <c r="D917" s="129"/>
      <c r="E917" s="129"/>
      <c r="F917" s="129"/>
      <c r="G917" s="129"/>
      <c r="H917" s="129"/>
      <c r="I917" s="129"/>
      <c r="J917" s="129"/>
      <c r="K917" s="129"/>
      <c r="L917" s="129"/>
      <c r="M917" s="129"/>
      <c r="N917" s="129"/>
      <c r="O917" s="129"/>
      <c r="P917" s="129"/>
      <c r="Q917" s="129"/>
      <c r="R917" s="129"/>
      <c r="S917" s="129"/>
      <c r="T917" s="129"/>
      <c r="U917" s="129"/>
      <c r="V917" s="129"/>
      <c r="W917" s="129"/>
      <c r="X917" s="129"/>
      <c r="Y917" s="129"/>
      <c r="Z917" s="129"/>
    </row>
    <row r="918" spans="1:26" ht="15.75" hidden="1" customHeight="1" x14ac:dyDescent="0.25">
      <c r="A918" s="129"/>
      <c r="B918" s="129"/>
      <c r="C918" s="129"/>
      <c r="D918" s="129"/>
      <c r="E918" s="129"/>
      <c r="F918" s="129"/>
      <c r="G918" s="129"/>
      <c r="H918" s="129"/>
      <c r="I918" s="129"/>
      <c r="J918" s="129"/>
      <c r="K918" s="129"/>
      <c r="L918" s="129"/>
      <c r="M918" s="129"/>
      <c r="N918" s="129"/>
      <c r="O918" s="129"/>
      <c r="P918" s="129"/>
      <c r="Q918" s="129"/>
      <c r="R918" s="129"/>
      <c r="S918" s="129"/>
      <c r="T918" s="129"/>
      <c r="U918" s="129"/>
      <c r="V918" s="129"/>
      <c r="W918" s="129"/>
      <c r="X918" s="129"/>
      <c r="Y918" s="129"/>
      <c r="Z918" s="129"/>
    </row>
    <row r="919" spans="1:26" ht="15.75" hidden="1" customHeight="1" x14ac:dyDescent="0.25">
      <c r="A919" s="129"/>
      <c r="B919" s="129"/>
      <c r="C919" s="129"/>
      <c r="D919" s="129"/>
      <c r="E919" s="129"/>
      <c r="F919" s="129"/>
      <c r="G919" s="129"/>
      <c r="H919" s="129"/>
      <c r="I919" s="129"/>
      <c r="J919" s="129"/>
      <c r="K919" s="129"/>
      <c r="L919" s="129"/>
      <c r="M919" s="129"/>
      <c r="N919" s="129"/>
      <c r="O919" s="129"/>
      <c r="P919" s="129"/>
      <c r="Q919" s="129"/>
      <c r="R919" s="129"/>
      <c r="S919" s="129"/>
      <c r="T919" s="129"/>
      <c r="U919" s="129"/>
      <c r="V919" s="129"/>
      <c r="W919" s="129"/>
      <c r="X919" s="129"/>
      <c r="Y919" s="129"/>
      <c r="Z919" s="129"/>
    </row>
    <row r="920" spans="1:26" ht="15.75" hidden="1" customHeight="1" x14ac:dyDescent="0.25">
      <c r="A920" s="129"/>
      <c r="B920" s="129"/>
      <c r="C920" s="129"/>
      <c r="D920" s="129"/>
      <c r="E920" s="129"/>
      <c r="F920" s="129"/>
      <c r="G920" s="129"/>
      <c r="H920" s="129"/>
      <c r="I920" s="129"/>
      <c r="J920" s="129"/>
      <c r="K920" s="129"/>
      <c r="L920" s="129"/>
      <c r="M920" s="129"/>
      <c r="N920" s="129"/>
      <c r="O920" s="129"/>
      <c r="P920" s="129"/>
      <c r="Q920" s="129"/>
      <c r="R920" s="129"/>
      <c r="S920" s="129"/>
      <c r="T920" s="129"/>
      <c r="U920" s="129"/>
      <c r="V920" s="129"/>
      <c r="W920" s="129"/>
      <c r="X920" s="129"/>
      <c r="Y920" s="129"/>
      <c r="Z920" s="129"/>
    </row>
    <row r="921" spans="1:26" ht="15.75" hidden="1" customHeight="1" x14ac:dyDescent="0.25">
      <c r="A921" s="129"/>
      <c r="B921" s="129"/>
      <c r="C921" s="129"/>
      <c r="D921" s="129"/>
      <c r="E921" s="129"/>
      <c r="F921" s="129"/>
      <c r="G921" s="129"/>
      <c r="H921" s="129"/>
      <c r="I921" s="129"/>
      <c r="J921" s="129"/>
      <c r="K921" s="129"/>
      <c r="L921" s="129"/>
      <c r="M921" s="129"/>
      <c r="N921" s="129"/>
      <c r="O921" s="129"/>
      <c r="P921" s="129"/>
      <c r="Q921" s="129"/>
      <c r="R921" s="129"/>
      <c r="S921" s="129"/>
      <c r="T921" s="129"/>
      <c r="U921" s="129"/>
      <c r="V921" s="129"/>
      <c r="W921" s="129"/>
      <c r="X921" s="129"/>
      <c r="Y921" s="129"/>
      <c r="Z921" s="129"/>
    </row>
    <row r="922" spans="1:26" ht="15.75" hidden="1" customHeight="1" x14ac:dyDescent="0.25">
      <c r="A922" s="129"/>
      <c r="B922" s="129"/>
      <c r="C922" s="129"/>
      <c r="D922" s="129"/>
      <c r="E922" s="129"/>
      <c r="F922" s="129"/>
      <c r="G922" s="129"/>
      <c r="H922" s="129"/>
      <c r="I922" s="129"/>
      <c r="J922" s="129"/>
      <c r="K922" s="129"/>
      <c r="L922" s="129"/>
      <c r="M922" s="129"/>
      <c r="N922" s="129"/>
      <c r="O922" s="129"/>
      <c r="P922" s="129"/>
      <c r="Q922" s="129"/>
      <c r="R922" s="129"/>
      <c r="S922" s="129"/>
      <c r="T922" s="129"/>
      <c r="U922" s="129"/>
      <c r="V922" s="129"/>
      <c r="W922" s="129"/>
      <c r="X922" s="129"/>
      <c r="Y922" s="129"/>
      <c r="Z922" s="129"/>
    </row>
    <row r="923" spans="1:26" ht="15.75" hidden="1" customHeight="1" x14ac:dyDescent="0.25">
      <c r="A923" s="129"/>
      <c r="B923" s="129"/>
      <c r="C923" s="129"/>
      <c r="D923" s="129"/>
      <c r="E923" s="129"/>
      <c r="F923" s="129"/>
      <c r="G923" s="129"/>
      <c r="H923" s="129"/>
      <c r="I923" s="129"/>
      <c r="J923" s="129"/>
      <c r="K923" s="129"/>
      <c r="L923" s="129"/>
      <c r="M923" s="129"/>
      <c r="N923" s="129"/>
      <c r="O923" s="129"/>
      <c r="P923" s="129"/>
      <c r="Q923" s="129"/>
      <c r="R923" s="129"/>
      <c r="S923" s="129"/>
      <c r="T923" s="129"/>
      <c r="U923" s="129"/>
      <c r="V923" s="129"/>
      <c r="W923" s="129"/>
      <c r="X923" s="129"/>
      <c r="Y923" s="129"/>
      <c r="Z923" s="129"/>
    </row>
    <row r="924" spans="1:26" ht="15.75" hidden="1" customHeight="1" x14ac:dyDescent="0.25">
      <c r="A924" s="129"/>
      <c r="B924" s="129"/>
      <c r="C924" s="129"/>
      <c r="D924" s="129"/>
      <c r="E924" s="129"/>
      <c r="F924" s="129"/>
      <c r="G924" s="129"/>
      <c r="H924" s="129"/>
      <c r="I924" s="129"/>
      <c r="J924" s="129"/>
      <c r="K924" s="129"/>
      <c r="L924" s="129"/>
      <c r="M924" s="129"/>
      <c r="N924" s="129"/>
      <c r="O924" s="129"/>
      <c r="P924" s="129"/>
      <c r="Q924" s="129"/>
      <c r="R924" s="129"/>
      <c r="S924" s="129"/>
      <c r="T924" s="129"/>
      <c r="U924" s="129"/>
      <c r="V924" s="129"/>
      <c r="W924" s="129"/>
      <c r="X924" s="129"/>
      <c r="Y924" s="129"/>
      <c r="Z924" s="129"/>
    </row>
    <row r="925" spans="1:26" ht="15.75" hidden="1" customHeight="1" x14ac:dyDescent="0.25">
      <c r="A925" s="129"/>
      <c r="B925" s="129"/>
      <c r="C925" s="129"/>
      <c r="D925" s="129"/>
      <c r="E925" s="129"/>
      <c r="F925" s="129"/>
      <c r="G925" s="129"/>
      <c r="H925" s="129"/>
      <c r="I925" s="129"/>
      <c r="J925" s="129"/>
      <c r="K925" s="129"/>
      <c r="L925" s="129"/>
      <c r="M925" s="129"/>
      <c r="N925" s="129"/>
      <c r="O925" s="129"/>
      <c r="P925" s="129"/>
      <c r="Q925" s="129"/>
      <c r="R925" s="129"/>
      <c r="S925" s="129"/>
      <c r="T925" s="129"/>
      <c r="U925" s="129"/>
      <c r="V925" s="129"/>
      <c r="W925" s="129"/>
      <c r="X925" s="129"/>
      <c r="Y925" s="129"/>
      <c r="Z925" s="129"/>
    </row>
    <row r="926" spans="1:26" ht="15.75" hidden="1" customHeight="1" x14ac:dyDescent="0.25">
      <c r="A926" s="129"/>
      <c r="B926" s="129"/>
      <c r="C926" s="129"/>
      <c r="D926" s="129"/>
      <c r="E926" s="129"/>
      <c r="F926" s="129"/>
      <c r="G926" s="129"/>
      <c r="H926" s="129"/>
      <c r="I926" s="129"/>
      <c r="J926" s="129"/>
      <c r="K926" s="129"/>
      <c r="L926" s="129"/>
      <c r="M926" s="129"/>
      <c r="N926" s="129"/>
      <c r="O926" s="129"/>
      <c r="P926" s="129"/>
      <c r="Q926" s="129"/>
      <c r="R926" s="129"/>
      <c r="S926" s="129"/>
      <c r="T926" s="129"/>
      <c r="U926" s="129"/>
      <c r="V926" s="129"/>
      <c r="W926" s="129"/>
      <c r="X926" s="129"/>
      <c r="Y926" s="129"/>
      <c r="Z926" s="129"/>
    </row>
    <row r="927" spans="1:26" ht="15.75" hidden="1" customHeight="1" x14ac:dyDescent="0.25">
      <c r="A927" s="129"/>
      <c r="B927" s="129"/>
      <c r="C927" s="129"/>
      <c r="D927" s="129"/>
      <c r="E927" s="129"/>
      <c r="F927" s="129"/>
      <c r="G927" s="129"/>
      <c r="H927" s="129"/>
      <c r="I927" s="129"/>
      <c r="J927" s="129"/>
      <c r="K927" s="129"/>
      <c r="L927" s="129"/>
      <c r="M927" s="129"/>
      <c r="N927" s="129"/>
      <c r="O927" s="129"/>
      <c r="P927" s="129"/>
      <c r="Q927" s="129"/>
      <c r="R927" s="129"/>
      <c r="S927" s="129"/>
      <c r="T927" s="129"/>
      <c r="U927" s="129"/>
      <c r="V927" s="129"/>
      <c r="W927" s="129"/>
      <c r="X927" s="129"/>
      <c r="Y927" s="129"/>
      <c r="Z927" s="129"/>
    </row>
    <row r="928" spans="1:26" ht="15.75" hidden="1" customHeight="1" x14ac:dyDescent="0.25">
      <c r="A928" s="129"/>
      <c r="B928" s="129"/>
      <c r="C928" s="129"/>
      <c r="D928" s="129"/>
      <c r="E928" s="129"/>
      <c r="F928" s="129"/>
      <c r="G928" s="129"/>
      <c r="H928" s="129"/>
      <c r="I928" s="129"/>
      <c r="J928" s="129"/>
      <c r="K928" s="129"/>
      <c r="L928" s="129"/>
      <c r="M928" s="129"/>
      <c r="N928" s="129"/>
      <c r="O928" s="129"/>
      <c r="P928" s="129"/>
      <c r="Q928" s="129"/>
      <c r="R928" s="129"/>
      <c r="S928" s="129"/>
      <c r="T928" s="129"/>
      <c r="U928" s="129"/>
      <c r="V928" s="129"/>
      <c r="W928" s="129"/>
      <c r="X928" s="129"/>
      <c r="Y928" s="129"/>
      <c r="Z928" s="129"/>
    </row>
    <row r="929" spans="1:26" ht="15.75" hidden="1" customHeight="1" x14ac:dyDescent="0.25">
      <c r="A929" s="129"/>
      <c r="B929" s="129"/>
      <c r="C929" s="129"/>
      <c r="D929" s="129"/>
      <c r="E929" s="129"/>
      <c r="F929" s="129"/>
      <c r="G929" s="129"/>
      <c r="H929" s="129"/>
      <c r="I929" s="129"/>
      <c r="J929" s="129"/>
      <c r="K929" s="129"/>
      <c r="L929" s="129"/>
      <c r="M929" s="129"/>
      <c r="N929" s="129"/>
      <c r="O929" s="129"/>
      <c r="P929" s="129"/>
      <c r="Q929" s="129"/>
      <c r="R929" s="129"/>
      <c r="S929" s="129"/>
      <c r="T929" s="129"/>
      <c r="U929" s="129"/>
      <c r="V929" s="129"/>
      <c r="W929" s="129"/>
      <c r="X929" s="129"/>
      <c r="Y929" s="129"/>
      <c r="Z929" s="129"/>
    </row>
    <row r="930" spans="1:26" ht="15.75" hidden="1" customHeight="1" x14ac:dyDescent="0.25">
      <c r="A930" s="129"/>
      <c r="B930" s="129"/>
      <c r="C930" s="129"/>
      <c r="D930" s="129"/>
      <c r="E930" s="129"/>
      <c r="F930" s="129"/>
      <c r="G930" s="129"/>
      <c r="H930" s="129"/>
      <c r="I930" s="129"/>
      <c r="J930" s="129"/>
      <c r="K930" s="129"/>
      <c r="L930" s="129"/>
      <c r="M930" s="129"/>
      <c r="N930" s="129"/>
      <c r="O930" s="129"/>
      <c r="P930" s="129"/>
      <c r="Q930" s="129"/>
      <c r="R930" s="129"/>
      <c r="S930" s="129"/>
      <c r="T930" s="129"/>
      <c r="U930" s="129"/>
      <c r="V930" s="129"/>
      <c r="W930" s="129"/>
      <c r="X930" s="129"/>
      <c r="Y930" s="129"/>
      <c r="Z930" s="129"/>
    </row>
    <row r="931" spans="1:26" ht="15.75" hidden="1" customHeight="1" x14ac:dyDescent="0.25">
      <c r="A931" s="129"/>
      <c r="B931" s="129"/>
      <c r="C931" s="129"/>
      <c r="D931" s="129"/>
      <c r="E931" s="129"/>
      <c r="F931" s="129"/>
      <c r="G931" s="129"/>
      <c r="H931" s="129"/>
      <c r="I931" s="129"/>
      <c r="J931" s="129"/>
      <c r="K931" s="129"/>
      <c r="L931" s="129"/>
      <c r="M931" s="129"/>
      <c r="N931" s="129"/>
      <c r="O931" s="129"/>
      <c r="P931" s="129"/>
      <c r="Q931" s="129"/>
      <c r="R931" s="129"/>
      <c r="S931" s="129"/>
      <c r="T931" s="129"/>
      <c r="U931" s="129"/>
      <c r="V931" s="129"/>
      <c r="W931" s="129"/>
      <c r="X931" s="129"/>
      <c r="Y931" s="129"/>
      <c r="Z931" s="129"/>
    </row>
    <row r="932" spans="1:26" ht="15.75" hidden="1" customHeight="1" x14ac:dyDescent="0.25">
      <c r="A932" s="129"/>
      <c r="B932" s="129"/>
      <c r="C932" s="129"/>
      <c r="D932" s="129"/>
      <c r="E932" s="129"/>
      <c r="F932" s="129"/>
      <c r="G932" s="129"/>
      <c r="H932" s="129"/>
      <c r="I932" s="129"/>
      <c r="J932" s="129"/>
      <c r="K932" s="129"/>
      <c r="L932" s="129"/>
      <c r="M932" s="129"/>
      <c r="N932" s="129"/>
      <c r="O932" s="129"/>
      <c r="P932" s="129"/>
      <c r="Q932" s="129"/>
      <c r="R932" s="129"/>
      <c r="S932" s="129"/>
      <c r="T932" s="129"/>
      <c r="U932" s="129"/>
      <c r="V932" s="129"/>
      <c r="W932" s="129"/>
      <c r="X932" s="129"/>
      <c r="Y932" s="129"/>
      <c r="Z932" s="129"/>
    </row>
    <row r="933" spans="1:26" ht="15.75" hidden="1" customHeight="1" x14ac:dyDescent="0.25">
      <c r="A933" s="129"/>
      <c r="B933" s="129"/>
      <c r="C933" s="129"/>
      <c r="D933" s="129"/>
      <c r="E933" s="129"/>
      <c r="F933" s="129"/>
      <c r="G933" s="129"/>
      <c r="H933" s="129"/>
      <c r="I933" s="129"/>
      <c r="J933" s="129"/>
      <c r="K933" s="129"/>
      <c r="L933" s="129"/>
      <c r="M933" s="129"/>
      <c r="N933" s="129"/>
      <c r="O933" s="129"/>
      <c r="P933" s="129"/>
      <c r="Q933" s="129"/>
      <c r="R933" s="129"/>
      <c r="S933" s="129"/>
      <c r="T933" s="129"/>
      <c r="U933" s="129"/>
      <c r="V933" s="129"/>
      <c r="W933" s="129"/>
      <c r="X933" s="129"/>
      <c r="Y933" s="129"/>
      <c r="Z933" s="129"/>
    </row>
    <row r="934" spans="1:26" ht="15.75" hidden="1" customHeight="1" x14ac:dyDescent="0.25">
      <c r="A934" s="129"/>
      <c r="B934" s="129"/>
      <c r="C934" s="129"/>
      <c r="D934" s="129"/>
      <c r="E934" s="129"/>
      <c r="F934" s="129"/>
      <c r="G934" s="129"/>
      <c r="H934" s="129"/>
      <c r="I934" s="129"/>
      <c r="J934" s="129"/>
      <c r="K934" s="129"/>
      <c r="L934" s="129"/>
      <c r="M934" s="129"/>
      <c r="N934" s="129"/>
      <c r="O934" s="129"/>
      <c r="P934" s="129"/>
      <c r="Q934" s="129"/>
      <c r="R934" s="129"/>
      <c r="S934" s="129"/>
      <c r="T934" s="129"/>
      <c r="U934" s="129"/>
      <c r="V934" s="129"/>
      <c r="W934" s="129"/>
      <c r="X934" s="129"/>
      <c r="Y934" s="129"/>
      <c r="Z934" s="129"/>
    </row>
    <row r="935" spans="1:26" ht="15.75" hidden="1" customHeight="1" x14ac:dyDescent="0.25">
      <c r="A935" s="129"/>
      <c r="B935" s="129"/>
      <c r="C935" s="129"/>
      <c r="D935" s="129"/>
      <c r="E935" s="129"/>
      <c r="F935" s="129"/>
      <c r="G935" s="129"/>
      <c r="H935" s="129"/>
      <c r="I935" s="129"/>
      <c r="J935" s="129"/>
      <c r="K935" s="129"/>
      <c r="L935" s="129"/>
      <c r="M935" s="129"/>
      <c r="N935" s="129"/>
      <c r="O935" s="129"/>
      <c r="P935" s="129"/>
      <c r="Q935" s="129"/>
      <c r="R935" s="129"/>
      <c r="S935" s="129"/>
      <c r="T935" s="129"/>
      <c r="U935" s="129"/>
      <c r="V935" s="129"/>
      <c r="W935" s="129"/>
      <c r="X935" s="129"/>
      <c r="Y935" s="129"/>
      <c r="Z935" s="129"/>
    </row>
    <row r="936" spans="1:26" ht="15.75" hidden="1" customHeight="1" x14ac:dyDescent="0.25">
      <c r="A936" s="129"/>
      <c r="B936" s="129"/>
      <c r="C936" s="129"/>
      <c r="D936" s="129"/>
      <c r="E936" s="129"/>
      <c r="F936" s="129"/>
      <c r="G936" s="129"/>
      <c r="H936" s="129"/>
      <c r="I936" s="129"/>
      <c r="J936" s="129"/>
      <c r="K936" s="129"/>
      <c r="L936" s="129"/>
      <c r="M936" s="129"/>
      <c r="N936" s="129"/>
      <c r="O936" s="129"/>
      <c r="P936" s="129"/>
      <c r="Q936" s="129"/>
      <c r="R936" s="129"/>
      <c r="S936" s="129"/>
      <c r="T936" s="129"/>
      <c r="U936" s="129"/>
      <c r="V936" s="129"/>
      <c r="W936" s="129"/>
      <c r="X936" s="129"/>
      <c r="Y936" s="129"/>
      <c r="Z936" s="129"/>
    </row>
    <row r="937" spans="1:26" ht="15.75" hidden="1" customHeight="1" x14ac:dyDescent="0.25">
      <c r="A937" s="129"/>
      <c r="B937" s="129"/>
      <c r="C937" s="129"/>
      <c r="D937" s="129"/>
      <c r="E937" s="129"/>
      <c r="F937" s="129"/>
      <c r="G937" s="129"/>
      <c r="H937" s="129"/>
      <c r="I937" s="129"/>
      <c r="J937" s="129"/>
      <c r="K937" s="129"/>
      <c r="L937" s="129"/>
      <c r="M937" s="129"/>
      <c r="N937" s="129"/>
      <c r="O937" s="129"/>
      <c r="P937" s="129"/>
      <c r="Q937" s="129"/>
      <c r="R937" s="129"/>
      <c r="S937" s="129"/>
      <c r="T937" s="129"/>
      <c r="U937" s="129"/>
      <c r="V937" s="129"/>
      <c r="W937" s="129"/>
      <c r="X937" s="129"/>
      <c r="Y937" s="129"/>
      <c r="Z937" s="129"/>
    </row>
    <row r="938" spans="1:26" ht="15.75" hidden="1" customHeight="1" x14ac:dyDescent="0.25">
      <c r="A938" s="129"/>
      <c r="B938" s="129"/>
      <c r="C938" s="129"/>
      <c r="D938" s="129"/>
      <c r="E938" s="129"/>
      <c r="F938" s="129"/>
      <c r="G938" s="129"/>
      <c r="H938" s="129"/>
      <c r="I938" s="129"/>
      <c r="J938" s="129"/>
      <c r="K938" s="129"/>
      <c r="L938" s="129"/>
      <c r="M938" s="129"/>
      <c r="N938" s="129"/>
      <c r="O938" s="129"/>
      <c r="P938" s="129"/>
      <c r="Q938" s="129"/>
      <c r="R938" s="129"/>
      <c r="S938" s="129"/>
      <c r="T938" s="129"/>
      <c r="U938" s="129"/>
      <c r="V938" s="129"/>
      <c r="W938" s="129"/>
      <c r="X938" s="129"/>
      <c r="Y938" s="129"/>
      <c r="Z938" s="129"/>
    </row>
    <row r="939" spans="1:26" ht="15.75" hidden="1" customHeight="1" x14ac:dyDescent="0.25">
      <c r="A939" s="129"/>
      <c r="B939" s="129"/>
      <c r="C939" s="129"/>
      <c r="D939" s="129"/>
      <c r="E939" s="129"/>
      <c r="F939" s="129"/>
      <c r="G939" s="129"/>
      <c r="H939" s="129"/>
      <c r="I939" s="129"/>
      <c r="J939" s="129"/>
      <c r="K939" s="129"/>
      <c r="L939" s="129"/>
      <c r="M939" s="129"/>
      <c r="N939" s="129"/>
      <c r="O939" s="129"/>
      <c r="P939" s="129"/>
      <c r="Q939" s="129"/>
      <c r="R939" s="129"/>
      <c r="S939" s="129"/>
      <c r="T939" s="129"/>
      <c r="U939" s="129"/>
      <c r="V939" s="129"/>
      <c r="W939" s="129"/>
      <c r="X939" s="129"/>
      <c r="Y939" s="129"/>
      <c r="Z939" s="129"/>
    </row>
    <row r="940" spans="1:26" ht="15.75" hidden="1" customHeight="1" x14ac:dyDescent="0.25">
      <c r="A940" s="129"/>
      <c r="B940" s="129"/>
      <c r="C940" s="129"/>
      <c r="D940" s="129"/>
      <c r="E940" s="129"/>
      <c r="F940" s="129"/>
      <c r="G940" s="129"/>
      <c r="H940" s="129"/>
      <c r="I940" s="129"/>
      <c r="J940" s="129"/>
      <c r="K940" s="129"/>
      <c r="L940" s="129"/>
      <c r="M940" s="129"/>
      <c r="N940" s="129"/>
      <c r="O940" s="129"/>
      <c r="P940" s="129"/>
      <c r="Q940" s="129"/>
      <c r="R940" s="129"/>
      <c r="S940" s="129"/>
      <c r="T940" s="129"/>
      <c r="U940" s="129"/>
      <c r="V940" s="129"/>
      <c r="W940" s="129"/>
      <c r="X940" s="129"/>
      <c r="Y940" s="129"/>
      <c r="Z940" s="129"/>
    </row>
    <row r="941" spans="1:26" ht="15.75" hidden="1" customHeight="1" x14ac:dyDescent="0.25">
      <c r="A941" s="129"/>
      <c r="B941" s="129"/>
      <c r="C941" s="129"/>
      <c r="D941" s="129"/>
      <c r="E941" s="129"/>
      <c r="F941" s="129"/>
      <c r="G941" s="129"/>
      <c r="H941" s="129"/>
      <c r="I941" s="129"/>
      <c r="J941" s="129"/>
      <c r="K941" s="129"/>
      <c r="L941" s="129"/>
      <c r="M941" s="129"/>
      <c r="N941" s="129"/>
      <c r="O941" s="129"/>
      <c r="P941" s="129"/>
      <c r="Q941" s="129"/>
      <c r="R941" s="129"/>
      <c r="S941" s="129"/>
      <c r="T941" s="129"/>
      <c r="U941" s="129"/>
      <c r="V941" s="129"/>
      <c r="W941" s="129"/>
      <c r="X941" s="129"/>
      <c r="Y941" s="129"/>
      <c r="Z941" s="129"/>
    </row>
    <row r="942" spans="1:26" ht="15.75" hidden="1" customHeight="1" x14ac:dyDescent="0.25">
      <c r="A942" s="129"/>
      <c r="B942" s="129"/>
      <c r="C942" s="129"/>
      <c r="D942" s="129"/>
      <c r="E942" s="129"/>
      <c r="F942" s="129"/>
      <c r="G942" s="129"/>
      <c r="H942" s="129"/>
      <c r="I942" s="129"/>
      <c r="J942" s="129"/>
      <c r="K942" s="129"/>
      <c r="L942" s="129"/>
      <c r="M942" s="129"/>
      <c r="N942" s="129"/>
      <c r="O942" s="129"/>
      <c r="P942" s="129"/>
      <c r="Q942" s="129"/>
      <c r="R942" s="129"/>
      <c r="S942" s="129"/>
      <c r="T942" s="129"/>
      <c r="U942" s="129"/>
      <c r="V942" s="129"/>
      <c r="W942" s="129"/>
      <c r="X942" s="129"/>
      <c r="Y942" s="129"/>
      <c r="Z942" s="129"/>
    </row>
    <row r="943" spans="1:26" ht="15.75" hidden="1" customHeight="1" x14ac:dyDescent="0.25">
      <c r="A943" s="129"/>
      <c r="B943" s="129"/>
      <c r="C943" s="129"/>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29"/>
    </row>
    <row r="944" spans="1:26" ht="15.75" hidden="1" customHeight="1" x14ac:dyDescent="0.25">
      <c r="A944" s="129"/>
      <c r="B944" s="129"/>
      <c r="C944" s="129"/>
      <c r="D944" s="129"/>
      <c r="E944" s="129"/>
      <c r="F944" s="129"/>
      <c r="G944" s="129"/>
      <c r="H944" s="129"/>
      <c r="I944" s="129"/>
      <c r="J944" s="129"/>
      <c r="K944" s="129"/>
      <c r="L944" s="129"/>
      <c r="M944" s="129"/>
      <c r="N944" s="129"/>
      <c r="O944" s="129"/>
      <c r="P944" s="129"/>
      <c r="Q944" s="129"/>
      <c r="R944" s="129"/>
      <c r="S944" s="129"/>
      <c r="T944" s="129"/>
      <c r="U944" s="129"/>
      <c r="V944" s="129"/>
      <c r="W944" s="129"/>
      <c r="X944" s="129"/>
      <c r="Y944" s="129"/>
      <c r="Z944" s="129"/>
    </row>
    <row r="945" spans="1:26" ht="15.75" hidden="1" customHeight="1" x14ac:dyDescent="0.25">
      <c r="A945" s="129"/>
      <c r="B945" s="129"/>
      <c r="C945" s="129"/>
      <c r="D945" s="129"/>
      <c r="E945" s="129"/>
      <c r="F945" s="129"/>
      <c r="G945" s="129"/>
      <c r="H945" s="129"/>
      <c r="I945" s="129"/>
      <c r="J945" s="129"/>
      <c r="K945" s="129"/>
      <c r="L945" s="129"/>
      <c r="M945" s="129"/>
      <c r="N945" s="129"/>
      <c r="O945" s="129"/>
      <c r="P945" s="129"/>
      <c r="Q945" s="129"/>
      <c r="R945" s="129"/>
      <c r="S945" s="129"/>
      <c r="T945" s="129"/>
      <c r="U945" s="129"/>
      <c r="V945" s="129"/>
      <c r="W945" s="129"/>
      <c r="X945" s="129"/>
      <c r="Y945" s="129"/>
      <c r="Z945" s="129"/>
    </row>
    <row r="946" spans="1:26" ht="15.75" hidden="1" customHeight="1" x14ac:dyDescent="0.25">
      <c r="A946" s="129"/>
      <c r="B946" s="129"/>
      <c r="C946" s="129"/>
      <c r="D946" s="129"/>
      <c r="E946" s="129"/>
      <c r="F946" s="129"/>
      <c r="G946" s="129"/>
      <c r="H946" s="129"/>
      <c r="I946" s="129"/>
      <c r="J946" s="129"/>
      <c r="K946" s="129"/>
      <c r="L946" s="129"/>
      <c r="M946" s="129"/>
      <c r="N946" s="129"/>
      <c r="O946" s="129"/>
      <c r="P946" s="129"/>
      <c r="Q946" s="129"/>
      <c r="R946" s="129"/>
      <c r="S946" s="129"/>
      <c r="T946" s="129"/>
      <c r="U946" s="129"/>
      <c r="V946" s="129"/>
      <c r="W946" s="129"/>
      <c r="X946" s="129"/>
      <c r="Y946" s="129"/>
      <c r="Z946" s="129"/>
    </row>
    <row r="947" spans="1:26" ht="15.75" hidden="1" customHeight="1" x14ac:dyDescent="0.25">
      <c r="A947" s="129"/>
      <c r="B947" s="129"/>
      <c r="C947" s="129"/>
      <c r="D947" s="129"/>
      <c r="E947" s="129"/>
      <c r="F947" s="129"/>
      <c r="G947" s="129"/>
      <c r="H947" s="129"/>
      <c r="I947" s="129"/>
      <c r="J947" s="129"/>
      <c r="K947" s="129"/>
      <c r="L947" s="129"/>
      <c r="M947" s="129"/>
      <c r="N947" s="129"/>
      <c r="O947" s="129"/>
      <c r="P947" s="129"/>
      <c r="Q947" s="129"/>
      <c r="R947" s="129"/>
      <c r="S947" s="129"/>
      <c r="T947" s="129"/>
      <c r="U947" s="129"/>
      <c r="V947" s="129"/>
      <c r="W947" s="129"/>
      <c r="X947" s="129"/>
      <c r="Y947" s="129"/>
      <c r="Z947" s="129"/>
    </row>
    <row r="948" spans="1:26" ht="15.75" hidden="1" customHeight="1" x14ac:dyDescent="0.25">
      <c r="A948" s="129"/>
      <c r="B948" s="129"/>
      <c r="C948" s="129"/>
      <c r="D948" s="129"/>
      <c r="E948" s="129"/>
      <c r="F948" s="129"/>
      <c r="G948" s="129"/>
      <c r="H948" s="129"/>
      <c r="I948" s="129"/>
      <c r="J948" s="129"/>
      <c r="K948" s="129"/>
      <c r="L948" s="129"/>
      <c r="M948" s="129"/>
      <c r="N948" s="129"/>
      <c r="O948" s="129"/>
      <c r="P948" s="129"/>
      <c r="Q948" s="129"/>
      <c r="R948" s="129"/>
      <c r="S948" s="129"/>
      <c r="T948" s="129"/>
      <c r="U948" s="129"/>
      <c r="V948" s="129"/>
      <c r="W948" s="129"/>
      <c r="X948" s="129"/>
      <c r="Y948" s="129"/>
      <c r="Z948" s="129"/>
    </row>
    <row r="949" spans="1:26" ht="15.75" hidden="1" customHeight="1" x14ac:dyDescent="0.25">
      <c r="A949" s="129"/>
      <c r="B949" s="129"/>
      <c r="C949" s="129"/>
      <c r="D949" s="129"/>
      <c r="E949" s="129"/>
      <c r="F949" s="129"/>
      <c r="G949" s="129"/>
      <c r="H949" s="129"/>
      <c r="I949" s="129"/>
      <c r="J949" s="129"/>
      <c r="K949" s="129"/>
      <c r="L949" s="129"/>
      <c r="M949" s="129"/>
      <c r="N949" s="129"/>
      <c r="O949" s="129"/>
      <c r="P949" s="129"/>
      <c r="Q949" s="129"/>
      <c r="R949" s="129"/>
      <c r="S949" s="129"/>
      <c r="T949" s="129"/>
      <c r="U949" s="129"/>
      <c r="V949" s="129"/>
      <c r="W949" s="129"/>
      <c r="X949" s="129"/>
      <c r="Y949" s="129"/>
      <c r="Z949" s="129"/>
    </row>
    <row r="950" spans="1:26" ht="15.75" hidden="1" customHeight="1" x14ac:dyDescent="0.25">
      <c r="A950" s="129"/>
      <c r="B950" s="129"/>
      <c r="C950" s="129"/>
      <c r="D950" s="129"/>
      <c r="E950" s="129"/>
      <c r="F950" s="129"/>
      <c r="G950" s="129"/>
      <c r="H950" s="129"/>
      <c r="I950" s="129"/>
      <c r="J950" s="129"/>
      <c r="K950" s="129"/>
      <c r="L950" s="129"/>
      <c r="M950" s="129"/>
      <c r="N950" s="129"/>
      <c r="O950" s="129"/>
      <c r="P950" s="129"/>
      <c r="Q950" s="129"/>
      <c r="R950" s="129"/>
      <c r="S950" s="129"/>
      <c r="T950" s="129"/>
      <c r="U950" s="129"/>
      <c r="V950" s="129"/>
      <c r="W950" s="129"/>
      <c r="X950" s="129"/>
      <c r="Y950" s="129"/>
      <c r="Z950" s="129"/>
    </row>
    <row r="951" spans="1:26" ht="15.75" hidden="1" customHeight="1" x14ac:dyDescent="0.25">
      <c r="A951" s="129"/>
      <c r="B951" s="129"/>
      <c r="C951" s="129"/>
      <c r="D951" s="129"/>
      <c r="E951" s="129"/>
      <c r="F951" s="129"/>
      <c r="G951" s="129"/>
      <c r="H951" s="129"/>
      <c r="I951" s="129"/>
      <c r="J951" s="129"/>
      <c r="K951" s="129"/>
      <c r="L951" s="129"/>
      <c r="M951" s="129"/>
      <c r="N951" s="129"/>
      <c r="O951" s="129"/>
      <c r="P951" s="129"/>
      <c r="Q951" s="129"/>
      <c r="R951" s="129"/>
      <c r="S951" s="129"/>
      <c r="T951" s="129"/>
      <c r="U951" s="129"/>
      <c r="V951" s="129"/>
      <c r="W951" s="129"/>
      <c r="X951" s="129"/>
      <c r="Y951" s="129"/>
      <c r="Z951" s="129"/>
    </row>
    <row r="952" spans="1:26" ht="15.75" hidden="1" customHeight="1" x14ac:dyDescent="0.25">
      <c r="A952" s="129"/>
      <c r="B952" s="129"/>
      <c r="C952" s="129"/>
      <c r="D952" s="129"/>
      <c r="E952" s="129"/>
      <c r="F952" s="129"/>
      <c r="G952" s="129"/>
      <c r="H952" s="129"/>
      <c r="I952" s="129"/>
      <c r="J952" s="129"/>
      <c r="K952" s="129"/>
      <c r="L952" s="129"/>
      <c r="M952" s="129"/>
      <c r="N952" s="129"/>
      <c r="O952" s="129"/>
      <c r="P952" s="129"/>
      <c r="Q952" s="129"/>
      <c r="R952" s="129"/>
      <c r="S952" s="129"/>
      <c r="T952" s="129"/>
      <c r="U952" s="129"/>
      <c r="V952" s="129"/>
      <c r="W952" s="129"/>
      <c r="X952" s="129"/>
      <c r="Y952" s="129"/>
      <c r="Z952" s="129"/>
    </row>
    <row r="953" spans="1:26" ht="15.75" hidden="1" customHeight="1" x14ac:dyDescent="0.25">
      <c r="A953" s="129"/>
      <c r="B953" s="129"/>
      <c r="C953" s="129"/>
      <c r="D953" s="129"/>
      <c r="E953" s="129"/>
      <c r="F953" s="129"/>
      <c r="G953" s="129"/>
      <c r="H953" s="129"/>
      <c r="I953" s="129"/>
      <c r="J953" s="129"/>
      <c r="K953" s="129"/>
      <c r="L953" s="129"/>
      <c r="M953" s="129"/>
      <c r="N953" s="129"/>
      <c r="O953" s="129"/>
      <c r="P953" s="129"/>
      <c r="Q953" s="129"/>
      <c r="R953" s="129"/>
      <c r="S953" s="129"/>
      <c r="T953" s="129"/>
      <c r="U953" s="129"/>
      <c r="V953" s="129"/>
      <c r="W953" s="129"/>
      <c r="X953" s="129"/>
      <c r="Y953" s="129"/>
      <c r="Z953" s="129"/>
    </row>
    <row r="954" spans="1:26" ht="15.75" hidden="1" customHeight="1" x14ac:dyDescent="0.25">
      <c r="A954" s="129"/>
      <c r="B954" s="129"/>
      <c r="C954" s="129"/>
      <c r="D954" s="129"/>
      <c r="E954" s="129"/>
      <c r="F954" s="129"/>
      <c r="G954" s="129"/>
      <c r="H954" s="129"/>
      <c r="I954" s="129"/>
      <c r="J954" s="129"/>
      <c r="K954" s="129"/>
      <c r="L954" s="129"/>
      <c r="M954" s="129"/>
      <c r="N954" s="129"/>
      <c r="O954" s="129"/>
      <c r="P954" s="129"/>
      <c r="Q954" s="129"/>
      <c r="R954" s="129"/>
      <c r="S954" s="129"/>
      <c r="T954" s="129"/>
      <c r="U954" s="129"/>
      <c r="V954" s="129"/>
      <c r="W954" s="129"/>
      <c r="X954" s="129"/>
      <c r="Y954" s="129"/>
      <c r="Z954" s="129"/>
    </row>
    <row r="955" spans="1:26" ht="15.75" hidden="1" customHeight="1" x14ac:dyDescent="0.25">
      <c r="A955" s="129"/>
      <c r="B955" s="129"/>
      <c r="C955" s="129"/>
      <c r="D955" s="129"/>
      <c r="E955" s="129"/>
      <c r="F955" s="129"/>
      <c r="G955" s="129"/>
      <c r="H955" s="129"/>
      <c r="I955" s="129"/>
      <c r="J955" s="129"/>
      <c r="K955" s="129"/>
      <c r="L955" s="129"/>
      <c r="M955" s="129"/>
      <c r="N955" s="129"/>
      <c r="O955" s="129"/>
      <c r="P955" s="129"/>
      <c r="Q955" s="129"/>
      <c r="R955" s="129"/>
      <c r="S955" s="129"/>
      <c r="T955" s="129"/>
      <c r="U955" s="129"/>
      <c r="V955" s="129"/>
      <c r="W955" s="129"/>
      <c r="X955" s="129"/>
      <c r="Y955" s="129"/>
      <c r="Z955" s="129"/>
    </row>
    <row r="956" spans="1:26" ht="15.75" hidden="1" customHeight="1" x14ac:dyDescent="0.25">
      <c r="A956" s="129"/>
      <c r="B956" s="129"/>
      <c r="C956" s="129"/>
      <c r="D956" s="129"/>
      <c r="E956" s="129"/>
      <c r="F956" s="129"/>
      <c r="G956" s="129"/>
      <c r="H956" s="129"/>
      <c r="I956" s="129"/>
      <c r="J956" s="129"/>
      <c r="K956" s="129"/>
      <c r="L956" s="129"/>
      <c r="M956" s="129"/>
      <c r="N956" s="129"/>
      <c r="O956" s="129"/>
      <c r="P956" s="129"/>
      <c r="Q956" s="129"/>
      <c r="R956" s="129"/>
      <c r="S956" s="129"/>
      <c r="T956" s="129"/>
      <c r="U956" s="129"/>
      <c r="V956" s="129"/>
      <c r="W956" s="129"/>
      <c r="X956" s="129"/>
      <c r="Y956" s="129"/>
      <c r="Z956" s="129"/>
    </row>
    <row r="957" spans="1:26" ht="15.75" hidden="1" customHeight="1" x14ac:dyDescent="0.25">
      <c r="A957" s="129"/>
      <c r="B957" s="129"/>
      <c r="C957" s="129"/>
      <c r="D957" s="129"/>
      <c r="E957" s="129"/>
      <c r="F957" s="129"/>
      <c r="G957" s="129"/>
      <c r="H957" s="129"/>
      <c r="I957" s="129"/>
      <c r="J957" s="129"/>
      <c r="K957" s="129"/>
      <c r="L957" s="129"/>
      <c r="M957" s="129"/>
      <c r="N957" s="129"/>
      <c r="O957" s="129"/>
      <c r="P957" s="129"/>
      <c r="Q957" s="129"/>
      <c r="R957" s="129"/>
      <c r="S957" s="129"/>
      <c r="T957" s="129"/>
      <c r="U957" s="129"/>
      <c r="V957" s="129"/>
      <c r="W957" s="129"/>
      <c r="X957" s="129"/>
      <c r="Y957" s="129"/>
      <c r="Z957" s="129"/>
    </row>
    <row r="958" spans="1:26" ht="15.75" hidden="1" customHeight="1" x14ac:dyDescent="0.25">
      <c r="A958" s="129"/>
      <c r="B958" s="129"/>
      <c r="C958" s="129"/>
      <c r="D958" s="129"/>
      <c r="E958" s="129"/>
      <c r="F958" s="129"/>
      <c r="G958" s="129"/>
      <c r="H958" s="129"/>
      <c r="I958" s="129"/>
      <c r="J958" s="129"/>
      <c r="K958" s="129"/>
      <c r="L958" s="129"/>
      <c r="M958" s="129"/>
      <c r="N958" s="129"/>
      <c r="O958" s="129"/>
      <c r="P958" s="129"/>
      <c r="Q958" s="129"/>
      <c r="R958" s="129"/>
      <c r="S958" s="129"/>
      <c r="T958" s="129"/>
      <c r="U958" s="129"/>
      <c r="V958" s="129"/>
      <c r="W958" s="129"/>
      <c r="X958" s="129"/>
      <c r="Y958" s="129"/>
      <c r="Z958" s="129"/>
    </row>
    <row r="959" spans="1:26" ht="15.75" hidden="1" customHeight="1" x14ac:dyDescent="0.25">
      <c r="A959" s="129"/>
      <c r="B959" s="129"/>
      <c r="C959" s="129"/>
      <c r="D959" s="129"/>
      <c r="E959" s="129"/>
      <c r="F959" s="129"/>
      <c r="G959" s="129"/>
      <c r="H959" s="129"/>
      <c r="I959" s="129"/>
      <c r="J959" s="129"/>
      <c r="K959" s="129"/>
      <c r="L959" s="129"/>
      <c r="M959" s="129"/>
      <c r="N959" s="129"/>
      <c r="O959" s="129"/>
      <c r="P959" s="129"/>
      <c r="Q959" s="129"/>
      <c r="R959" s="129"/>
      <c r="S959" s="129"/>
      <c r="T959" s="129"/>
      <c r="U959" s="129"/>
      <c r="V959" s="129"/>
      <c r="W959" s="129"/>
      <c r="X959" s="129"/>
      <c r="Y959" s="129"/>
      <c r="Z959" s="129"/>
    </row>
    <row r="960" spans="1:26" ht="15.75" hidden="1" customHeight="1" x14ac:dyDescent="0.25">
      <c r="A960" s="129"/>
      <c r="B960" s="129"/>
      <c r="C960" s="129"/>
      <c r="D960" s="129"/>
      <c r="E960" s="129"/>
      <c r="F960" s="129"/>
      <c r="G960" s="129"/>
      <c r="H960" s="129"/>
      <c r="I960" s="129"/>
      <c r="J960" s="129"/>
      <c r="K960" s="129"/>
      <c r="L960" s="129"/>
      <c r="M960" s="129"/>
      <c r="N960" s="129"/>
      <c r="O960" s="129"/>
      <c r="P960" s="129"/>
      <c r="Q960" s="129"/>
      <c r="R960" s="129"/>
      <c r="S960" s="129"/>
      <c r="T960" s="129"/>
      <c r="U960" s="129"/>
      <c r="V960" s="129"/>
      <c r="W960" s="129"/>
      <c r="X960" s="129"/>
      <c r="Y960" s="129"/>
      <c r="Z960" s="129"/>
    </row>
    <row r="961" spans="1:26" ht="15.75" hidden="1" customHeight="1" x14ac:dyDescent="0.25">
      <c r="A961" s="129"/>
      <c r="B961" s="129"/>
      <c r="C961" s="129"/>
      <c r="D961" s="129"/>
      <c r="E961" s="129"/>
      <c r="F961" s="129"/>
      <c r="G961" s="129"/>
      <c r="H961" s="129"/>
      <c r="I961" s="129"/>
      <c r="J961" s="129"/>
      <c r="K961" s="129"/>
      <c r="L961" s="129"/>
      <c r="M961" s="129"/>
      <c r="N961" s="129"/>
      <c r="O961" s="129"/>
      <c r="P961" s="129"/>
      <c r="Q961" s="129"/>
      <c r="R961" s="129"/>
      <c r="S961" s="129"/>
      <c r="T961" s="129"/>
      <c r="U961" s="129"/>
      <c r="V961" s="129"/>
      <c r="W961" s="129"/>
      <c r="X961" s="129"/>
      <c r="Y961" s="129"/>
      <c r="Z961" s="129"/>
    </row>
    <row r="962" spans="1:26" ht="15.75" hidden="1" customHeight="1" x14ac:dyDescent="0.25">
      <c r="A962" s="129"/>
      <c r="B962" s="129"/>
      <c r="C962" s="129"/>
      <c r="D962" s="129"/>
      <c r="E962" s="129"/>
      <c r="F962" s="129"/>
      <c r="G962" s="129"/>
      <c r="H962" s="129"/>
      <c r="I962" s="129"/>
      <c r="J962" s="129"/>
      <c r="K962" s="129"/>
      <c r="L962" s="129"/>
      <c r="M962" s="129"/>
      <c r="N962" s="129"/>
      <c r="O962" s="129"/>
      <c r="P962" s="129"/>
      <c r="Q962" s="129"/>
      <c r="R962" s="129"/>
      <c r="S962" s="129"/>
      <c r="T962" s="129"/>
      <c r="U962" s="129"/>
      <c r="V962" s="129"/>
      <c r="W962" s="129"/>
      <c r="X962" s="129"/>
      <c r="Y962" s="129"/>
      <c r="Z962" s="129"/>
    </row>
    <row r="963" spans="1:26" ht="15.75" hidden="1" customHeight="1" x14ac:dyDescent="0.25">
      <c r="A963" s="129"/>
      <c r="B963" s="129"/>
      <c r="C963" s="129"/>
      <c r="D963" s="129"/>
      <c r="E963" s="129"/>
      <c r="F963" s="129"/>
      <c r="G963" s="129"/>
      <c r="H963" s="129"/>
      <c r="I963" s="129"/>
      <c r="J963" s="129"/>
      <c r="K963" s="129"/>
      <c r="L963" s="129"/>
      <c r="M963" s="129"/>
      <c r="N963" s="129"/>
      <c r="O963" s="129"/>
      <c r="P963" s="129"/>
      <c r="Q963" s="129"/>
      <c r="R963" s="129"/>
      <c r="S963" s="129"/>
      <c r="T963" s="129"/>
      <c r="U963" s="129"/>
      <c r="V963" s="129"/>
      <c r="W963" s="129"/>
      <c r="X963" s="129"/>
      <c r="Y963" s="129"/>
      <c r="Z963" s="129"/>
    </row>
    <row r="964" spans="1:26" ht="15.75" hidden="1" customHeight="1" x14ac:dyDescent="0.25">
      <c r="A964" s="129"/>
      <c r="B964" s="129"/>
      <c r="C964" s="129"/>
      <c r="D964" s="129"/>
      <c r="E964" s="129"/>
      <c r="F964" s="129"/>
      <c r="G964" s="129"/>
      <c r="H964" s="129"/>
      <c r="I964" s="129"/>
      <c r="J964" s="129"/>
      <c r="K964" s="129"/>
      <c r="L964" s="129"/>
      <c r="M964" s="129"/>
      <c r="N964" s="129"/>
      <c r="O964" s="129"/>
      <c r="P964" s="129"/>
      <c r="Q964" s="129"/>
      <c r="R964" s="129"/>
      <c r="S964" s="129"/>
      <c r="T964" s="129"/>
      <c r="U964" s="129"/>
      <c r="V964" s="129"/>
      <c r="W964" s="129"/>
      <c r="X964" s="129"/>
      <c r="Y964" s="129"/>
      <c r="Z964" s="129"/>
    </row>
    <row r="965" spans="1:26" ht="15.75" hidden="1" customHeight="1" x14ac:dyDescent="0.25">
      <c r="A965" s="129"/>
      <c r="B965" s="129"/>
      <c r="C965" s="129"/>
      <c r="D965" s="129"/>
      <c r="E965" s="129"/>
      <c r="F965" s="129"/>
      <c r="G965" s="129"/>
      <c r="H965" s="129"/>
      <c r="I965" s="129"/>
      <c r="J965" s="129"/>
      <c r="K965" s="129"/>
      <c r="L965" s="129"/>
      <c r="M965" s="129"/>
      <c r="N965" s="129"/>
      <c r="O965" s="129"/>
      <c r="P965" s="129"/>
      <c r="Q965" s="129"/>
      <c r="R965" s="129"/>
      <c r="S965" s="129"/>
      <c r="T965" s="129"/>
      <c r="U965" s="129"/>
      <c r="V965" s="129"/>
      <c r="W965" s="129"/>
      <c r="X965" s="129"/>
      <c r="Y965" s="129"/>
      <c r="Z965" s="129"/>
    </row>
    <row r="966" spans="1:26" ht="15.75" hidden="1" customHeight="1" x14ac:dyDescent="0.25">
      <c r="A966" s="129"/>
      <c r="B966" s="129"/>
      <c r="C966" s="129"/>
      <c r="D966" s="129"/>
      <c r="E966" s="129"/>
      <c r="F966" s="129"/>
      <c r="G966" s="129"/>
      <c r="H966" s="129"/>
      <c r="I966" s="129"/>
      <c r="J966" s="129"/>
      <c r="K966" s="129"/>
      <c r="L966" s="129"/>
      <c r="M966" s="129"/>
      <c r="N966" s="129"/>
      <c r="O966" s="129"/>
      <c r="P966" s="129"/>
      <c r="Q966" s="129"/>
      <c r="R966" s="129"/>
      <c r="S966" s="129"/>
      <c r="T966" s="129"/>
      <c r="U966" s="129"/>
      <c r="V966" s="129"/>
      <c r="W966" s="129"/>
      <c r="X966" s="129"/>
      <c r="Y966" s="129"/>
      <c r="Z966" s="129"/>
    </row>
    <row r="967" spans="1:26" ht="15.75" hidden="1" customHeight="1" x14ac:dyDescent="0.25">
      <c r="A967" s="129"/>
      <c r="B967" s="129"/>
      <c r="C967" s="129"/>
      <c r="D967" s="129"/>
      <c r="E967" s="129"/>
      <c r="F967" s="129"/>
      <c r="G967" s="129"/>
      <c r="H967" s="129"/>
      <c r="I967" s="129"/>
      <c r="J967" s="129"/>
      <c r="K967" s="129"/>
      <c r="L967" s="129"/>
      <c r="M967" s="129"/>
      <c r="N967" s="129"/>
      <c r="O967" s="129"/>
      <c r="P967" s="129"/>
      <c r="Q967" s="129"/>
      <c r="R967" s="129"/>
      <c r="S967" s="129"/>
      <c r="T967" s="129"/>
      <c r="U967" s="129"/>
      <c r="V967" s="129"/>
      <c r="W967" s="129"/>
      <c r="X967" s="129"/>
      <c r="Y967" s="129"/>
      <c r="Z967" s="129"/>
    </row>
    <row r="968" spans="1:26" ht="15.75" hidden="1" customHeight="1" x14ac:dyDescent="0.25">
      <c r="A968" s="129"/>
      <c r="B968" s="129"/>
      <c r="C968" s="129"/>
      <c r="D968" s="129"/>
      <c r="E968" s="129"/>
      <c r="F968" s="129"/>
      <c r="G968" s="129"/>
      <c r="H968" s="129"/>
      <c r="I968" s="129"/>
      <c r="J968" s="129"/>
      <c r="K968" s="129"/>
      <c r="L968" s="129"/>
      <c r="M968" s="129"/>
      <c r="N968" s="129"/>
      <c r="O968" s="129"/>
      <c r="P968" s="129"/>
      <c r="Q968" s="129"/>
      <c r="R968" s="129"/>
      <c r="S968" s="129"/>
      <c r="T968" s="129"/>
      <c r="U968" s="129"/>
      <c r="V968" s="129"/>
      <c r="W968" s="129"/>
      <c r="X968" s="129"/>
      <c r="Y968" s="129"/>
      <c r="Z968" s="129"/>
    </row>
    <row r="969" spans="1:26" ht="15.75" hidden="1" customHeight="1" x14ac:dyDescent="0.25">
      <c r="A969" s="129"/>
      <c r="B969" s="129"/>
      <c r="C969" s="129"/>
      <c r="D969" s="129"/>
      <c r="E969" s="129"/>
      <c r="F969" s="129"/>
      <c r="G969" s="129"/>
      <c r="H969" s="129"/>
      <c r="I969" s="129"/>
      <c r="J969" s="129"/>
      <c r="K969" s="129"/>
      <c r="L969" s="129"/>
      <c r="M969" s="129"/>
      <c r="N969" s="129"/>
      <c r="O969" s="129"/>
      <c r="P969" s="129"/>
      <c r="Q969" s="129"/>
      <c r="R969" s="129"/>
      <c r="S969" s="129"/>
      <c r="T969" s="129"/>
      <c r="U969" s="129"/>
      <c r="V969" s="129"/>
      <c r="W969" s="129"/>
      <c r="X969" s="129"/>
      <c r="Y969" s="129"/>
      <c r="Z969" s="129"/>
    </row>
    <row r="970" spans="1:26" ht="15.75" hidden="1" customHeight="1" x14ac:dyDescent="0.25">
      <c r="A970" s="129"/>
      <c r="B970" s="129"/>
      <c r="C970" s="129"/>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row>
    <row r="971" spans="1:26" ht="15.75" hidden="1" customHeight="1" x14ac:dyDescent="0.25">
      <c r="A971" s="129"/>
      <c r="B971" s="129"/>
      <c r="C971" s="129"/>
      <c r="D971" s="129"/>
      <c r="E971" s="129"/>
      <c r="F971" s="129"/>
      <c r="G971" s="129"/>
      <c r="H971" s="129"/>
      <c r="I971" s="129"/>
      <c r="J971" s="129"/>
      <c r="K971" s="129"/>
      <c r="L971" s="129"/>
      <c r="M971" s="129"/>
      <c r="N971" s="129"/>
      <c r="O971" s="129"/>
      <c r="P971" s="129"/>
      <c r="Q971" s="129"/>
      <c r="R971" s="129"/>
      <c r="S971" s="129"/>
      <c r="T971" s="129"/>
      <c r="U971" s="129"/>
      <c r="V971" s="129"/>
      <c r="W971" s="129"/>
      <c r="X971" s="129"/>
      <c r="Y971" s="129"/>
      <c r="Z971" s="129"/>
    </row>
    <row r="972" spans="1:26" ht="15.75" hidden="1" customHeight="1" x14ac:dyDescent="0.25">
      <c r="A972" s="129"/>
      <c r="B972" s="129"/>
      <c r="C972" s="129"/>
      <c r="D972" s="129"/>
      <c r="E972" s="129"/>
      <c r="F972" s="129"/>
      <c r="G972" s="129"/>
      <c r="H972" s="129"/>
      <c r="I972" s="129"/>
      <c r="J972" s="129"/>
      <c r="K972" s="129"/>
      <c r="L972" s="129"/>
      <c r="M972" s="129"/>
      <c r="N972" s="129"/>
      <c r="O972" s="129"/>
      <c r="P972" s="129"/>
      <c r="Q972" s="129"/>
      <c r="R972" s="129"/>
      <c r="S972" s="129"/>
      <c r="T972" s="129"/>
      <c r="U972" s="129"/>
      <c r="V972" s="129"/>
      <c r="W972" s="129"/>
      <c r="X972" s="129"/>
      <c r="Y972" s="129"/>
      <c r="Z972" s="129"/>
    </row>
    <row r="973" spans="1:26" ht="15.75" hidden="1" customHeight="1" x14ac:dyDescent="0.25">
      <c r="A973" s="129"/>
      <c r="B973" s="129"/>
      <c r="C973" s="129"/>
      <c r="D973" s="129"/>
      <c r="E973" s="129"/>
      <c r="F973" s="129"/>
      <c r="G973" s="129"/>
      <c r="H973" s="129"/>
      <c r="I973" s="129"/>
      <c r="J973" s="129"/>
      <c r="K973" s="129"/>
      <c r="L973" s="129"/>
      <c r="M973" s="129"/>
      <c r="N973" s="129"/>
      <c r="O973" s="129"/>
      <c r="P973" s="129"/>
      <c r="Q973" s="129"/>
      <c r="R973" s="129"/>
      <c r="S973" s="129"/>
      <c r="T973" s="129"/>
      <c r="U973" s="129"/>
      <c r="V973" s="129"/>
      <c r="W973" s="129"/>
      <c r="X973" s="129"/>
      <c r="Y973" s="129"/>
      <c r="Z973" s="129"/>
    </row>
    <row r="974" spans="1:26" ht="15.75" hidden="1" customHeight="1" x14ac:dyDescent="0.25">
      <c r="A974" s="129"/>
      <c r="B974" s="129"/>
      <c r="C974" s="129"/>
      <c r="D974" s="129"/>
      <c r="E974" s="129"/>
      <c r="F974" s="129"/>
      <c r="G974" s="129"/>
      <c r="H974" s="129"/>
      <c r="I974" s="129"/>
      <c r="J974" s="129"/>
      <c r="K974" s="129"/>
      <c r="L974" s="129"/>
      <c r="M974" s="129"/>
      <c r="N974" s="129"/>
      <c r="O974" s="129"/>
      <c r="P974" s="129"/>
      <c r="Q974" s="129"/>
      <c r="R974" s="129"/>
      <c r="S974" s="129"/>
      <c r="T974" s="129"/>
      <c r="U974" s="129"/>
      <c r="V974" s="129"/>
      <c r="W974" s="129"/>
      <c r="X974" s="129"/>
      <c r="Y974" s="129"/>
      <c r="Z974" s="129"/>
    </row>
    <row r="975" spans="1:26" ht="15.75" hidden="1" customHeight="1" x14ac:dyDescent="0.25">
      <c r="A975" s="129"/>
      <c r="B975" s="129"/>
      <c r="C975" s="129"/>
      <c r="D975" s="129"/>
      <c r="E975" s="129"/>
      <c r="F975" s="129"/>
      <c r="G975" s="129"/>
      <c r="H975" s="129"/>
      <c r="I975" s="129"/>
      <c r="J975" s="129"/>
      <c r="K975" s="129"/>
      <c r="L975" s="129"/>
      <c r="M975" s="129"/>
      <c r="N975" s="129"/>
      <c r="O975" s="129"/>
      <c r="P975" s="129"/>
      <c r="Q975" s="129"/>
      <c r="R975" s="129"/>
      <c r="S975" s="129"/>
      <c r="T975" s="129"/>
      <c r="U975" s="129"/>
      <c r="V975" s="129"/>
      <c r="W975" s="129"/>
      <c r="X975" s="129"/>
      <c r="Y975" s="129"/>
      <c r="Z975" s="129"/>
    </row>
    <row r="976" spans="1:26" ht="15.75" hidden="1" customHeight="1" x14ac:dyDescent="0.25">
      <c r="A976" s="129"/>
      <c r="B976" s="129"/>
      <c r="C976" s="129"/>
      <c r="D976" s="129"/>
      <c r="E976" s="129"/>
      <c r="F976" s="129"/>
      <c r="G976" s="129"/>
      <c r="H976" s="129"/>
      <c r="I976" s="129"/>
      <c r="J976" s="129"/>
      <c r="K976" s="129"/>
      <c r="L976" s="129"/>
      <c r="M976" s="129"/>
      <c r="N976" s="129"/>
      <c r="O976" s="129"/>
      <c r="P976" s="129"/>
      <c r="Q976" s="129"/>
      <c r="R976" s="129"/>
      <c r="S976" s="129"/>
      <c r="T976" s="129"/>
      <c r="U976" s="129"/>
      <c r="V976" s="129"/>
      <c r="W976" s="129"/>
      <c r="X976" s="129"/>
      <c r="Y976" s="129"/>
      <c r="Z976" s="129"/>
    </row>
    <row r="977" spans="1:26" ht="15.75" hidden="1" customHeight="1" x14ac:dyDescent="0.25">
      <c r="A977" s="129"/>
      <c r="B977" s="129"/>
      <c r="C977" s="129"/>
      <c r="D977" s="129"/>
      <c r="E977" s="129"/>
      <c r="F977" s="129"/>
      <c r="G977" s="129"/>
      <c r="H977" s="129"/>
      <c r="I977" s="129"/>
      <c r="J977" s="129"/>
      <c r="K977" s="129"/>
      <c r="L977" s="129"/>
      <c r="M977" s="129"/>
      <c r="N977" s="129"/>
      <c r="O977" s="129"/>
      <c r="P977" s="129"/>
      <c r="Q977" s="129"/>
      <c r="R977" s="129"/>
      <c r="S977" s="129"/>
      <c r="T977" s="129"/>
      <c r="U977" s="129"/>
      <c r="V977" s="129"/>
      <c r="W977" s="129"/>
      <c r="X977" s="129"/>
      <c r="Y977" s="129"/>
      <c r="Z977" s="129"/>
    </row>
    <row r="978" spans="1:26" ht="15.75" hidden="1" customHeight="1" x14ac:dyDescent="0.25">
      <c r="A978" s="129"/>
      <c r="B978" s="129"/>
      <c r="C978" s="129"/>
      <c r="D978" s="129"/>
      <c r="E978" s="129"/>
      <c r="F978" s="129"/>
      <c r="G978" s="129"/>
      <c r="H978" s="129"/>
      <c r="I978" s="129"/>
      <c r="J978" s="129"/>
      <c r="K978" s="129"/>
      <c r="L978" s="129"/>
      <c r="M978" s="129"/>
      <c r="N978" s="129"/>
      <c r="O978" s="129"/>
      <c r="P978" s="129"/>
      <c r="Q978" s="129"/>
      <c r="R978" s="129"/>
      <c r="S978" s="129"/>
      <c r="T978" s="129"/>
      <c r="U978" s="129"/>
      <c r="V978" s="129"/>
      <c r="W978" s="129"/>
      <c r="X978" s="129"/>
      <c r="Y978" s="129"/>
      <c r="Z978" s="129"/>
    </row>
    <row r="979" spans="1:26" ht="15.75" hidden="1" customHeight="1" x14ac:dyDescent="0.25">
      <c r="A979" s="129"/>
      <c r="B979" s="129"/>
      <c r="C979" s="129"/>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29"/>
    </row>
    <row r="980" spans="1:26" ht="15.75" hidden="1" customHeight="1" x14ac:dyDescent="0.25">
      <c r="A980" s="129"/>
      <c r="B980" s="129"/>
      <c r="C980" s="129"/>
      <c r="D980" s="129"/>
      <c r="E980" s="129"/>
      <c r="F980" s="129"/>
      <c r="G980" s="129"/>
      <c r="H980" s="129"/>
      <c r="I980" s="129"/>
      <c r="J980" s="129"/>
      <c r="K980" s="129"/>
      <c r="L980" s="129"/>
      <c r="M980" s="129"/>
      <c r="N980" s="129"/>
      <c r="O980" s="129"/>
      <c r="P980" s="129"/>
      <c r="Q980" s="129"/>
      <c r="R980" s="129"/>
      <c r="S980" s="129"/>
      <c r="T980" s="129"/>
      <c r="U980" s="129"/>
      <c r="V980" s="129"/>
      <c r="W980" s="129"/>
      <c r="X980" s="129"/>
      <c r="Y980" s="129"/>
      <c r="Z980" s="129"/>
    </row>
    <row r="981" spans="1:26" ht="15.75" hidden="1" customHeight="1" x14ac:dyDescent="0.25">
      <c r="A981" s="129"/>
      <c r="B981" s="129"/>
      <c r="C981" s="129"/>
      <c r="D981" s="129"/>
      <c r="E981" s="129"/>
      <c r="F981" s="129"/>
      <c r="G981" s="129"/>
      <c r="H981" s="129"/>
      <c r="I981" s="129"/>
      <c r="J981" s="129"/>
      <c r="K981" s="129"/>
      <c r="L981" s="129"/>
      <c r="M981" s="129"/>
      <c r="N981" s="129"/>
      <c r="O981" s="129"/>
      <c r="P981" s="129"/>
      <c r="Q981" s="129"/>
      <c r="R981" s="129"/>
      <c r="S981" s="129"/>
      <c r="T981" s="129"/>
      <c r="U981" s="129"/>
      <c r="V981" s="129"/>
      <c r="W981" s="129"/>
      <c r="X981" s="129"/>
      <c r="Y981" s="129"/>
      <c r="Z981" s="129"/>
    </row>
    <row r="982" spans="1:26" ht="15.75" hidden="1" customHeight="1" x14ac:dyDescent="0.25">
      <c r="A982" s="129"/>
      <c r="B982" s="129"/>
      <c r="C982" s="129"/>
      <c r="D982" s="129"/>
      <c r="E982" s="129"/>
      <c r="F982" s="129"/>
      <c r="G982" s="129"/>
      <c r="H982" s="129"/>
      <c r="I982" s="129"/>
      <c r="J982" s="129"/>
      <c r="K982" s="129"/>
      <c r="L982" s="129"/>
      <c r="M982" s="129"/>
      <c r="N982" s="129"/>
      <c r="O982" s="129"/>
      <c r="P982" s="129"/>
      <c r="Q982" s="129"/>
      <c r="R982" s="129"/>
      <c r="S982" s="129"/>
      <c r="T982" s="129"/>
      <c r="U982" s="129"/>
      <c r="V982" s="129"/>
      <c r="W982" s="129"/>
      <c r="X982" s="129"/>
      <c r="Y982" s="129"/>
      <c r="Z982" s="129"/>
    </row>
    <row r="983" spans="1:26" ht="15.75" hidden="1" customHeight="1" x14ac:dyDescent="0.25">
      <c r="A983" s="129"/>
      <c r="B983" s="129"/>
      <c r="C983" s="129"/>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row>
    <row r="984" spans="1:26" ht="15.75" hidden="1" customHeight="1" x14ac:dyDescent="0.25">
      <c r="A984" s="129"/>
      <c r="B984" s="129"/>
      <c r="C984" s="129"/>
      <c r="D984" s="129"/>
      <c r="E984" s="129"/>
      <c r="F984" s="129"/>
      <c r="G984" s="129"/>
      <c r="H984" s="129"/>
      <c r="I984" s="129"/>
      <c r="J984" s="129"/>
      <c r="K984" s="129"/>
      <c r="L984" s="129"/>
      <c r="M984" s="129"/>
      <c r="N984" s="129"/>
      <c r="O984" s="129"/>
      <c r="P984" s="129"/>
      <c r="Q984" s="129"/>
      <c r="R984" s="129"/>
      <c r="S984" s="129"/>
      <c r="T984" s="129"/>
      <c r="U984" s="129"/>
      <c r="V984" s="129"/>
      <c r="W984" s="129"/>
      <c r="X984" s="129"/>
      <c r="Y984" s="129"/>
      <c r="Z984" s="129"/>
    </row>
    <row r="985" spans="1:26" ht="15.75" hidden="1" customHeight="1" x14ac:dyDescent="0.25">
      <c r="A985" s="129"/>
      <c r="B985" s="129"/>
      <c r="C985" s="129"/>
      <c r="D985" s="129"/>
      <c r="E985" s="129"/>
      <c r="F985" s="129"/>
      <c r="G985" s="129"/>
      <c r="H985" s="129"/>
      <c r="I985" s="129"/>
      <c r="J985" s="129"/>
      <c r="K985" s="129"/>
      <c r="L985" s="129"/>
      <c r="M985" s="129"/>
      <c r="N985" s="129"/>
      <c r="O985" s="129"/>
      <c r="P985" s="129"/>
      <c r="Q985" s="129"/>
      <c r="R985" s="129"/>
      <c r="S985" s="129"/>
      <c r="T985" s="129"/>
      <c r="U985" s="129"/>
      <c r="V985" s="129"/>
      <c r="W985" s="129"/>
      <c r="X985" s="129"/>
      <c r="Y985" s="129"/>
      <c r="Z985" s="129"/>
    </row>
    <row r="986" spans="1:26" ht="15.75" hidden="1" customHeight="1" x14ac:dyDescent="0.25">
      <c r="A986" s="129"/>
      <c r="B986" s="129"/>
      <c r="C986" s="129"/>
      <c r="D986" s="129"/>
      <c r="E986" s="129"/>
      <c r="F986" s="129"/>
      <c r="G986" s="129"/>
      <c r="H986" s="129"/>
      <c r="I986" s="129"/>
      <c r="J986" s="129"/>
      <c r="K986" s="129"/>
      <c r="L986" s="129"/>
      <c r="M986" s="129"/>
      <c r="N986" s="129"/>
      <c r="O986" s="129"/>
      <c r="P986" s="129"/>
      <c r="Q986" s="129"/>
      <c r="R986" s="129"/>
      <c r="S986" s="129"/>
      <c r="T986" s="129"/>
      <c r="U986" s="129"/>
      <c r="V986" s="129"/>
      <c r="W986" s="129"/>
      <c r="X986" s="129"/>
      <c r="Y986" s="129"/>
      <c r="Z986" s="129"/>
    </row>
    <row r="987" spans="1:26" ht="15.75" hidden="1" customHeight="1" x14ac:dyDescent="0.25">
      <c r="A987" s="129"/>
      <c r="B987" s="129"/>
      <c r="C987" s="129"/>
      <c r="D987" s="129"/>
      <c r="E987" s="129"/>
      <c r="F987" s="129"/>
      <c r="G987" s="129"/>
      <c r="H987" s="129"/>
      <c r="I987" s="129"/>
      <c r="J987" s="129"/>
      <c r="K987" s="129"/>
      <c r="L987" s="129"/>
      <c r="M987" s="129"/>
      <c r="N987" s="129"/>
      <c r="O987" s="129"/>
      <c r="P987" s="129"/>
      <c r="Q987" s="129"/>
      <c r="R987" s="129"/>
      <c r="S987" s="129"/>
      <c r="T987" s="129"/>
      <c r="U987" s="129"/>
      <c r="V987" s="129"/>
      <c r="W987" s="129"/>
      <c r="X987" s="129"/>
      <c r="Y987" s="129"/>
      <c r="Z987" s="129"/>
    </row>
    <row r="988" spans="1:26" ht="15.75" hidden="1" customHeight="1" x14ac:dyDescent="0.25">
      <c r="A988" s="129"/>
      <c r="B988" s="129"/>
      <c r="C988" s="129"/>
      <c r="D988" s="129"/>
      <c r="E988" s="129"/>
      <c r="F988" s="129"/>
      <c r="G988" s="129"/>
      <c r="H988" s="129"/>
      <c r="I988" s="129"/>
      <c r="J988" s="129"/>
      <c r="K988" s="129"/>
      <c r="L988" s="129"/>
      <c r="M988" s="129"/>
      <c r="N988" s="129"/>
      <c r="O988" s="129"/>
      <c r="P988" s="129"/>
      <c r="Q988" s="129"/>
      <c r="R988" s="129"/>
      <c r="S988" s="129"/>
      <c r="T988" s="129"/>
      <c r="U988" s="129"/>
      <c r="V988" s="129"/>
      <c r="W988" s="129"/>
      <c r="X988" s="129"/>
      <c r="Y988" s="129"/>
      <c r="Z988" s="129"/>
    </row>
    <row r="989" spans="1:26" ht="15.75" hidden="1" customHeight="1" x14ac:dyDescent="0.25">
      <c r="A989" s="129"/>
      <c r="B989" s="129"/>
      <c r="C989" s="129"/>
      <c r="D989" s="129"/>
      <c r="E989" s="129"/>
      <c r="F989" s="129"/>
      <c r="G989" s="129"/>
      <c r="H989" s="129"/>
      <c r="I989" s="129"/>
      <c r="J989" s="129"/>
      <c r="K989" s="129"/>
      <c r="L989" s="129"/>
      <c r="M989" s="129"/>
      <c r="N989" s="129"/>
      <c r="O989" s="129"/>
      <c r="P989" s="129"/>
      <c r="Q989" s="129"/>
      <c r="R989" s="129"/>
      <c r="S989" s="129"/>
      <c r="T989" s="129"/>
      <c r="U989" s="129"/>
      <c r="V989" s="129"/>
      <c r="W989" s="129"/>
      <c r="X989" s="129"/>
      <c r="Y989" s="129"/>
      <c r="Z989" s="129"/>
    </row>
    <row r="990" spans="1:26" ht="15.75" hidden="1" customHeight="1" x14ac:dyDescent="0.25">
      <c r="A990" s="129"/>
      <c r="B990" s="129"/>
      <c r="C990" s="129"/>
      <c r="D990" s="129"/>
      <c r="E990" s="129"/>
      <c r="F990" s="129"/>
      <c r="G990" s="129"/>
      <c r="H990" s="129"/>
      <c r="I990" s="129"/>
      <c r="J990" s="129"/>
      <c r="K990" s="129"/>
      <c r="L990" s="129"/>
      <c r="M990" s="129"/>
      <c r="N990" s="129"/>
      <c r="O990" s="129"/>
      <c r="P990" s="129"/>
      <c r="Q990" s="129"/>
      <c r="R990" s="129"/>
      <c r="S990" s="129"/>
      <c r="T990" s="129"/>
      <c r="U990" s="129"/>
      <c r="V990" s="129"/>
      <c r="W990" s="129"/>
      <c r="X990" s="129"/>
      <c r="Y990" s="129"/>
      <c r="Z990" s="129"/>
    </row>
    <row r="991" spans="1:26" ht="15.75" hidden="1" customHeight="1" x14ac:dyDescent="0.25">
      <c r="A991" s="129"/>
      <c r="B991" s="129"/>
      <c r="C991" s="129"/>
      <c r="D991" s="129"/>
      <c r="E991" s="129"/>
      <c r="F991" s="129"/>
      <c r="G991" s="129"/>
      <c r="H991" s="129"/>
      <c r="I991" s="129"/>
      <c r="J991" s="129"/>
      <c r="K991" s="129"/>
      <c r="L991" s="129"/>
      <c r="M991" s="129"/>
      <c r="N991" s="129"/>
      <c r="O991" s="129"/>
      <c r="P991" s="129"/>
      <c r="Q991" s="129"/>
      <c r="R991" s="129"/>
      <c r="S991" s="129"/>
      <c r="T991" s="129"/>
      <c r="U991" s="129"/>
      <c r="V991" s="129"/>
      <c r="W991" s="129"/>
      <c r="X991" s="129"/>
      <c r="Y991" s="129"/>
      <c r="Z991" s="129"/>
    </row>
    <row r="992" spans="1:26" ht="15.75" hidden="1" customHeight="1" x14ac:dyDescent="0.25">
      <c r="A992" s="129"/>
      <c r="B992" s="129"/>
      <c r="C992" s="129"/>
      <c r="D992" s="129"/>
      <c r="E992" s="129"/>
      <c r="F992" s="129"/>
      <c r="G992" s="129"/>
      <c r="H992" s="129"/>
      <c r="I992" s="129"/>
      <c r="J992" s="129"/>
      <c r="K992" s="129"/>
      <c r="L992" s="129"/>
      <c r="M992" s="129"/>
      <c r="N992" s="129"/>
      <c r="O992" s="129"/>
      <c r="P992" s="129"/>
      <c r="Q992" s="129"/>
      <c r="R992" s="129"/>
      <c r="S992" s="129"/>
      <c r="T992" s="129"/>
      <c r="U992" s="129"/>
      <c r="V992" s="129"/>
      <c r="W992" s="129"/>
      <c r="X992" s="129"/>
      <c r="Y992" s="129"/>
      <c r="Z992" s="129"/>
    </row>
    <row r="993" spans="1:26" ht="15.75" hidden="1" customHeight="1" x14ac:dyDescent="0.25">
      <c r="A993" s="129"/>
      <c r="B993" s="129"/>
      <c r="C993" s="129"/>
      <c r="D993" s="129"/>
      <c r="E993" s="129"/>
      <c r="F993" s="129"/>
      <c r="G993" s="129"/>
      <c r="H993" s="129"/>
      <c r="I993" s="129"/>
      <c r="J993" s="129"/>
      <c r="K993" s="129"/>
      <c r="L993" s="129"/>
      <c r="M993" s="129"/>
      <c r="N993" s="129"/>
      <c r="O993" s="129"/>
      <c r="P993" s="129"/>
      <c r="Q993" s="129"/>
      <c r="R993" s="129"/>
      <c r="S993" s="129"/>
      <c r="T993" s="129"/>
      <c r="U993" s="129"/>
      <c r="V993" s="129"/>
      <c r="W993" s="129"/>
      <c r="X993" s="129"/>
      <c r="Y993" s="129"/>
      <c r="Z993" s="129"/>
    </row>
    <row r="994" spans="1:26" ht="15.75" hidden="1" customHeight="1" x14ac:dyDescent="0.25">
      <c r="A994" s="129"/>
      <c r="B994" s="129"/>
      <c r="C994" s="129"/>
      <c r="D994" s="129"/>
      <c r="E994" s="129"/>
      <c r="F994" s="129"/>
      <c r="G994" s="129"/>
      <c r="H994" s="129"/>
      <c r="I994" s="129"/>
      <c r="J994" s="129"/>
      <c r="K994" s="129"/>
      <c r="L994" s="129"/>
      <c r="M994" s="129"/>
      <c r="N994" s="129"/>
      <c r="O994" s="129"/>
      <c r="P994" s="129"/>
      <c r="Q994" s="129"/>
      <c r="R994" s="129"/>
      <c r="S994" s="129"/>
      <c r="T994" s="129"/>
      <c r="U994" s="129"/>
      <c r="V994" s="129"/>
      <c r="W994" s="129"/>
      <c r="X994" s="129"/>
      <c r="Y994" s="129"/>
      <c r="Z994" s="129"/>
    </row>
    <row r="995" spans="1:26" ht="15.75" hidden="1" customHeight="1" x14ac:dyDescent="0.25">
      <c r="A995" s="129"/>
      <c r="B995" s="129"/>
      <c r="C995" s="129"/>
      <c r="D995" s="129"/>
      <c r="E995" s="129"/>
      <c r="F995" s="129"/>
      <c r="G995" s="129"/>
      <c r="H995" s="129"/>
      <c r="I995" s="129"/>
      <c r="J995" s="129"/>
      <c r="K995" s="129"/>
      <c r="L995" s="129"/>
      <c r="M995" s="129"/>
      <c r="N995" s="129"/>
      <c r="O995" s="129"/>
      <c r="P995" s="129"/>
      <c r="Q995" s="129"/>
      <c r="R995" s="129"/>
      <c r="S995" s="129"/>
      <c r="T995" s="129"/>
      <c r="U995" s="129"/>
      <c r="V995" s="129"/>
      <c r="W995" s="129"/>
      <c r="X995" s="129"/>
      <c r="Y995" s="129"/>
      <c r="Z995" s="129"/>
    </row>
  </sheetData>
  <mergeCells count="16">
    <mergeCell ref="D20:E20"/>
    <mergeCell ref="C2:J2"/>
    <mergeCell ref="D4:J4"/>
    <mergeCell ref="D6:H6"/>
    <mergeCell ref="D8:H8"/>
    <mergeCell ref="B10:J10"/>
    <mergeCell ref="B11:B12"/>
    <mergeCell ref="C11:C12"/>
    <mergeCell ref="D11:D12"/>
    <mergeCell ref="E11:E12"/>
    <mergeCell ref="F11:F12"/>
    <mergeCell ref="G11:H11"/>
    <mergeCell ref="J11:J12"/>
    <mergeCell ref="B17:J17"/>
    <mergeCell ref="C18:F18"/>
    <mergeCell ref="D19:E19"/>
  </mergeCells>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31</vt:i4>
      </vt:variant>
    </vt:vector>
  </HeadingPairs>
  <TitlesOfParts>
    <vt:vector size="50" baseType="lpstr">
      <vt:lpstr>PAI 2022 - V4</vt:lpstr>
      <vt:lpstr>Matriz de Seguimiento</vt:lpstr>
      <vt:lpstr>HV</vt:lpstr>
      <vt:lpstr>Procesos</vt:lpstr>
      <vt:lpstr>AN-01 PFI</vt:lpstr>
      <vt:lpstr>AN-02 PETI</vt:lpstr>
      <vt:lpstr>AN-03 PSPI</vt:lpstr>
      <vt:lpstr>AN-04 PTRSI</vt:lpstr>
      <vt:lpstr>AN-05 PINAR </vt:lpstr>
      <vt:lpstr>AN-06 PIC</vt:lpstr>
      <vt:lpstr>AN-07 PERH</vt:lpstr>
      <vt:lpstr>AN-08 PBI</vt:lpstr>
      <vt:lpstr>AN-09 SG-SST</vt:lpstr>
      <vt:lpstr>ODS</vt:lpstr>
      <vt:lpstr>PDD</vt:lpstr>
      <vt:lpstr>MIPG</vt:lpstr>
      <vt:lpstr>Listas</vt:lpstr>
      <vt:lpstr>Resultados</vt:lpstr>
      <vt:lpstr>Gráficos y Tablas</vt:lpstr>
      <vt:lpstr>'Gráficos y Tablas'!Área_de_impresión</vt:lpstr>
      <vt:lpstr>Comunicaciones</vt:lpstr>
      <vt:lpstr>Control_Interno</vt:lpstr>
      <vt:lpstr>Digital</vt:lpstr>
      <vt:lpstr>Gerencia</vt:lpstr>
      <vt:lpstr>Gestión_Ambiental</vt:lpstr>
      <vt:lpstr>Gestión_Documental</vt:lpstr>
      <vt:lpstr>OBJETIVOS</vt:lpstr>
      <vt:lpstr>OE_1</vt:lpstr>
      <vt:lpstr>OE_2</vt:lpstr>
      <vt:lpstr>OE_3</vt:lpstr>
      <vt:lpstr>OE_4</vt:lpstr>
      <vt:lpstr>OE_5</vt:lpstr>
      <vt:lpstr>PERIODICIDAD</vt:lpstr>
      <vt:lpstr>Planeación</vt:lpstr>
      <vt:lpstr>Producción</vt:lpstr>
      <vt:lpstr>Programación</vt:lpstr>
      <vt:lpstr>Proyectos_Estratégicos</vt:lpstr>
      <vt:lpstr>Resultados</vt:lpstr>
      <vt:lpstr>Secretaría_General</vt:lpstr>
      <vt:lpstr>Servicio_Ciudadano</vt:lpstr>
      <vt:lpstr>Servicios_Administrativos</vt:lpstr>
      <vt:lpstr>Sistemas</vt:lpstr>
      <vt:lpstr>Subdirección_Administrativa</vt:lpstr>
      <vt:lpstr>Subdirección_Financiera</vt:lpstr>
      <vt:lpstr>Talento_Humano</vt:lpstr>
      <vt:lpstr>Técnica</vt:lpstr>
      <vt:lpstr>TENDENCIA</vt:lpstr>
      <vt:lpstr>TIPO</vt:lpstr>
      <vt:lpstr>'AN-01 PFI'!Títulos_a_imprimir</vt:lpstr>
      <vt:lpstr>'Matriz de Seguimiento'!Títulos_a_imprimir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Guillermo Roncancio Herrera</dc:creator>
  <cp:lastModifiedBy>John Fredy García López</cp:lastModifiedBy>
  <cp:lastPrinted>2023-01-31T21:09:35Z</cp:lastPrinted>
  <dcterms:created xsi:type="dcterms:W3CDTF">2020-03-06T14:30:33Z</dcterms:created>
  <dcterms:modified xsi:type="dcterms:W3CDTF">2023-01-31T21:18:56Z</dcterms:modified>
</cp:coreProperties>
</file>