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y Drive\Quality of Earnings\0000 - Templates\"/>
    </mc:Choice>
  </mc:AlternateContent>
  <xr:revisionPtr revIDLastSave="0" documentId="13_ncr:1_{E0CC9896-6153-4AE8-B92F-B22169F5BD83}" xr6:coauthVersionLast="47" xr6:coauthVersionMax="47" xr10:uidLastSave="{00000000-0000-0000-0000-000000000000}"/>
  <bookViews>
    <workbookView xWindow="57480" yWindow="-1815" windowWidth="29040" windowHeight="15720" xr2:uid="{903F4943-32B2-41D6-A4A6-50EF32CA1F4E}"/>
  </bookViews>
  <sheets>
    <sheet name="Request List" sheetId="1" r:id="rId1"/>
    <sheet name="1. P&amp;L Example" sheetId="2" r:id="rId2"/>
    <sheet name="2. BS Example" sheetId="3" r:id="rId3"/>
  </sheets>
  <definedNames>
    <definedName name="_xlnm.Print_Titles" localSheetId="1">'1. P&amp;L Example'!$A:$G,'1. P&amp;L Example'!$1:$1</definedName>
    <definedName name="QB_COLUMN_2921" localSheetId="1" hidden="1">'1. P&amp;L Example'!$H$1</definedName>
    <definedName name="QB_COLUMN_29210" localSheetId="1" hidden="1">'1. P&amp;L Example'!$Z$1</definedName>
    <definedName name="QB_COLUMN_29211" localSheetId="1" hidden="1">'1. P&amp;L Example'!$AB$1</definedName>
    <definedName name="QB_COLUMN_29212" localSheetId="1" hidden="1">'1. P&amp;L Example'!$AD$1</definedName>
    <definedName name="QB_COLUMN_29213" localSheetId="1" hidden="1">'1. P&amp;L Example'!$AF$1</definedName>
    <definedName name="QB_COLUMN_29214" localSheetId="1" hidden="1">'1. P&amp;L Example'!$AH$1</definedName>
    <definedName name="QB_COLUMN_29215" localSheetId="1" hidden="1">'1. P&amp;L Example'!$AJ$1</definedName>
    <definedName name="QB_COLUMN_29216" localSheetId="1" hidden="1">'1. P&amp;L Example'!$AL$1</definedName>
    <definedName name="QB_COLUMN_29217" localSheetId="1" hidden="1">'1. P&amp;L Example'!$AN$1</definedName>
    <definedName name="QB_COLUMN_29218" localSheetId="1" hidden="1">'1. P&amp;L Example'!$AP$1</definedName>
    <definedName name="QB_COLUMN_29219" localSheetId="1" hidden="1">'1. P&amp;L Example'!$AR$1</definedName>
    <definedName name="QB_COLUMN_2922" localSheetId="1" hidden="1">'1. P&amp;L Example'!$J$1</definedName>
    <definedName name="QB_COLUMN_29220" localSheetId="1" hidden="1">'1. P&amp;L Example'!$AT$1</definedName>
    <definedName name="QB_COLUMN_29221" localSheetId="1" hidden="1">'1. P&amp;L Example'!$AV$1</definedName>
    <definedName name="QB_COLUMN_29222" localSheetId="1" hidden="1">'1. P&amp;L Example'!$AX$1</definedName>
    <definedName name="QB_COLUMN_29223" localSheetId="1" hidden="1">'1. P&amp;L Example'!$AZ$1</definedName>
    <definedName name="QB_COLUMN_29224" localSheetId="1" hidden="1">'1. P&amp;L Example'!$BB$1</definedName>
    <definedName name="QB_COLUMN_29225" localSheetId="1" hidden="1">'1. P&amp;L Example'!$BD$1</definedName>
    <definedName name="QB_COLUMN_29226" localSheetId="1" hidden="1">'1. P&amp;L Example'!$BF$1</definedName>
    <definedName name="QB_COLUMN_29227" localSheetId="1" hidden="1">'1. P&amp;L Example'!$BH$1</definedName>
    <definedName name="QB_COLUMN_29228" localSheetId="1" hidden="1">'1. P&amp;L Example'!$BJ$1</definedName>
    <definedName name="QB_COLUMN_29229" localSheetId="1" hidden="1">'1. P&amp;L Example'!$BL$1</definedName>
    <definedName name="QB_COLUMN_2923" localSheetId="1" hidden="1">'1. P&amp;L Example'!$L$1</definedName>
    <definedName name="QB_COLUMN_29230" localSheetId="1" hidden="1">'1. P&amp;L Example'!$BN$1</definedName>
    <definedName name="QB_COLUMN_29231" localSheetId="1" hidden="1">'1. P&amp;L Example'!$BP$1</definedName>
    <definedName name="QB_COLUMN_29232" localSheetId="1" hidden="1">'1. P&amp;L Example'!$BR$1</definedName>
    <definedName name="QB_COLUMN_29233" localSheetId="1" hidden="1">'1. P&amp;L Example'!$BT$1</definedName>
    <definedName name="QB_COLUMN_29234" localSheetId="1" hidden="1">'1. P&amp;L Example'!$BV$1</definedName>
    <definedName name="QB_COLUMN_29235" localSheetId="1" hidden="1">'1. P&amp;L Example'!$BX$1</definedName>
    <definedName name="QB_COLUMN_29236" localSheetId="1" hidden="1">'1. P&amp;L Example'!$BZ$1</definedName>
    <definedName name="QB_COLUMN_29237" localSheetId="1" hidden="1">'1. P&amp;L Example'!$CB$1</definedName>
    <definedName name="QB_COLUMN_29238" localSheetId="1" hidden="1">'1. P&amp;L Example'!$CD$1</definedName>
    <definedName name="QB_COLUMN_29239" localSheetId="1" hidden="1">'1. P&amp;L Example'!$CF$1</definedName>
    <definedName name="QB_COLUMN_2924" localSheetId="1" hidden="1">'1. P&amp;L Example'!$N$1</definedName>
    <definedName name="QB_COLUMN_29240" localSheetId="1" hidden="1">'1. P&amp;L Example'!$CH$1</definedName>
    <definedName name="QB_COLUMN_29241" localSheetId="1" hidden="1">'1. P&amp;L Example'!$CJ$1</definedName>
    <definedName name="QB_COLUMN_29242" localSheetId="1" hidden="1">'1. P&amp;L Example'!$CL$1</definedName>
    <definedName name="QB_COLUMN_2925" localSheetId="1" hidden="1">'1. P&amp;L Example'!$P$1</definedName>
    <definedName name="QB_COLUMN_2926" localSheetId="1" hidden="1">'1. P&amp;L Example'!$R$1</definedName>
    <definedName name="QB_COLUMN_2927" localSheetId="1" hidden="1">'1. P&amp;L Example'!$T$1</definedName>
    <definedName name="QB_COLUMN_2928" localSheetId="1" hidden="1">'1. P&amp;L Example'!$V$1</definedName>
    <definedName name="QB_COLUMN_2929" localSheetId="1" hidden="1">'1. P&amp;L Example'!$X$1</definedName>
    <definedName name="QB_COLUMN_2930" localSheetId="1" hidden="1">'1. P&amp;L Example'!$CN$1</definedName>
    <definedName name="QB_DATA_0" localSheetId="1" hidden="1">'1. P&amp;L Example'!$4:$4,'1. P&amp;L Example'!$5:$5,'1. P&amp;L Example'!$6:$6,'1. P&amp;L Example'!$7:$7,'1. P&amp;L Example'!$10:$10,'1. P&amp;L Example'!$11:$11,'1. P&amp;L Example'!$15:$15,'1. P&amp;L Example'!$16:$16,'1. P&amp;L Example'!$17:$17,'1. P&amp;L Example'!$18:$18,'1. P&amp;L Example'!$19:$19,'1. P&amp;L Example'!$20:$20,'1. P&amp;L Example'!$21:$21,'1. P&amp;L Example'!$22:$22,'1. P&amp;L Example'!$23:$23,'1. P&amp;L Example'!$24:$24</definedName>
    <definedName name="QB_DATA_1" localSheetId="1" hidden="1">'1. P&amp;L Example'!$25:$25,'1. P&amp;L Example'!$26:$26,'1. P&amp;L Example'!$27:$27,'1. P&amp;L Example'!$28:$28,'1. P&amp;L Example'!$30:$30,'1. P&amp;L Example'!$31:$31,'1. P&amp;L Example'!$33:$33,'1. P&amp;L Example'!$35:$35,'1. P&amp;L Example'!$36:$36,'1. P&amp;L Example'!$39:$39,'1. P&amp;L Example'!$40:$40,'1. P&amp;L Example'!$41:$41,'1. P&amp;L Example'!$42:$42,'1. P&amp;L Example'!$43:$43,'1. P&amp;L Example'!$44:$44,'1. P&amp;L Example'!$45:$45</definedName>
    <definedName name="QB_DATA_2" localSheetId="1" hidden="1">'1. P&amp;L Example'!$47:$47,'1. P&amp;L Example'!$49:$49,'1. P&amp;L Example'!$50:$50,'1. P&amp;L Example'!$51:$51,'1. P&amp;L Example'!$53:$53,'1. P&amp;L Example'!$55:$55,'1. P&amp;L Example'!$56:$56,'1. P&amp;L Example'!$57:$57,'1. P&amp;L Example'!$59:$59,'1. P&amp;L Example'!$61:$61,'1. P&amp;L Example'!$62:$62,'1. P&amp;L Example'!$65:$65,'1. P&amp;L Example'!$66:$66,'1. P&amp;L Example'!$69:$69,'1. P&amp;L Example'!$70:$70,'1. P&amp;L Example'!$71:$71</definedName>
    <definedName name="QB_DATA_3" localSheetId="1" hidden="1">'1. P&amp;L Example'!$72:$72,'1. P&amp;L Example'!$73:$73,'1. P&amp;L Example'!$74:$74,'1. P&amp;L Example'!$75:$75,'1. P&amp;L Example'!$76:$76,'1. P&amp;L Example'!$77:$77,'1. P&amp;L Example'!$78:$78,'1. P&amp;L Example'!$79:$79,'1. P&amp;L Example'!$80:$80,'1. P&amp;L Example'!$81:$81,'1. P&amp;L Example'!$83:$83,'1. P&amp;L Example'!$84:$84,'1. P&amp;L Example'!$86:$86,'1. P&amp;L Example'!$88:$88,'1. P&amp;L Example'!$89:$89,'1. P&amp;L Example'!$91:$91</definedName>
    <definedName name="QB_DATA_4" localSheetId="1" hidden="1">'1. P&amp;L Example'!$92:$92,'1. P&amp;L Example'!$94:$94,'1. P&amp;L Example'!$96:$96,'1. P&amp;L Example'!$97:$97,'1. P&amp;L Example'!$98:$98,'1. P&amp;L Example'!$99:$99,'1. P&amp;L Example'!$101:$101,'1. P&amp;L Example'!$102:$102,'1. P&amp;L Example'!$103:$103,'1. P&amp;L Example'!$104:$104,'1. P&amp;L Example'!$106:$106,'1. P&amp;L Example'!$107:$107,'1. P&amp;L Example'!$108:$108,'1. P&amp;L Example'!$109:$109,'1. P&amp;L Example'!$110:$110,'1. P&amp;L Example'!$111:$111</definedName>
    <definedName name="QB_DATA_5" localSheetId="1" hidden="1">'1. P&amp;L Example'!$117:$117,'1. P&amp;L Example'!$118:$118,'1. P&amp;L Example'!$119:$119,'1. P&amp;L Example'!$122:$122</definedName>
    <definedName name="QB_FORMULA_0" localSheetId="1" hidden="1">'1. P&amp;L Example'!$CN$4,'1. P&amp;L Example'!$CN$5,'1. P&amp;L Example'!$CN$6,'1. P&amp;L Example'!$CN$7,'1. P&amp;L Example'!$H$8,'1. P&amp;L Example'!$J$8,'1. P&amp;L Example'!$L$8,'1. P&amp;L Example'!$N$8,'1. P&amp;L Example'!$P$8,'1. P&amp;L Example'!$R$8,'1. P&amp;L Example'!$T$8,'1. P&amp;L Example'!$V$8,'1. P&amp;L Example'!$X$8,'1. P&amp;L Example'!$Z$8,'1. P&amp;L Example'!$AB$8,'1. P&amp;L Example'!$AD$8</definedName>
    <definedName name="QB_FORMULA_1" localSheetId="1" hidden="1">'1. P&amp;L Example'!$AF$8,'1. P&amp;L Example'!$AH$8,'1. P&amp;L Example'!$AJ$8,'1. P&amp;L Example'!$AL$8,'1. P&amp;L Example'!$AN$8,'1. P&amp;L Example'!$AP$8,'1. P&amp;L Example'!$AR$8,'1. P&amp;L Example'!$AT$8,'1. P&amp;L Example'!$AV$8,'1. P&amp;L Example'!$AX$8,'1. P&amp;L Example'!$AZ$8,'1. P&amp;L Example'!$BB$8,'1. P&amp;L Example'!$BD$8,'1. P&amp;L Example'!$BF$8,'1. P&amp;L Example'!$BH$8,'1. P&amp;L Example'!$BJ$8</definedName>
    <definedName name="QB_FORMULA_10" localSheetId="1" hidden="1">'1. P&amp;L Example'!$Z$32,'1. P&amp;L Example'!$AB$32,'1. P&amp;L Example'!$AD$32,'1. P&amp;L Example'!$AF$32,'1. P&amp;L Example'!$AH$32,'1. P&amp;L Example'!$AJ$32,'1. P&amp;L Example'!$AL$32,'1. P&amp;L Example'!$AN$32,'1. P&amp;L Example'!$AP$32,'1. P&amp;L Example'!$AR$32,'1. P&amp;L Example'!$AT$32,'1. P&amp;L Example'!$AV$32,'1. P&amp;L Example'!$AX$32,'1. P&amp;L Example'!$AZ$32,'1. P&amp;L Example'!$BB$32,'1. P&amp;L Example'!$BD$32</definedName>
    <definedName name="QB_FORMULA_11" localSheetId="1" hidden="1">'1. P&amp;L Example'!$BF$32,'1. P&amp;L Example'!$BH$32,'1. P&amp;L Example'!$BJ$32,'1. P&amp;L Example'!$BL$32,'1. P&amp;L Example'!$BN$32,'1. P&amp;L Example'!$BP$32,'1. P&amp;L Example'!$BR$32,'1. P&amp;L Example'!$BT$32,'1. P&amp;L Example'!$BV$32,'1. P&amp;L Example'!$BX$32,'1. P&amp;L Example'!$BZ$32,'1. P&amp;L Example'!$CB$32,'1. P&amp;L Example'!$CD$32,'1. P&amp;L Example'!$CF$32,'1. P&amp;L Example'!$CH$32,'1. P&amp;L Example'!$CJ$32</definedName>
    <definedName name="QB_FORMULA_12" localSheetId="1" hidden="1">'1. P&amp;L Example'!$CL$32,'1. P&amp;L Example'!$CN$32,'1. P&amp;L Example'!$CN$33,'1. P&amp;L Example'!$CN$35,'1. P&amp;L Example'!$CN$36,'1. P&amp;L Example'!$H$37,'1. P&amp;L Example'!$J$37,'1. P&amp;L Example'!$L$37,'1. P&amp;L Example'!$N$37,'1. P&amp;L Example'!$P$37,'1. P&amp;L Example'!$R$37,'1. P&amp;L Example'!$T$37,'1. P&amp;L Example'!$V$37,'1. P&amp;L Example'!$X$37,'1. P&amp;L Example'!$Z$37,'1. P&amp;L Example'!$AB$37</definedName>
    <definedName name="QB_FORMULA_13" localSheetId="1" hidden="1">'1. P&amp;L Example'!$AD$37,'1. P&amp;L Example'!$AF$37,'1. P&amp;L Example'!$AH$37,'1. P&amp;L Example'!$AJ$37,'1. P&amp;L Example'!$AL$37,'1. P&amp;L Example'!$AN$37,'1. P&amp;L Example'!$AP$37,'1. P&amp;L Example'!$AR$37,'1. P&amp;L Example'!$AT$37,'1. P&amp;L Example'!$AV$37,'1. P&amp;L Example'!$AX$37,'1. P&amp;L Example'!$AZ$37,'1. P&amp;L Example'!$BB$37,'1. P&amp;L Example'!$BD$37,'1. P&amp;L Example'!$BF$37,'1. P&amp;L Example'!$BH$37</definedName>
    <definedName name="QB_FORMULA_14" localSheetId="1" hidden="1">'1. P&amp;L Example'!$BJ$37,'1. P&amp;L Example'!$BL$37,'1. P&amp;L Example'!$BN$37,'1. P&amp;L Example'!$BP$37,'1. P&amp;L Example'!$BR$37,'1. P&amp;L Example'!$BT$37,'1. P&amp;L Example'!$BV$37,'1. P&amp;L Example'!$BX$37,'1. P&amp;L Example'!$BZ$37,'1. P&amp;L Example'!$CB$37,'1. P&amp;L Example'!$CD$37,'1. P&amp;L Example'!$CF$37,'1. P&amp;L Example'!$CH$37,'1. P&amp;L Example'!$CJ$37,'1. P&amp;L Example'!$CL$37,'1. P&amp;L Example'!$CN$37</definedName>
    <definedName name="QB_FORMULA_15" localSheetId="1" hidden="1">'1. P&amp;L Example'!$CN$39,'1. P&amp;L Example'!$CN$40,'1. P&amp;L Example'!$CN$41,'1. P&amp;L Example'!$CN$42,'1. P&amp;L Example'!$CN$43,'1. P&amp;L Example'!$CN$44,'1. P&amp;L Example'!$CN$45,'1. P&amp;L Example'!$H$46,'1. P&amp;L Example'!$J$46,'1. P&amp;L Example'!$L$46,'1. P&amp;L Example'!$N$46,'1. P&amp;L Example'!$P$46,'1. P&amp;L Example'!$R$46,'1. P&amp;L Example'!$T$46,'1. P&amp;L Example'!$V$46,'1. P&amp;L Example'!$X$46</definedName>
    <definedName name="QB_FORMULA_16" localSheetId="1" hidden="1">'1. P&amp;L Example'!$Z$46,'1. P&amp;L Example'!$AB$46,'1. P&amp;L Example'!$AD$46,'1. P&amp;L Example'!$AF$46,'1. P&amp;L Example'!$AH$46,'1. P&amp;L Example'!$AJ$46,'1. P&amp;L Example'!$AL$46,'1. P&amp;L Example'!$AN$46,'1. P&amp;L Example'!$AP$46,'1. P&amp;L Example'!$AR$46,'1. P&amp;L Example'!$AT$46,'1. P&amp;L Example'!$AV$46,'1. P&amp;L Example'!$AX$46,'1. P&amp;L Example'!$AZ$46,'1. P&amp;L Example'!$BB$46,'1. P&amp;L Example'!$BD$46</definedName>
    <definedName name="QB_FORMULA_17" localSheetId="1" hidden="1">'1. P&amp;L Example'!$BF$46,'1. P&amp;L Example'!$BH$46,'1. P&amp;L Example'!$BJ$46,'1. P&amp;L Example'!$BL$46,'1. P&amp;L Example'!$BN$46,'1. P&amp;L Example'!$BP$46,'1. P&amp;L Example'!$BR$46,'1. P&amp;L Example'!$BT$46,'1. P&amp;L Example'!$BV$46,'1. P&amp;L Example'!$BX$46,'1. P&amp;L Example'!$BZ$46,'1. P&amp;L Example'!$CB$46,'1. P&amp;L Example'!$CD$46,'1. P&amp;L Example'!$CF$46,'1. P&amp;L Example'!$CH$46,'1. P&amp;L Example'!$CJ$46</definedName>
    <definedName name="QB_FORMULA_18" localSheetId="1" hidden="1">'1. P&amp;L Example'!$CL$46,'1. P&amp;L Example'!$CN$46,'1. P&amp;L Example'!$CN$47,'1. P&amp;L Example'!$CN$49,'1. P&amp;L Example'!$CN$50,'1. P&amp;L Example'!$CN$51,'1. P&amp;L Example'!$H$52,'1. P&amp;L Example'!$J$52,'1. P&amp;L Example'!$L$52,'1. P&amp;L Example'!$N$52,'1. P&amp;L Example'!$P$52,'1. P&amp;L Example'!$R$52,'1. P&amp;L Example'!$T$52,'1. P&amp;L Example'!$V$52,'1. P&amp;L Example'!$X$52,'1. P&amp;L Example'!$Z$52</definedName>
    <definedName name="QB_FORMULA_19" localSheetId="1" hidden="1">'1. P&amp;L Example'!$AB$52,'1. P&amp;L Example'!$AD$52,'1. P&amp;L Example'!$AF$52,'1. P&amp;L Example'!$AH$52,'1. P&amp;L Example'!$AJ$52,'1. P&amp;L Example'!$AL$52,'1. P&amp;L Example'!$AN$52,'1. P&amp;L Example'!$AP$52,'1. P&amp;L Example'!$AR$52,'1. P&amp;L Example'!$AT$52,'1. P&amp;L Example'!$AV$52,'1. P&amp;L Example'!$AX$52,'1. P&amp;L Example'!$AZ$52,'1. P&amp;L Example'!$BB$52,'1. P&amp;L Example'!$BD$52,'1. P&amp;L Example'!$BF$52</definedName>
    <definedName name="QB_FORMULA_2" localSheetId="1" hidden="1">'1. P&amp;L Example'!$BL$8,'1. P&amp;L Example'!$BN$8,'1. P&amp;L Example'!$BP$8,'1. P&amp;L Example'!$BR$8,'1. P&amp;L Example'!$BT$8,'1. P&amp;L Example'!$BV$8,'1. P&amp;L Example'!$BX$8,'1. P&amp;L Example'!$BZ$8,'1. P&amp;L Example'!$CB$8,'1. P&amp;L Example'!$CD$8,'1. P&amp;L Example'!$CF$8,'1. P&amp;L Example'!$CH$8,'1. P&amp;L Example'!$CJ$8,'1. P&amp;L Example'!$CL$8,'1. P&amp;L Example'!$CN$8,'1. P&amp;L Example'!$CN$10</definedName>
    <definedName name="QB_FORMULA_20" localSheetId="1" hidden="1">'1. P&amp;L Example'!$BH$52,'1. P&amp;L Example'!$BJ$52,'1. P&amp;L Example'!$BL$52,'1. P&amp;L Example'!$BN$52,'1. P&amp;L Example'!$BP$52,'1. P&amp;L Example'!$BR$52,'1. P&amp;L Example'!$BT$52,'1. P&amp;L Example'!$BV$52,'1. P&amp;L Example'!$BX$52,'1. P&amp;L Example'!$BZ$52,'1. P&amp;L Example'!$CB$52,'1. P&amp;L Example'!$CD$52,'1. P&amp;L Example'!$CF$52,'1. P&amp;L Example'!$CH$52,'1. P&amp;L Example'!$CJ$52,'1. P&amp;L Example'!$CL$52</definedName>
    <definedName name="QB_FORMULA_21" localSheetId="1" hidden="1">'1. P&amp;L Example'!$CN$52,'1. P&amp;L Example'!$CN$53,'1. P&amp;L Example'!$CN$55,'1. P&amp;L Example'!$CN$56,'1. P&amp;L Example'!$CN$57,'1. P&amp;L Example'!$H$58,'1. P&amp;L Example'!$J$58,'1. P&amp;L Example'!$L$58,'1. P&amp;L Example'!$N$58,'1. P&amp;L Example'!$P$58,'1. P&amp;L Example'!$R$58,'1. P&amp;L Example'!$T$58,'1. P&amp;L Example'!$V$58,'1. P&amp;L Example'!$X$58,'1. P&amp;L Example'!$Z$58,'1. P&amp;L Example'!$AB$58</definedName>
    <definedName name="QB_FORMULA_22" localSheetId="1" hidden="1">'1. P&amp;L Example'!$AD$58,'1. P&amp;L Example'!$AF$58,'1. P&amp;L Example'!$AH$58,'1. P&amp;L Example'!$AJ$58,'1. P&amp;L Example'!$AL$58,'1. P&amp;L Example'!$AN$58,'1. P&amp;L Example'!$AP$58,'1. P&amp;L Example'!$AR$58,'1. P&amp;L Example'!$AT$58,'1. P&amp;L Example'!$AV$58,'1. P&amp;L Example'!$AX$58,'1. P&amp;L Example'!$AZ$58,'1. P&amp;L Example'!$BB$58,'1. P&amp;L Example'!$BD$58,'1. P&amp;L Example'!$BF$58,'1. P&amp;L Example'!$BH$58</definedName>
    <definedName name="QB_FORMULA_23" localSheetId="1" hidden="1">'1. P&amp;L Example'!$BJ$58,'1. P&amp;L Example'!$BL$58,'1. P&amp;L Example'!$BN$58,'1. P&amp;L Example'!$BP$58,'1. P&amp;L Example'!$BR$58,'1. P&amp;L Example'!$BT$58,'1. P&amp;L Example'!$BV$58,'1. P&amp;L Example'!$BX$58,'1. P&amp;L Example'!$BZ$58,'1. P&amp;L Example'!$CB$58,'1. P&amp;L Example'!$CD$58,'1. P&amp;L Example'!$CF$58,'1. P&amp;L Example'!$CH$58,'1. P&amp;L Example'!$CJ$58,'1. P&amp;L Example'!$CL$58,'1. P&amp;L Example'!$CN$58</definedName>
    <definedName name="QB_FORMULA_24" localSheetId="1" hidden="1">'1. P&amp;L Example'!$CN$59,'1. P&amp;L Example'!$CN$61,'1. P&amp;L Example'!$CN$62,'1. P&amp;L Example'!$H$63,'1. P&amp;L Example'!$J$63,'1. P&amp;L Example'!$L$63,'1. P&amp;L Example'!$N$63,'1. P&amp;L Example'!$P$63,'1. P&amp;L Example'!$R$63,'1. P&amp;L Example'!$T$63,'1. P&amp;L Example'!$V$63,'1. P&amp;L Example'!$X$63,'1. P&amp;L Example'!$Z$63,'1. P&amp;L Example'!$AB$63,'1. P&amp;L Example'!$AD$63,'1. P&amp;L Example'!$AF$63</definedName>
    <definedName name="QB_FORMULA_25" localSheetId="1" hidden="1">'1. P&amp;L Example'!$AH$63,'1. P&amp;L Example'!$AJ$63,'1. P&amp;L Example'!$AL$63,'1. P&amp;L Example'!$AN$63,'1. P&amp;L Example'!$AP$63,'1. P&amp;L Example'!$AR$63,'1. P&amp;L Example'!$AT$63,'1. P&amp;L Example'!$AV$63,'1. P&amp;L Example'!$AX$63,'1. P&amp;L Example'!$AZ$63,'1. P&amp;L Example'!$BB$63,'1. P&amp;L Example'!$BD$63,'1. P&amp;L Example'!$BF$63,'1. P&amp;L Example'!$BH$63,'1. P&amp;L Example'!$BJ$63,'1. P&amp;L Example'!$BL$63</definedName>
    <definedName name="QB_FORMULA_26" localSheetId="1" hidden="1">'1. P&amp;L Example'!$BN$63,'1. P&amp;L Example'!$BP$63,'1. P&amp;L Example'!$BR$63,'1. P&amp;L Example'!$BT$63,'1. P&amp;L Example'!$BV$63,'1. P&amp;L Example'!$BX$63,'1. P&amp;L Example'!$BZ$63,'1. P&amp;L Example'!$CB$63,'1. P&amp;L Example'!$CD$63,'1. P&amp;L Example'!$CF$63,'1. P&amp;L Example'!$CH$63,'1. P&amp;L Example'!$CJ$63,'1. P&amp;L Example'!$CL$63,'1. P&amp;L Example'!$CN$63,'1. P&amp;L Example'!$CN$65,'1. P&amp;L Example'!$CN$66</definedName>
    <definedName name="QB_FORMULA_27" localSheetId="1" hidden="1">'1. P&amp;L Example'!$H$67,'1. P&amp;L Example'!$J$67,'1. P&amp;L Example'!$L$67,'1. P&amp;L Example'!$N$67,'1. P&amp;L Example'!$P$67,'1. P&amp;L Example'!$R$67,'1. P&amp;L Example'!$T$67,'1. P&amp;L Example'!$V$67,'1. P&amp;L Example'!$X$67,'1. P&amp;L Example'!$Z$67,'1. P&amp;L Example'!$AB$67,'1. P&amp;L Example'!$AD$67,'1. P&amp;L Example'!$AF$67,'1. P&amp;L Example'!$AH$67,'1. P&amp;L Example'!$AJ$67,'1. P&amp;L Example'!$AL$67</definedName>
    <definedName name="QB_FORMULA_28" localSheetId="1" hidden="1">'1. P&amp;L Example'!$AN$67,'1. P&amp;L Example'!$AP$67,'1. P&amp;L Example'!$AR$67,'1. P&amp;L Example'!$AT$67,'1. P&amp;L Example'!$AV$67,'1. P&amp;L Example'!$AX$67,'1. P&amp;L Example'!$AZ$67,'1. P&amp;L Example'!$BB$67,'1. P&amp;L Example'!$BD$67,'1. P&amp;L Example'!$BF$67,'1. P&amp;L Example'!$BH$67,'1. P&amp;L Example'!$BJ$67,'1. P&amp;L Example'!$BL$67,'1. P&amp;L Example'!$BN$67,'1. P&amp;L Example'!$BP$67,'1. P&amp;L Example'!$BR$67</definedName>
    <definedName name="QB_FORMULA_29" localSheetId="1" hidden="1">'1. P&amp;L Example'!$BT$67,'1. P&amp;L Example'!$BV$67,'1. P&amp;L Example'!$BX$67,'1. P&amp;L Example'!$BZ$67,'1. P&amp;L Example'!$CB$67,'1. P&amp;L Example'!$CD$67,'1. P&amp;L Example'!$CF$67,'1. P&amp;L Example'!$CH$67,'1. P&amp;L Example'!$CJ$67,'1. P&amp;L Example'!$CL$67,'1. P&amp;L Example'!$CN$67,'1. P&amp;L Example'!$CN$69,'1. P&amp;L Example'!$CN$70,'1. P&amp;L Example'!$CN$71,'1. P&amp;L Example'!$CN$72,'1. P&amp;L Example'!$CN$73</definedName>
    <definedName name="QB_FORMULA_3" localSheetId="1" hidden="1">'1. P&amp;L Example'!$CN$11,'1. P&amp;L Example'!$H$12,'1. P&amp;L Example'!$J$12,'1. P&amp;L Example'!$L$12,'1. P&amp;L Example'!$N$12,'1. P&amp;L Example'!$P$12,'1. P&amp;L Example'!$R$12,'1. P&amp;L Example'!$T$12,'1. P&amp;L Example'!$V$12,'1. P&amp;L Example'!$X$12,'1. P&amp;L Example'!$Z$12,'1. P&amp;L Example'!$AB$12,'1. P&amp;L Example'!$AD$12,'1. P&amp;L Example'!$AF$12,'1. P&amp;L Example'!$AH$12,'1. P&amp;L Example'!$AJ$12</definedName>
    <definedName name="QB_FORMULA_30" localSheetId="1" hidden="1">'1. P&amp;L Example'!$CN$74,'1. P&amp;L Example'!$CN$75,'1. P&amp;L Example'!$CN$76,'1. P&amp;L Example'!$CN$77,'1. P&amp;L Example'!$CN$78,'1. P&amp;L Example'!$CN$79,'1. P&amp;L Example'!$CN$80,'1. P&amp;L Example'!$CN$81,'1. P&amp;L Example'!$H$82,'1. P&amp;L Example'!$J$82,'1. P&amp;L Example'!$L$82,'1. P&amp;L Example'!$N$82,'1. P&amp;L Example'!$P$82,'1. P&amp;L Example'!$R$82,'1. P&amp;L Example'!$T$82,'1. P&amp;L Example'!$V$82</definedName>
    <definedName name="QB_FORMULA_31" localSheetId="1" hidden="1">'1. P&amp;L Example'!$X$82,'1. P&amp;L Example'!$Z$82,'1. P&amp;L Example'!$AB$82,'1. P&amp;L Example'!$AD$82,'1. P&amp;L Example'!$AF$82,'1. P&amp;L Example'!$AH$82,'1. P&amp;L Example'!$AJ$82,'1. P&amp;L Example'!$AL$82,'1. P&amp;L Example'!$AN$82,'1. P&amp;L Example'!$AP$82,'1. P&amp;L Example'!$AR$82,'1. P&amp;L Example'!$AT$82,'1. P&amp;L Example'!$AV$82,'1. P&amp;L Example'!$AX$82,'1. P&amp;L Example'!$AZ$82,'1. P&amp;L Example'!$BB$82</definedName>
    <definedName name="QB_FORMULA_32" localSheetId="1" hidden="1">'1. P&amp;L Example'!$BD$82,'1. P&amp;L Example'!$BF$82,'1. P&amp;L Example'!$BH$82,'1. P&amp;L Example'!$BJ$82,'1. P&amp;L Example'!$BL$82,'1. P&amp;L Example'!$BN$82,'1. P&amp;L Example'!$BP$82,'1. P&amp;L Example'!$BR$82,'1. P&amp;L Example'!$BT$82,'1. P&amp;L Example'!$BV$82,'1. P&amp;L Example'!$BX$82,'1. P&amp;L Example'!$BZ$82,'1. P&amp;L Example'!$CB$82,'1. P&amp;L Example'!$CD$82,'1. P&amp;L Example'!$CF$82,'1. P&amp;L Example'!$CH$82</definedName>
    <definedName name="QB_FORMULA_33" localSheetId="1" hidden="1">'1. P&amp;L Example'!$CJ$82,'1. P&amp;L Example'!$CL$82,'1. P&amp;L Example'!$CN$82,'1. P&amp;L Example'!$CN$83,'1. P&amp;L Example'!$CN$84,'1. P&amp;L Example'!$CN$86,'1. P&amp;L Example'!$CN$88,'1. P&amp;L Example'!$CN$89,'1. P&amp;L Example'!$H$90,'1. P&amp;L Example'!$J$90,'1. P&amp;L Example'!$L$90,'1. P&amp;L Example'!$N$90,'1. P&amp;L Example'!$P$90,'1. P&amp;L Example'!$R$90,'1. P&amp;L Example'!$T$90,'1. P&amp;L Example'!$V$90</definedName>
    <definedName name="QB_FORMULA_34" localSheetId="1" hidden="1">'1. P&amp;L Example'!$X$90,'1. P&amp;L Example'!$Z$90,'1. P&amp;L Example'!$AB$90,'1. P&amp;L Example'!$AD$90,'1. P&amp;L Example'!$AF$90,'1. P&amp;L Example'!$AH$90,'1. P&amp;L Example'!$AJ$90,'1. P&amp;L Example'!$AL$90,'1. P&amp;L Example'!$AN$90,'1. P&amp;L Example'!$AP$90,'1. P&amp;L Example'!$AR$90,'1. P&amp;L Example'!$AT$90,'1. P&amp;L Example'!$AV$90,'1. P&amp;L Example'!$AX$90,'1. P&amp;L Example'!$AZ$90,'1. P&amp;L Example'!$BB$90</definedName>
    <definedName name="QB_FORMULA_35" localSheetId="1" hidden="1">'1. P&amp;L Example'!$BD$90,'1. P&amp;L Example'!$BF$90,'1. P&amp;L Example'!$BH$90,'1. P&amp;L Example'!$BJ$90,'1. P&amp;L Example'!$BL$90,'1. P&amp;L Example'!$BN$90,'1. P&amp;L Example'!$BP$90,'1. P&amp;L Example'!$BR$90,'1. P&amp;L Example'!$BT$90,'1. P&amp;L Example'!$BV$90,'1. P&amp;L Example'!$BX$90,'1. P&amp;L Example'!$BZ$90,'1. P&amp;L Example'!$CB$90,'1. P&amp;L Example'!$CD$90,'1. P&amp;L Example'!$CF$90,'1. P&amp;L Example'!$CH$90</definedName>
    <definedName name="QB_FORMULA_36" localSheetId="1" hidden="1">'1. P&amp;L Example'!$CJ$90,'1. P&amp;L Example'!$CL$90,'1. P&amp;L Example'!$CN$90,'1. P&amp;L Example'!$CN$91,'1. P&amp;L Example'!$CN$92,'1. P&amp;L Example'!$H$93,'1. P&amp;L Example'!$J$93,'1. P&amp;L Example'!$L$93,'1. P&amp;L Example'!$N$93,'1. P&amp;L Example'!$P$93,'1. P&amp;L Example'!$R$93,'1. P&amp;L Example'!$T$93,'1. P&amp;L Example'!$V$93,'1. P&amp;L Example'!$X$93,'1. P&amp;L Example'!$Z$93,'1. P&amp;L Example'!$AB$93</definedName>
    <definedName name="QB_FORMULA_37" localSheetId="1" hidden="1">'1. P&amp;L Example'!$AD$93,'1. P&amp;L Example'!$AF$93,'1. P&amp;L Example'!$AH$93,'1. P&amp;L Example'!$AJ$93,'1. P&amp;L Example'!$AL$93,'1. P&amp;L Example'!$AN$93,'1. P&amp;L Example'!$AP$93,'1. P&amp;L Example'!$AR$93,'1. P&amp;L Example'!$AT$93,'1. P&amp;L Example'!$AV$93,'1. P&amp;L Example'!$AX$93,'1. P&amp;L Example'!$AZ$93,'1. P&amp;L Example'!$BB$93,'1. P&amp;L Example'!$BD$93,'1. P&amp;L Example'!$BF$93,'1. P&amp;L Example'!$BH$93</definedName>
    <definedName name="QB_FORMULA_38" localSheetId="1" hidden="1">'1. P&amp;L Example'!$BJ$93,'1. P&amp;L Example'!$BL$93,'1. P&amp;L Example'!$BN$93,'1. P&amp;L Example'!$BP$93,'1. P&amp;L Example'!$BR$93,'1. P&amp;L Example'!$BT$93,'1. P&amp;L Example'!$BV$93,'1. P&amp;L Example'!$BX$93,'1. P&amp;L Example'!$BZ$93,'1. P&amp;L Example'!$CB$93,'1. P&amp;L Example'!$CD$93,'1. P&amp;L Example'!$CF$93,'1. P&amp;L Example'!$CH$93,'1. P&amp;L Example'!$CJ$93,'1. P&amp;L Example'!$CL$93,'1. P&amp;L Example'!$CN$93</definedName>
    <definedName name="QB_FORMULA_39" localSheetId="1" hidden="1">'1. P&amp;L Example'!$CN$94,'1. P&amp;L Example'!$CN$96,'1. P&amp;L Example'!$CN$97,'1. P&amp;L Example'!$CN$98,'1. P&amp;L Example'!$CN$99,'1. P&amp;L Example'!$H$100,'1. P&amp;L Example'!$J$100,'1. P&amp;L Example'!$L$100,'1. P&amp;L Example'!$N$100,'1. P&amp;L Example'!$P$100,'1. P&amp;L Example'!$R$100,'1. P&amp;L Example'!$T$100,'1. P&amp;L Example'!$V$100,'1. P&amp;L Example'!$X$100,'1. P&amp;L Example'!$Z$100,'1. P&amp;L Example'!$AB$100</definedName>
    <definedName name="QB_FORMULA_4" localSheetId="1" hidden="1">'1. P&amp;L Example'!$AL$12,'1. P&amp;L Example'!$AN$12,'1. P&amp;L Example'!$AP$12,'1. P&amp;L Example'!$AR$12,'1. P&amp;L Example'!$AT$12,'1. P&amp;L Example'!$AV$12,'1. P&amp;L Example'!$AX$12,'1. P&amp;L Example'!$AZ$12,'1. P&amp;L Example'!$BB$12,'1. P&amp;L Example'!$BD$12,'1. P&amp;L Example'!$BF$12,'1. P&amp;L Example'!$BH$12,'1. P&amp;L Example'!$BJ$12,'1. P&amp;L Example'!$BL$12,'1. P&amp;L Example'!$BN$12,'1. P&amp;L Example'!$BP$12</definedName>
    <definedName name="QB_FORMULA_40" localSheetId="1" hidden="1">'1. P&amp;L Example'!$AD$100,'1. P&amp;L Example'!$AF$100,'1. P&amp;L Example'!$AH$100,'1. P&amp;L Example'!$AJ$100,'1. P&amp;L Example'!$AL$100,'1. P&amp;L Example'!$AN$100,'1. P&amp;L Example'!$AP$100,'1. P&amp;L Example'!$AR$100,'1. P&amp;L Example'!$AT$100,'1. P&amp;L Example'!$AV$100,'1. P&amp;L Example'!$AX$100,'1. P&amp;L Example'!$AZ$100,'1. P&amp;L Example'!$BB$100,'1. P&amp;L Example'!$BD$100,'1. P&amp;L Example'!$BF$100,'1. P&amp;L Example'!$BH$100</definedName>
    <definedName name="QB_FORMULA_41" localSheetId="1" hidden="1">'1. P&amp;L Example'!$BJ$100,'1. P&amp;L Example'!$BL$100,'1. P&amp;L Example'!$BN$100,'1. P&amp;L Example'!$BP$100,'1. P&amp;L Example'!$BR$100,'1. P&amp;L Example'!$BT$100,'1. P&amp;L Example'!$BV$100,'1. P&amp;L Example'!$BX$100,'1. P&amp;L Example'!$BZ$100,'1. P&amp;L Example'!$CB$100,'1. P&amp;L Example'!$CD$100,'1. P&amp;L Example'!$CF$100,'1. P&amp;L Example'!$CH$100,'1. P&amp;L Example'!$CJ$100,'1. P&amp;L Example'!$CL$100,'1. P&amp;L Example'!$CN$100</definedName>
    <definedName name="QB_FORMULA_42" localSheetId="1" hidden="1">'1. P&amp;L Example'!$CN$101,'1. P&amp;L Example'!$CN$102,'1. P&amp;L Example'!$CN$103,'1. P&amp;L Example'!$CN$104,'1. P&amp;L Example'!$CN$106,'1. P&amp;L Example'!$CN$107,'1. P&amp;L Example'!$CN$108,'1. P&amp;L Example'!$CN$109,'1. P&amp;L Example'!$CN$110,'1. P&amp;L Example'!$CN$111,'1. P&amp;L Example'!$H$112,'1. P&amp;L Example'!$J$112,'1. P&amp;L Example'!$L$112,'1. P&amp;L Example'!$N$112,'1. P&amp;L Example'!$P$112,'1. P&amp;L Example'!$R$112</definedName>
    <definedName name="QB_FORMULA_43" localSheetId="1" hidden="1">'1. P&amp;L Example'!$T$112,'1. P&amp;L Example'!$V$112,'1. P&amp;L Example'!$X$112,'1. P&amp;L Example'!$Z$112,'1. P&amp;L Example'!$AB$112,'1. P&amp;L Example'!$AD$112,'1. P&amp;L Example'!$AF$112,'1. P&amp;L Example'!$AH$112,'1. P&amp;L Example'!$AJ$112,'1. P&amp;L Example'!$AL$112,'1. P&amp;L Example'!$AN$112,'1. P&amp;L Example'!$AP$112,'1. P&amp;L Example'!$AR$112,'1. P&amp;L Example'!$AT$112,'1. P&amp;L Example'!$AV$112,'1. P&amp;L Example'!$AX$112</definedName>
    <definedName name="QB_FORMULA_44" localSheetId="1" hidden="1">'1. P&amp;L Example'!$AZ$112,'1. P&amp;L Example'!$BB$112,'1. P&amp;L Example'!$BD$112,'1. P&amp;L Example'!$BF$112,'1. P&amp;L Example'!$BH$112,'1. P&amp;L Example'!$BJ$112,'1. P&amp;L Example'!$BL$112,'1. P&amp;L Example'!$BN$112,'1. P&amp;L Example'!$BP$112,'1. P&amp;L Example'!$BR$112,'1. P&amp;L Example'!$BT$112,'1. P&amp;L Example'!$BV$112,'1. P&amp;L Example'!$BX$112,'1. P&amp;L Example'!$BZ$112,'1. P&amp;L Example'!$CB$112,'1. P&amp;L Example'!$CD$112</definedName>
    <definedName name="QB_FORMULA_45" localSheetId="1" hidden="1">'1. P&amp;L Example'!$CF$112,'1. P&amp;L Example'!$CH$112,'1. P&amp;L Example'!$CJ$112,'1. P&amp;L Example'!$CL$112,'1. P&amp;L Example'!$CN$112,'1. P&amp;L Example'!$H$113,'1. P&amp;L Example'!$J$113,'1. P&amp;L Example'!$L$113,'1. P&amp;L Example'!$N$113,'1. P&amp;L Example'!$P$113,'1. P&amp;L Example'!$R$113,'1. P&amp;L Example'!$T$113,'1. P&amp;L Example'!$V$113,'1. P&amp;L Example'!$X$113,'1. P&amp;L Example'!$Z$113,'1. P&amp;L Example'!$AB$113</definedName>
    <definedName name="QB_FORMULA_46" localSheetId="1" hidden="1">'1. P&amp;L Example'!$AD$113,'1. P&amp;L Example'!$AF$113,'1. P&amp;L Example'!$AH$113,'1. P&amp;L Example'!$AJ$113,'1. P&amp;L Example'!$AL$113,'1. P&amp;L Example'!$AN$113,'1. P&amp;L Example'!$AP$113,'1. P&amp;L Example'!$AR$113,'1. P&amp;L Example'!$AT$113,'1. P&amp;L Example'!$AV$113,'1. P&amp;L Example'!$AX$113,'1. P&amp;L Example'!$AZ$113,'1. P&amp;L Example'!$BB$113,'1. P&amp;L Example'!$BD$113,'1. P&amp;L Example'!$BF$113,'1. P&amp;L Example'!$BH$113</definedName>
    <definedName name="QB_FORMULA_47" localSheetId="1" hidden="1">'1. P&amp;L Example'!$BJ$113,'1. P&amp;L Example'!$BL$113,'1. P&amp;L Example'!$BN$113,'1. P&amp;L Example'!$BP$113,'1. P&amp;L Example'!$BR$113,'1. P&amp;L Example'!$BT$113,'1. P&amp;L Example'!$BV$113,'1. P&amp;L Example'!$BX$113,'1. P&amp;L Example'!$BZ$113,'1. P&amp;L Example'!$CB$113,'1. P&amp;L Example'!$CD$113,'1. P&amp;L Example'!$CF$113,'1. P&amp;L Example'!$CH$113,'1. P&amp;L Example'!$CJ$113,'1. P&amp;L Example'!$CL$113,'1. P&amp;L Example'!$CN$113</definedName>
    <definedName name="QB_FORMULA_48" localSheetId="1" hidden="1">'1. P&amp;L Example'!$H$114,'1. P&amp;L Example'!$J$114,'1. P&amp;L Example'!$L$114,'1. P&amp;L Example'!$N$114,'1. P&amp;L Example'!$P$114,'1. P&amp;L Example'!$R$114,'1. P&amp;L Example'!$T$114,'1. P&amp;L Example'!$V$114,'1. P&amp;L Example'!$X$114,'1. P&amp;L Example'!$Z$114,'1. P&amp;L Example'!$AB$114,'1. P&amp;L Example'!$AD$114,'1. P&amp;L Example'!$AF$114,'1. P&amp;L Example'!$AH$114,'1. P&amp;L Example'!$AJ$114,'1. P&amp;L Example'!$AL$114</definedName>
    <definedName name="QB_FORMULA_49" localSheetId="1" hidden="1">'1. P&amp;L Example'!$AN$114,'1. P&amp;L Example'!$AP$114,'1. P&amp;L Example'!$AR$114,'1. P&amp;L Example'!$AT$114,'1. P&amp;L Example'!$AV$114,'1. P&amp;L Example'!$AX$114,'1. P&amp;L Example'!$AZ$114,'1. P&amp;L Example'!$BB$114,'1. P&amp;L Example'!$BD$114,'1. P&amp;L Example'!$BF$114,'1. P&amp;L Example'!$BH$114,'1. P&amp;L Example'!$BJ$114,'1. P&amp;L Example'!$BL$114,'1. P&amp;L Example'!$BN$114,'1. P&amp;L Example'!$BP$114,'1. P&amp;L Example'!$BR$114</definedName>
    <definedName name="QB_FORMULA_5" localSheetId="1" hidden="1">'1. P&amp;L Example'!$BR$12,'1. P&amp;L Example'!$BT$12,'1. P&amp;L Example'!$BV$12,'1. P&amp;L Example'!$BX$12,'1. P&amp;L Example'!$BZ$12,'1. P&amp;L Example'!$CB$12,'1. P&amp;L Example'!$CD$12,'1. P&amp;L Example'!$CF$12,'1. P&amp;L Example'!$CH$12,'1. P&amp;L Example'!$CJ$12,'1. P&amp;L Example'!$CL$12,'1. P&amp;L Example'!$CN$12,'1. P&amp;L Example'!$H$13,'1. P&amp;L Example'!$J$13,'1. P&amp;L Example'!$L$13,'1. P&amp;L Example'!$N$13</definedName>
    <definedName name="QB_FORMULA_50" localSheetId="1" hidden="1">'1. P&amp;L Example'!$BT$114,'1. P&amp;L Example'!$BV$114,'1. P&amp;L Example'!$BX$114,'1. P&amp;L Example'!$BZ$114,'1. P&amp;L Example'!$CB$114,'1. P&amp;L Example'!$CD$114,'1. P&amp;L Example'!$CF$114,'1. P&amp;L Example'!$CH$114,'1. P&amp;L Example'!$CJ$114,'1. P&amp;L Example'!$CL$114,'1. P&amp;L Example'!$CN$114,'1. P&amp;L Example'!$CN$117,'1. P&amp;L Example'!$CN$118,'1. P&amp;L Example'!$CN$119,'1. P&amp;L Example'!$H$120,'1. P&amp;L Example'!$J$120</definedName>
    <definedName name="QB_FORMULA_51" localSheetId="1" hidden="1">'1. P&amp;L Example'!$L$120,'1. P&amp;L Example'!$N$120,'1. P&amp;L Example'!$P$120,'1. P&amp;L Example'!$R$120,'1. P&amp;L Example'!$T$120,'1. P&amp;L Example'!$V$120,'1. P&amp;L Example'!$X$120,'1. P&amp;L Example'!$Z$120,'1. P&amp;L Example'!$AB$120,'1. P&amp;L Example'!$AD$120,'1. P&amp;L Example'!$AF$120,'1. P&amp;L Example'!$AH$120,'1. P&amp;L Example'!$AJ$120,'1. P&amp;L Example'!$AL$120,'1. P&amp;L Example'!$AN$120,'1. P&amp;L Example'!$AP$120</definedName>
    <definedName name="QB_FORMULA_52" localSheetId="1" hidden="1">'1. P&amp;L Example'!$AR$120,'1. P&amp;L Example'!$AT$120,'1. P&amp;L Example'!$AV$120,'1. P&amp;L Example'!$AX$120,'1. P&amp;L Example'!$AZ$120,'1. P&amp;L Example'!$BB$120,'1. P&amp;L Example'!$BD$120,'1. P&amp;L Example'!$BF$120,'1. P&amp;L Example'!$BH$120,'1. P&amp;L Example'!$BJ$120,'1. P&amp;L Example'!$BL$120,'1. P&amp;L Example'!$BN$120,'1. P&amp;L Example'!$BP$120,'1. P&amp;L Example'!$BR$120,'1. P&amp;L Example'!$BT$120,'1. P&amp;L Example'!$BV$120</definedName>
    <definedName name="QB_FORMULA_53" localSheetId="1" hidden="1">'1. P&amp;L Example'!$BX$120,'1. P&amp;L Example'!$BZ$120,'1. P&amp;L Example'!$CB$120,'1. P&amp;L Example'!$CD$120,'1. P&amp;L Example'!$CF$120,'1. P&amp;L Example'!$CH$120,'1. P&amp;L Example'!$CJ$120,'1. P&amp;L Example'!$CL$120,'1. P&amp;L Example'!$CN$120,'1. P&amp;L Example'!$CN$122,'1. P&amp;L Example'!$H$123,'1. P&amp;L Example'!$J$123,'1. P&amp;L Example'!$L$123,'1. P&amp;L Example'!$N$123,'1. P&amp;L Example'!$P$123,'1. P&amp;L Example'!$R$123</definedName>
    <definedName name="QB_FORMULA_54" localSheetId="1" hidden="1">'1. P&amp;L Example'!$T$123,'1. P&amp;L Example'!$V$123,'1. P&amp;L Example'!$X$123,'1. P&amp;L Example'!$Z$123,'1. P&amp;L Example'!$AB$123,'1. P&amp;L Example'!$AD$123,'1. P&amp;L Example'!$AF$123,'1. P&amp;L Example'!$AH$123,'1. P&amp;L Example'!$AJ$123,'1. P&amp;L Example'!$AL$123,'1. P&amp;L Example'!$AN$123,'1. P&amp;L Example'!$AP$123,'1. P&amp;L Example'!$AR$123,'1. P&amp;L Example'!$AT$123,'1. P&amp;L Example'!$AV$123,'1. P&amp;L Example'!$AX$123</definedName>
    <definedName name="QB_FORMULA_55" localSheetId="1" hidden="1">'1. P&amp;L Example'!$AZ$123,'1. P&amp;L Example'!$BB$123,'1. P&amp;L Example'!$BD$123,'1. P&amp;L Example'!$BF$123,'1. P&amp;L Example'!$BH$123,'1. P&amp;L Example'!$BJ$123,'1. P&amp;L Example'!$BL$123,'1. P&amp;L Example'!$BN$123,'1. P&amp;L Example'!$BP$123,'1. P&amp;L Example'!$BR$123,'1. P&amp;L Example'!$BT$123,'1. P&amp;L Example'!$BV$123,'1. P&amp;L Example'!$BX$123,'1. P&amp;L Example'!$BZ$123,'1. P&amp;L Example'!$CB$123,'1. P&amp;L Example'!$CD$123</definedName>
    <definedName name="QB_FORMULA_56" localSheetId="1" hidden="1">'1. P&amp;L Example'!$CF$123,'1. P&amp;L Example'!$CH$123,'1. P&amp;L Example'!$CJ$123,'1. P&amp;L Example'!$CL$123,'1. P&amp;L Example'!$CN$123,'1. P&amp;L Example'!$H$124,'1. P&amp;L Example'!$J$124,'1. P&amp;L Example'!$L$124,'1. P&amp;L Example'!$N$124,'1. P&amp;L Example'!$P$124,'1. P&amp;L Example'!$R$124,'1. P&amp;L Example'!$T$124,'1. P&amp;L Example'!$V$124,'1. P&amp;L Example'!$X$124,'1. P&amp;L Example'!$Z$124,'1. P&amp;L Example'!$AB$124</definedName>
    <definedName name="QB_FORMULA_57" localSheetId="1" hidden="1">'1. P&amp;L Example'!$AD$124,'1. P&amp;L Example'!$AF$124,'1. P&amp;L Example'!$AH$124,'1. P&amp;L Example'!$AJ$124,'1. P&amp;L Example'!$AL$124,'1. P&amp;L Example'!$AN$124,'1. P&amp;L Example'!$AP$124,'1. P&amp;L Example'!$AR$124,'1. P&amp;L Example'!$AT$124,'1. P&amp;L Example'!$AV$124,'1. P&amp;L Example'!$AX$124,'1. P&amp;L Example'!$AZ$124,'1. P&amp;L Example'!$BB$124,'1. P&amp;L Example'!$BD$124,'1. P&amp;L Example'!$BF$124,'1. P&amp;L Example'!$BH$124</definedName>
    <definedName name="QB_FORMULA_58" localSheetId="1" hidden="1">'1. P&amp;L Example'!$BJ$124,'1. P&amp;L Example'!$BL$124,'1. P&amp;L Example'!$BN$124,'1. P&amp;L Example'!$BP$124,'1. P&amp;L Example'!$BR$124,'1. P&amp;L Example'!$BT$124,'1. P&amp;L Example'!$BV$124,'1. P&amp;L Example'!$BX$124,'1. P&amp;L Example'!$BZ$124,'1. P&amp;L Example'!$CB$124,'1. P&amp;L Example'!$CD$124,'1. P&amp;L Example'!$CF$124,'1. P&amp;L Example'!$CH$124,'1. P&amp;L Example'!$CJ$124,'1. P&amp;L Example'!$CL$124,'1. P&amp;L Example'!$CN$124</definedName>
    <definedName name="QB_FORMULA_59" localSheetId="1" hidden="1">'1. P&amp;L Example'!$H$125,'1. P&amp;L Example'!$J$125,'1. P&amp;L Example'!$L$125,'1. P&amp;L Example'!$N$125,'1. P&amp;L Example'!$P$125,'1. P&amp;L Example'!$R$125,'1. P&amp;L Example'!$T$125,'1. P&amp;L Example'!$V$125,'1. P&amp;L Example'!$X$125,'1. P&amp;L Example'!$Z$125,'1. P&amp;L Example'!$AB$125,'1. P&amp;L Example'!$AD$125,'1. P&amp;L Example'!$AF$125,'1. P&amp;L Example'!$AH$125,'1. P&amp;L Example'!$AJ$125,'1. P&amp;L Example'!$AL$125</definedName>
    <definedName name="QB_FORMULA_6" localSheetId="1" hidden="1">'1. P&amp;L Example'!$P$13,'1. P&amp;L Example'!$R$13,'1. P&amp;L Example'!$T$13,'1. P&amp;L Example'!$V$13,'1. P&amp;L Example'!$X$13,'1. P&amp;L Example'!$Z$13,'1. P&amp;L Example'!$AB$13,'1. P&amp;L Example'!$AD$13,'1. P&amp;L Example'!$AF$13,'1. P&amp;L Example'!$AH$13,'1. P&amp;L Example'!$AJ$13,'1. P&amp;L Example'!$AL$13,'1. P&amp;L Example'!$AN$13,'1. P&amp;L Example'!$AP$13,'1. P&amp;L Example'!$AR$13,'1. P&amp;L Example'!$AT$13</definedName>
    <definedName name="QB_FORMULA_60" localSheetId="1" hidden="1">'1. P&amp;L Example'!$AN$125,'1. P&amp;L Example'!$AP$125,'1. P&amp;L Example'!$AR$125,'1. P&amp;L Example'!$AT$125,'1. P&amp;L Example'!$AV$125,'1. P&amp;L Example'!$AX$125,'1. P&amp;L Example'!$AZ$125,'1. P&amp;L Example'!$BB$125,'1. P&amp;L Example'!$BD$125,'1. P&amp;L Example'!$BF$125,'1. P&amp;L Example'!$BH$125,'1. P&amp;L Example'!$BJ$125,'1. P&amp;L Example'!$BL$125,'1. P&amp;L Example'!$BN$125,'1. P&amp;L Example'!$BP$125,'1. P&amp;L Example'!$BR$125</definedName>
    <definedName name="QB_FORMULA_61" localSheetId="1" hidden="1">'1. P&amp;L Example'!$BT$125,'1. P&amp;L Example'!$BV$125,'1. P&amp;L Example'!$BX$125,'1. P&amp;L Example'!$BZ$125,'1. P&amp;L Example'!$CB$125,'1. P&amp;L Example'!$CD$125,'1. P&amp;L Example'!$CF$125,'1. P&amp;L Example'!$CH$125,'1. P&amp;L Example'!$CJ$125,'1. P&amp;L Example'!$CL$125,'1. P&amp;L Example'!$CN$125</definedName>
    <definedName name="QB_FORMULA_7" localSheetId="1" hidden="1">'1. P&amp;L Example'!$AV$13,'1. P&amp;L Example'!$AX$13,'1. P&amp;L Example'!$AZ$13,'1. P&amp;L Example'!$BB$13,'1. P&amp;L Example'!$BD$13,'1. P&amp;L Example'!$BF$13,'1. P&amp;L Example'!$BH$13,'1. P&amp;L Example'!$BJ$13,'1. P&amp;L Example'!$BL$13,'1. P&amp;L Example'!$BN$13,'1. P&amp;L Example'!$BP$13,'1. P&amp;L Example'!$BR$13,'1. P&amp;L Example'!$BT$13,'1. P&amp;L Example'!$BV$13,'1. P&amp;L Example'!$BX$13,'1. P&amp;L Example'!$BZ$13</definedName>
    <definedName name="QB_FORMULA_8" localSheetId="1" hidden="1">'1. P&amp;L Example'!$CB$13,'1. P&amp;L Example'!$CD$13,'1. P&amp;L Example'!$CF$13,'1. P&amp;L Example'!$CH$13,'1. P&amp;L Example'!$CJ$13,'1. P&amp;L Example'!$CL$13,'1. P&amp;L Example'!$CN$13,'1. P&amp;L Example'!$CN$15,'1. P&amp;L Example'!$CN$16,'1. P&amp;L Example'!$CN$17,'1. P&amp;L Example'!$CN$18,'1. P&amp;L Example'!$CN$19,'1. P&amp;L Example'!$CN$20,'1. P&amp;L Example'!$CN$21,'1. P&amp;L Example'!$CN$22,'1. P&amp;L Example'!$CN$23</definedName>
    <definedName name="QB_FORMULA_9" localSheetId="1" hidden="1">'1. P&amp;L Example'!$CN$24,'1. P&amp;L Example'!$CN$25,'1. P&amp;L Example'!$CN$26,'1. P&amp;L Example'!$CN$27,'1. P&amp;L Example'!$CN$28,'1. P&amp;L Example'!$CN$30,'1. P&amp;L Example'!$CN$31,'1. P&amp;L Example'!$H$32,'1. P&amp;L Example'!$J$32,'1. P&amp;L Example'!$L$32,'1. P&amp;L Example'!$N$32,'1. P&amp;L Example'!$P$32,'1. P&amp;L Example'!$R$32,'1. P&amp;L Example'!$T$32,'1. P&amp;L Example'!$V$32,'1. P&amp;L Example'!$X$32</definedName>
    <definedName name="QB_ROW_1040" localSheetId="1" hidden="1">'1. P&amp;L Example'!$E$68</definedName>
    <definedName name="QB_ROW_107240" localSheetId="1" hidden="1">'1. P&amp;L Example'!$E$7</definedName>
    <definedName name="QB_ROW_114250" localSheetId="1" hidden="1">'1. P&amp;L Example'!$F$65</definedName>
    <definedName name="QB_ROW_115240" localSheetId="1" hidden="1">'1. P&amp;L Example'!$E$22</definedName>
    <definedName name="QB_ROW_118250" localSheetId="1" hidden="1">'1. P&amp;L Example'!$F$43</definedName>
    <definedName name="QB_ROW_12040" localSheetId="1" hidden="1">'1. P&amp;L Example'!$E$64</definedName>
    <definedName name="QB_ROW_12250" localSheetId="1" hidden="1">'1. P&amp;L Example'!$F$66</definedName>
    <definedName name="QB_ROW_12340" localSheetId="1" hidden="1">'1. P&amp;L Example'!$E$67</definedName>
    <definedName name="QB_ROW_125040" localSheetId="1" hidden="1">'1. P&amp;L Example'!$E$60</definedName>
    <definedName name="QB_ROW_125250" localSheetId="1" hidden="1">'1. P&amp;L Example'!$F$62</definedName>
    <definedName name="QB_ROW_125340" localSheetId="1" hidden="1">'1. P&amp;L Example'!$E$63</definedName>
    <definedName name="QB_ROW_126240" localSheetId="1" hidden="1">'1. P&amp;L Example'!$E$83</definedName>
    <definedName name="QB_ROW_133260" localSheetId="1" hidden="1">'1. P&amp;L Example'!$G$88</definedName>
    <definedName name="QB_ROW_1340" localSheetId="1" hidden="1">'1. P&amp;L Example'!$E$82</definedName>
    <definedName name="QB_ROW_134050" localSheetId="1" hidden="1">'1. P&amp;L Example'!$F$87</definedName>
    <definedName name="QB_ROW_134260" localSheetId="1" hidden="1">'1. P&amp;L Example'!$G$89</definedName>
    <definedName name="QB_ROW_134350" localSheetId="1" hidden="1">'1. P&amp;L Example'!$F$90</definedName>
    <definedName name="QB_ROW_136240" localSheetId="1" hidden="1">'1. P&amp;L Example'!$E$16</definedName>
    <definedName name="QB_ROW_14040" localSheetId="1" hidden="1">'1. P&amp;L Example'!$E$85</definedName>
    <definedName name="QB_ROW_14250" localSheetId="1" hidden="1">'1. P&amp;L Example'!$F$92</definedName>
    <definedName name="QB_ROW_14340" localSheetId="1" hidden="1">'1. P&amp;L Example'!$E$93</definedName>
    <definedName name="QB_ROW_15250" localSheetId="1" hidden="1">'1. P&amp;L Example'!$F$86</definedName>
    <definedName name="QB_ROW_161240" localSheetId="1" hidden="1">'1. P&amp;L Example'!$E$20</definedName>
    <definedName name="QB_ROW_163250" localSheetId="1" hidden="1">'1. P&amp;L Example'!$F$97</definedName>
    <definedName name="QB_ROW_169240" localSheetId="1" hidden="1">'1. P&amp;L Example'!$E$6</definedName>
    <definedName name="QB_ROW_170250" localSheetId="1" hidden="1">'1. P&amp;L Example'!$F$41</definedName>
    <definedName name="QB_ROW_174250" localSheetId="1" hidden="1">'1. P&amp;L Example'!$F$80</definedName>
    <definedName name="QB_ROW_175250" localSheetId="1" hidden="1">'1. P&amp;L Example'!$F$79</definedName>
    <definedName name="QB_ROW_18250" localSheetId="1" hidden="1">'1. P&amp;L Example'!$F$109</definedName>
    <definedName name="QB_ROW_18301" localSheetId="1" hidden="1">'1. P&amp;L Example'!$A$125</definedName>
    <definedName name="QB_ROW_183250" localSheetId="1" hidden="1">'1. P&amp;L Example'!$F$56</definedName>
    <definedName name="QB_ROW_19011" localSheetId="1" hidden="1">'1. P&amp;L Example'!$B$2</definedName>
    <definedName name="QB_ROW_19311" localSheetId="1" hidden="1">'1. P&amp;L Example'!$B$114</definedName>
    <definedName name="QB_ROW_193250" localSheetId="1" hidden="1">'1. P&amp;L Example'!$F$40</definedName>
    <definedName name="QB_ROW_20031" localSheetId="1" hidden="1">'1. P&amp;L Example'!$D$3</definedName>
    <definedName name="QB_ROW_202230" localSheetId="1" hidden="1">'1. P&amp;L Example'!$D$118</definedName>
    <definedName name="QB_ROW_20240" localSheetId="1" hidden="1">'1. P&amp;L Example'!$E$94</definedName>
    <definedName name="QB_ROW_20331" localSheetId="1" hidden="1">'1. P&amp;L Example'!$D$8</definedName>
    <definedName name="QB_ROW_210250" localSheetId="1" hidden="1">'1. P&amp;L Example'!$F$107</definedName>
    <definedName name="QB_ROW_21031" localSheetId="1" hidden="1">'1. P&amp;L Example'!$D$14</definedName>
    <definedName name="QB_ROW_21331" localSheetId="1" hidden="1">'1. P&amp;L Example'!$D$113</definedName>
    <definedName name="QB_ROW_217240" localSheetId="1" hidden="1">'1. P&amp;L Example'!$E$19</definedName>
    <definedName name="QB_ROW_218250" localSheetId="1" hidden="1">'1. P&amp;L Example'!$F$78</definedName>
    <definedName name="QB_ROW_219250" localSheetId="1" hidden="1">'1. P&amp;L Example'!$F$77</definedName>
    <definedName name="QB_ROW_22011" localSheetId="1" hidden="1">'1. P&amp;L Example'!$B$115</definedName>
    <definedName name="QB_ROW_22311" localSheetId="1" hidden="1">'1. P&amp;L Example'!$B$124</definedName>
    <definedName name="QB_ROW_23021" localSheetId="1" hidden="1">'1. P&amp;L Example'!$C$116</definedName>
    <definedName name="QB_ROW_23321" localSheetId="1" hidden="1">'1. P&amp;L Example'!$C$120</definedName>
    <definedName name="QB_ROW_233240" localSheetId="1" hidden="1">'1. P&amp;L Example'!$E$18</definedName>
    <definedName name="QB_ROW_235240" localSheetId="1" hidden="1">'1. P&amp;L Example'!$E$17</definedName>
    <definedName name="QB_ROW_24021" localSheetId="1" hidden="1">'1. P&amp;L Example'!$C$121</definedName>
    <definedName name="QB_ROW_240250" localSheetId="1" hidden="1">'1. P&amp;L Example'!$F$76</definedName>
    <definedName name="QB_ROW_242250" localSheetId="1" hidden="1">'1. P&amp;L Example'!$F$75</definedName>
    <definedName name="QB_ROW_24321" localSheetId="1" hidden="1">'1. P&amp;L Example'!$C$123</definedName>
    <definedName name="QB_ROW_247250" localSheetId="1" hidden="1">'1. P&amp;L Example'!$F$74</definedName>
    <definedName name="QB_ROW_250250" localSheetId="1" hidden="1">'1. P&amp;L Example'!$F$73</definedName>
    <definedName name="QB_ROW_252250" localSheetId="1" hidden="1">'1. P&amp;L Example'!$F$49</definedName>
    <definedName name="QB_ROW_255250" localSheetId="1" hidden="1">'1. P&amp;L Example'!$F$98</definedName>
    <definedName name="QB_ROW_256250" localSheetId="1" hidden="1">'1. P&amp;L Example'!$F$72</definedName>
    <definedName name="QB_ROW_26330" localSheetId="1" hidden="1">'1. P&amp;L Example'!$D$122</definedName>
    <definedName name="QB_ROW_264250" localSheetId="1" hidden="1">'1. P&amp;L Example'!$F$61</definedName>
    <definedName name="QB_ROW_274250" localSheetId="1" hidden="1">'1. P&amp;L Example'!$F$81</definedName>
    <definedName name="QB_ROW_275250" localSheetId="1" hidden="1">'1. P&amp;L Example'!$F$106</definedName>
    <definedName name="QB_ROW_28330" localSheetId="1" hidden="1">'1. P&amp;L Example'!$D$119</definedName>
    <definedName name="QB_ROW_290250" localSheetId="1" hidden="1">'1. P&amp;L Example'!$F$30</definedName>
    <definedName name="QB_ROW_291250" localSheetId="1" hidden="1">'1. P&amp;L Example'!$F$35</definedName>
    <definedName name="QB_ROW_292250" localSheetId="1" hidden="1">'1. P&amp;L Example'!$F$39</definedName>
    <definedName name="QB_ROW_300250" localSheetId="1" hidden="1">'1. P&amp;L Example'!$F$71</definedName>
    <definedName name="QB_ROW_30240" localSheetId="1" hidden="1">'1. P&amp;L Example'!$E$23</definedName>
    <definedName name="QB_ROW_304250" localSheetId="1" hidden="1">'1. P&amp;L Example'!$F$70</definedName>
    <definedName name="QB_ROW_306230" localSheetId="1" hidden="1">'1. P&amp;L Example'!$D$117</definedName>
    <definedName name="QB_ROW_309240" localSheetId="1" hidden="1">'1. P&amp;L Example'!$E$15</definedName>
    <definedName name="QB_ROW_312250" localSheetId="1" hidden="1">'1. P&amp;L Example'!$F$69</definedName>
    <definedName name="QB_ROW_32240" localSheetId="1" hidden="1">'1. P&amp;L Example'!$E$26</definedName>
    <definedName name="QB_ROW_33240" localSheetId="1" hidden="1">'1. P&amp;L Example'!$E$25</definedName>
    <definedName name="QB_ROW_34240" localSheetId="1" hidden="1">'1. P&amp;L Example'!$E$27</definedName>
    <definedName name="QB_ROW_36250" localSheetId="1" hidden="1">'1. P&amp;L Example'!$F$42</definedName>
    <definedName name="QB_ROW_38250" localSheetId="1" hidden="1">'1. P&amp;L Example'!$F$55</definedName>
    <definedName name="QB_ROW_40240" localSheetId="1" hidden="1">'1. P&amp;L Example'!$E$21</definedName>
    <definedName name="QB_ROW_41040" localSheetId="1" hidden="1">'1. P&amp;L Example'!$E$48</definedName>
    <definedName name="QB_ROW_41250" localSheetId="1" hidden="1">'1. P&amp;L Example'!$F$51</definedName>
    <definedName name="QB_ROW_41340" localSheetId="1" hidden="1">'1. P&amp;L Example'!$E$52</definedName>
    <definedName name="QB_ROW_42240" localSheetId="1" hidden="1">'1. P&amp;L Example'!$E$59</definedName>
    <definedName name="QB_ROW_45250" localSheetId="1" hidden="1">'1. P&amp;L Example'!$F$91</definedName>
    <definedName name="QB_ROW_47240" localSheetId="1" hidden="1">'1. P&amp;L Example'!$E$84</definedName>
    <definedName name="QB_ROW_48240" localSheetId="1" hidden="1">'1. P&amp;L Example'!$E$33</definedName>
    <definedName name="QB_ROW_50040" localSheetId="1" hidden="1">'1. P&amp;L Example'!$E$95</definedName>
    <definedName name="QB_ROW_50250" localSheetId="1" hidden="1">'1. P&amp;L Example'!$F$99</definedName>
    <definedName name="QB_ROW_50340" localSheetId="1" hidden="1">'1. P&amp;L Example'!$E$100</definedName>
    <definedName name="QB_ROW_52250" localSheetId="1" hidden="1">'1. P&amp;L Example'!$F$108</definedName>
    <definedName name="QB_ROW_5240" localSheetId="1" hidden="1">'1. P&amp;L Example'!$E$28</definedName>
    <definedName name="QB_ROW_53040" localSheetId="1" hidden="1">'1. P&amp;L Example'!$E$54</definedName>
    <definedName name="QB_ROW_53250" localSheetId="1" hidden="1">'1. P&amp;L Example'!$F$57</definedName>
    <definedName name="QB_ROW_53340" localSheetId="1" hidden="1">'1. P&amp;L Example'!$E$58</definedName>
    <definedName name="QB_ROW_54040" localSheetId="1" hidden="1">'1. P&amp;L Example'!$E$105</definedName>
    <definedName name="QB_ROW_54250" localSheetId="1" hidden="1">'1. P&amp;L Example'!$F$111</definedName>
    <definedName name="QB_ROW_54340" localSheetId="1" hidden="1">'1. P&amp;L Example'!$E$112</definedName>
    <definedName name="QB_ROW_55240" localSheetId="1" hidden="1">'1. P&amp;L Example'!$E$104</definedName>
    <definedName name="QB_ROW_57240" localSheetId="1" hidden="1">'1. P&amp;L Example'!$E$103</definedName>
    <definedName name="QB_ROW_61240" localSheetId="1" hidden="1">'1. P&amp;L Example'!$E$4</definedName>
    <definedName name="QB_ROW_62240" localSheetId="1" hidden="1">'1. P&amp;L Example'!$E$5</definedName>
    <definedName name="QB_ROW_65240" localSheetId="1" hidden="1">'1. P&amp;L Example'!$E$10</definedName>
    <definedName name="QB_ROW_66240" localSheetId="1" hidden="1">'1. P&amp;L Example'!$E$11</definedName>
    <definedName name="QB_ROW_73240" localSheetId="1" hidden="1">'1. P&amp;L Example'!$E$102</definedName>
    <definedName name="QB_ROW_77250" localSheetId="1" hidden="1">'1. P&amp;L Example'!$F$44</definedName>
    <definedName name="QB_ROW_81250" localSheetId="1" hidden="1">'1. P&amp;L Example'!$F$96</definedName>
    <definedName name="QB_ROW_83250" localSheetId="1" hidden="1">'1. P&amp;L Example'!$F$110</definedName>
    <definedName name="QB_ROW_86321" localSheetId="1" hidden="1">'1. P&amp;L Example'!$C$13</definedName>
    <definedName name="QB_ROW_87031" localSheetId="1" hidden="1">'1. P&amp;L Example'!$D$9</definedName>
    <definedName name="QB_ROW_87331" localSheetId="1" hidden="1">'1. P&amp;L Example'!$D$12</definedName>
    <definedName name="QB_ROW_89240" localSheetId="1" hidden="1">'1. P&amp;L Example'!$E$53</definedName>
    <definedName name="QB_ROW_90240" localSheetId="1" hidden="1">'1. P&amp;L Example'!$E$47</definedName>
    <definedName name="QB_ROW_9040" localSheetId="1" hidden="1">'1. P&amp;L Example'!$E$38</definedName>
    <definedName name="QB_ROW_9250" localSheetId="1" hidden="1">'1. P&amp;L Example'!$F$45</definedName>
    <definedName name="QB_ROW_93040" localSheetId="1" hidden="1">'1. P&amp;L Example'!$E$34</definedName>
    <definedName name="QB_ROW_93250" localSheetId="1" hidden="1">'1. P&amp;L Example'!$F$36</definedName>
    <definedName name="QB_ROW_93340" localSheetId="1" hidden="1">'1. P&amp;L Example'!$E$37</definedName>
    <definedName name="QB_ROW_9340" localSheetId="1" hidden="1">'1. P&amp;L Example'!$E$46</definedName>
    <definedName name="QB_ROW_96240" localSheetId="1" hidden="1">'1. P&amp;L Example'!$E$24</definedName>
    <definedName name="QB_ROW_97240" localSheetId="1" hidden="1">'1. P&amp;L Example'!$E$101</definedName>
    <definedName name="QB_ROW_98250" localSheetId="1" hidden="1">'1. P&amp;L Example'!$F$50</definedName>
    <definedName name="QB_ROW_99040" localSheetId="1" hidden="1">'1. P&amp;L Example'!$E$29</definedName>
    <definedName name="QB_ROW_99250" localSheetId="1" hidden="1">'1. P&amp;L Example'!$F$31</definedName>
    <definedName name="QB_ROW_99340" localSheetId="1" hidden="1">'1. P&amp;L Example'!$E$32</definedName>
    <definedName name="QBCANSUPPORTUPDATE" localSheetId="1">TRUE</definedName>
    <definedName name="QBCOMPANYFILENAME" localSheetId="1">"C:\Users\Public\Documents\Intuit\Migration\LAKESIDE MECHANICAL Dec10 2019.QBW"</definedName>
    <definedName name="QBENDDATE" localSheetId="1">20240630</definedName>
    <definedName name="QBHEADERSONSCREEN" localSheetId="1">FALSE</definedName>
    <definedName name="QBMETADATASIZE" localSheetId="1">5924</definedName>
    <definedName name="QBPRESERVECOLOR" localSheetId="1">TRUE</definedName>
    <definedName name="QBPRESERVEFONT" localSheetId="1">TRUE</definedName>
    <definedName name="QBPRESERVEROWHEIGHT" localSheetId="1">TRUE</definedName>
    <definedName name="QBPRESERVESPACE" localSheetId="1">TRUE</definedName>
    <definedName name="QBREPORTCOLAXIS" localSheetId="1">6</definedName>
    <definedName name="QBREPORTCOMPANYID" localSheetId="1">"7418e3d1e8e840dbaeb3f5bdfe87320c"</definedName>
    <definedName name="QBREPORTCOMPARECOL_ANNUALBUDGET" localSheetId="1">FALSE</definedName>
    <definedName name="QBREPORTCOMPARECOL_AVGCOGS" localSheetId="1">FALSE</definedName>
    <definedName name="QBREPORTCOMPARECOL_AVGPRICE" localSheetId="1">FALSE</definedName>
    <definedName name="QBREPORTCOMPARECOL_BUDDIFF" localSheetId="1">FALSE</definedName>
    <definedName name="QBREPORTCOMPARECOL_BUDGET" localSheetId="1">FALSE</definedName>
    <definedName name="QBREPORTCOMPARECOL_BUDPCT" localSheetId="1">FALSE</definedName>
    <definedName name="QBREPORTCOMPARECOL_COGS" localSheetId="1">FALSE</definedName>
    <definedName name="QBREPORTCOMPARECOL_EXCLUDEAMOUNT" localSheetId="1">FALSE</definedName>
    <definedName name="QBREPORTCOMPARECOL_EXCLUDECURPERIOD" localSheetId="1">FALSE</definedName>
    <definedName name="QBREPORTCOMPARECOL_FORECAST" localSheetId="1">FALSE</definedName>
    <definedName name="QBREPORTCOMPARECOL_GROSSMARGIN" localSheetId="1">FALSE</definedName>
    <definedName name="QBREPORTCOMPARECOL_GROSSMARGINPCT" localSheetId="1">FALSE</definedName>
    <definedName name="QBREPORTCOMPARECOL_HOURS" localSheetId="1">FALSE</definedName>
    <definedName name="QBREPORTCOMPARECOL_PCTCOL" localSheetId="1">FALSE</definedName>
    <definedName name="QBREPORTCOMPARECOL_PCTEXPENSE" localSheetId="1">FALSE</definedName>
    <definedName name="QBREPORTCOMPARECOL_PCTINCOME" localSheetId="1">FALSE</definedName>
    <definedName name="QBREPORTCOMPARECOL_PCTOFSALES" localSheetId="1">FALSE</definedName>
    <definedName name="QBREPORTCOMPARECOL_PCTROW" localSheetId="1">FALSE</definedName>
    <definedName name="QBREPORTCOMPARECOL_PPDIFF" localSheetId="1">FALSE</definedName>
    <definedName name="QBREPORTCOMPARECOL_PPPCT" localSheetId="1">FALSE</definedName>
    <definedName name="QBREPORTCOMPARECOL_PREVPERIOD" localSheetId="1">FALSE</definedName>
    <definedName name="QBREPORTCOMPARECOL_PREVYEAR" localSheetId="1">FALSE</definedName>
    <definedName name="QBREPORTCOMPARECOL_PYDIFF" localSheetId="1">FALSE</definedName>
    <definedName name="QBREPORTCOMPARECOL_PYPCT" localSheetId="1">FALSE</definedName>
    <definedName name="QBREPORTCOMPARECOL_QTY" localSheetId="1">FALSE</definedName>
    <definedName name="QBREPORTCOMPARECOL_RATE" localSheetId="1">FALSE</definedName>
    <definedName name="QBREPORTCOMPARECOL_TRIPBILLEDMILES" localSheetId="1">FALSE</definedName>
    <definedName name="QBREPORTCOMPARECOL_TRIPBILLINGAMOUNT" localSheetId="1">FALSE</definedName>
    <definedName name="QBREPORTCOMPARECOL_TRIPMILES" localSheetId="1">FALSE</definedName>
    <definedName name="QBREPORTCOMPARECOL_TRIPNOTBILLABLEMILES" localSheetId="1">FALSE</definedName>
    <definedName name="QBREPORTCOMPARECOL_TRIPTAXDEDUCTIBLEAMOUNT" localSheetId="1">FALSE</definedName>
    <definedName name="QBREPORTCOMPARECOL_TRIPUNBILLEDMILES" localSheetId="1">FALSE</definedName>
    <definedName name="QBREPORTCOMPARECOL_YTD" localSheetId="1">FALSE</definedName>
    <definedName name="QBREPORTCOMPARECOL_YTDBUDGET" localSheetId="1">FALSE</definedName>
    <definedName name="QBREPORTCOMPARECOL_YTDPCT" localSheetId="1">FALSE</definedName>
    <definedName name="QBREPORTROWAXIS" localSheetId="1">11</definedName>
    <definedName name="QBREPORTSUBCOLAXIS" localSheetId="1">0</definedName>
    <definedName name="QBREPORTTYPE" localSheetId="1">0</definedName>
    <definedName name="QBROWHEADERS" localSheetId="1">7</definedName>
    <definedName name="QBSTARTDATE" localSheetId="1">20210101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 r="B17" i="1"/>
  <c r="B18" i="1"/>
  <c r="B19" i="1"/>
  <c r="B103" i="3"/>
  <c r="B102" i="3"/>
  <c r="B101" i="3"/>
  <c r="B100" i="3"/>
  <c r="B99" i="3"/>
  <c r="B98" i="3"/>
  <c r="B97" i="3"/>
  <c r="B96" i="3"/>
  <c r="B95" i="3"/>
  <c r="B104" i="3" s="1"/>
  <c r="B91" i="3"/>
  <c r="B92" i="3" s="1"/>
  <c r="B90" i="3"/>
  <c r="B89" i="3"/>
  <c r="B85" i="3"/>
  <c r="B84" i="3"/>
  <c r="B83" i="3"/>
  <c r="B82" i="3"/>
  <c r="B81" i="3"/>
  <c r="B80" i="3"/>
  <c r="B79" i="3"/>
  <c r="B78" i="3"/>
  <c r="B77" i="3"/>
  <c r="B76" i="3"/>
  <c r="B75" i="3"/>
  <c r="B74" i="3"/>
  <c r="B73" i="3"/>
  <c r="B72" i="3"/>
  <c r="B71" i="3"/>
  <c r="B70" i="3"/>
  <c r="B69" i="3"/>
  <c r="B68" i="3"/>
  <c r="B67" i="3"/>
  <c r="B66" i="3"/>
  <c r="B65" i="3"/>
  <c r="B64" i="3"/>
  <c r="B63" i="3"/>
  <c r="B86" i="3" s="1"/>
  <c r="B61" i="3"/>
  <c r="B60" i="3"/>
  <c r="B59" i="3"/>
  <c r="B58" i="3"/>
  <c r="B57" i="3"/>
  <c r="B56" i="3"/>
  <c r="B55" i="3"/>
  <c r="B52" i="3"/>
  <c r="B53" i="3" s="1"/>
  <c r="B45" i="3"/>
  <c r="B43" i="3"/>
  <c r="B42" i="3"/>
  <c r="B44" i="3" s="1"/>
  <c r="B46" i="3" s="1"/>
  <c r="B39" i="3"/>
  <c r="B38" i="3"/>
  <c r="B37" i="3"/>
  <c r="B36" i="3"/>
  <c r="B35" i="3"/>
  <c r="B40" i="3" s="1"/>
  <c r="B31" i="3"/>
  <c r="B30" i="3"/>
  <c r="B29" i="3"/>
  <c r="B28" i="3"/>
  <c r="B27" i="3"/>
  <c r="B26" i="3"/>
  <c r="B25" i="3"/>
  <c r="B23" i="3"/>
  <c r="B22" i="3"/>
  <c r="B21" i="3"/>
  <c r="B24" i="3" s="1"/>
  <c r="B20" i="3"/>
  <c r="B19" i="3"/>
  <c r="B18" i="3"/>
  <c r="B32" i="3" s="1"/>
  <c r="B17" i="3"/>
  <c r="B14" i="3"/>
  <c r="B15" i="3" s="1"/>
  <c r="B11" i="3"/>
  <c r="B10" i="3"/>
  <c r="B12" i="3" s="1"/>
  <c r="B9" i="3"/>
  <c r="E9" i="3"/>
  <c r="F9" i="3"/>
  <c r="G9" i="3"/>
  <c r="H9" i="3"/>
  <c r="H12" i="3" s="1"/>
  <c r="I9" i="3"/>
  <c r="I12" i="3" s="1"/>
  <c r="J9" i="3"/>
  <c r="J12" i="3" s="1"/>
  <c r="K9" i="3"/>
  <c r="K12" i="3" s="1"/>
  <c r="L9" i="3"/>
  <c r="L12" i="3" s="1"/>
  <c r="M9" i="3"/>
  <c r="M12" i="3" s="1"/>
  <c r="N9" i="3"/>
  <c r="O9" i="3"/>
  <c r="O12" i="3" s="1"/>
  <c r="P9" i="3"/>
  <c r="P12" i="3" s="1"/>
  <c r="Q9" i="3"/>
  <c r="Q12" i="3" s="1"/>
  <c r="E10" i="3"/>
  <c r="E12" i="3" s="1"/>
  <c r="F10" i="3"/>
  <c r="G10" i="3"/>
  <c r="H10" i="3"/>
  <c r="I10" i="3"/>
  <c r="J10" i="3"/>
  <c r="K10" i="3"/>
  <c r="L10" i="3"/>
  <c r="M10" i="3"/>
  <c r="N10" i="3"/>
  <c r="O10" i="3"/>
  <c r="P10" i="3"/>
  <c r="Q10" i="3"/>
  <c r="E11" i="3"/>
  <c r="F11" i="3"/>
  <c r="F12" i="3" s="1"/>
  <c r="G11" i="3"/>
  <c r="H11" i="3"/>
  <c r="I11" i="3"/>
  <c r="J11" i="3"/>
  <c r="K11" i="3"/>
  <c r="L11" i="3"/>
  <c r="M11" i="3"/>
  <c r="N11" i="3"/>
  <c r="O11" i="3"/>
  <c r="P11" i="3"/>
  <c r="Q11" i="3"/>
  <c r="G12" i="3"/>
  <c r="E14" i="3"/>
  <c r="E15" i="3" s="1"/>
  <c r="F14" i="3"/>
  <c r="F15" i="3" s="1"/>
  <c r="G14" i="3"/>
  <c r="G15" i="3" s="1"/>
  <c r="H14" i="3"/>
  <c r="H15" i="3" s="1"/>
  <c r="I14" i="3"/>
  <c r="J14" i="3"/>
  <c r="K14" i="3"/>
  <c r="K15" i="3" s="1"/>
  <c r="L14" i="3"/>
  <c r="L15" i="3" s="1"/>
  <c r="M14" i="3"/>
  <c r="M15" i="3" s="1"/>
  <c r="N14" i="3"/>
  <c r="O14" i="3"/>
  <c r="P14" i="3"/>
  <c r="P15" i="3" s="1"/>
  <c r="Q14" i="3"/>
  <c r="Q15" i="3" s="1"/>
  <c r="I15" i="3"/>
  <c r="J15" i="3"/>
  <c r="N15" i="3"/>
  <c r="O15" i="3"/>
  <c r="E17" i="3"/>
  <c r="F17" i="3"/>
  <c r="G17" i="3"/>
  <c r="H17" i="3"/>
  <c r="I17" i="3"/>
  <c r="J17" i="3" s="1"/>
  <c r="E18" i="3"/>
  <c r="F18" i="3"/>
  <c r="G18" i="3" s="1"/>
  <c r="H18" i="3"/>
  <c r="I18" i="3"/>
  <c r="J18" i="3"/>
  <c r="K18" i="3"/>
  <c r="L18" i="3" s="1"/>
  <c r="M18" i="3" s="1"/>
  <c r="N18" i="3" s="1"/>
  <c r="O18" i="3" s="1"/>
  <c r="P18" i="3" s="1"/>
  <c r="Q18" i="3" s="1"/>
  <c r="E19" i="3"/>
  <c r="F19" i="3"/>
  <c r="G19" i="3" s="1"/>
  <c r="H19" i="3" s="1"/>
  <c r="I19" i="3" s="1"/>
  <c r="J19" i="3" s="1"/>
  <c r="K19" i="3" s="1"/>
  <c r="L19" i="3" s="1"/>
  <c r="M19" i="3"/>
  <c r="N19" i="3"/>
  <c r="O19" i="3"/>
  <c r="P19" i="3"/>
  <c r="Q19" i="3"/>
  <c r="E20" i="3"/>
  <c r="F20" i="3"/>
  <c r="G20" i="3"/>
  <c r="H20" i="3"/>
  <c r="I20" i="3" s="1"/>
  <c r="J20" i="3" s="1"/>
  <c r="K20" i="3" s="1"/>
  <c r="L20" i="3" s="1"/>
  <c r="M20" i="3" s="1"/>
  <c r="N20" i="3" s="1"/>
  <c r="O20" i="3" s="1"/>
  <c r="P20" i="3" s="1"/>
  <c r="Q20" i="3" s="1"/>
  <c r="E21" i="3"/>
  <c r="F21" i="3"/>
  <c r="F24" i="3" s="1"/>
  <c r="G21" i="3"/>
  <c r="Q21" i="3"/>
  <c r="F22" i="3"/>
  <c r="G22" i="3"/>
  <c r="H22" i="3"/>
  <c r="I22" i="3"/>
  <c r="J22" i="3"/>
  <c r="K22" i="3"/>
  <c r="L22" i="3" s="1"/>
  <c r="M22" i="3"/>
  <c r="N22" i="3"/>
  <c r="O22" i="3"/>
  <c r="P22" i="3"/>
  <c r="Q22" i="3"/>
  <c r="F23" i="3"/>
  <c r="G23" i="3" s="1"/>
  <c r="H23" i="3" s="1"/>
  <c r="I23" i="3" s="1"/>
  <c r="J23" i="3" s="1"/>
  <c r="K23" i="3" s="1"/>
  <c r="L23" i="3" s="1"/>
  <c r="M23" i="3" s="1"/>
  <c r="N23" i="3" s="1"/>
  <c r="O23" i="3" s="1"/>
  <c r="P23" i="3"/>
  <c r="Q23" i="3"/>
  <c r="E24" i="3"/>
  <c r="E25" i="3"/>
  <c r="F25" i="3"/>
  <c r="G25" i="3" s="1"/>
  <c r="H25" i="3" s="1"/>
  <c r="I25" i="3" s="1"/>
  <c r="J25" i="3" s="1"/>
  <c r="K25" i="3" s="1"/>
  <c r="L25" i="3" s="1"/>
  <c r="M25" i="3" s="1"/>
  <c r="N25" i="3" s="1"/>
  <c r="O25" i="3" s="1"/>
  <c r="P25" i="3" s="1"/>
  <c r="Q25" i="3" s="1"/>
  <c r="E26" i="3"/>
  <c r="F26" i="3"/>
  <c r="G26" i="3"/>
  <c r="H26" i="3" s="1"/>
  <c r="I26" i="3" s="1"/>
  <c r="J26" i="3" s="1"/>
  <c r="K26" i="3" s="1"/>
  <c r="L26" i="3"/>
  <c r="M26" i="3" s="1"/>
  <c r="N26" i="3" s="1"/>
  <c r="O26" i="3" s="1"/>
  <c r="P26" i="3" s="1"/>
  <c r="Q26" i="3" s="1"/>
  <c r="E27" i="3"/>
  <c r="F27" i="3"/>
  <c r="G27" i="3"/>
  <c r="H27" i="3"/>
  <c r="I27" i="3" s="1"/>
  <c r="J27" i="3" s="1"/>
  <c r="K27" i="3" s="1"/>
  <c r="L27" i="3" s="1"/>
  <c r="M27" i="3" s="1"/>
  <c r="N27" i="3" s="1"/>
  <c r="O27" i="3" s="1"/>
  <c r="P27" i="3" s="1"/>
  <c r="Q27" i="3" s="1"/>
  <c r="E28" i="3"/>
  <c r="F28" i="3"/>
  <c r="G28" i="3"/>
  <c r="H28" i="3"/>
  <c r="I28" i="3"/>
  <c r="J28" i="3" s="1"/>
  <c r="K28" i="3" s="1"/>
  <c r="L28" i="3" s="1"/>
  <c r="M28" i="3" s="1"/>
  <c r="N28" i="3"/>
  <c r="O28" i="3"/>
  <c r="P28" i="3"/>
  <c r="Q28" i="3"/>
  <c r="E29" i="3"/>
  <c r="F29" i="3" s="1"/>
  <c r="G29" i="3"/>
  <c r="H29" i="3" s="1"/>
  <c r="I29" i="3" s="1"/>
  <c r="J29" i="3" s="1"/>
  <c r="K29" i="3" s="1"/>
  <c r="L29" i="3" s="1"/>
  <c r="M29" i="3" s="1"/>
  <c r="N29" i="3" s="1"/>
  <c r="O29" i="3" s="1"/>
  <c r="P29" i="3" s="1"/>
  <c r="Q29" i="3" s="1"/>
  <c r="E30" i="3"/>
  <c r="F30" i="3" s="1"/>
  <c r="G30" i="3" s="1"/>
  <c r="H30" i="3" s="1"/>
  <c r="I30" i="3" s="1"/>
  <c r="J30" i="3" s="1"/>
  <c r="K30" i="3" s="1"/>
  <c r="L30" i="3" s="1"/>
  <c r="M30" i="3" s="1"/>
  <c r="N30" i="3" s="1"/>
  <c r="O30" i="3" s="1"/>
  <c r="P30" i="3" s="1"/>
  <c r="Q30" i="3" s="1"/>
  <c r="E31" i="3"/>
  <c r="F31" i="3"/>
  <c r="G31" i="3"/>
  <c r="H31" i="3"/>
  <c r="I31" i="3"/>
  <c r="J31" i="3"/>
  <c r="K31" i="3"/>
  <c r="L31" i="3"/>
  <c r="M31" i="3"/>
  <c r="N31" i="3"/>
  <c r="O31" i="3"/>
  <c r="P31" i="3"/>
  <c r="Q31" i="3"/>
  <c r="E35" i="3"/>
  <c r="F35" i="3"/>
  <c r="O35" i="3"/>
  <c r="P35" i="3" s="1"/>
  <c r="E36" i="3"/>
  <c r="F36" i="3"/>
  <c r="G36" i="3"/>
  <c r="H36" i="3"/>
  <c r="I36" i="3"/>
  <c r="J36" i="3" s="1"/>
  <c r="K36" i="3" s="1"/>
  <c r="L36" i="3" s="1"/>
  <c r="M36" i="3" s="1"/>
  <c r="N36" i="3" s="1"/>
  <c r="O36" i="3" s="1"/>
  <c r="P36" i="3" s="1"/>
  <c r="Q36" i="3" s="1"/>
  <c r="E37" i="3"/>
  <c r="F37" i="3"/>
  <c r="G37" i="3"/>
  <c r="H37" i="3"/>
  <c r="I37" i="3"/>
  <c r="J37" i="3" s="1"/>
  <c r="K37" i="3" s="1"/>
  <c r="L37" i="3" s="1"/>
  <c r="M37" i="3" s="1"/>
  <c r="N37" i="3" s="1"/>
  <c r="O37" i="3" s="1"/>
  <c r="P37" i="3" s="1"/>
  <c r="Q37" i="3" s="1"/>
  <c r="E38" i="3"/>
  <c r="F38" i="3"/>
  <c r="G38" i="3"/>
  <c r="H38" i="3"/>
  <c r="I38" i="3"/>
  <c r="J38" i="3"/>
  <c r="K38" i="3"/>
  <c r="L38" i="3" s="1"/>
  <c r="M38" i="3" s="1"/>
  <c r="N38" i="3" s="1"/>
  <c r="O38" i="3"/>
  <c r="P38" i="3" s="1"/>
  <c r="Q38" i="3" s="1"/>
  <c r="E39" i="3"/>
  <c r="F39" i="3" s="1"/>
  <c r="G39" i="3" s="1"/>
  <c r="H39" i="3" s="1"/>
  <c r="I39" i="3" s="1"/>
  <c r="J39" i="3"/>
  <c r="K39" i="3"/>
  <c r="L39" i="3"/>
  <c r="M39" i="3"/>
  <c r="N39" i="3"/>
  <c r="O39" i="3" s="1"/>
  <c r="P39" i="3"/>
  <c r="Q39" i="3"/>
  <c r="E40" i="3"/>
  <c r="F42" i="3"/>
  <c r="F44" i="3" s="1"/>
  <c r="F46" i="3" s="1"/>
  <c r="G42" i="3"/>
  <c r="G44" i="3" s="1"/>
  <c r="G46" i="3" s="1"/>
  <c r="H42" i="3"/>
  <c r="I42" i="3" s="1"/>
  <c r="J42" i="3" s="1"/>
  <c r="K42" i="3" s="1"/>
  <c r="L42" i="3" s="1"/>
  <c r="M42" i="3"/>
  <c r="N42" i="3" s="1"/>
  <c r="O42" i="3" s="1"/>
  <c r="P42" i="3" s="1"/>
  <c r="Q42" i="3" s="1"/>
  <c r="Q44" i="3" s="1"/>
  <c r="Q46" i="3" s="1"/>
  <c r="F43" i="3"/>
  <c r="G43" i="3"/>
  <c r="H43" i="3"/>
  <c r="I43" i="3" s="1"/>
  <c r="P43" i="3"/>
  <c r="Q43" i="3"/>
  <c r="E44" i="3"/>
  <c r="E46" i="3" s="1"/>
  <c r="E45" i="3"/>
  <c r="F45" i="3"/>
  <c r="G45" i="3"/>
  <c r="H45" i="3" s="1"/>
  <c r="I45" i="3" s="1"/>
  <c r="J45" i="3" s="1"/>
  <c r="K45" i="3" s="1"/>
  <c r="L45" i="3" s="1"/>
  <c r="M45" i="3" s="1"/>
  <c r="N45" i="3" s="1"/>
  <c r="O45" i="3" s="1"/>
  <c r="P45" i="3" s="1"/>
  <c r="Q45" i="3" s="1"/>
  <c r="E52" i="3"/>
  <c r="E53" i="3" s="1"/>
  <c r="F52" i="3"/>
  <c r="F53" i="3" s="1"/>
  <c r="G52" i="3"/>
  <c r="G53" i="3" s="1"/>
  <c r="H52" i="3"/>
  <c r="I52" i="3" s="1"/>
  <c r="I53" i="3" s="1"/>
  <c r="J52" i="3"/>
  <c r="K52" i="3" s="1"/>
  <c r="K53" i="3" s="1"/>
  <c r="L52" i="3"/>
  <c r="L53" i="3" s="1"/>
  <c r="E55" i="3"/>
  <c r="F55" i="3"/>
  <c r="G55" i="3"/>
  <c r="H55" i="3"/>
  <c r="I55" i="3"/>
  <c r="J55" i="3"/>
  <c r="J61" i="3" s="1"/>
  <c r="K55" i="3"/>
  <c r="K61" i="3" s="1"/>
  <c r="L55" i="3"/>
  <c r="E56" i="3"/>
  <c r="F56" i="3"/>
  <c r="G56" i="3"/>
  <c r="H56" i="3"/>
  <c r="I56" i="3"/>
  <c r="J56" i="3"/>
  <c r="K56" i="3"/>
  <c r="L56" i="3"/>
  <c r="M56" i="3"/>
  <c r="N56" i="3"/>
  <c r="O56" i="3"/>
  <c r="P56" i="3"/>
  <c r="Q56" i="3"/>
  <c r="E57" i="3"/>
  <c r="F57" i="3"/>
  <c r="F61" i="3" s="1"/>
  <c r="G57" i="3"/>
  <c r="H57" i="3"/>
  <c r="I57" i="3"/>
  <c r="J57" i="3"/>
  <c r="K57" i="3"/>
  <c r="L57" i="3"/>
  <c r="M57" i="3"/>
  <c r="N57" i="3"/>
  <c r="O57" i="3"/>
  <c r="P57" i="3"/>
  <c r="Q57" i="3"/>
  <c r="E58" i="3"/>
  <c r="F58" i="3"/>
  <c r="G58" i="3"/>
  <c r="G61" i="3" s="1"/>
  <c r="H58" i="3"/>
  <c r="I58" i="3"/>
  <c r="J58" i="3"/>
  <c r="K58" i="3"/>
  <c r="L58" i="3"/>
  <c r="M58" i="3"/>
  <c r="N58" i="3"/>
  <c r="O58" i="3"/>
  <c r="P58" i="3"/>
  <c r="Q58" i="3"/>
  <c r="E59" i="3"/>
  <c r="F59" i="3"/>
  <c r="G59" i="3"/>
  <c r="H59" i="3"/>
  <c r="I59" i="3"/>
  <c r="J59" i="3"/>
  <c r="K59" i="3"/>
  <c r="L59" i="3"/>
  <c r="M59" i="3"/>
  <c r="N59" i="3"/>
  <c r="O59" i="3"/>
  <c r="P59" i="3"/>
  <c r="Q59" i="3"/>
  <c r="E60" i="3"/>
  <c r="F60" i="3"/>
  <c r="G60" i="3"/>
  <c r="H60" i="3"/>
  <c r="I60" i="3"/>
  <c r="J60" i="3"/>
  <c r="K60" i="3"/>
  <c r="L60" i="3"/>
  <c r="M60" i="3"/>
  <c r="N60" i="3"/>
  <c r="O60" i="3"/>
  <c r="P60" i="3"/>
  <c r="Q60" i="3"/>
  <c r="E63" i="3"/>
  <c r="F63" i="3"/>
  <c r="G63" i="3"/>
  <c r="H63" i="3"/>
  <c r="I63" i="3"/>
  <c r="J63" i="3"/>
  <c r="K63" i="3"/>
  <c r="L63" i="3"/>
  <c r="M63" i="3"/>
  <c r="N63" i="3"/>
  <c r="O63" i="3"/>
  <c r="P63" i="3"/>
  <c r="Q63" i="3"/>
  <c r="E64" i="3"/>
  <c r="F64" i="3"/>
  <c r="G64" i="3" s="1"/>
  <c r="H64" i="3"/>
  <c r="I64" i="3"/>
  <c r="J64" i="3" s="1"/>
  <c r="K64" i="3" s="1"/>
  <c r="E65" i="3"/>
  <c r="F65" i="3"/>
  <c r="G65" i="3"/>
  <c r="H65" i="3"/>
  <c r="I65" i="3"/>
  <c r="J65" i="3"/>
  <c r="K65" i="3"/>
  <c r="L65" i="3"/>
  <c r="M65" i="3"/>
  <c r="N65" i="3"/>
  <c r="O65" i="3"/>
  <c r="P65" i="3"/>
  <c r="Q65" i="3"/>
  <c r="E66" i="3"/>
  <c r="F66" i="3"/>
  <c r="G66" i="3" s="1"/>
  <c r="H66" i="3" s="1"/>
  <c r="I66" i="3" s="1"/>
  <c r="J66" i="3" s="1"/>
  <c r="K66" i="3" s="1"/>
  <c r="L66" i="3" s="1"/>
  <c r="M66" i="3" s="1"/>
  <c r="N66" i="3" s="1"/>
  <c r="O66" i="3" s="1"/>
  <c r="P66" i="3" s="1"/>
  <c r="Q66" i="3" s="1"/>
  <c r="E67" i="3"/>
  <c r="F67" i="3"/>
  <c r="G67" i="3"/>
  <c r="H67" i="3"/>
  <c r="I67" i="3"/>
  <c r="J67" i="3" s="1"/>
  <c r="K67" i="3"/>
  <c r="L67" i="3"/>
  <c r="M67" i="3"/>
  <c r="N67" i="3" s="1"/>
  <c r="O67" i="3" s="1"/>
  <c r="P67" i="3" s="1"/>
  <c r="Q67" i="3" s="1"/>
  <c r="E68" i="3"/>
  <c r="F68" i="3"/>
  <c r="G68" i="3"/>
  <c r="H68" i="3" s="1"/>
  <c r="I68" i="3" s="1"/>
  <c r="J68" i="3" s="1"/>
  <c r="K68" i="3" s="1"/>
  <c r="L68" i="3" s="1"/>
  <c r="M68" i="3" s="1"/>
  <c r="N68" i="3" s="1"/>
  <c r="O68" i="3" s="1"/>
  <c r="P68" i="3" s="1"/>
  <c r="Q68" i="3" s="1"/>
  <c r="E69" i="3"/>
  <c r="F69" i="3"/>
  <c r="G69" i="3"/>
  <c r="H69" i="3" s="1"/>
  <c r="I69" i="3" s="1"/>
  <c r="J69" i="3" s="1"/>
  <c r="K69" i="3" s="1"/>
  <c r="L69" i="3" s="1"/>
  <c r="M69" i="3" s="1"/>
  <c r="N69" i="3" s="1"/>
  <c r="O69" i="3" s="1"/>
  <c r="P69" i="3" s="1"/>
  <c r="Q69" i="3" s="1"/>
  <c r="E70" i="3"/>
  <c r="F70" i="3"/>
  <c r="G70" i="3"/>
  <c r="H70" i="3"/>
  <c r="I70" i="3"/>
  <c r="J70" i="3"/>
  <c r="K70" i="3" s="1"/>
  <c r="L70" i="3" s="1"/>
  <c r="M70" i="3" s="1"/>
  <c r="N70" i="3" s="1"/>
  <c r="O70" i="3" s="1"/>
  <c r="P70" i="3" s="1"/>
  <c r="Q70" i="3" s="1"/>
  <c r="E71" i="3"/>
  <c r="F71" i="3" s="1"/>
  <c r="G71" i="3" s="1"/>
  <c r="H71" i="3" s="1"/>
  <c r="I71" i="3"/>
  <c r="J71" i="3"/>
  <c r="K71" i="3"/>
  <c r="L71" i="3"/>
  <c r="M71" i="3" s="1"/>
  <c r="N71" i="3" s="1"/>
  <c r="O71" i="3" s="1"/>
  <c r="P71" i="3" s="1"/>
  <c r="Q71" i="3" s="1"/>
  <c r="E72" i="3"/>
  <c r="F72" i="3" s="1"/>
  <c r="G72" i="3" s="1"/>
  <c r="H72" i="3" s="1"/>
  <c r="I72" i="3" s="1"/>
  <c r="J72" i="3"/>
  <c r="K72" i="3"/>
  <c r="L72" i="3" s="1"/>
  <c r="M72" i="3" s="1"/>
  <c r="N72" i="3" s="1"/>
  <c r="O72" i="3" s="1"/>
  <c r="P72" i="3" s="1"/>
  <c r="Q72" i="3" s="1"/>
  <c r="E73" i="3"/>
  <c r="F73" i="3"/>
  <c r="G73" i="3" s="1"/>
  <c r="H73" i="3" s="1"/>
  <c r="I73" i="3" s="1"/>
  <c r="J73" i="3" s="1"/>
  <c r="K73" i="3"/>
  <c r="L73" i="3"/>
  <c r="M73" i="3"/>
  <c r="N73" i="3" s="1"/>
  <c r="O73" i="3" s="1"/>
  <c r="P73" i="3" s="1"/>
  <c r="Q73" i="3" s="1"/>
  <c r="E74" i="3"/>
  <c r="F74" i="3"/>
  <c r="G74" i="3"/>
  <c r="H74" i="3" s="1"/>
  <c r="I74" i="3" s="1"/>
  <c r="J74" i="3" s="1"/>
  <c r="K74" i="3" s="1"/>
  <c r="L74" i="3" s="1"/>
  <c r="M74" i="3" s="1"/>
  <c r="N74" i="3" s="1"/>
  <c r="O74" i="3" s="1"/>
  <c r="P74" i="3" s="1"/>
  <c r="Q74" i="3" s="1"/>
  <c r="E75" i="3"/>
  <c r="F75" i="3"/>
  <c r="G75" i="3"/>
  <c r="H75" i="3" s="1"/>
  <c r="I75" i="3" s="1"/>
  <c r="J75" i="3" s="1"/>
  <c r="K75" i="3" s="1"/>
  <c r="L75" i="3" s="1"/>
  <c r="M75" i="3" s="1"/>
  <c r="N75" i="3" s="1"/>
  <c r="O75" i="3" s="1"/>
  <c r="P75" i="3" s="1"/>
  <c r="Q75" i="3" s="1"/>
  <c r="E76" i="3"/>
  <c r="F76" i="3"/>
  <c r="G76" i="3"/>
  <c r="H76" i="3"/>
  <c r="I76" i="3"/>
  <c r="J76" i="3"/>
  <c r="K76" i="3"/>
  <c r="L76" i="3"/>
  <c r="M76" i="3"/>
  <c r="N76" i="3"/>
  <c r="O76" i="3"/>
  <c r="P76" i="3"/>
  <c r="Q76" i="3"/>
  <c r="E77" i="3"/>
  <c r="F77" i="3" s="1"/>
  <c r="G77" i="3"/>
  <c r="H77" i="3"/>
  <c r="I77" i="3"/>
  <c r="J77" i="3"/>
  <c r="K77" i="3" s="1"/>
  <c r="L77" i="3" s="1"/>
  <c r="M77" i="3" s="1"/>
  <c r="N77" i="3" s="1"/>
  <c r="O77" i="3"/>
  <c r="P77" i="3"/>
  <c r="Q77" i="3" s="1"/>
  <c r="E78" i="3"/>
  <c r="F78" i="3" s="1"/>
  <c r="G78" i="3" s="1"/>
  <c r="H78" i="3" s="1"/>
  <c r="I78" i="3" s="1"/>
  <c r="J78" i="3" s="1"/>
  <c r="K78" i="3" s="1"/>
  <c r="L78" i="3" s="1"/>
  <c r="M78" i="3" s="1"/>
  <c r="N78" i="3" s="1"/>
  <c r="O78" i="3" s="1"/>
  <c r="P78" i="3" s="1"/>
  <c r="Q78" i="3" s="1"/>
  <c r="E79" i="3"/>
  <c r="F79" i="3"/>
  <c r="G79" i="3"/>
  <c r="H79" i="3" s="1"/>
  <c r="I79" i="3"/>
  <c r="J79" i="3"/>
  <c r="K79" i="3"/>
  <c r="L79" i="3" s="1"/>
  <c r="M79" i="3" s="1"/>
  <c r="N79" i="3" s="1"/>
  <c r="O79" i="3" s="1"/>
  <c r="P79" i="3" s="1"/>
  <c r="Q79" i="3" s="1"/>
  <c r="E80" i="3"/>
  <c r="F80" i="3"/>
  <c r="G80" i="3" s="1"/>
  <c r="H80" i="3" s="1"/>
  <c r="I80" i="3" s="1"/>
  <c r="J80" i="3" s="1"/>
  <c r="K80" i="3" s="1"/>
  <c r="L80" i="3" s="1"/>
  <c r="M80" i="3" s="1"/>
  <c r="N80" i="3" s="1"/>
  <c r="O80" i="3" s="1"/>
  <c r="P80" i="3" s="1"/>
  <c r="Q80" i="3" s="1"/>
  <c r="E81" i="3"/>
  <c r="F81" i="3"/>
  <c r="G81" i="3"/>
  <c r="H81" i="3"/>
  <c r="I81" i="3" s="1"/>
  <c r="J81" i="3" s="1"/>
  <c r="K81" i="3" s="1"/>
  <c r="L81" i="3" s="1"/>
  <c r="M81" i="3" s="1"/>
  <c r="N81" i="3" s="1"/>
  <c r="O81" i="3" s="1"/>
  <c r="P81" i="3" s="1"/>
  <c r="Q81" i="3" s="1"/>
  <c r="E82" i="3"/>
  <c r="F82" i="3"/>
  <c r="G82" i="3"/>
  <c r="H82" i="3"/>
  <c r="I82" i="3"/>
  <c r="J82" i="3"/>
  <c r="K82" i="3" s="1"/>
  <c r="L82" i="3"/>
  <c r="M82" i="3"/>
  <c r="N82" i="3"/>
  <c r="O82" i="3" s="1"/>
  <c r="P82" i="3" s="1"/>
  <c r="Q82" i="3" s="1"/>
  <c r="F83" i="3"/>
  <c r="G83" i="3"/>
  <c r="H83" i="3"/>
  <c r="I83" i="3" s="1"/>
  <c r="J83" i="3" s="1"/>
  <c r="K83" i="3"/>
  <c r="L83" i="3"/>
  <c r="M83" i="3"/>
  <c r="N83" i="3"/>
  <c r="O83" i="3"/>
  <c r="P83" i="3"/>
  <c r="Q83" i="3"/>
  <c r="F84" i="3"/>
  <c r="G84" i="3" s="1"/>
  <c r="H84" i="3" s="1"/>
  <c r="I84" i="3" s="1"/>
  <c r="J84" i="3" s="1"/>
  <c r="K84" i="3" s="1"/>
  <c r="L84" i="3"/>
  <c r="M84" i="3"/>
  <c r="N84" i="3"/>
  <c r="O84" i="3"/>
  <c r="P84" i="3"/>
  <c r="Q84" i="3"/>
  <c r="E85" i="3"/>
  <c r="F85" i="3"/>
  <c r="G85" i="3" s="1"/>
  <c r="H85" i="3" s="1"/>
  <c r="I85" i="3" s="1"/>
  <c r="J85" i="3" s="1"/>
  <c r="K85" i="3" s="1"/>
  <c r="L85" i="3" s="1"/>
  <c r="M85" i="3" s="1"/>
  <c r="N85" i="3" s="1"/>
  <c r="O85" i="3" s="1"/>
  <c r="P85" i="3" s="1"/>
  <c r="Q85" i="3" s="1"/>
  <c r="E89" i="3"/>
  <c r="E92" i="3" s="1"/>
  <c r="F89" i="3"/>
  <c r="G89" i="3"/>
  <c r="H89" i="3"/>
  <c r="I89" i="3"/>
  <c r="J89" i="3"/>
  <c r="K89" i="3"/>
  <c r="L89" i="3"/>
  <c r="M89" i="3"/>
  <c r="N89" i="3"/>
  <c r="O89" i="3"/>
  <c r="P89" i="3"/>
  <c r="Q89" i="3"/>
  <c r="E90" i="3"/>
  <c r="F90" i="3"/>
  <c r="G90" i="3"/>
  <c r="H90" i="3"/>
  <c r="I90" i="3"/>
  <c r="J90" i="3"/>
  <c r="K90" i="3"/>
  <c r="L90" i="3"/>
  <c r="M90" i="3"/>
  <c r="N90" i="3"/>
  <c r="O90" i="3"/>
  <c r="P90" i="3"/>
  <c r="Q90" i="3"/>
  <c r="E91" i="3"/>
  <c r="F91" i="3" s="1"/>
  <c r="F95" i="3"/>
  <c r="G95" i="3"/>
  <c r="E96" i="3"/>
  <c r="F96" i="3"/>
  <c r="G96" i="3"/>
  <c r="H96" i="3" s="1"/>
  <c r="I96" i="3" s="1"/>
  <c r="J96" i="3" s="1"/>
  <c r="K96" i="3" s="1"/>
  <c r="L96" i="3" s="1"/>
  <c r="M96" i="3" s="1"/>
  <c r="N96" i="3" s="1"/>
  <c r="O96" i="3" s="1"/>
  <c r="P96" i="3" s="1"/>
  <c r="Q96" i="3" s="1"/>
  <c r="E97" i="3"/>
  <c r="F97" i="3"/>
  <c r="G97" i="3"/>
  <c r="H97" i="3"/>
  <c r="I97" i="3"/>
  <c r="J97" i="3" s="1"/>
  <c r="K97" i="3" s="1"/>
  <c r="L97" i="3" s="1"/>
  <c r="M97" i="3" s="1"/>
  <c r="N97" i="3" s="1"/>
  <c r="O97" i="3" s="1"/>
  <c r="P97" i="3" s="1"/>
  <c r="Q97" i="3" s="1"/>
  <c r="E98" i="3"/>
  <c r="F98" i="3"/>
  <c r="G98" i="3"/>
  <c r="H98" i="3"/>
  <c r="I98" i="3"/>
  <c r="J98" i="3"/>
  <c r="K98" i="3"/>
  <c r="L98" i="3"/>
  <c r="M98" i="3" s="1"/>
  <c r="N98" i="3" s="1"/>
  <c r="O98" i="3" s="1"/>
  <c r="P98" i="3" s="1"/>
  <c r="Q98" i="3" s="1"/>
  <c r="E99" i="3"/>
  <c r="F99" i="3"/>
  <c r="G99" i="3"/>
  <c r="H99" i="3"/>
  <c r="I99" i="3"/>
  <c r="J99" i="3" s="1"/>
  <c r="K99" i="3" s="1"/>
  <c r="L99" i="3" s="1"/>
  <c r="M99" i="3" s="1"/>
  <c r="N99" i="3" s="1"/>
  <c r="O99" i="3" s="1"/>
  <c r="P99" i="3" s="1"/>
  <c r="Q99" i="3" s="1"/>
  <c r="E100" i="3"/>
  <c r="F100" i="3"/>
  <c r="G100" i="3" s="1"/>
  <c r="H100" i="3" s="1"/>
  <c r="I100" i="3" s="1"/>
  <c r="J100" i="3" s="1"/>
  <c r="K100" i="3" s="1"/>
  <c r="L100" i="3" s="1"/>
  <c r="M100" i="3" s="1"/>
  <c r="N100" i="3" s="1"/>
  <c r="O100" i="3" s="1"/>
  <c r="P100" i="3" s="1"/>
  <c r="Q100" i="3" s="1"/>
  <c r="E101" i="3"/>
  <c r="F101" i="3"/>
  <c r="G101" i="3"/>
  <c r="H101" i="3" s="1"/>
  <c r="I101" i="3" s="1"/>
  <c r="J101" i="3" s="1"/>
  <c r="K101" i="3" s="1"/>
  <c r="L101" i="3" s="1"/>
  <c r="M101" i="3" s="1"/>
  <c r="N101" i="3" s="1"/>
  <c r="O101" i="3" s="1"/>
  <c r="P101" i="3" s="1"/>
  <c r="Q101" i="3" s="1"/>
  <c r="E102" i="3"/>
  <c r="F102" i="3"/>
  <c r="G102" i="3"/>
  <c r="H102" i="3"/>
  <c r="I102" i="3" s="1"/>
  <c r="J102" i="3" s="1"/>
  <c r="K102" i="3" s="1"/>
  <c r="L102" i="3" s="1"/>
  <c r="M102" i="3" s="1"/>
  <c r="N102" i="3" s="1"/>
  <c r="O102" i="3" s="1"/>
  <c r="P102" i="3" s="1"/>
  <c r="Q102" i="3" s="1"/>
  <c r="E103" i="3"/>
  <c r="F103" i="3"/>
  <c r="G103" i="3"/>
  <c r="H103" i="3"/>
  <c r="I103" i="3"/>
  <c r="J103" i="3"/>
  <c r="K103" i="3"/>
  <c r="L103" i="3"/>
  <c r="M103" i="3"/>
  <c r="N103" i="3"/>
  <c r="O103" i="3"/>
  <c r="P103" i="3"/>
  <c r="Q103" i="3"/>
  <c r="CN4" i="2"/>
  <c r="CN5" i="2"/>
  <c r="CN6" i="2"/>
  <c r="CN7" i="2"/>
  <c r="H8" i="2"/>
  <c r="J8" i="2"/>
  <c r="CN8" i="2" s="1"/>
  <c r="L8" i="2"/>
  <c r="N8" i="2"/>
  <c r="P8" i="2"/>
  <c r="R8" i="2"/>
  <c r="T8" i="2"/>
  <c r="T13" i="2" s="1"/>
  <c r="V8" i="2"/>
  <c r="V13" i="2" s="1"/>
  <c r="X8" i="2"/>
  <c r="X13" i="2" s="1"/>
  <c r="Z8" i="2"/>
  <c r="Z13" i="2" s="1"/>
  <c r="AB8" i="2"/>
  <c r="AD8" i="2"/>
  <c r="AD13" i="2" s="1"/>
  <c r="AF8" i="2"/>
  <c r="AH8" i="2"/>
  <c r="AJ8" i="2"/>
  <c r="AL8" i="2"/>
  <c r="AN8" i="2"/>
  <c r="AP8" i="2"/>
  <c r="AR8" i="2"/>
  <c r="AT8" i="2"/>
  <c r="AV8" i="2"/>
  <c r="AV13" i="2" s="1"/>
  <c r="AX8" i="2"/>
  <c r="AX13" i="2" s="1"/>
  <c r="AZ8" i="2"/>
  <c r="AZ13" i="2" s="1"/>
  <c r="BB8" i="2"/>
  <c r="BB13" i="2" s="1"/>
  <c r="BD8" i="2"/>
  <c r="BF8" i="2"/>
  <c r="BF13" i="2" s="1"/>
  <c r="BH8" i="2"/>
  <c r="BJ8" i="2"/>
  <c r="BL8" i="2"/>
  <c r="BN8" i="2"/>
  <c r="BP8" i="2"/>
  <c r="BR8" i="2"/>
  <c r="BT8" i="2"/>
  <c r="BV8" i="2"/>
  <c r="BX8" i="2"/>
  <c r="BX13" i="2" s="1"/>
  <c r="BZ8" i="2"/>
  <c r="BZ13" i="2" s="1"/>
  <c r="CB8" i="2"/>
  <c r="CB13" i="2" s="1"/>
  <c r="CD8" i="2"/>
  <c r="CD13" i="2" s="1"/>
  <c r="CF8" i="2"/>
  <c r="CH8" i="2"/>
  <c r="CH13" i="2" s="1"/>
  <c r="CJ8" i="2"/>
  <c r="CL8" i="2"/>
  <c r="CN10" i="2"/>
  <c r="CN11" i="2"/>
  <c r="H12" i="2"/>
  <c r="CN12" i="2" s="1"/>
  <c r="J12" i="2"/>
  <c r="L12" i="2"/>
  <c r="N12" i="2"/>
  <c r="P12" i="2"/>
  <c r="R12" i="2"/>
  <c r="T12" i="2"/>
  <c r="V12" i="2"/>
  <c r="X12" i="2"/>
  <c r="Z12" i="2"/>
  <c r="AB12" i="2"/>
  <c r="AB13" i="2" s="1"/>
  <c r="AD12" i="2"/>
  <c r="AF12" i="2"/>
  <c r="AH12" i="2"/>
  <c r="AJ12" i="2"/>
  <c r="AL12" i="2"/>
  <c r="AN12" i="2"/>
  <c r="AP12" i="2"/>
  <c r="AR12" i="2"/>
  <c r="AT12" i="2"/>
  <c r="AV12" i="2"/>
  <c r="AX12" i="2"/>
  <c r="AZ12" i="2"/>
  <c r="BB12" i="2"/>
  <c r="BD12" i="2"/>
  <c r="BD13" i="2" s="1"/>
  <c r="BF12" i="2"/>
  <c r="BH12" i="2"/>
  <c r="BJ12" i="2"/>
  <c r="BL12" i="2"/>
  <c r="BN12" i="2"/>
  <c r="BP12" i="2"/>
  <c r="BR12" i="2"/>
  <c r="BT12" i="2"/>
  <c r="BV12" i="2"/>
  <c r="BX12" i="2"/>
  <c r="BZ12" i="2"/>
  <c r="CB12" i="2"/>
  <c r="CD12" i="2"/>
  <c r="CF12" i="2"/>
  <c r="CF13" i="2" s="1"/>
  <c r="CH12" i="2"/>
  <c r="CJ12" i="2"/>
  <c r="CL12" i="2"/>
  <c r="H13" i="2"/>
  <c r="J13" i="2"/>
  <c r="L13" i="2"/>
  <c r="L114" i="2" s="1"/>
  <c r="L125" i="2" s="1"/>
  <c r="N13" i="2"/>
  <c r="N114" i="2" s="1"/>
  <c r="N125" i="2" s="1"/>
  <c r="P13" i="2"/>
  <c r="P114" i="2" s="1"/>
  <c r="P125" i="2" s="1"/>
  <c r="R13" i="2"/>
  <c r="AF13" i="2"/>
  <c r="AH13" i="2"/>
  <c r="AJ13" i="2"/>
  <c r="AL13" i="2"/>
  <c r="AN13" i="2"/>
  <c r="AN114" i="2" s="1"/>
  <c r="AN125" i="2" s="1"/>
  <c r="AP13" i="2"/>
  <c r="AP114" i="2" s="1"/>
  <c r="AP125" i="2" s="1"/>
  <c r="AR13" i="2"/>
  <c r="AT13" i="2"/>
  <c r="BH13" i="2"/>
  <c r="BJ13" i="2"/>
  <c r="BL13" i="2"/>
  <c r="BN13" i="2"/>
  <c r="BP13" i="2"/>
  <c r="BP114" i="2" s="1"/>
  <c r="BP125" i="2" s="1"/>
  <c r="BR13" i="2"/>
  <c r="BR114" i="2" s="1"/>
  <c r="BR125" i="2" s="1"/>
  <c r="BT13" i="2"/>
  <c r="BT114" i="2" s="1"/>
  <c r="BT125" i="2" s="1"/>
  <c r="BV13" i="2"/>
  <c r="BV114" i="2" s="1"/>
  <c r="BV125" i="2" s="1"/>
  <c r="CJ13" i="2"/>
  <c r="CL13" i="2"/>
  <c r="CN15" i="2"/>
  <c r="CN16" i="2"/>
  <c r="CN17" i="2"/>
  <c r="CN18" i="2"/>
  <c r="CN19" i="2"/>
  <c r="CN20" i="2"/>
  <c r="CN21" i="2"/>
  <c r="CN22" i="2"/>
  <c r="CN23" i="2"/>
  <c r="CN24" i="2"/>
  <c r="CN25" i="2"/>
  <c r="CN26" i="2"/>
  <c r="CN27" i="2"/>
  <c r="CN28" i="2"/>
  <c r="CN30" i="2"/>
  <c r="CN31" i="2"/>
  <c r="H32" i="2"/>
  <c r="J32" i="2"/>
  <c r="CN32" i="2" s="1"/>
  <c r="L32" i="2"/>
  <c r="N32" i="2"/>
  <c r="P32" i="2"/>
  <c r="R32" i="2"/>
  <c r="T32" i="2"/>
  <c r="V32" i="2"/>
  <c r="X32" i="2"/>
  <c r="Z32" i="2"/>
  <c r="AB32" i="2"/>
  <c r="AD32" i="2"/>
  <c r="AF32" i="2"/>
  <c r="AH32" i="2"/>
  <c r="AJ32" i="2"/>
  <c r="AL32" i="2"/>
  <c r="AN32" i="2"/>
  <c r="AP32" i="2"/>
  <c r="AR32" i="2"/>
  <c r="AT32" i="2"/>
  <c r="AV32" i="2"/>
  <c r="AX32" i="2"/>
  <c r="AZ32" i="2"/>
  <c r="BB32" i="2"/>
  <c r="BD32" i="2"/>
  <c r="BF32" i="2"/>
  <c r="BH32" i="2"/>
  <c r="BJ32" i="2"/>
  <c r="BL32" i="2"/>
  <c r="BN32" i="2"/>
  <c r="BP32" i="2"/>
  <c r="BR32" i="2"/>
  <c r="BT32" i="2"/>
  <c r="BV32" i="2"/>
  <c r="BX32" i="2"/>
  <c r="BZ32" i="2"/>
  <c r="CB32" i="2"/>
  <c r="CD32" i="2"/>
  <c r="CF32" i="2"/>
  <c r="CH32" i="2"/>
  <c r="CJ32" i="2"/>
  <c r="CL32" i="2"/>
  <c r="CN33" i="2"/>
  <c r="CN35" i="2"/>
  <c r="CN36" i="2"/>
  <c r="H37" i="2"/>
  <c r="J37" i="2"/>
  <c r="L37" i="2"/>
  <c r="CN37" i="2" s="1"/>
  <c r="N37" i="2"/>
  <c r="P37" i="2"/>
  <c r="R37" i="2"/>
  <c r="R113" i="2" s="1"/>
  <c r="T37" i="2"/>
  <c r="T113" i="2" s="1"/>
  <c r="V37" i="2"/>
  <c r="X37" i="2"/>
  <c r="Z37" i="2"/>
  <c r="AB37" i="2"/>
  <c r="AB113" i="2" s="1"/>
  <c r="AD37" i="2"/>
  <c r="AF37" i="2"/>
  <c r="AF113" i="2" s="1"/>
  <c r="AF114" i="2" s="1"/>
  <c r="AF125" i="2" s="1"/>
  <c r="AH37" i="2"/>
  <c r="AJ37" i="2"/>
  <c r="AL37" i="2"/>
  <c r="AN37" i="2"/>
  <c r="AP37" i="2"/>
  <c r="AR37" i="2"/>
  <c r="AT37" i="2"/>
  <c r="AT113" i="2" s="1"/>
  <c r="AV37" i="2"/>
  <c r="AV113" i="2" s="1"/>
  <c r="AX37" i="2"/>
  <c r="AZ37" i="2"/>
  <c r="BB37" i="2"/>
  <c r="BD37" i="2"/>
  <c r="BD113" i="2" s="1"/>
  <c r="BF37" i="2"/>
  <c r="BH37" i="2"/>
  <c r="BH113" i="2" s="1"/>
  <c r="BH114" i="2" s="1"/>
  <c r="BH125" i="2" s="1"/>
  <c r="BJ37" i="2"/>
  <c r="BL37" i="2"/>
  <c r="BN37" i="2"/>
  <c r="BP37" i="2"/>
  <c r="BR37" i="2"/>
  <c r="BT37" i="2"/>
  <c r="BV37" i="2"/>
  <c r="BV113" i="2" s="1"/>
  <c r="BX37" i="2"/>
  <c r="BX113" i="2" s="1"/>
  <c r="BZ37" i="2"/>
  <c r="CB37" i="2"/>
  <c r="CD37" i="2"/>
  <c r="CF37" i="2"/>
  <c r="CF113" i="2" s="1"/>
  <c r="CH37" i="2"/>
  <c r="CJ37" i="2"/>
  <c r="CJ113" i="2" s="1"/>
  <c r="CJ114" i="2" s="1"/>
  <c r="CJ125" i="2" s="1"/>
  <c r="CL37" i="2"/>
  <c r="CN39" i="2"/>
  <c r="CN40" i="2"/>
  <c r="CN41" i="2"/>
  <c r="CN42" i="2"/>
  <c r="CN43" i="2"/>
  <c r="CN44" i="2"/>
  <c r="CN45" i="2"/>
  <c r="H46" i="2"/>
  <c r="J46" i="2"/>
  <c r="CN46" i="2" s="1"/>
  <c r="L46" i="2"/>
  <c r="N46" i="2"/>
  <c r="P46" i="2"/>
  <c r="R46" i="2"/>
  <c r="T46" i="2"/>
  <c r="V46" i="2"/>
  <c r="X46" i="2"/>
  <c r="Z46" i="2"/>
  <c r="AB46" i="2"/>
  <c r="AD46" i="2"/>
  <c r="AF46" i="2"/>
  <c r="AH46" i="2"/>
  <c r="AJ46" i="2"/>
  <c r="AL46" i="2"/>
  <c r="AN46" i="2"/>
  <c r="AP46" i="2"/>
  <c r="AR46" i="2"/>
  <c r="AT46" i="2"/>
  <c r="AV46" i="2"/>
  <c r="AX46" i="2"/>
  <c r="AZ46" i="2"/>
  <c r="BB46" i="2"/>
  <c r="BD46" i="2"/>
  <c r="BF46" i="2"/>
  <c r="BH46" i="2"/>
  <c r="BJ46" i="2"/>
  <c r="BL46" i="2"/>
  <c r="BN46" i="2"/>
  <c r="BP46" i="2"/>
  <c r="BR46" i="2"/>
  <c r="BT46" i="2"/>
  <c r="BV46" i="2"/>
  <c r="BX46" i="2"/>
  <c r="BZ46" i="2"/>
  <c r="CB46" i="2"/>
  <c r="CD46" i="2"/>
  <c r="CF46" i="2"/>
  <c r="CH46" i="2"/>
  <c r="CJ46" i="2"/>
  <c r="CL46" i="2"/>
  <c r="CN47" i="2"/>
  <c r="CN49" i="2"/>
  <c r="CN50" i="2"/>
  <c r="CN51" i="2"/>
  <c r="H52" i="2"/>
  <c r="J52" i="2"/>
  <c r="CN52" i="2" s="1"/>
  <c r="L52" i="2"/>
  <c r="N52" i="2"/>
  <c r="P52" i="2"/>
  <c r="R52" i="2"/>
  <c r="T52" i="2"/>
  <c r="V52" i="2"/>
  <c r="X52" i="2"/>
  <c r="Z52" i="2"/>
  <c r="AB52" i="2"/>
  <c r="AD52" i="2"/>
  <c r="AF52" i="2"/>
  <c r="AH52" i="2"/>
  <c r="AJ52" i="2"/>
  <c r="AL52" i="2"/>
  <c r="AN52" i="2"/>
  <c r="AP52" i="2"/>
  <c r="AR52" i="2"/>
  <c r="AT52" i="2"/>
  <c r="AV52" i="2"/>
  <c r="AX52" i="2"/>
  <c r="AZ52" i="2"/>
  <c r="BB52" i="2"/>
  <c r="BD52" i="2"/>
  <c r="BF52" i="2"/>
  <c r="BH52" i="2"/>
  <c r="BJ52" i="2"/>
  <c r="BL52" i="2"/>
  <c r="BN52" i="2"/>
  <c r="BP52" i="2"/>
  <c r="BR52" i="2"/>
  <c r="BT52" i="2"/>
  <c r="BV52" i="2"/>
  <c r="BX52" i="2"/>
  <c r="BZ52" i="2"/>
  <c r="CB52" i="2"/>
  <c r="CD52" i="2"/>
  <c r="CF52" i="2"/>
  <c r="CH52" i="2"/>
  <c r="CJ52" i="2"/>
  <c r="CL52" i="2"/>
  <c r="CN53" i="2"/>
  <c r="CN55" i="2"/>
  <c r="CN56" i="2"/>
  <c r="CN57" i="2"/>
  <c r="H58" i="2"/>
  <c r="J58" i="2"/>
  <c r="CN58" i="2" s="1"/>
  <c r="L58" i="2"/>
  <c r="N58" i="2"/>
  <c r="P58" i="2"/>
  <c r="R58" i="2"/>
  <c r="T58" i="2"/>
  <c r="V58" i="2"/>
  <c r="X58" i="2"/>
  <c r="Z58" i="2"/>
  <c r="AB58" i="2"/>
  <c r="AD58" i="2"/>
  <c r="AF58" i="2"/>
  <c r="AH58" i="2"/>
  <c r="AJ58" i="2"/>
  <c r="AL58" i="2"/>
  <c r="AN58" i="2"/>
  <c r="AP58" i="2"/>
  <c r="AR58" i="2"/>
  <c r="AT58" i="2"/>
  <c r="AV58" i="2"/>
  <c r="AX58" i="2"/>
  <c r="AZ58" i="2"/>
  <c r="BB58" i="2"/>
  <c r="BD58" i="2"/>
  <c r="BF58" i="2"/>
  <c r="BH58" i="2"/>
  <c r="BJ58" i="2"/>
  <c r="BL58" i="2"/>
  <c r="BN58" i="2"/>
  <c r="BP58" i="2"/>
  <c r="BR58" i="2"/>
  <c r="BT58" i="2"/>
  <c r="BV58" i="2"/>
  <c r="BX58" i="2"/>
  <c r="BZ58" i="2"/>
  <c r="CB58" i="2"/>
  <c r="CD58" i="2"/>
  <c r="CF58" i="2"/>
  <c r="CH58" i="2"/>
  <c r="CJ58" i="2"/>
  <c r="CL58" i="2"/>
  <c r="CN59" i="2"/>
  <c r="CN61" i="2"/>
  <c r="CN62" i="2"/>
  <c r="H63" i="2"/>
  <c r="J63" i="2"/>
  <c r="CN63" i="2" s="1"/>
  <c r="L63" i="2"/>
  <c r="N63" i="2"/>
  <c r="N113" i="2" s="1"/>
  <c r="P63" i="2"/>
  <c r="P113" i="2" s="1"/>
  <c r="R63" i="2"/>
  <c r="T63" i="2"/>
  <c r="V63" i="2"/>
  <c r="X63" i="2"/>
  <c r="Z63" i="2"/>
  <c r="AB63" i="2"/>
  <c r="AD63" i="2"/>
  <c r="AF63" i="2"/>
  <c r="AH63" i="2"/>
  <c r="AJ63" i="2"/>
  <c r="AL63" i="2"/>
  <c r="AN63" i="2"/>
  <c r="AP63" i="2"/>
  <c r="AP113" i="2" s="1"/>
  <c r="AR63" i="2"/>
  <c r="AR113" i="2" s="1"/>
  <c r="AT63" i="2"/>
  <c r="AV63" i="2"/>
  <c r="AX63" i="2"/>
  <c r="AZ63" i="2"/>
  <c r="BB63" i="2"/>
  <c r="BD63" i="2"/>
  <c r="BF63" i="2"/>
  <c r="BH63" i="2"/>
  <c r="BJ63" i="2"/>
  <c r="BL63" i="2"/>
  <c r="BN63" i="2"/>
  <c r="BP63" i="2"/>
  <c r="BR63" i="2"/>
  <c r="BR113" i="2" s="1"/>
  <c r="BT63" i="2"/>
  <c r="BT113" i="2" s="1"/>
  <c r="BV63" i="2"/>
  <c r="BX63" i="2"/>
  <c r="BZ63" i="2"/>
  <c r="CB63" i="2"/>
  <c r="CD63" i="2"/>
  <c r="CF63" i="2"/>
  <c r="CH63" i="2"/>
  <c r="CJ63" i="2"/>
  <c r="CL63" i="2"/>
  <c r="CN65" i="2"/>
  <c r="CN66" i="2"/>
  <c r="H67" i="2"/>
  <c r="H113" i="2" s="1"/>
  <c r="J67" i="2"/>
  <c r="J113" i="2" s="1"/>
  <c r="J114" i="2" s="1"/>
  <c r="J125" i="2" s="1"/>
  <c r="L67" i="2"/>
  <c r="N67" i="2"/>
  <c r="P67" i="2"/>
  <c r="R67" i="2"/>
  <c r="T67" i="2"/>
  <c r="V67" i="2"/>
  <c r="X67" i="2"/>
  <c r="Z67" i="2"/>
  <c r="AB67" i="2"/>
  <c r="AD67" i="2"/>
  <c r="AF67" i="2"/>
  <c r="AH67" i="2"/>
  <c r="AH113" i="2" s="1"/>
  <c r="AH114" i="2" s="1"/>
  <c r="AH125" i="2" s="1"/>
  <c r="AJ67" i="2"/>
  <c r="AJ113" i="2" s="1"/>
  <c r="AJ114" i="2" s="1"/>
  <c r="AJ125" i="2" s="1"/>
  <c r="AL67" i="2"/>
  <c r="AL113" i="2" s="1"/>
  <c r="AL114" i="2" s="1"/>
  <c r="AL125" i="2" s="1"/>
  <c r="AN67" i="2"/>
  <c r="AP67" i="2"/>
  <c r="AR67" i="2"/>
  <c r="AT67" i="2"/>
  <c r="AV67" i="2"/>
  <c r="AX67" i="2"/>
  <c r="AZ67" i="2"/>
  <c r="BB67" i="2"/>
  <c r="BD67" i="2"/>
  <c r="BF67" i="2"/>
  <c r="BH67" i="2"/>
  <c r="BJ67" i="2"/>
  <c r="BJ113" i="2" s="1"/>
  <c r="BJ114" i="2" s="1"/>
  <c r="BJ125" i="2" s="1"/>
  <c r="BL67" i="2"/>
  <c r="BL113" i="2" s="1"/>
  <c r="BL114" i="2" s="1"/>
  <c r="BL125" i="2" s="1"/>
  <c r="BN67" i="2"/>
  <c r="BN113" i="2" s="1"/>
  <c r="BN114" i="2" s="1"/>
  <c r="BN125" i="2" s="1"/>
  <c r="BP67" i="2"/>
  <c r="BR67" i="2"/>
  <c r="BT67" i="2"/>
  <c r="BV67" i="2"/>
  <c r="BX67" i="2"/>
  <c r="BZ67" i="2"/>
  <c r="CB67" i="2"/>
  <c r="CD67" i="2"/>
  <c r="CF67" i="2"/>
  <c r="CH67" i="2"/>
  <c r="CJ67" i="2"/>
  <c r="CL67" i="2"/>
  <c r="CL113" i="2" s="1"/>
  <c r="CL114" i="2" s="1"/>
  <c r="CL125" i="2" s="1"/>
  <c r="CN69" i="2"/>
  <c r="CN70" i="2"/>
  <c r="CN71" i="2"/>
  <c r="CN72" i="2"/>
  <c r="CN73" i="2"/>
  <c r="CN74" i="2"/>
  <c r="CN75" i="2"/>
  <c r="CN76" i="2"/>
  <c r="CN77" i="2"/>
  <c r="CN78" i="2"/>
  <c r="CN79" i="2"/>
  <c r="CN80" i="2"/>
  <c r="CN81" i="2"/>
  <c r="H82" i="2"/>
  <c r="J82" i="2"/>
  <c r="CN82" i="2" s="1"/>
  <c r="L82" i="2"/>
  <c r="N82" i="2"/>
  <c r="P82" i="2"/>
  <c r="R82" i="2"/>
  <c r="T82" i="2"/>
  <c r="V82" i="2"/>
  <c r="X82" i="2"/>
  <c r="Z82" i="2"/>
  <c r="AB82" i="2"/>
  <c r="AD82" i="2"/>
  <c r="AF82" i="2"/>
  <c r="AH82" i="2"/>
  <c r="AJ82" i="2"/>
  <c r="AL82" i="2"/>
  <c r="AN82" i="2"/>
  <c r="AP82" i="2"/>
  <c r="AR82" i="2"/>
  <c r="AT82" i="2"/>
  <c r="AV82" i="2"/>
  <c r="AX82" i="2"/>
  <c r="AZ82" i="2"/>
  <c r="BB82" i="2"/>
  <c r="BD82" i="2"/>
  <c r="BF82" i="2"/>
  <c r="BH82" i="2"/>
  <c r="BJ82" i="2"/>
  <c r="BL82" i="2"/>
  <c r="BN82" i="2"/>
  <c r="BP82" i="2"/>
  <c r="BR82" i="2"/>
  <c r="BT82" i="2"/>
  <c r="BV82" i="2"/>
  <c r="BX82" i="2"/>
  <c r="BZ82" i="2"/>
  <c r="CB82" i="2"/>
  <c r="CD82" i="2"/>
  <c r="CF82" i="2"/>
  <c r="CH82" i="2"/>
  <c r="CJ82" i="2"/>
  <c r="CL82" i="2"/>
  <c r="CN83" i="2"/>
  <c r="CN84" i="2"/>
  <c r="CN86" i="2"/>
  <c r="CN88" i="2"/>
  <c r="CN89" i="2"/>
  <c r="H90" i="2"/>
  <c r="J90" i="2"/>
  <c r="CN90" i="2" s="1"/>
  <c r="L90" i="2"/>
  <c r="N90" i="2"/>
  <c r="P90" i="2"/>
  <c r="R90" i="2"/>
  <c r="T90" i="2"/>
  <c r="V90" i="2"/>
  <c r="V93" i="2" s="1"/>
  <c r="X90" i="2"/>
  <c r="X93" i="2" s="1"/>
  <c r="Z90" i="2"/>
  <c r="Z93" i="2" s="1"/>
  <c r="AB90" i="2"/>
  <c r="AD90" i="2"/>
  <c r="AD93" i="2" s="1"/>
  <c r="AF90" i="2"/>
  <c r="AH90" i="2"/>
  <c r="AH93" i="2" s="1"/>
  <c r="AJ90" i="2"/>
  <c r="AL90" i="2"/>
  <c r="AN90" i="2"/>
  <c r="AP90" i="2"/>
  <c r="AR90" i="2"/>
  <c r="AT90" i="2"/>
  <c r="AV90" i="2"/>
  <c r="AX90" i="2"/>
  <c r="AX93" i="2" s="1"/>
  <c r="AZ90" i="2"/>
  <c r="AZ93" i="2" s="1"/>
  <c r="BB90" i="2"/>
  <c r="BB93" i="2" s="1"/>
  <c r="BD90" i="2"/>
  <c r="BF90" i="2"/>
  <c r="BF93" i="2" s="1"/>
  <c r="BH90" i="2"/>
  <c r="BJ90" i="2"/>
  <c r="BJ93" i="2" s="1"/>
  <c r="BL90" i="2"/>
  <c r="BN90" i="2"/>
  <c r="BP90" i="2"/>
  <c r="BR90" i="2"/>
  <c r="BT90" i="2"/>
  <c r="BV90" i="2"/>
  <c r="BX90" i="2"/>
  <c r="BZ90" i="2"/>
  <c r="BZ93" i="2" s="1"/>
  <c r="CB90" i="2"/>
  <c r="CB93" i="2" s="1"/>
  <c r="CD90" i="2"/>
  <c r="CD93" i="2" s="1"/>
  <c r="CF90" i="2"/>
  <c r="CH90" i="2"/>
  <c r="CH93" i="2" s="1"/>
  <c r="CJ90" i="2"/>
  <c r="CL90" i="2"/>
  <c r="CL93" i="2" s="1"/>
  <c r="CN91" i="2"/>
  <c r="CN92" i="2"/>
  <c r="H93" i="2"/>
  <c r="J93" i="2"/>
  <c r="L93" i="2"/>
  <c r="N93" i="2"/>
  <c r="P93" i="2"/>
  <c r="R93" i="2"/>
  <c r="T93" i="2"/>
  <c r="AB93" i="2"/>
  <c r="AF93" i="2"/>
  <c r="AJ93" i="2"/>
  <c r="AL93" i="2"/>
  <c r="AN93" i="2"/>
  <c r="AP93" i="2"/>
  <c r="AR93" i="2"/>
  <c r="AT93" i="2"/>
  <c r="AV93" i="2"/>
  <c r="BD93" i="2"/>
  <c r="BH93" i="2"/>
  <c r="BL93" i="2"/>
  <c r="BN93" i="2"/>
  <c r="BP93" i="2"/>
  <c r="BR93" i="2"/>
  <c r="BT93" i="2"/>
  <c r="BV93" i="2"/>
  <c r="BX93" i="2"/>
  <c r="CF93" i="2"/>
  <c r="CJ93" i="2"/>
  <c r="CN94" i="2"/>
  <c r="CN96" i="2"/>
  <c r="CN97" i="2"/>
  <c r="CN98" i="2"/>
  <c r="CN99" i="2"/>
  <c r="H100" i="2"/>
  <c r="J100" i="2"/>
  <c r="L100" i="2"/>
  <c r="N100" i="2"/>
  <c r="P100" i="2"/>
  <c r="R100" i="2"/>
  <c r="T100" i="2"/>
  <c r="V100" i="2"/>
  <c r="X100" i="2"/>
  <c r="Z100" i="2"/>
  <c r="AB100" i="2"/>
  <c r="AD100" i="2"/>
  <c r="AF100" i="2"/>
  <c r="AH100" i="2"/>
  <c r="AJ100" i="2"/>
  <c r="CN100" i="2" s="1"/>
  <c r="AL100" i="2"/>
  <c r="AN100" i="2"/>
  <c r="AP100" i="2"/>
  <c r="AR100" i="2"/>
  <c r="AT100" i="2"/>
  <c r="AV100" i="2"/>
  <c r="AX100" i="2"/>
  <c r="AZ100" i="2"/>
  <c r="BB100" i="2"/>
  <c r="BD100" i="2"/>
  <c r="BF100" i="2"/>
  <c r="BH100" i="2"/>
  <c r="BJ100" i="2"/>
  <c r="BL100" i="2"/>
  <c r="BN100" i="2"/>
  <c r="BP100" i="2"/>
  <c r="BR100" i="2"/>
  <c r="BT100" i="2"/>
  <c r="BV100" i="2"/>
  <c r="BX100" i="2"/>
  <c r="BZ100" i="2"/>
  <c r="CB100" i="2"/>
  <c r="CD100" i="2"/>
  <c r="CF100" i="2"/>
  <c r="CH100" i="2"/>
  <c r="CJ100" i="2"/>
  <c r="CL100" i="2"/>
  <c r="CN101" i="2"/>
  <c r="CN102" i="2"/>
  <c r="CN103" i="2"/>
  <c r="CN104" i="2"/>
  <c r="CN106" i="2"/>
  <c r="CN107" i="2"/>
  <c r="CN108" i="2"/>
  <c r="CN109" i="2"/>
  <c r="CN110" i="2"/>
  <c r="CN111" i="2"/>
  <c r="H112" i="2"/>
  <c r="CN112" i="2" s="1"/>
  <c r="J112" i="2"/>
  <c r="L112" i="2"/>
  <c r="N112" i="2"/>
  <c r="P112" i="2"/>
  <c r="R112" i="2"/>
  <c r="T112" i="2"/>
  <c r="V112" i="2"/>
  <c r="X112" i="2"/>
  <c r="Z112" i="2"/>
  <c r="AB112" i="2"/>
  <c r="AD112" i="2"/>
  <c r="AF112" i="2"/>
  <c r="AH112" i="2"/>
  <c r="AJ112" i="2"/>
  <c r="AL112" i="2"/>
  <c r="AN112" i="2"/>
  <c r="AP112" i="2"/>
  <c r="AR112" i="2"/>
  <c r="AT112" i="2"/>
  <c r="AV112" i="2"/>
  <c r="AX112" i="2"/>
  <c r="AZ112" i="2"/>
  <c r="BB112" i="2"/>
  <c r="BD112" i="2"/>
  <c r="BF112" i="2"/>
  <c r="BH112" i="2"/>
  <c r="BJ112" i="2"/>
  <c r="BL112" i="2"/>
  <c r="BN112" i="2"/>
  <c r="BP112" i="2"/>
  <c r="BR112" i="2"/>
  <c r="BT112" i="2"/>
  <c r="BV112" i="2"/>
  <c r="BX112" i="2"/>
  <c r="BZ112" i="2"/>
  <c r="CB112" i="2"/>
  <c r="CD112" i="2"/>
  <c r="CF112" i="2"/>
  <c r="CH112" i="2"/>
  <c r="CJ112" i="2"/>
  <c r="CL112" i="2"/>
  <c r="L113" i="2"/>
  <c r="AN113" i="2"/>
  <c r="BP113" i="2"/>
  <c r="CN117" i="2"/>
  <c r="CN118" i="2"/>
  <c r="CN119" i="2"/>
  <c r="H120" i="2"/>
  <c r="J120" i="2"/>
  <c r="CN120" i="2" s="1"/>
  <c r="L120" i="2"/>
  <c r="N120" i="2"/>
  <c r="P120" i="2"/>
  <c r="R120" i="2"/>
  <c r="T120" i="2"/>
  <c r="V120" i="2"/>
  <c r="X120" i="2"/>
  <c r="Z120" i="2"/>
  <c r="Z124" i="2" s="1"/>
  <c r="AB120" i="2"/>
  <c r="AB124" i="2" s="1"/>
  <c r="AD120" i="2"/>
  <c r="AD124" i="2" s="1"/>
  <c r="AF120" i="2"/>
  <c r="AH120" i="2"/>
  <c r="AH124" i="2" s="1"/>
  <c r="AJ120" i="2"/>
  <c r="AL120" i="2"/>
  <c r="AN120" i="2"/>
  <c r="AP120" i="2"/>
  <c r="AR120" i="2"/>
  <c r="AT120" i="2"/>
  <c r="AV120" i="2"/>
  <c r="AX120" i="2"/>
  <c r="AZ120" i="2"/>
  <c r="BB120" i="2"/>
  <c r="BB124" i="2" s="1"/>
  <c r="BD120" i="2"/>
  <c r="BD124" i="2" s="1"/>
  <c r="BF120" i="2"/>
  <c r="BF124" i="2" s="1"/>
  <c r="BH120" i="2"/>
  <c r="BJ120" i="2"/>
  <c r="BJ124" i="2" s="1"/>
  <c r="BL120" i="2"/>
  <c r="BN120" i="2"/>
  <c r="BP120" i="2"/>
  <c r="BR120" i="2"/>
  <c r="BT120" i="2"/>
  <c r="BV120" i="2"/>
  <c r="BX120" i="2"/>
  <c r="BZ120" i="2"/>
  <c r="CB120" i="2"/>
  <c r="CD120" i="2"/>
  <c r="CD124" i="2" s="1"/>
  <c r="CF120" i="2"/>
  <c r="CF124" i="2" s="1"/>
  <c r="CH120" i="2"/>
  <c r="CH124" i="2" s="1"/>
  <c r="CJ120" i="2"/>
  <c r="CL120" i="2"/>
  <c r="CL124" i="2" s="1"/>
  <c r="CN122" i="2"/>
  <c r="H123" i="2"/>
  <c r="J123" i="2"/>
  <c r="L123" i="2"/>
  <c r="CN123" i="2" s="1"/>
  <c r="N123" i="2"/>
  <c r="P123" i="2"/>
  <c r="R123" i="2"/>
  <c r="T123" i="2"/>
  <c r="V123" i="2"/>
  <c r="X123" i="2"/>
  <c r="Z123" i="2"/>
  <c r="AB123" i="2"/>
  <c r="AD123" i="2"/>
  <c r="AF123" i="2"/>
  <c r="AH123" i="2"/>
  <c r="AJ123" i="2"/>
  <c r="AL123" i="2"/>
  <c r="AN123" i="2"/>
  <c r="AP123" i="2"/>
  <c r="AR123" i="2"/>
  <c r="AT123" i="2"/>
  <c r="AV123" i="2"/>
  <c r="AX123" i="2"/>
  <c r="AZ123" i="2"/>
  <c r="BB123" i="2"/>
  <c r="BD123" i="2"/>
  <c r="BF123" i="2"/>
  <c r="BH123" i="2"/>
  <c r="BJ123" i="2"/>
  <c r="BL123" i="2"/>
  <c r="BN123" i="2"/>
  <c r="BP123" i="2"/>
  <c r="BR123" i="2"/>
  <c r="BT123" i="2"/>
  <c r="BV123" i="2"/>
  <c r="BX123" i="2"/>
  <c r="BZ123" i="2"/>
  <c r="CB123" i="2"/>
  <c r="CD123" i="2"/>
  <c r="CF123" i="2"/>
  <c r="CH123" i="2"/>
  <c r="CJ123" i="2"/>
  <c r="CL123" i="2"/>
  <c r="H124" i="2"/>
  <c r="J124" i="2"/>
  <c r="CN124" i="2" s="1"/>
  <c r="L124" i="2"/>
  <c r="N124" i="2"/>
  <c r="P124" i="2"/>
  <c r="R124" i="2"/>
  <c r="T124" i="2"/>
  <c r="V124" i="2"/>
  <c r="X124" i="2"/>
  <c r="AF124" i="2"/>
  <c r="AJ124" i="2"/>
  <c r="AL124" i="2"/>
  <c r="AN124" i="2"/>
  <c r="AP124" i="2"/>
  <c r="AR124" i="2"/>
  <c r="AT124" i="2"/>
  <c r="AV124" i="2"/>
  <c r="AX124" i="2"/>
  <c r="AZ124" i="2"/>
  <c r="BH124" i="2"/>
  <c r="BL124" i="2"/>
  <c r="BN124" i="2"/>
  <c r="BP124" i="2"/>
  <c r="BR124" i="2"/>
  <c r="BT124" i="2"/>
  <c r="BV124" i="2"/>
  <c r="BX124" i="2"/>
  <c r="BZ124" i="2"/>
  <c r="CB124" i="2"/>
  <c r="CJ124" i="2"/>
  <c r="B10" i="1"/>
  <c r="B11" i="1" s="1"/>
  <c r="B12" i="1" s="1"/>
  <c r="B13" i="1" s="1"/>
  <c r="B14" i="1" s="1"/>
  <c r="B15" i="1" s="1"/>
  <c r="B33" i="3" l="1"/>
  <c r="B47" i="3" s="1"/>
  <c r="B87" i="3"/>
  <c r="B93" i="3" s="1"/>
  <c r="B105" i="3" s="1"/>
  <c r="G86" i="3"/>
  <c r="G24" i="3"/>
  <c r="G32" i="3" s="1"/>
  <c r="G33" i="3" s="1"/>
  <c r="E86" i="3"/>
  <c r="I61" i="3"/>
  <c r="H44" i="3"/>
  <c r="H46" i="3" s="1"/>
  <c r="Q24" i="3"/>
  <c r="E104" i="3"/>
  <c r="H61" i="3"/>
  <c r="N12" i="3"/>
  <c r="F40" i="3"/>
  <c r="G104" i="3"/>
  <c r="J53" i="3"/>
  <c r="H53" i="3"/>
  <c r="H87" i="3" s="1"/>
  <c r="E32" i="3"/>
  <c r="E33" i="3" s="1"/>
  <c r="E47" i="3" s="1"/>
  <c r="M52" i="3"/>
  <c r="H21" i="3"/>
  <c r="G87" i="3"/>
  <c r="K17" i="3"/>
  <c r="I44" i="3"/>
  <c r="I46" i="3" s="1"/>
  <c r="J43" i="3"/>
  <c r="G91" i="3"/>
  <c r="H91" i="3" s="1"/>
  <c r="I91" i="3" s="1"/>
  <c r="J91" i="3" s="1"/>
  <c r="K91" i="3" s="1"/>
  <c r="F92" i="3"/>
  <c r="O40" i="3"/>
  <c r="H95" i="3"/>
  <c r="G35" i="3"/>
  <c r="L61" i="3"/>
  <c r="M55" i="3"/>
  <c r="J86" i="3"/>
  <c r="J87" i="3" s="1"/>
  <c r="Q35" i="3"/>
  <c r="Q40" i="3" s="1"/>
  <c r="P40" i="3"/>
  <c r="L64" i="3"/>
  <c r="K86" i="3"/>
  <c r="K87" i="3" s="1"/>
  <c r="I86" i="3"/>
  <c r="I87" i="3" s="1"/>
  <c r="H86" i="3"/>
  <c r="F86" i="3"/>
  <c r="F87" i="3" s="1"/>
  <c r="F93" i="3" s="1"/>
  <c r="F104" i="3"/>
  <c r="P44" i="3"/>
  <c r="P46" i="3" s="1"/>
  <c r="E61" i="3"/>
  <c r="E87" i="3" s="1"/>
  <c r="E93" i="3" s="1"/>
  <c r="E105" i="3" s="1"/>
  <c r="F32" i="3"/>
  <c r="F33" i="3" s="1"/>
  <c r="H114" i="2"/>
  <c r="T114" i="2"/>
  <c r="T125" i="2" s="1"/>
  <c r="CN93" i="2"/>
  <c r="AT114" i="2"/>
  <c r="AT125" i="2" s="1"/>
  <c r="BB114" i="2"/>
  <c r="BB125" i="2" s="1"/>
  <c r="BX114" i="2"/>
  <c r="BX125" i="2" s="1"/>
  <c r="CN13" i="2"/>
  <c r="CH113" i="2"/>
  <c r="BF113" i="2"/>
  <c r="BF114" i="2" s="1"/>
  <c r="BF125" i="2" s="1"/>
  <c r="AD113" i="2"/>
  <c r="AD114" i="2" s="1"/>
  <c r="AD125" i="2" s="1"/>
  <c r="AR114" i="2"/>
  <c r="AR125" i="2" s="1"/>
  <c r="CD113" i="2"/>
  <c r="BB113" i="2"/>
  <c r="Z113" i="2"/>
  <c r="Z114" i="2" s="1"/>
  <c r="Z125" i="2" s="1"/>
  <c r="CF114" i="2"/>
  <c r="CF125" i="2" s="1"/>
  <c r="BD114" i="2"/>
  <c r="BD125" i="2" s="1"/>
  <c r="AB114" i="2"/>
  <c r="AB125" i="2" s="1"/>
  <c r="CD114" i="2"/>
  <c r="CD125" i="2" s="1"/>
  <c r="CB113" i="2"/>
  <c r="CB114" i="2" s="1"/>
  <c r="CB125" i="2" s="1"/>
  <c r="AZ113" i="2"/>
  <c r="AZ114" i="2" s="1"/>
  <c r="AZ125" i="2" s="1"/>
  <c r="X113" i="2"/>
  <c r="X114" i="2" s="1"/>
  <c r="X125" i="2" s="1"/>
  <c r="CH114" i="2"/>
  <c r="CH125" i="2" s="1"/>
  <c r="R114" i="2"/>
  <c r="R125" i="2" s="1"/>
  <c r="AV114" i="2"/>
  <c r="AV125" i="2" s="1"/>
  <c r="BZ113" i="2"/>
  <c r="BZ114" i="2" s="1"/>
  <c r="BZ125" i="2" s="1"/>
  <c r="AX113" i="2"/>
  <c r="AX114" i="2" s="1"/>
  <c r="AX125" i="2" s="1"/>
  <c r="V113" i="2"/>
  <c r="CN113" i="2" s="1"/>
  <c r="CN67" i="2"/>
  <c r="H93" i="3" l="1"/>
  <c r="H105" i="3" s="1"/>
  <c r="F47" i="3"/>
  <c r="I92" i="3"/>
  <c r="J92" i="3"/>
  <c r="J93" i="3" s="1"/>
  <c r="F105" i="3"/>
  <c r="H24" i="3"/>
  <c r="H32" i="3" s="1"/>
  <c r="H33" i="3" s="1"/>
  <c r="I21" i="3"/>
  <c r="H92" i="3"/>
  <c r="M53" i="3"/>
  <c r="N52" i="3"/>
  <c r="I93" i="3"/>
  <c r="L91" i="3"/>
  <c r="K92" i="3"/>
  <c r="K93" i="3" s="1"/>
  <c r="G40" i="3"/>
  <c r="G47" i="3" s="1"/>
  <c r="H35" i="3"/>
  <c r="K43" i="3"/>
  <c r="J44" i="3"/>
  <c r="J46" i="3" s="1"/>
  <c r="M61" i="3"/>
  <c r="N55" i="3"/>
  <c r="M64" i="3"/>
  <c r="L86" i="3"/>
  <c r="L87" i="3" s="1"/>
  <c r="I95" i="3"/>
  <c r="H104" i="3"/>
  <c r="G92" i="3"/>
  <c r="G93" i="3" s="1"/>
  <c r="G105" i="3" s="1"/>
  <c r="L17" i="3"/>
  <c r="V114" i="2"/>
  <c r="V125" i="2" s="1"/>
  <c r="H125" i="2"/>
  <c r="CN125" i="2" s="1"/>
  <c r="CN114" i="2"/>
  <c r="N53" i="3" l="1"/>
  <c r="O52" i="3"/>
  <c r="I24" i="3"/>
  <c r="I32" i="3" s="1"/>
  <c r="I33" i="3" s="1"/>
  <c r="J21" i="3"/>
  <c r="N64" i="3"/>
  <c r="M86" i="3"/>
  <c r="O55" i="3"/>
  <c r="N61" i="3"/>
  <c r="M17" i="3"/>
  <c r="M87" i="3"/>
  <c r="L43" i="3"/>
  <c r="K44" i="3"/>
  <c r="K46" i="3" s="1"/>
  <c r="H40" i="3"/>
  <c r="H47" i="3" s="1"/>
  <c r="I35" i="3"/>
  <c r="M91" i="3"/>
  <c r="L92" i="3"/>
  <c r="J95" i="3"/>
  <c r="I104" i="3"/>
  <c r="I105" i="3" s="1"/>
  <c r="L93" i="3"/>
  <c r="K21" i="3" l="1"/>
  <c r="J24" i="3"/>
  <c r="J32" i="3" s="1"/>
  <c r="J33" i="3" s="1"/>
  <c r="P52" i="3"/>
  <c r="O53" i="3"/>
  <c r="I40" i="3"/>
  <c r="I47" i="3" s="1"/>
  <c r="J35" i="3"/>
  <c r="M43" i="3"/>
  <c r="L44" i="3"/>
  <c r="L46" i="3" s="1"/>
  <c r="M93" i="3"/>
  <c r="N17" i="3"/>
  <c r="K95" i="3"/>
  <c r="J104" i="3"/>
  <c r="J105" i="3" s="1"/>
  <c r="P55" i="3"/>
  <c r="O61" i="3"/>
  <c r="N91" i="3"/>
  <c r="M92" i="3"/>
  <c r="O64" i="3"/>
  <c r="N86" i="3"/>
  <c r="N87" i="3" s="1"/>
  <c r="Q52" i="3" l="1"/>
  <c r="Q53" i="3" s="1"/>
  <c r="P53" i="3"/>
  <c r="L21" i="3"/>
  <c r="K24" i="3"/>
  <c r="K32" i="3" s="1"/>
  <c r="K33" i="3" s="1"/>
  <c r="Q55" i="3"/>
  <c r="Q61" i="3" s="1"/>
  <c r="P61" i="3"/>
  <c r="O17" i="3"/>
  <c r="K104" i="3"/>
  <c r="K105" i="3" s="1"/>
  <c r="L95" i="3"/>
  <c r="N43" i="3"/>
  <c r="M44" i="3"/>
  <c r="M46" i="3" s="1"/>
  <c r="J40" i="3"/>
  <c r="J47" i="3" s="1"/>
  <c r="K35" i="3"/>
  <c r="P64" i="3"/>
  <c r="O86" i="3"/>
  <c r="O87" i="3" s="1"/>
  <c r="O91" i="3"/>
  <c r="N92" i="3"/>
  <c r="N93" i="3" s="1"/>
  <c r="M21" i="3" l="1"/>
  <c r="L24" i="3"/>
  <c r="L32" i="3" s="1"/>
  <c r="L33" i="3" s="1"/>
  <c r="K40" i="3"/>
  <c r="K47" i="3" s="1"/>
  <c r="L35" i="3"/>
  <c r="O43" i="3"/>
  <c r="O44" i="3" s="1"/>
  <c r="O46" i="3" s="1"/>
  <c r="N44" i="3"/>
  <c r="N46" i="3" s="1"/>
  <c r="P17" i="3"/>
  <c r="P91" i="3"/>
  <c r="O92" i="3"/>
  <c r="O93" i="3" s="1"/>
  <c r="P87" i="3"/>
  <c r="L104" i="3"/>
  <c r="L105" i="3" s="1"/>
  <c r="M95" i="3"/>
  <c r="P86" i="3"/>
  <c r="Q64" i="3"/>
  <c r="Q86" i="3" s="1"/>
  <c r="Q87" i="3" s="1"/>
  <c r="M24" i="3" l="1"/>
  <c r="M32" i="3" s="1"/>
  <c r="M33" i="3" s="1"/>
  <c r="N21" i="3"/>
  <c r="Q91" i="3"/>
  <c r="Q92" i="3" s="1"/>
  <c r="Q93" i="3" s="1"/>
  <c r="P92" i="3"/>
  <c r="P93" i="3" s="1"/>
  <c r="Q17" i="3"/>
  <c r="Q32" i="3" s="1"/>
  <c r="Q33" i="3" s="1"/>
  <c r="Q47" i="3" s="1"/>
  <c r="L40" i="3"/>
  <c r="L47" i="3" s="1"/>
  <c r="M35" i="3"/>
  <c r="M104" i="3"/>
  <c r="M105" i="3" s="1"/>
  <c r="N95" i="3"/>
  <c r="O21" i="3" l="1"/>
  <c r="N24" i="3"/>
  <c r="N32" i="3" s="1"/>
  <c r="N33" i="3" s="1"/>
  <c r="O95" i="3"/>
  <c r="N104" i="3"/>
  <c r="N105" i="3" s="1"/>
  <c r="M40" i="3"/>
  <c r="M47" i="3" s="1"/>
  <c r="N35" i="3"/>
  <c r="N40" i="3" s="1"/>
  <c r="N47" i="3" s="1"/>
  <c r="P21" i="3" l="1"/>
  <c r="P24" i="3" s="1"/>
  <c r="P32" i="3" s="1"/>
  <c r="P33" i="3" s="1"/>
  <c r="P47" i="3" s="1"/>
  <c r="O24" i="3"/>
  <c r="O32" i="3" s="1"/>
  <c r="O33" i="3" s="1"/>
  <c r="O47" i="3" s="1"/>
  <c r="P95" i="3"/>
  <c r="O104" i="3"/>
  <c r="O105" i="3" s="1"/>
  <c r="Q95" i="3" l="1"/>
  <c r="Q104" i="3" s="1"/>
  <c r="Q105" i="3" s="1"/>
  <c r="P104" i="3"/>
  <c r="P105" i="3" s="1"/>
</calcChain>
</file>

<file path=xl/sharedStrings.xml><?xml version="1.0" encoding="utf-8"?>
<sst xmlns="http://schemas.openxmlformats.org/spreadsheetml/2006/main" count="247" uniqueCount="246">
  <si>
    <t>Initial Document Request</t>
  </si>
  <si>
    <t>#</t>
  </si>
  <si>
    <t>Item</t>
  </si>
  <si>
    <t>Priority</t>
  </si>
  <si>
    <t>Bank Reconciliation for the prior year ending, and the end of the last month</t>
  </si>
  <si>
    <t>Net Income</t>
  </si>
  <si>
    <t>Net Other Income</t>
  </si>
  <si>
    <t>Total Other Expense</t>
  </si>
  <si>
    <t>Other Expenses</t>
  </si>
  <si>
    <t>Other Expense</t>
  </si>
  <si>
    <t>Total Other Income</t>
  </si>
  <si>
    <t>Other Income</t>
  </si>
  <si>
    <t>Gain on Disposal</t>
  </si>
  <si>
    <t>Tax Exempt Income - COVID</t>
  </si>
  <si>
    <t>Other Income/Expense</t>
  </si>
  <si>
    <t>Net Ordinary Income</t>
  </si>
  <si>
    <t>Total Expense</t>
  </si>
  <si>
    <t>Total Vehicle Expense</t>
  </si>
  <si>
    <t>Vehicle Expense - Other</t>
  </si>
  <si>
    <t>Vehicle Taxes</t>
  </si>
  <si>
    <t>Vehicle Maintenance</t>
  </si>
  <si>
    <t>Vehicle License Plates</t>
  </si>
  <si>
    <t>Toll Expense</t>
  </si>
  <si>
    <t>Parking Services</t>
  </si>
  <si>
    <t>Vehicle Expense</t>
  </si>
  <si>
    <t>Utilities</t>
  </si>
  <si>
    <t>Uniforms</t>
  </si>
  <si>
    <t>Trash Removal</t>
  </si>
  <si>
    <t>Traffic Ticket</t>
  </si>
  <si>
    <t>Total Telephone</t>
  </si>
  <si>
    <t>Telephone - Other</t>
  </si>
  <si>
    <t>Telephone Office</t>
  </si>
  <si>
    <t>Cell Phone Reimbursement</t>
  </si>
  <si>
    <t>Cell</t>
  </si>
  <si>
    <t>Telephone</t>
  </si>
  <si>
    <t>Small Tools &amp; Supplies</t>
  </si>
  <si>
    <t>Total Professional Fees</t>
  </si>
  <si>
    <t>Professional Fees - Other</t>
  </si>
  <si>
    <t>Legal Fees</t>
  </si>
  <si>
    <t>Total Consulting</t>
  </si>
  <si>
    <t>Consulting - Other</t>
  </si>
  <si>
    <t>Available to Consult</t>
  </si>
  <si>
    <t>Consulting</t>
  </si>
  <si>
    <t>Accounting</t>
  </si>
  <si>
    <t>Professional Fees</t>
  </si>
  <si>
    <t>Postage</t>
  </si>
  <si>
    <t>Payroll Taxes -Employer</t>
  </si>
  <si>
    <t>Total Payroll Expenses</t>
  </si>
  <si>
    <t>Tool Reimbursement</t>
  </si>
  <si>
    <t>Taxes</t>
  </si>
  <si>
    <t>Health Insurance</t>
  </si>
  <si>
    <t>Wages</t>
  </si>
  <si>
    <t>Overtime Wages</t>
  </si>
  <si>
    <t>On Call Hours</t>
  </si>
  <si>
    <t>Holiday</t>
  </si>
  <si>
    <t>Paid Time Off</t>
  </si>
  <si>
    <t>Bonus</t>
  </si>
  <si>
    <t>Manual Check</t>
  </si>
  <si>
    <t>Covid SICK EE</t>
  </si>
  <si>
    <t>Paychex Admin Fees</t>
  </si>
  <si>
    <t>401K Employer Match</t>
  </si>
  <si>
    <t>Payroll Expenses</t>
  </si>
  <si>
    <t>Total Office Supplies</t>
  </si>
  <si>
    <t>Office Supplies - Other</t>
  </si>
  <si>
    <t>Software</t>
  </si>
  <si>
    <t>Office Supplies</t>
  </si>
  <si>
    <t>Total Office Maintenance</t>
  </si>
  <si>
    <t>Office Maintenance - Other</t>
  </si>
  <si>
    <t>Housekeeping</t>
  </si>
  <si>
    <t>Office Maintenance</t>
  </si>
  <si>
    <t>Miscellaneous</t>
  </si>
  <si>
    <t>Total Meals</t>
  </si>
  <si>
    <t>Meals - Other</t>
  </si>
  <si>
    <t>Employee Meals (100%)</t>
  </si>
  <si>
    <t>Client Meals (50%)</t>
  </si>
  <si>
    <t>Meals</t>
  </si>
  <si>
    <t>Loss on Sale of Asset</t>
  </si>
  <si>
    <t>Total Licenses and Permits</t>
  </si>
  <si>
    <t>Licenses and Permits - Other</t>
  </si>
  <si>
    <t>Contractors License</t>
  </si>
  <si>
    <t>Permits</t>
  </si>
  <si>
    <t>Licenses and Permits</t>
  </si>
  <si>
    <t>Lease Warehouse</t>
  </si>
  <si>
    <t>Total Insurance</t>
  </si>
  <si>
    <t>Insurance - Other</t>
  </si>
  <si>
    <t>Work Comp</t>
  </si>
  <si>
    <t>Life</t>
  </si>
  <si>
    <t>LIABILITY INSURANCE</t>
  </si>
  <si>
    <t>Aflac-S/H</t>
  </si>
  <si>
    <t>Auto&amp;Liability Combined</t>
  </si>
  <si>
    <t>Business Policy</t>
  </si>
  <si>
    <t>Insurance</t>
  </si>
  <si>
    <t>Total Gifts/Promotions</t>
  </si>
  <si>
    <t>Gifts/Promotions - Other</t>
  </si>
  <si>
    <t>Promotional Event</t>
  </si>
  <si>
    <t>Gifts/Promotions</t>
  </si>
  <si>
    <t>Fuel</t>
  </si>
  <si>
    <t>Total Equipment Rent</t>
  </si>
  <si>
    <t>Equipment Rent - Other</t>
  </si>
  <si>
    <t>Rental</t>
  </si>
  <si>
    <t>Equipment Rent</t>
  </si>
  <si>
    <t>Education/Seminars</t>
  </si>
  <si>
    <t>Dues and Subscriptions</t>
  </si>
  <si>
    <t>Donation</t>
  </si>
  <si>
    <t>Depreciation Expense</t>
  </si>
  <si>
    <t>Computer Support</t>
  </si>
  <si>
    <t>Bank Service Charges</t>
  </si>
  <si>
    <t>Bad Debt</t>
  </si>
  <si>
    <t>Advertising</t>
  </si>
  <si>
    <t>Storage</t>
  </si>
  <si>
    <t>Sales Tax Adjustments</t>
  </si>
  <si>
    <t>Credit Card Fees</t>
  </si>
  <si>
    <t>Reconciliation Discrepancies</t>
  </si>
  <si>
    <t>Delivery Shipping Expense</t>
  </si>
  <si>
    <t>Retirement Plan Expnese</t>
  </si>
  <si>
    <t>Expense</t>
  </si>
  <si>
    <t>Gross Profit</t>
  </si>
  <si>
    <t>Total COGS</t>
  </si>
  <si>
    <t>COST OF SUBS</t>
  </si>
  <si>
    <t>COM - COST OF MATERIALS</t>
  </si>
  <si>
    <t>Cost of Goods Sold</t>
  </si>
  <si>
    <t>Total Income</t>
  </si>
  <si>
    <t>Sales Tax Discount</t>
  </si>
  <si>
    <t>Material Costs</t>
  </si>
  <si>
    <t>MATERIAL \ LABOR REVENUE</t>
  </si>
  <si>
    <t>LABOR REVENUE</t>
  </si>
  <si>
    <t>Income</t>
  </si>
  <si>
    <t>Ordinary Income/Expense</t>
  </si>
  <si>
    <t>TOTAL</t>
  </si>
  <si>
    <t>Tuesday, Dec 10, 2024 06:14:15 PM GMT-8 - Accrual Basis</t>
  </si>
  <si>
    <t>TOTAL LIABILITIES AND EQUITY</t>
  </si>
  <si>
    <t xml:space="preserve">   Total Equity</t>
  </si>
  <si>
    <t xml:space="preserve">      Net Income</t>
  </si>
  <si>
    <t xml:space="preserve">      39000 Retained Earnings</t>
  </si>
  <si>
    <t xml:space="preserve">      38000 Opening Balance Equity</t>
  </si>
  <si>
    <t xml:space="preserve">      33503 Dividends</t>
  </si>
  <si>
    <t xml:space="preserve">      33502 Dividends</t>
  </si>
  <si>
    <t xml:space="preserve">      33501 Dividend</t>
  </si>
  <si>
    <t xml:space="preserve">      33500 Dividend</t>
  </si>
  <si>
    <t xml:space="preserve">      33000 Owner Draw </t>
  </si>
  <si>
    <t xml:space="preserve">      31000 Common Stock</t>
  </si>
  <si>
    <t xml:space="preserve">   Equity</t>
  </si>
  <si>
    <t xml:space="preserve">   Total Liabilities</t>
  </si>
  <si>
    <t xml:space="preserve">      Total Long-Term Liabilities</t>
  </si>
  <si>
    <t xml:space="preserve">         24007 PPP Loan</t>
  </si>
  <si>
    <t xml:space="preserve">         24006 Notes Payable</t>
  </si>
  <si>
    <t xml:space="preserve">         24005 Car Loan Payable</t>
  </si>
  <si>
    <t xml:space="preserve">      Long-Term Liabilities</t>
  </si>
  <si>
    <t xml:space="preserve">      Total Current Liabilities</t>
  </si>
  <si>
    <t xml:space="preserve">         Total Other Current Liabilities</t>
  </si>
  <si>
    <t xml:space="preserve">            Payroll Corrections</t>
  </si>
  <si>
    <t xml:space="preserve">            Line of Credit - AMEX</t>
  </si>
  <si>
    <t xml:space="preserve">            Line of Credit</t>
  </si>
  <si>
    <t xml:space="preserve">            25011 NC Unemployment Tax</t>
  </si>
  <si>
    <t xml:space="preserve">            25010 NC Income Tax</t>
  </si>
  <si>
    <t xml:space="preserve">            25001 WA Workers Comp Payable</t>
  </si>
  <si>
    <t xml:space="preserve">            25000 WA SUI Employer</t>
  </si>
  <si>
    <t xml:space="preserve">            24001 ND Invoice Financing Loan Payable</t>
  </si>
  <si>
    <t xml:space="preserve">            24000 Loan Payable</t>
  </si>
  <si>
    <t xml:space="preserve">            23421 401K accrual</t>
  </si>
  <si>
    <t xml:space="preserve">            23419 UT Unemployment Tax</t>
  </si>
  <si>
    <t xml:space="preserve">            23418 UT Payroll Income Tax</t>
  </si>
  <si>
    <t xml:space="preserve">            23417 CO Employment Tax</t>
  </si>
  <si>
    <t xml:space="preserve">            23416 CO Payroll Income Tax</t>
  </si>
  <si>
    <t xml:space="preserve">            23415 OR Employment Tax</t>
  </si>
  <si>
    <t xml:space="preserve">            23414 OR Payroll Income Tax</t>
  </si>
  <si>
    <t xml:space="preserve">            23413 Payroll Tax - SUI/ETT</t>
  </si>
  <si>
    <t xml:space="preserve">            23412 Payroll Tax - PIT / SDI</t>
  </si>
  <si>
    <t xml:space="preserve">            23411 Payroll Tax - Federal Unemployment</t>
  </si>
  <si>
    <t xml:space="preserve">            23410 Payroll Tax 941/944</t>
  </si>
  <si>
    <t xml:space="preserve">            23405 Payroll Clearing</t>
  </si>
  <si>
    <t xml:space="preserve">            23300 TX Unemployment Tax</t>
  </si>
  <si>
    <t xml:space="preserve">            23100 Accrued Expenses</t>
  </si>
  <si>
    <t xml:space="preserve">         Other Current Liabilities</t>
  </si>
  <si>
    <t xml:space="preserve">         Total Credit Cards</t>
  </si>
  <si>
    <t xml:space="preserve">            Business Gold Rewards Card-2200</t>
  </si>
  <si>
    <t xml:space="preserve">            21104 Divvy</t>
  </si>
  <si>
    <t xml:space="preserve">            21103 Credit Card</t>
  </si>
  <si>
    <t xml:space="preserve">            21102 Citi - Credit Card</t>
  </si>
  <si>
    <t xml:space="preserve">            21101 Capital One Credit Card</t>
  </si>
  <si>
    <t xml:space="preserve">            21100 Accounts Payable - Credit Cards</t>
  </si>
  <si>
    <t xml:space="preserve">         Credit Cards</t>
  </si>
  <si>
    <t xml:space="preserve">         Total Accounts Payable</t>
  </si>
  <si>
    <t xml:space="preserve">            20100 Accounts Payable</t>
  </si>
  <si>
    <t xml:space="preserve">         Accounts Payable</t>
  </si>
  <si>
    <t xml:space="preserve">      Current Liabilities</t>
  </si>
  <si>
    <t xml:space="preserve">   Liabilities</t>
  </si>
  <si>
    <t>LIABILITIES AND EQUITY</t>
  </si>
  <si>
    <t>TOTAL ASSETS</t>
  </si>
  <si>
    <t xml:space="preserve">   Total Other Assets</t>
  </si>
  <si>
    <t xml:space="preserve">      19800 Other Receivables - Long Term</t>
  </si>
  <si>
    <t xml:space="preserve">      Total 19500 Software Development Costs</t>
  </si>
  <si>
    <t xml:space="preserve">         19501 Accumulated Amortization-Software</t>
  </si>
  <si>
    <t xml:space="preserve">      19500 Software Development Costs</t>
  </si>
  <si>
    <t xml:space="preserve">   Other Assets</t>
  </si>
  <si>
    <t xml:space="preserve">   Total Fixed Assets</t>
  </si>
  <si>
    <t xml:space="preserve">      16600 Accumulated Amortization - Software-Purchased</t>
  </si>
  <si>
    <t xml:space="preserve">      16400 Accumulated Depreciation - Vehicles</t>
  </si>
  <si>
    <t xml:space="preserve">      15750 Construction in Process</t>
  </si>
  <si>
    <t xml:space="preserve">      15600 Computer Software-Purchased</t>
  </si>
  <si>
    <t xml:space="preserve">      15400 Vehicles</t>
  </si>
  <si>
    <t xml:space="preserve">   Fixed Assets</t>
  </si>
  <si>
    <t xml:space="preserve">   Total Current Assets</t>
  </si>
  <si>
    <t xml:space="preserve">      Total Other Current Assets</t>
  </si>
  <si>
    <t xml:space="preserve">         14800 Accrued Revenue</t>
  </si>
  <si>
    <t xml:space="preserve">         14700 Undeposited Funds</t>
  </si>
  <si>
    <t xml:space="preserve">         14600 Uncategorized Asset</t>
  </si>
  <si>
    <t xml:space="preserve">         14550 401K Overpayment</t>
  </si>
  <si>
    <t xml:space="preserve">         14500 Payroll Refunds</t>
  </si>
  <si>
    <t xml:space="preserve">         14400 Employee Advances</t>
  </si>
  <si>
    <t xml:space="preserve">         14200 Security Deposits</t>
  </si>
  <si>
    <t xml:space="preserve">         Total 14100 Prepaid Expenses</t>
  </si>
  <si>
    <t xml:space="preserve">            14120 Carta</t>
  </si>
  <si>
    <t xml:space="preserve">            14110 Recruiting Tools</t>
  </si>
  <si>
    <t xml:space="preserve">         14100 Prepaid Expenses</t>
  </si>
  <si>
    <t xml:space="preserve">         11300 Due from Factoring</t>
  </si>
  <si>
    <t xml:space="preserve">         11202 loan to officers</t>
  </si>
  <si>
    <t xml:space="preserve">         11201 Loans To Officers</t>
  </si>
  <si>
    <t xml:space="preserve">         11200 Loans To Officers</t>
  </si>
  <si>
    <t xml:space="preserve">      Other Current Assets</t>
  </si>
  <si>
    <t xml:space="preserve">      Total Accounts Receivable</t>
  </si>
  <si>
    <t xml:space="preserve">         11100 Accounts Receivable</t>
  </si>
  <si>
    <t xml:space="preserve">      Accounts Receivable</t>
  </si>
  <si>
    <t xml:space="preserve">      Total Bank Accounts</t>
  </si>
  <si>
    <t xml:space="preserve">         10202 Money Market</t>
  </si>
  <si>
    <t xml:space="preserve">         10201 Union Bank PPP</t>
  </si>
  <si>
    <t xml:space="preserve">         10200 Cash - US Bank</t>
  </si>
  <si>
    <t xml:space="preserve">      Bank Accounts</t>
  </si>
  <si>
    <t xml:space="preserve">   Current Assets</t>
  </si>
  <si>
    <t>ASSETS</t>
  </si>
  <si>
    <t>As of November 30, 2024</t>
  </si>
  <si>
    <t>Balance Sheet</t>
  </si>
  <si>
    <t>Example Company</t>
  </si>
  <si>
    <t>Accounts Receivable Aging report for Dec 2023, Dec 2024, and the current month (if AR is significant)</t>
  </si>
  <si>
    <t>CIM, or similar document used to advertise the business, which ideally will show the advertised SDE or ADJ EBITDA</t>
  </si>
  <si>
    <t>Tax returns for 2023, 2024 and 2025</t>
  </si>
  <si>
    <t>Lease agreements for the business</t>
  </si>
  <si>
    <t>W2s for 2023, 2024 and 2025 for the officer and any other salaries that may need to be included as an addback</t>
  </si>
  <si>
    <t>NOTE: We need the priority 1 documents to make meaningful progress on our Quality of Earnings report. These requests typically will take less than an hour to provide. The first 3 items come out of the company's bookkeeping software and we are happy to assist in running the reports if needed. We can be given a QB Desktop backup file to run the reports ourselves, or Reports Only access into QB online to run the reports as well.</t>
  </si>
  <si>
    <t>Monthly P&amp;L in excel (accrual basis preferred) for 2023, 2024, 2025, and 2026 (one document with all periods is the preferred format). There is an example on Tab 1</t>
  </si>
  <si>
    <t>Balance sheet (in excel and accrual basis preferred) for the last four year ends (Dec 2022, Dec 2023, Dec 2024 &amp; Dec 2025), and the last 13 months. Please note: the last 13 months balance sheet means you should have 13 columns in the report, and not one over 13 months. A balance sheet is as of a certain date, so the time period run for a balance sheet does not matter (just the ending date). There is an example on Tab 2</t>
  </si>
  <si>
    <t>NOTE: You should be able to run all the P&amp;L months in one report at one time. If you are running into issues, we are happy to assist to save you time in running each month individually</t>
  </si>
  <si>
    <t>NOTE: You will likely need to either provide the monthly detail for all months in-between the dates, or run two reports. We only need the ending balance sheets and last 13 months, but you can provide more if that is easier on your end (instead of running two reports).</t>
  </si>
  <si>
    <t>Statements for all Business Bank Accounts for 2024, 2025 and the current year</t>
  </si>
  <si>
    <t>General Ledger report in excel/CSV for Jan 2023 through the current month. It is common for this report to be thousands of lines, which we are able to work through on our end. Please note: If you are using QB Desktop, this report will need to be run for each fiscal year individually due to a system glitch</t>
  </si>
  <si>
    <t>Detailed description of owner(s) role, responsibilities, hours worked each week, and an estimated replacement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</si>
</sst>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_€"/>
    <numFmt numFmtId="166" formatCode="&quot;$&quot;* #,##0.00\ _€"/>
  </numFmts>
  <fonts count="13" x14ac:knownFonts="1">
    <font>
      <sz val="11"/>
      <color theme="1"/>
      <name val="Aptos Narrow"/>
      <family val="2"/>
      <scheme val="minor"/>
    </font>
    <font>
      <b/>
      <sz val="11"/>
      <color theme="0"/>
      <name val="Aptos Narrow"/>
      <family val="2"/>
      <scheme val="minor"/>
    </font>
    <font>
      <b/>
      <sz val="16"/>
      <color theme="0"/>
      <name val="Aptos Narrow"/>
      <family val="2"/>
      <scheme val="minor"/>
    </font>
    <font>
      <b/>
      <sz val="8"/>
      <color rgb="FF000000"/>
      <name val="Arial"/>
      <family val="2"/>
    </font>
    <font>
      <sz val="8"/>
      <color rgb="FF000000"/>
      <name val="Arial"/>
      <family val="2"/>
    </font>
    <font>
      <sz val="11"/>
      <color indexed="8"/>
      <name val="Aptos Narrow"/>
      <family val="2"/>
      <scheme val="minor"/>
    </font>
    <font>
      <sz val="8"/>
      <color indexed="8"/>
      <name val="Arial"/>
      <family val="2"/>
    </font>
    <font>
      <b/>
      <sz val="8"/>
      <color indexed="8"/>
      <name val="Arial"/>
      <family val="2"/>
    </font>
    <font>
      <b/>
      <sz val="9"/>
      <color indexed="8"/>
      <name val="Arial"/>
      <family val="2"/>
    </font>
    <font>
      <b/>
      <sz val="10"/>
      <color indexed="8"/>
      <name val="Arial"/>
      <family val="2"/>
    </font>
    <font>
      <b/>
      <sz val="14"/>
      <color indexed="8"/>
      <name val="Arial"/>
      <family val="2"/>
    </font>
    <font>
      <b/>
      <sz val="11"/>
      <color theme="1"/>
      <name val="Aptos Narrow"/>
      <family val="2"/>
      <scheme val="minor"/>
    </font>
    <font>
      <b/>
      <sz val="10"/>
      <color theme="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theme="3" tint="0.89999084444715716"/>
        <bgColor indexed="64"/>
      </patternFill>
    </fill>
    <fill>
      <patternFill patternType="solid">
        <fgColor rgb="FFFFFF00"/>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thick">
        <color indexed="64"/>
      </bottom>
      <diagonal/>
    </border>
    <border>
      <left/>
      <right/>
      <top style="thin">
        <color auto="1"/>
      </top>
      <bottom/>
      <diagonal/>
    </border>
    <border>
      <left/>
      <right/>
      <top/>
      <bottom style="thin">
        <color auto="1"/>
      </bottom>
      <diagonal/>
    </border>
  </borders>
  <cellStyleXfs count="2">
    <xf numFmtId="0" fontId="0" fillId="0" borderId="0"/>
    <xf numFmtId="0" fontId="5" fillId="0" borderId="0"/>
  </cellStyleXfs>
  <cellXfs count="45">
    <xf numFmtId="0" fontId="0" fillId="0" borderId="0" xfId="0"/>
    <xf numFmtId="0" fontId="0" fillId="2" borderId="0" xfId="0" applyFill="1"/>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0" fillId="4" borderId="7" xfId="0" applyFill="1" applyBorder="1" applyAlignment="1">
      <alignment horizontal="center" vertical="center"/>
    </xf>
    <xf numFmtId="0" fontId="0" fillId="4" borderId="8" xfId="0" applyFill="1" applyBorder="1" applyAlignment="1">
      <alignment vertical="center" wrapText="1"/>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vertical="center" wrapText="1"/>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vertical="center" wrapText="1"/>
    </xf>
    <xf numFmtId="0" fontId="0" fillId="4" borderId="15" xfId="0" applyFill="1" applyBorder="1" applyAlignment="1">
      <alignment horizontal="center" vertical="center"/>
    </xf>
    <xf numFmtId="0" fontId="3" fillId="0" borderId="0" xfId="0" applyFont="1"/>
    <xf numFmtId="164" fontId="3" fillId="0" borderId="16" xfId="0" applyNumberFormat="1" applyFont="1" applyBorder="1"/>
    <xf numFmtId="49" fontId="3" fillId="0" borderId="0" xfId="0" applyNumberFormat="1" applyFont="1"/>
    <xf numFmtId="164" fontId="4" fillId="0" borderId="2" xfId="0" applyNumberFormat="1" applyFont="1" applyBorder="1"/>
    <xf numFmtId="49" fontId="4" fillId="0" borderId="0" xfId="0" applyNumberFormat="1" applyFont="1"/>
    <xf numFmtId="164" fontId="4" fillId="0" borderId="0" xfId="0" applyNumberFormat="1" applyFont="1"/>
    <xf numFmtId="164" fontId="4" fillId="0" borderId="5" xfId="0" applyNumberFormat="1" applyFont="1" applyBorder="1"/>
    <xf numFmtId="164" fontId="4" fillId="0" borderId="17" xfId="0" applyNumberFormat="1" applyFont="1" applyBorder="1"/>
    <xf numFmtId="0" fontId="0" fillId="0" borderId="0" xfId="0" applyAlignment="1">
      <alignment horizontal="center"/>
    </xf>
    <xf numFmtId="49" fontId="3" fillId="0" borderId="18" xfId="0" applyNumberFormat="1" applyFont="1" applyBorder="1" applyAlignment="1">
      <alignment horizontal="center"/>
    </xf>
    <xf numFmtId="49" fontId="0" fillId="0" borderId="0" xfId="0" applyNumberFormat="1" applyAlignment="1">
      <alignment horizontal="center"/>
    </xf>
    <xf numFmtId="49" fontId="3" fillId="0" borderId="0" xfId="0" applyNumberFormat="1" applyFont="1" applyAlignment="1">
      <alignment horizontal="center"/>
    </xf>
    <xf numFmtId="0" fontId="5" fillId="0" borderId="0" xfId="1"/>
    <xf numFmtId="165" fontId="6" fillId="0" borderId="0" xfId="1" applyNumberFormat="1" applyFont="1" applyAlignment="1">
      <alignment wrapText="1"/>
    </xf>
    <xf numFmtId="0" fontId="7" fillId="0" borderId="0" xfId="1" applyFont="1" applyAlignment="1">
      <alignment horizontal="left" wrapText="1"/>
    </xf>
    <xf numFmtId="166" fontId="7" fillId="0" borderId="19" xfId="1" applyNumberFormat="1" applyFont="1" applyBorder="1" applyAlignment="1">
      <alignment horizontal="right" wrapText="1"/>
    </xf>
    <xf numFmtId="165" fontId="6" fillId="0" borderId="0" xfId="1" applyNumberFormat="1" applyFont="1" applyAlignment="1">
      <alignment horizontal="right" wrapText="1"/>
    </xf>
    <xf numFmtId="0" fontId="5" fillId="0" borderId="0" xfId="1" applyAlignment="1">
      <alignment wrapText="1"/>
    </xf>
    <xf numFmtId="0" fontId="11" fillId="2" borderId="0" xfId="0" applyFont="1" applyFill="1"/>
    <xf numFmtId="16" fontId="3" fillId="0" borderId="18" xfId="0" applyNumberFormat="1" applyFont="1" applyBorder="1" applyAlignment="1">
      <alignment horizontal="center"/>
    </xf>
    <xf numFmtId="17" fontId="8" fillId="0" borderId="20" xfId="1" applyNumberFormat="1" applyFont="1" applyBorder="1" applyAlignment="1">
      <alignment horizontal="center" wrapText="1"/>
    </xf>
    <xf numFmtId="0" fontId="5" fillId="5" borderId="0" xfId="1" applyFill="1"/>
    <xf numFmtId="49" fontId="3" fillId="5" borderId="0" xfId="0" applyNumberFormat="1" applyFont="1" applyFill="1" applyAlignment="1">
      <alignment horizontal="left"/>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12" fillId="2" borderId="0" xfId="0" applyFont="1" applyFill="1" applyAlignment="1">
      <alignment horizontal="left" wrapText="1"/>
    </xf>
    <xf numFmtId="0" fontId="6" fillId="0" borderId="0" xfId="1" applyFont="1" applyAlignment="1">
      <alignment horizontal="center"/>
    </xf>
    <xf numFmtId="0" fontId="5" fillId="0" borderId="0" xfId="1"/>
    <xf numFmtId="0" fontId="10" fillId="0" borderId="0" xfId="1" applyFont="1" applyAlignment="1">
      <alignment horizontal="center"/>
    </xf>
    <xf numFmtId="0" fontId="9" fillId="0" borderId="0" xfId="1" applyFont="1" applyAlignment="1">
      <alignment horizontal="center"/>
    </xf>
  </cellXfs>
  <cellStyles count="2">
    <cellStyle name="Normal" xfId="0" builtinId="0"/>
    <cellStyle name="Normal 2" xfId="1" xr:uid="{DACB81DE-3FE2-4E86-ABAC-704322A70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1009650</xdr:colOff>
      <xdr:row>19</xdr:row>
      <xdr:rowOff>78105</xdr:rowOff>
    </xdr:from>
    <xdr:to>
      <xdr:col>2</xdr:col>
      <xdr:colOff>4612833</xdr:colOff>
      <xdr:row>25</xdr:row>
      <xdr:rowOff>21063</xdr:rowOff>
    </xdr:to>
    <xdr:pic>
      <xdr:nvPicPr>
        <xdr:cNvPr id="2" name="Picture 1">
          <a:extLst>
            <a:ext uri="{FF2B5EF4-FFF2-40B4-BE49-F238E27FC236}">
              <a16:creationId xmlns:a16="http://schemas.microsoft.com/office/drawing/2014/main" id="{103A3E2E-3D6B-40A5-AF09-843B2C3A24D4}"/>
            </a:ext>
          </a:extLst>
        </xdr:cNvPr>
        <xdr:cNvPicPr>
          <a:picLocks noChangeAspect="1"/>
        </xdr:cNvPicPr>
      </xdr:nvPicPr>
      <xdr:blipFill>
        <a:blip xmlns:r="http://schemas.openxmlformats.org/officeDocument/2006/relationships" r:embed="rId1"/>
        <a:srcRect t="12338" b="59668"/>
        <a:stretch>
          <a:fillRect/>
        </a:stretch>
      </xdr:blipFill>
      <xdr:spPr>
        <a:xfrm>
          <a:off x="4362450" y="5421630"/>
          <a:ext cx="3603183" cy="1036428"/>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38200" cy="238125"/>
    <xdr:sp macro="" textlink="">
      <xdr:nvSpPr>
        <xdr:cNvPr id="2" name="FILTER" hidden="1">
          <a:extLst>
            <a:ext uri="{63B3BB69-23CF-44E3-9099-C40C66FF867C}">
              <a14:compatExt xmlns:a14="http://schemas.microsoft.com/office/drawing/2010/main" spid="_x0000_s2049"/>
            </a:ext>
            <a:ext uri="{FF2B5EF4-FFF2-40B4-BE49-F238E27FC236}">
              <a16:creationId xmlns:a16="http://schemas.microsoft.com/office/drawing/2014/main" id="{7BB58283-87E7-42DB-8B6A-F51FCCD5C60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0</xdr:rowOff>
    </xdr:from>
    <xdr:ext cx="838200" cy="238125"/>
    <xdr:sp macro="" textlink="">
      <xdr:nvSpPr>
        <xdr:cNvPr id="3" name="HEADER" hidden="1">
          <a:extLst>
            <a:ext uri="{63B3BB69-23CF-44E3-9099-C40C66FF867C}">
              <a14:compatExt xmlns:a14="http://schemas.microsoft.com/office/drawing/2010/main" spid="_x0000_s2050"/>
            </a:ext>
            <a:ext uri="{FF2B5EF4-FFF2-40B4-BE49-F238E27FC236}">
              <a16:creationId xmlns:a16="http://schemas.microsoft.com/office/drawing/2014/main" id="{66DA86B0-19E6-4361-B8D7-6E2F0D8E3A84}"/>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0</xdr:colOff>
      <xdr:row>0</xdr:row>
      <xdr:rowOff>0</xdr:rowOff>
    </xdr:from>
    <xdr:to>
      <xdr:col>4</xdr:col>
      <xdr:colOff>0</xdr:colOff>
      <xdr:row>1</xdr:row>
      <xdr:rowOff>45720</xdr:rowOff>
    </xdr:to>
    <xdr:pic>
      <xdr:nvPicPr>
        <xdr:cNvPr id="2049" name="FILTER" hidden="1">
          <a:extLst>
            <a:ext uri="{FF2B5EF4-FFF2-40B4-BE49-F238E27FC236}">
              <a16:creationId xmlns:a16="http://schemas.microsoft.com/office/drawing/2014/main" id="{EBFFFAF3-AF67-D7A6-0B76-CB1E1AC9976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2960" cy="2362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0</xdr:col>
      <xdr:colOff>0</xdr:colOff>
      <xdr:row>0</xdr:row>
      <xdr:rowOff>0</xdr:rowOff>
    </xdr:from>
    <xdr:to>
      <xdr:col>4</xdr:col>
      <xdr:colOff>0</xdr:colOff>
      <xdr:row>1</xdr:row>
      <xdr:rowOff>45720</xdr:rowOff>
    </xdr:to>
    <xdr:pic>
      <xdr:nvPicPr>
        <xdr:cNvPr id="2050" name="HEADER" hidden="1">
          <a:extLst>
            <a:ext uri="{FF2B5EF4-FFF2-40B4-BE49-F238E27FC236}">
              <a16:creationId xmlns:a16="http://schemas.microsoft.com/office/drawing/2014/main" id="{3337CA21-A386-15C7-32B2-569EDE5CB2E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2960" cy="2362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006F4-9224-45A3-8166-E4CE14AEFB62}">
  <dimension ref="B2:D19"/>
  <sheetViews>
    <sheetView tabSelected="1" workbookViewId="0">
      <selection activeCell="C16" sqref="C16:F16"/>
    </sheetView>
  </sheetViews>
  <sheetFormatPr defaultRowHeight="14.4" x14ac:dyDescent="0.3"/>
  <cols>
    <col min="1" max="1" width="42.44140625" style="1" customWidth="1"/>
    <col min="2" max="2" width="6.44140625" style="1" bestFit="1" customWidth="1"/>
    <col min="3" max="3" width="74.21875" style="1" customWidth="1"/>
    <col min="4" max="16384" width="8.88671875" style="1"/>
  </cols>
  <sheetData>
    <row r="2" spans="2:4" x14ac:dyDescent="0.3">
      <c r="B2" s="40" t="s">
        <v>238</v>
      </c>
      <c r="C2" s="40"/>
      <c r="D2" s="40"/>
    </row>
    <row r="3" spans="2:4" ht="14.4" customHeight="1" x14ac:dyDescent="0.3">
      <c r="B3" s="40"/>
      <c r="C3" s="40"/>
      <c r="D3" s="40"/>
    </row>
    <row r="4" spans="2:4" ht="14.4" customHeight="1" x14ac:dyDescent="0.3">
      <c r="B4" s="40"/>
      <c r="C4" s="40"/>
      <c r="D4" s="40"/>
    </row>
    <row r="5" spans="2:4" x14ac:dyDescent="0.3">
      <c r="B5" s="40"/>
      <c r="C5" s="40"/>
      <c r="D5" s="40"/>
    </row>
    <row r="6" spans="2:4" ht="15" thickBot="1" x14ac:dyDescent="0.35">
      <c r="C6" s="32"/>
    </row>
    <row r="7" spans="2:4" ht="21" x14ac:dyDescent="0.3">
      <c r="B7" s="37" t="s">
        <v>0</v>
      </c>
      <c r="C7" s="38"/>
      <c r="D7" s="39"/>
    </row>
    <row r="8" spans="2:4" ht="15" thickBot="1" x14ac:dyDescent="0.35">
      <c r="B8" s="2" t="s">
        <v>1</v>
      </c>
      <c r="C8" s="3" t="s">
        <v>2</v>
      </c>
      <c r="D8" s="4" t="s">
        <v>3</v>
      </c>
    </row>
    <row r="9" spans="2:4" ht="28.8" x14ac:dyDescent="0.3">
      <c r="B9" s="5">
        <v>1</v>
      </c>
      <c r="C9" s="6" t="s">
        <v>239</v>
      </c>
      <c r="D9" s="7">
        <v>1</v>
      </c>
    </row>
    <row r="10" spans="2:4" ht="72" x14ac:dyDescent="0.3">
      <c r="B10" s="8">
        <f>B9+1</f>
        <v>2</v>
      </c>
      <c r="C10" s="9" t="s">
        <v>240</v>
      </c>
      <c r="D10" s="10">
        <v>1</v>
      </c>
    </row>
    <row r="11" spans="2:4" ht="54" customHeight="1" x14ac:dyDescent="0.3">
      <c r="B11" s="8">
        <f t="shared" ref="B11:B19" si="0">B10+1</f>
        <v>3</v>
      </c>
      <c r="C11" s="9" t="s">
        <v>244</v>
      </c>
      <c r="D11" s="10">
        <v>1</v>
      </c>
    </row>
    <row r="12" spans="2:4" ht="28.8" x14ac:dyDescent="0.3">
      <c r="B12" s="8">
        <f t="shared" si="0"/>
        <v>4</v>
      </c>
      <c r="C12" s="9" t="s">
        <v>234</v>
      </c>
      <c r="D12" s="10">
        <v>1</v>
      </c>
    </row>
    <row r="13" spans="2:4" x14ac:dyDescent="0.3">
      <c r="B13" s="8">
        <f t="shared" si="0"/>
        <v>5</v>
      </c>
      <c r="C13" s="9" t="s">
        <v>235</v>
      </c>
      <c r="D13" s="10">
        <v>1</v>
      </c>
    </row>
    <row r="14" spans="2:4" x14ac:dyDescent="0.3">
      <c r="B14" s="8">
        <f t="shared" si="0"/>
        <v>6</v>
      </c>
      <c r="C14" s="9" t="s">
        <v>243</v>
      </c>
      <c r="D14" s="10">
        <v>1</v>
      </c>
    </row>
    <row r="15" spans="2:4" x14ac:dyDescent="0.3">
      <c r="B15" s="8">
        <f t="shared" si="0"/>
        <v>7</v>
      </c>
      <c r="C15" s="9" t="s">
        <v>4</v>
      </c>
      <c r="D15" s="10">
        <v>2</v>
      </c>
    </row>
    <row r="16" spans="2:4" ht="28.8" x14ac:dyDescent="0.3">
      <c r="B16" s="8">
        <f t="shared" si="0"/>
        <v>8</v>
      </c>
      <c r="C16" s="9" t="s">
        <v>245</v>
      </c>
      <c r="D16" s="10">
        <v>2</v>
      </c>
    </row>
    <row r="17" spans="2:4" ht="28.8" x14ac:dyDescent="0.3">
      <c r="B17" s="8">
        <f t="shared" si="0"/>
        <v>9</v>
      </c>
      <c r="C17" s="9" t="s">
        <v>237</v>
      </c>
      <c r="D17" s="10">
        <v>2</v>
      </c>
    </row>
    <row r="18" spans="2:4" ht="28.8" x14ac:dyDescent="0.3">
      <c r="B18" s="8">
        <f t="shared" si="0"/>
        <v>10</v>
      </c>
      <c r="C18" s="9" t="s">
        <v>233</v>
      </c>
      <c r="D18" s="10">
        <v>2</v>
      </c>
    </row>
    <row r="19" spans="2:4" ht="15" thickBot="1" x14ac:dyDescent="0.35">
      <c r="B19" s="11">
        <f t="shared" si="0"/>
        <v>11</v>
      </c>
      <c r="C19" s="12" t="s">
        <v>236</v>
      </c>
      <c r="D19" s="13">
        <v>2</v>
      </c>
    </row>
  </sheetData>
  <mergeCells count="2">
    <mergeCell ref="B7:D7"/>
    <mergeCell ref="B2:D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836D1-D35E-4EB6-AE79-0112FAB69569}">
  <dimension ref="A1:CN126"/>
  <sheetViews>
    <sheetView workbookViewId="0">
      <pane xSplit="7" ySplit="1" topLeftCell="H2" activePane="bottomRight" state="frozenSplit"/>
      <selection pane="topRight" activeCell="H1" sqref="H1"/>
      <selection pane="bottomLeft" activeCell="A2" sqref="A2"/>
      <selection pane="bottomRight" activeCell="J35" sqref="J35"/>
    </sheetView>
  </sheetViews>
  <sheetFormatPr defaultRowHeight="14.4" x14ac:dyDescent="0.3"/>
  <cols>
    <col min="1" max="6" width="3" style="14" customWidth="1"/>
    <col min="7" max="7" width="19.109375" style="14" customWidth="1"/>
    <col min="8" max="8" width="7.88671875" bestFit="1" customWidth="1"/>
    <col min="9" max="9" width="2.33203125" customWidth="1"/>
    <col min="10" max="10" width="7.5546875" bestFit="1" customWidth="1"/>
    <col min="11" max="11" width="2.33203125" customWidth="1"/>
    <col min="12" max="12" width="7.109375" bestFit="1" customWidth="1"/>
    <col min="13" max="13" width="2.33203125" customWidth="1"/>
    <col min="14" max="14" width="7.5546875" bestFit="1" customWidth="1"/>
    <col min="15" max="15" width="2.33203125" customWidth="1"/>
    <col min="16" max="16" width="7.88671875" bestFit="1" customWidth="1"/>
    <col min="17" max="17" width="2.33203125" customWidth="1"/>
    <col min="18" max="18" width="7.88671875" bestFit="1" customWidth="1"/>
    <col min="19" max="19" width="2.33203125" customWidth="1"/>
    <col min="20" max="20" width="7.88671875" bestFit="1" customWidth="1"/>
    <col min="21" max="21" width="2.33203125" customWidth="1"/>
    <col min="22" max="22" width="7.88671875" bestFit="1" customWidth="1"/>
    <col min="23" max="23" width="2.33203125" customWidth="1"/>
    <col min="24" max="24" width="7.88671875" bestFit="1" customWidth="1"/>
    <col min="25" max="25" width="2.33203125" customWidth="1"/>
    <col min="26" max="26" width="7.88671875" bestFit="1" customWidth="1"/>
    <col min="27" max="27" width="2.33203125" customWidth="1"/>
    <col min="28" max="28" width="7.88671875" bestFit="1" customWidth="1"/>
    <col min="29" max="29" width="2.33203125" customWidth="1"/>
    <col min="30" max="30" width="7.88671875" bestFit="1" customWidth="1"/>
    <col min="31" max="31" width="2.33203125" customWidth="1"/>
    <col min="32" max="32" width="7.5546875" bestFit="1" customWidth="1"/>
    <col min="33" max="33" width="2.33203125" customWidth="1"/>
    <col min="34" max="34" width="7.88671875" bestFit="1" customWidth="1"/>
    <col min="35" max="35" width="2.33203125" customWidth="1"/>
    <col min="36" max="36" width="7.88671875" bestFit="1" customWidth="1"/>
    <col min="37" max="37" width="2.33203125" customWidth="1"/>
    <col min="38" max="38" width="7.88671875" bestFit="1" customWidth="1"/>
    <col min="39" max="39" width="2.33203125" customWidth="1"/>
    <col min="40" max="40" width="7.88671875" bestFit="1" customWidth="1"/>
    <col min="41" max="41" width="2.33203125" customWidth="1"/>
    <col min="42" max="42" width="7.88671875" bestFit="1" customWidth="1"/>
    <col min="43" max="43" width="2.33203125" customWidth="1"/>
    <col min="44" max="44" width="8.33203125" bestFit="1" customWidth="1"/>
    <col min="45" max="45" width="2.33203125" customWidth="1"/>
    <col min="46" max="46" width="7.88671875" bestFit="1" customWidth="1"/>
    <col min="47" max="47" width="2.33203125" customWidth="1"/>
    <col min="48" max="48" width="7.88671875" bestFit="1" customWidth="1"/>
    <col min="49" max="49" width="2.33203125" customWidth="1"/>
    <col min="50" max="50" width="7.88671875" bestFit="1" customWidth="1"/>
    <col min="51" max="51" width="2.33203125" customWidth="1"/>
    <col min="52" max="52" width="7.88671875" bestFit="1" customWidth="1"/>
    <col min="53" max="53" width="2.33203125" customWidth="1"/>
    <col min="54" max="54" width="7.88671875" bestFit="1" customWidth="1"/>
    <col min="55" max="55" width="2.33203125" customWidth="1"/>
    <col min="56" max="56" width="7.88671875" bestFit="1" customWidth="1"/>
    <col min="57" max="57" width="2.33203125" customWidth="1"/>
    <col min="58" max="58" width="7.88671875" bestFit="1" customWidth="1"/>
    <col min="59" max="59" width="2.33203125" customWidth="1"/>
    <col min="60" max="60" width="7.88671875" bestFit="1" customWidth="1"/>
    <col min="61" max="61" width="2.33203125" customWidth="1"/>
    <col min="62" max="62" width="7.88671875" bestFit="1" customWidth="1"/>
    <col min="63" max="63" width="2.33203125" customWidth="1"/>
    <col min="64" max="64" width="7.88671875" bestFit="1" customWidth="1"/>
    <col min="65" max="65" width="2.33203125" customWidth="1"/>
    <col min="66" max="66" width="7.88671875" bestFit="1" customWidth="1"/>
    <col min="67" max="67" width="2.33203125" customWidth="1"/>
    <col min="68" max="68" width="7.88671875" bestFit="1" customWidth="1"/>
    <col min="69" max="69" width="2.33203125" customWidth="1"/>
    <col min="70" max="70" width="7.88671875" bestFit="1" customWidth="1"/>
    <col min="71" max="71" width="2.33203125" customWidth="1"/>
    <col min="72" max="72" width="7.88671875" bestFit="1" customWidth="1"/>
    <col min="73" max="73" width="2.33203125" customWidth="1"/>
    <col min="74" max="74" width="7.88671875" bestFit="1" customWidth="1"/>
    <col min="75" max="75" width="2.33203125" customWidth="1"/>
    <col min="76" max="76" width="7.88671875" bestFit="1" customWidth="1"/>
    <col min="77" max="77" width="2.33203125" customWidth="1"/>
    <col min="78" max="78" width="7.88671875" bestFit="1" customWidth="1"/>
    <col min="79" max="79" width="2.33203125" customWidth="1"/>
    <col min="80" max="80" width="7.109375" bestFit="1" customWidth="1"/>
    <col min="81" max="81" width="2.33203125" customWidth="1"/>
    <col min="82" max="82" width="7.88671875" bestFit="1" customWidth="1"/>
    <col min="83" max="83" width="2.33203125" customWidth="1"/>
    <col min="84" max="84" width="7.88671875" bestFit="1" customWidth="1"/>
    <col min="85" max="85" width="2.33203125" customWidth="1"/>
    <col min="86" max="86" width="7.88671875" bestFit="1" customWidth="1"/>
    <col min="87" max="87" width="2.33203125" customWidth="1"/>
    <col min="88" max="88" width="7.88671875" bestFit="1" customWidth="1"/>
    <col min="89" max="89" width="2.33203125" customWidth="1"/>
    <col min="90" max="90" width="7.88671875" bestFit="1" customWidth="1"/>
    <col min="91" max="91" width="2.33203125" customWidth="1"/>
    <col min="92" max="92" width="9.109375" bestFit="1" customWidth="1"/>
  </cols>
  <sheetData>
    <row r="1" spans="1:92" s="22" customFormat="1" ht="15" thickBot="1" x14ac:dyDescent="0.35">
      <c r="A1" s="36" t="s">
        <v>241</v>
      </c>
      <c r="B1" s="25"/>
      <c r="C1" s="25"/>
      <c r="D1" s="25"/>
      <c r="E1" s="25"/>
      <c r="F1" s="25"/>
      <c r="G1" s="25"/>
      <c r="H1" s="33">
        <v>46045</v>
      </c>
      <c r="I1" s="24"/>
      <c r="J1" s="33">
        <v>46076</v>
      </c>
      <c r="K1" s="24"/>
      <c r="L1" s="33">
        <v>46104</v>
      </c>
      <c r="M1" s="24"/>
      <c r="N1" s="33">
        <v>46135</v>
      </c>
      <c r="O1" s="24"/>
      <c r="P1" s="33">
        <v>46165</v>
      </c>
      <c r="Q1" s="24"/>
      <c r="R1" s="33">
        <v>46196</v>
      </c>
      <c r="S1" s="24"/>
      <c r="T1" s="33">
        <v>46226</v>
      </c>
      <c r="U1" s="24"/>
      <c r="V1" s="33">
        <v>46257</v>
      </c>
      <c r="W1" s="24"/>
      <c r="X1" s="33">
        <v>46288</v>
      </c>
      <c r="Y1" s="24"/>
      <c r="Z1" s="33">
        <v>46318</v>
      </c>
      <c r="AA1" s="24"/>
      <c r="AB1" s="33">
        <v>46349</v>
      </c>
      <c r="AC1" s="24"/>
      <c r="AD1" s="33">
        <v>46379</v>
      </c>
      <c r="AE1" s="24"/>
      <c r="AF1" s="33">
        <v>46046</v>
      </c>
      <c r="AG1" s="24"/>
      <c r="AH1" s="33">
        <v>46077</v>
      </c>
      <c r="AI1" s="24"/>
      <c r="AJ1" s="33">
        <v>46105</v>
      </c>
      <c r="AK1" s="24"/>
      <c r="AL1" s="33">
        <v>46136</v>
      </c>
      <c r="AM1" s="24"/>
      <c r="AN1" s="33">
        <v>46166</v>
      </c>
      <c r="AO1" s="24"/>
      <c r="AP1" s="33">
        <v>46197</v>
      </c>
      <c r="AQ1" s="24"/>
      <c r="AR1" s="33">
        <v>46227</v>
      </c>
      <c r="AS1" s="24"/>
      <c r="AT1" s="33">
        <v>46258</v>
      </c>
      <c r="AU1" s="24"/>
      <c r="AV1" s="33">
        <v>46289</v>
      </c>
      <c r="AW1" s="24"/>
      <c r="AX1" s="33">
        <v>46319</v>
      </c>
      <c r="AY1" s="24"/>
      <c r="AZ1" s="33">
        <v>46350</v>
      </c>
      <c r="BA1" s="24"/>
      <c r="BB1" s="33">
        <v>46380</v>
      </c>
      <c r="BC1" s="24"/>
      <c r="BD1" s="33">
        <v>46047</v>
      </c>
      <c r="BE1" s="24"/>
      <c r="BF1" s="33">
        <v>46078</v>
      </c>
      <c r="BG1" s="24"/>
      <c r="BH1" s="33">
        <v>46106</v>
      </c>
      <c r="BI1" s="24"/>
      <c r="BJ1" s="33">
        <v>46137</v>
      </c>
      <c r="BK1" s="24"/>
      <c r="BL1" s="33">
        <v>46167</v>
      </c>
      <c r="BM1" s="24"/>
      <c r="BN1" s="33">
        <v>46198</v>
      </c>
      <c r="BO1" s="24"/>
      <c r="BP1" s="33">
        <v>46228</v>
      </c>
      <c r="BQ1" s="24"/>
      <c r="BR1" s="33">
        <v>46259</v>
      </c>
      <c r="BS1" s="24"/>
      <c r="BT1" s="33">
        <v>46290</v>
      </c>
      <c r="BU1" s="24"/>
      <c r="BV1" s="33">
        <v>46320</v>
      </c>
      <c r="BW1" s="24"/>
      <c r="BX1" s="33">
        <v>46351</v>
      </c>
      <c r="BY1" s="24"/>
      <c r="BZ1" s="33">
        <v>46381</v>
      </c>
      <c r="CA1" s="24"/>
      <c r="CB1" s="33">
        <v>46048</v>
      </c>
      <c r="CC1" s="24"/>
      <c r="CD1" s="33">
        <v>46079</v>
      </c>
      <c r="CE1" s="24"/>
      <c r="CF1" s="33">
        <v>46107</v>
      </c>
      <c r="CG1" s="24"/>
      <c r="CH1" s="33">
        <v>46138</v>
      </c>
      <c r="CI1" s="24"/>
      <c r="CJ1" s="33">
        <v>46168</v>
      </c>
      <c r="CK1" s="24"/>
      <c r="CL1" s="33">
        <v>46199</v>
      </c>
      <c r="CM1" s="24"/>
      <c r="CN1" s="23" t="s">
        <v>128</v>
      </c>
    </row>
    <row r="2" spans="1:92" ht="15" thickTop="1" x14ac:dyDescent="0.3">
      <c r="A2" s="16"/>
      <c r="B2" s="16" t="s">
        <v>127</v>
      </c>
      <c r="C2" s="16"/>
      <c r="D2" s="16"/>
      <c r="E2" s="16"/>
      <c r="F2" s="16"/>
      <c r="G2" s="16"/>
      <c r="H2" s="19"/>
      <c r="I2" s="18"/>
      <c r="J2" s="19"/>
      <c r="K2" s="18"/>
      <c r="L2" s="19"/>
      <c r="M2" s="18"/>
      <c r="N2" s="19"/>
      <c r="O2" s="18"/>
      <c r="P2" s="19"/>
      <c r="Q2" s="18"/>
      <c r="R2" s="19"/>
      <c r="S2" s="18"/>
      <c r="T2" s="19"/>
      <c r="U2" s="18"/>
      <c r="V2" s="19"/>
      <c r="W2" s="18"/>
      <c r="X2" s="19"/>
      <c r="Y2" s="18"/>
      <c r="Z2" s="19"/>
      <c r="AA2" s="18"/>
      <c r="AB2" s="19"/>
      <c r="AC2" s="18"/>
      <c r="AD2" s="19"/>
      <c r="AE2" s="18"/>
      <c r="AF2" s="19"/>
      <c r="AG2" s="18"/>
      <c r="AH2" s="19"/>
      <c r="AI2" s="18"/>
      <c r="AJ2" s="19"/>
      <c r="AK2" s="18"/>
      <c r="AL2" s="19"/>
      <c r="AM2" s="18"/>
      <c r="AN2" s="19"/>
      <c r="AO2" s="18"/>
      <c r="AP2" s="19"/>
      <c r="AQ2" s="18"/>
      <c r="AR2" s="19"/>
      <c r="AS2" s="18"/>
      <c r="AT2" s="19"/>
      <c r="AU2" s="18"/>
      <c r="AV2" s="19"/>
      <c r="AW2" s="18"/>
      <c r="AX2" s="19"/>
      <c r="AY2" s="18"/>
      <c r="AZ2" s="19"/>
      <c r="BA2" s="18"/>
      <c r="BB2" s="19"/>
      <c r="BC2" s="18"/>
      <c r="BD2" s="19"/>
      <c r="BE2" s="18"/>
      <c r="BF2" s="19"/>
      <c r="BG2" s="18"/>
      <c r="BH2" s="19"/>
      <c r="BI2" s="18"/>
      <c r="BJ2" s="19"/>
      <c r="BK2" s="18"/>
      <c r="BL2" s="19"/>
      <c r="BM2" s="18"/>
      <c r="BN2" s="19"/>
      <c r="BO2" s="18"/>
      <c r="BP2" s="19"/>
      <c r="BQ2" s="18"/>
      <c r="BR2" s="19"/>
      <c r="BS2" s="18"/>
      <c r="BT2" s="19"/>
      <c r="BU2" s="18"/>
      <c r="BV2" s="19"/>
      <c r="BW2" s="18"/>
      <c r="BX2" s="19"/>
      <c r="BY2" s="18"/>
      <c r="BZ2" s="19"/>
      <c r="CA2" s="18"/>
      <c r="CB2" s="19"/>
      <c r="CC2" s="18"/>
      <c r="CD2" s="19"/>
      <c r="CE2" s="18"/>
      <c r="CF2" s="19"/>
      <c r="CG2" s="18"/>
      <c r="CH2" s="19"/>
      <c r="CI2" s="18"/>
      <c r="CJ2" s="19"/>
      <c r="CK2" s="18"/>
      <c r="CL2" s="19"/>
      <c r="CM2" s="18"/>
      <c r="CN2" s="19"/>
    </row>
    <row r="3" spans="1:92" x14ac:dyDescent="0.3">
      <c r="A3" s="16"/>
      <c r="B3" s="16"/>
      <c r="C3" s="16"/>
      <c r="D3" s="16" t="s">
        <v>126</v>
      </c>
      <c r="E3" s="16"/>
      <c r="F3" s="16"/>
      <c r="G3" s="16"/>
      <c r="H3" s="19"/>
      <c r="I3" s="18"/>
      <c r="J3" s="19"/>
      <c r="K3" s="18"/>
      <c r="L3" s="19"/>
      <c r="M3" s="18"/>
      <c r="N3" s="19"/>
      <c r="O3" s="18"/>
      <c r="P3" s="19"/>
      <c r="Q3" s="18"/>
      <c r="R3" s="19"/>
      <c r="S3" s="18"/>
      <c r="T3" s="19"/>
      <c r="U3" s="18"/>
      <c r="V3" s="19"/>
      <c r="W3" s="18"/>
      <c r="X3" s="19"/>
      <c r="Y3" s="18"/>
      <c r="Z3" s="19"/>
      <c r="AA3" s="18"/>
      <c r="AB3" s="19"/>
      <c r="AC3" s="18"/>
      <c r="AD3" s="19"/>
      <c r="AE3" s="18"/>
      <c r="AF3" s="19"/>
      <c r="AG3" s="18"/>
      <c r="AH3" s="19"/>
      <c r="AI3" s="18"/>
      <c r="AJ3" s="19"/>
      <c r="AK3" s="18"/>
      <c r="AL3" s="19"/>
      <c r="AM3" s="18"/>
      <c r="AN3" s="19"/>
      <c r="AO3" s="18"/>
      <c r="AP3" s="19"/>
      <c r="AQ3" s="18"/>
      <c r="AR3" s="19"/>
      <c r="AS3" s="18"/>
      <c r="AT3" s="19"/>
      <c r="AU3" s="18"/>
      <c r="AV3" s="19"/>
      <c r="AW3" s="18"/>
      <c r="AX3" s="19"/>
      <c r="AY3" s="18"/>
      <c r="AZ3" s="19"/>
      <c r="BA3" s="18"/>
      <c r="BB3" s="19"/>
      <c r="BC3" s="18"/>
      <c r="BD3" s="19"/>
      <c r="BE3" s="18"/>
      <c r="BF3" s="19"/>
      <c r="BG3" s="18"/>
      <c r="BH3" s="19"/>
      <c r="BI3" s="18"/>
      <c r="BJ3" s="19"/>
      <c r="BK3" s="18"/>
      <c r="BL3" s="19"/>
      <c r="BM3" s="18"/>
      <c r="BN3" s="19"/>
      <c r="BO3" s="18"/>
      <c r="BP3" s="19"/>
      <c r="BQ3" s="18"/>
      <c r="BR3" s="19"/>
      <c r="BS3" s="18"/>
      <c r="BT3" s="19"/>
      <c r="BU3" s="18"/>
      <c r="BV3" s="19"/>
      <c r="BW3" s="18"/>
      <c r="BX3" s="19"/>
      <c r="BY3" s="18"/>
      <c r="BZ3" s="19"/>
      <c r="CA3" s="18"/>
      <c r="CB3" s="19"/>
      <c r="CC3" s="18"/>
      <c r="CD3" s="19"/>
      <c r="CE3" s="18"/>
      <c r="CF3" s="19"/>
      <c r="CG3" s="18"/>
      <c r="CH3" s="19"/>
      <c r="CI3" s="18"/>
      <c r="CJ3" s="19"/>
      <c r="CK3" s="18"/>
      <c r="CL3" s="19"/>
      <c r="CM3" s="18"/>
      <c r="CN3" s="19"/>
    </row>
    <row r="4" spans="1:92" x14ac:dyDescent="0.3">
      <c r="A4" s="16"/>
      <c r="B4" s="16"/>
      <c r="C4" s="16"/>
      <c r="D4" s="16"/>
      <c r="E4" s="16" t="s">
        <v>125</v>
      </c>
      <c r="F4" s="16"/>
      <c r="G4" s="16"/>
      <c r="H4" s="19">
        <v>0</v>
      </c>
      <c r="I4" s="18"/>
      <c r="J4" s="19">
        <v>0</v>
      </c>
      <c r="K4" s="18"/>
      <c r="L4" s="19">
        <v>0</v>
      </c>
      <c r="M4" s="18"/>
      <c r="N4" s="19">
        <v>0</v>
      </c>
      <c r="O4" s="18"/>
      <c r="P4" s="19">
        <v>0</v>
      </c>
      <c r="Q4" s="18"/>
      <c r="R4" s="19">
        <v>0</v>
      </c>
      <c r="S4" s="18"/>
      <c r="T4" s="19">
        <v>0</v>
      </c>
      <c r="U4" s="18"/>
      <c r="V4" s="19">
        <v>0</v>
      </c>
      <c r="W4" s="18"/>
      <c r="X4" s="19">
        <v>0</v>
      </c>
      <c r="Y4" s="18"/>
      <c r="Z4" s="19">
        <v>0</v>
      </c>
      <c r="AA4" s="18"/>
      <c r="AB4" s="19">
        <v>0</v>
      </c>
      <c r="AC4" s="18"/>
      <c r="AD4" s="19">
        <v>0</v>
      </c>
      <c r="AE4" s="18"/>
      <c r="AF4" s="19">
        <v>0</v>
      </c>
      <c r="AG4" s="18"/>
      <c r="AH4" s="19">
        <v>0</v>
      </c>
      <c r="AI4" s="18"/>
      <c r="AJ4" s="19">
        <v>0</v>
      </c>
      <c r="AK4" s="18"/>
      <c r="AL4" s="19">
        <v>0</v>
      </c>
      <c r="AM4" s="18"/>
      <c r="AN4" s="19">
        <v>0</v>
      </c>
      <c r="AO4" s="18"/>
      <c r="AP4" s="19">
        <v>0</v>
      </c>
      <c r="AQ4" s="18"/>
      <c r="AR4" s="19">
        <v>0</v>
      </c>
      <c r="AS4" s="18"/>
      <c r="AT4" s="19">
        <v>0</v>
      </c>
      <c r="AU4" s="18"/>
      <c r="AV4" s="19">
        <v>0</v>
      </c>
      <c r="AW4" s="18"/>
      <c r="AX4" s="19">
        <v>0</v>
      </c>
      <c r="AY4" s="18"/>
      <c r="AZ4" s="19">
        <v>0</v>
      </c>
      <c r="BA4" s="18"/>
      <c r="BB4" s="19">
        <v>0</v>
      </c>
      <c r="BC4" s="18"/>
      <c r="BD4" s="19">
        <v>0</v>
      </c>
      <c r="BE4" s="18"/>
      <c r="BF4" s="19">
        <v>0</v>
      </c>
      <c r="BG4" s="18"/>
      <c r="BH4" s="19">
        <v>0</v>
      </c>
      <c r="BI4" s="18"/>
      <c r="BJ4" s="19">
        <v>0</v>
      </c>
      <c r="BK4" s="18"/>
      <c r="BL4" s="19">
        <v>0</v>
      </c>
      <c r="BM4" s="18"/>
      <c r="BN4" s="19">
        <v>0</v>
      </c>
      <c r="BO4" s="18"/>
      <c r="BP4" s="19">
        <v>0</v>
      </c>
      <c r="BQ4" s="18"/>
      <c r="BR4" s="19">
        <v>0</v>
      </c>
      <c r="BS4" s="18"/>
      <c r="BT4" s="19">
        <v>0</v>
      </c>
      <c r="BU4" s="18"/>
      <c r="BV4" s="19">
        <v>0</v>
      </c>
      <c r="BW4" s="18"/>
      <c r="BX4" s="19">
        <v>0</v>
      </c>
      <c r="BY4" s="18"/>
      <c r="BZ4" s="19">
        <v>0</v>
      </c>
      <c r="CA4" s="18"/>
      <c r="CB4" s="19">
        <v>0</v>
      </c>
      <c r="CC4" s="18"/>
      <c r="CD4" s="19">
        <v>0</v>
      </c>
      <c r="CE4" s="18"/>
      <c r="CF4" s="19">
        <v>0</v>
      </c>
      <c r="CG4" s="18"/>
      <c r="CH4" s="19">
        <v>0</v>
      </c>
      <c r="CI4" s="18"/>
      <c r="CJ4" s="19">
        <v>272.5</v>
      </c>
      <c r="CK4" s="18"/>
      <c r="CL4" s="19">
        <v>0</v>
      </c>
      <c r="CM4" s="18"/>
      <c r="CN4" s="19">
        <f>ROUND(SUM(H4:CL4),5)</f>
        <v>272.5</v>
      </c>
    </row>
    <row r="5" spans="1:92" x14ac:dyDescent="0.3">
      <c r="A5" s="16"/>
      <c r="B5" s="16"/>
      <c r="C5" s="16"/>
      <c r="D5" s="16"/>
      <c r="E5" s="16" t="s">
        <v>124</v>
      </c>
      <c r="F5" s="16"/>
      <c r="G5" s="16"/>
      <c r="H5" s="19">
        <v>116425.24</v>
      </c>
      <c r="I5" s="18"/>
      <c r="J5" s="19">
        <v>79396.14</v>
      </c>
      <c r="K5" s="18"/>
      <c r="L5" s="19">
        <v>87585.78</v>
      </c>
      <c r="M5" s="18"/>
      <c r="N5" s="19">
        <v>64538.31</v>
      </c>
      <c r="O5" s="18"/>
      <c r="P5" s="19">
        <v>124689.88</v>
      </c>
      <c r="Q5" s="18"/>
      <c r="R5" s="19">
        <v>167629.29999999999</v>
      </c>
      <c r="S5" s="18"/>
      <c r="T5" s="19">
        <v>188450.43</v>
      </c>
      <c r="U5" s="18"/>
      <c r="V5" s="19">
        <v>154985.82</v>
      </c>
      <c r="W5" s="18"/>
      <c r="X5" s="19">
        <v>102973.57</v>
      </c>
      <c r="Y5" s="18"/>
      <c r="Z5" s="19">
        <v>151831.44</v>
      </c>
      <c r="AA5" s="18"/>
      <c r="AB5" s="19">
        <v>134111.73000000001</v>
      </c>
      <c r="AC5" s="18"/>
      <c r="AD5" s="19">
        <v>200453.31</v>
      </c>
      <c r="AE5" s="18"/>
      <c r="AF5" s="19">
        <v>77585.66</v>
      </c>
      <c r="AG5" s="18"/>
      <c r="AH5" s="19">
        <v>112046.83</v>
      </c>
      <c r="AI5" s="18"/>
      <c r="AJ5" s="19">
        <v>116056.45</v>
      </c>
      <c r="AK5" s="18"/>
      <c r="AL5" s="19">
        <v>197487.82</v>
      </c>
      <c r="AM5" s="18"/>
      <c r="AN5" s="19">
        <v>141565.99</v>
      </c>
      <c r="AO5" s="18"/>
      <c r="AP5" s="19">
        <v>282209.57</v>
      </c>
      <c r="AQ5" s="18"/>
      <c r="AR5" s="19">
        <v>80392.600000000006</v>
      </c>
      <c r="AS5" s="18"/>
      <c r="AT5" s="19">
        <v>356651.83</v>
      </c>
      <c r="AU5" s="18"/>
      <c r="AV5" s="19">
        <v>128032.06</v>
      </c>
      <c r="AW5" s="18"/>
      <c r="AX5" s="19">
        <v>108515.22</v>
      </c>
      <c r="AY5" s="18"/>
      <c r="AZ5" s="19">
        <v>103052.97</v>
      </c>
      <c r="BA5" s="18"/>
      <c r="BB5" s="19">
        <v>290344.84999999998</v>
      </c>
      <c r="BC5" s="18"/>
      <c r="BD5" s="19">
        <v>137588.85</v>
      </c>
      <c r="BE5" s="18"/>
      <c r="BF5" s="19">
        <v>141107.9</v>
      </c>
      <c r="BG5" s="18"/>
      <c r="BH5" s="19">
        <v>168897.57</v>
      </c>
      <c r="BI5" s="18"/>
      <c r="BJ5" s="19">
        <v>158622.57</v>
      </c>
      <c r="BK5" s="18"/>
      <c r="BL5" s="19">
        <v>142925.92000000001</v>
      </c>
      <c r="BM5" s="18"/>
      <c r="BN5" s="19">
        <v>139342.15</v>
      </c>
      <c r="BO5" s="18"/>
      <c r="BP5" s="19">
        <v>147315.23000000001</v>
      </c>
      <c r="BQ5" s="18"/>
      <c r="BR5" s="19">
        <v>308479.31</v>
      </c>
      <c r="BS5" s="18"/>
      <c r="BT5" s="19">
        <v>197319.58</v>
      </c>
      <c r="BU5" s="18"/>
      <c r="BV5" s="19">
        <v>132493.21</v>
      </c>
      <c r="BW5" s="18"/>
      <c r="BX5" s="19">
        <v>151732.82</v>
      </c>
      <c r="BY5" s="18"/>
      <c r="BZ5" s="19">
        <v>298282.62</v>
      </c>
      <c r="CA5" s="18"/>
      <c r="CB5" s="19">
        <v>85423.94</v>
      </c>
      <c r="CC5" s="18"/>
      <c r="CD5" s="19">
        <v>138936.07</v>
      </c>
      <c r="CE5" s="18"/>
      <c r="CF5" s="19">
        <v>183028.34</v>
      </c>
      <c r="CG5" s="18"/>
      <c r="CH5" s="19">
        <v>121401.99</v>
      </c>
      <c r="CI5" s="18"/>
      <c r="CJ5" s="19">
        <v>221472.09</v>
      </c>
      <c r="CK5" s="18"/>
      <c r="CL5" s="19">
        <v>175894.29</v>
      </c>
      <c r="CM5" s="18"/>
      <c r="CN5" s="19">
        <f>ROUND(SUM(H5:CL5),5)</f>
        <v>6617277.25</v>
      </c>
    </row>
    <row r="6" spans="1:92" x14ac:dyDescent="0.3">
      <c r="A6" s="16"/>
      <c r="B6" s="16"/>
      <c r="C6" s="16"/>
      <c r="D6" s="16"/>
      <c r="E6" s="16" t="s">
        <v>123</v>
      </c>
      <c r="F6" s="16"/>
      <c r="G6" s="16"/>
      <c r="H6" s="19">
        <v>0</v>
      </c>
      <c r="I6" s="18"/>
      <c r="J6" s="19">
        <v>556.91</v>
      </c>
      <c r="K6" s="18"/>
      <c r="L6" s="19">
        <v>68.819999999999993</v>
      </c>
      <c r="M6" s="18"/>
      <c r="N6" s="19">
        <v>217.84</v>
      </c>
      <c r="O6" s="18"/>
      <c r="P6" s="19">
        <v>523.26</v>
      </c>
      <c r="Q6" s="18"/>
      <c r="R6" s="19">
        <v>668.1</v>
      </c>
      <c r="S6" s="18"/>
      <c r="T6" s="19">
        <v>187.68</v>
      </c>
      <c r="U6" s="18"/>
      <c r="V6" s="19">
        <v>1437.42</v>
      </c>
      <c r="W6" s="18"/>
      <c r="X6" s="19">
        <v>328.91</v>
      </c>
      <c r="Y6" s="18"/>
      <c r="Z6" s="19">
        <v>3020.1</v>
      </c>
      <c r="AA6" s="18"/>
      <c r="AB6" s="19">
        <v>0</v>
      </c>
      <c r="AC6" s="18"/>
      <c r="AD6" s="19">
        <v>267.48</v>
      </c>
      <c r="AE6" s="18"/>
      <c r="AF6" s="19">
        <v>0</v>
      </c>
      <c r="AG6" s="18"/>
      <c r="AH6" s="19">
        <v>0</v>
      </c>
      <c r="AI6" s="18"/>
      <c r="AJ6" s="19">
        <v>0</v>
      </c>
      <c r="AK6" s="18"/>
      <c r="AL6" s="19">
        <v>0</v>
      </c>
      <c r="AM6" s="18"/>
      <c r="AN6" s="19">
        <v>320.35000000000002</v>
      </c>
      <c r="AO6" s="18"/>
      <c r="AP6" s="19">
        <v>491.84</v>
      </c>
      <c r="AQ6" s="18"/>
      <c r="AR6" s="19">
        <v>32.4</v>
      </c>
      <c r="AS6" s="18"/>
      <c r="AT6" s="19">
        <v>10</v>
      </c>
      <c r="AU6" s="18"/>
      <c r="AV6" s="19">
        <v>109.46</v>
      </c>
      <c r="AW6" s="18"/>
      <c r="AX6" s="19">
        <v>0</v>
      </c>
      <c r="AY6" s="18"/>
      <c r="AZ6" s="19">
        <v>0</v>
      </c>
      <c r="BA6" s="18"/>
      <c r="BB6" s="19">
        <v>0</v>
      </c>
      <c r="BC6" s="18"/>
      <c r="BD6" s="19">
        <v>0</v>
      </c>
      <c r="BE6" s="18"/>
      <c r="BF6" s="19">
        <v>0</v>
      </c>
      <c r="BG6" s="18"/>
      <c r="BH6" s="19">
        <v>0</v>
      </c>
      <c r="BI6" s="18"/>
      <c r="BJ6" s="19">
        <v>0</v>
      </c>
      <c r="BK6" s="18"/>
      <c r="BL6" s="19">
        <v>0</v>
      </c>
      <c r="BM6" s="18"/>
      <c r="BN6" s="19">
        <v>0</v>
      </c>
      <c r="BO6" s="18"/>
      <c r="BP6" s="19">
        <v>0</v>
      </c>
      <c r="BQ6" s="18"/>
      <c r="BR6" s="19">
        <v>0</v>
      </c>
      <c r="BS6" s="18"/>
      <c r="BT6" s="19">
        <v>0</v>
      </c>
      <c r="BU6" s="18"/>
      <c r="BV6" s="19">
        <v>0</v>
      </c>
      <c r="BW6" s="18"/>
      <c r="BX6" s="19">
        <v>0</v>
      </c>
      <c r="BY6" s="18"/>
      <c r="BZ6" s="19">
        <v>0</v>
      </c>
      <c r="CA6" s="18"/>
      <c r="CB6" s="19">
        <v>0</v>
      </c>
      <c r="CC6" s="18"/>
      <c r="CD6" s="19">
        <v>0</v>
      </c>
      <c r="CE6" s="18"/>
      <c r="CF6" s="19">
        <v>0</v>
      </c>
      <c r="CG6" s="18"/>
      <c r="CH6" s="19">
        <v>0</v>
      </c>
      <c r="CI6" s="18"/>
      <c r="CJ6" s="19">
        <v>0</v>
      </c>
      <c r="CK6" s="18"/>
      <c r="CL6" s="19">
        <v>0</v>
      </c>
      <c r="CM6" s="18"/>
      <c r="CN6" s="19">
        <f>ROUND(SUM(H6:CL6),5)</f>
        <v>8240.57</v>
      </c>
    </row>
    <row r="7" spans="1:92" ht="15" thickBot="1" x14ac:dyDescent="0.35">
      <c r="A7" s="16"/>
      <c r="B7" s="16"/>
      <c r="C7" s="16"/>
      <c r="D7" s="16"/>
      <c r="E7" s="16" t="s">
        <v>122</v>
      </c>
      <c r="F7" s="16"/>
      <c r="G7" s="16"/>
      <c r="H7" s="20">
        <v>0</v>
      </c>
      <c r="I7" s="18"/>
      <c r="J7" s="20">
        <v>0</v>
      </c>
      <c r="K7" s="18"/>
      <c r="L7" s="20">
        <v>0</v>
      </c>
      <c r="M7" s="18"/>
      <c r="N7" s="20">
        <v>0</v>
      </c>
      <c r="O7" s="18"/>
      <c r="P7" s="20">
        <v>0</v>
      </c>
      <c r="Q7" s="18"/>
      <c r="R7" s="20">
        <v>0</v>
      </c>
      <c r="S7" s="18"/>
      <c r="T7" s="20">
        <v>0</v>
      </c>
      <c r="U7" s="18"/>
      <c r="V7" s="20">
        <v>0</v>
      </c>
      <c r="W7" s="18"/>
      <c r="X7" s="20">
        <v>0</v>
      </c>
      <c r="Y7" s="18"/>
      <c r="Z7" s="20">
        <v>0</v>
      </c>
      <c r="AA7" s="18"/>
      <c r="AB7" s="20">
        <v>0</v>
      </c>
      <c r="AC7" s="18"/>
      <c r="AD7" s="20">
        <v>0</v>
      </c>
      <c r="AE7" s="18"/>
      <c r="AF7" s="20">
        <v>0</v>
      </c>
      <c r="AG7" s="18"/>
      <c r="AH7" s="20">
        <v>0</v>
      </c>
      <c r="AI7" s="18"/>
      <c r="AJ7" s="20">
        <v>0</v>
      </c>
      <c r="AK7" s="18"/>
      <c r="AL7" s="20">
        <v>0</v>
      </c>
      <c r="AM7" s="18"/>
      <c r="AN7" s="20">
        <v>0</v>
      </c>
      <c r="AO7" s="18"/>
      <c r="AP7" s="20">
        <v>0</v>
      </c>
      <c r="AQ7" s="18"/>
      <c r="AR7" s="20">
        <v>0</v>
      </c>
      <c r="AS7" s="18"/>
      <c r="AT7" s="20">
        <v>93.78</v>
      </c>
      <c r="AU7" s="18"/>
      <c r="AV7" s="20">
        <v>-4.53</v>
      </c>
      <c r="AW7" s="18"/>
      <c r="AX7" s="20">
        <v>0</v>
      </c>
      <c r="AY7" s="18"/>
      <c r="AZ7" s="20">
        <v>0</v>
      </c>
      <c r="BA7" s="18"/>
      <c r="BB7" s="20">
        <v>0</v>
      </c>
      <c r="BC7" s="18"/>
      <c r="BD7" s="20">
        <v>0</v>
      </c>
      <c r="BE7" s="18"/>
      <c r="BF7" s="20">
        <v>0</v>
      </c>
      <c r="BG7" s="18"/>
      <c r="BH7" s="20">
        <v>152.81</v>
      </c>
      <c r="BI7" s="18"/>
      <c r="BJ7" s="20">
        <v>0.04</v>
      </c>
      <c r="BK7" s="18"/>
      <c r="BL7" s="20">
        <v>0</v>
      </c>
      <c r="BM7" s="18"/>
      <c r="BN7" s="20">
        <v>0</v>
      </c>
      <c r="BO7" s="18"/>
      <c r="BP7" s="20">
        <v>0</v>
      </c>
      <c r="BQ7" s="18"/>
      <c r="BR7" s="20">
        <v>0</v>
      </c>
      <c r="BS7" s="18"/>
      <c r="BT7" s="20">
        <v>0</v>
      </c>
      <c r="BU7" s="18"/>
      <c r="BV7" s="20">
        <v>0</v>
      </c>
      <c r="BW7" s="18"/>
      <c r="BX7" s="20">
        <v>0</v>
      </c>
      <c r="BY7" s="18"/>
      <c r="BZ7" s="20">
        <v>0</v>
      </c>
      <c r="CA7" s="18"/>
      <c r="CB7" s="20">
        <v>0</v>
      </c>
      <c r="CC7" s="18"/>
      <c r="CD7" s="20">
        <v>0</v>
      </c>
      <c r="CE7" s="18"/>
      <c r="CF7" s="20">
        <v>0</v>
      </c>
      <c r="CG7" s="18"/>
      <c r="CH7" s="20">
        <v>0</v>
      </c>
      <c r="CI7" s="18"/>
      <c r="CJ7" s="20">
        <v>0</v>
      </c>
      <c r="CK7" s="18"/>
      <c r="CL7" s="20">
        <v>0</v>
      </c>
      <c r="CM7" s="18"/>
      <c r="CN7" s="20">
        <f>ROUND(SUM(H7:CL7),5)</f>
        <v>242.1</v>
      </c>
    </row>
    <row r="8" spans="1:92" x14ac:dyDescent="0.3">
      <c r="A8" s="16"/>
      <c r="B8" s="16"/>
      <c r="C8" s="16"/>
      <c r="D8" s="16" t="s">
        <v>121</v>
      </c>
      <c r="E8" s="16"/>
      <c r="F8" s="16"/>
      <c r="G8" s="16"/>
      <c r="H8" s="19">
        <f>ROUND(SUM(H3:H7),5)</f>
        <v>116425.24</v>
      </c>
      <c r="I8" s="18"/>
      <c r="J8" s="19">
        <f>ROUND(SUM(J3:J7),5)</f>
        <v>79953.05</v>
      </c>
      <c r="K8" s="18"/>
      <c r="L8" s="19">
        <f>ROUND(SUM(L3:L7),5)</f>
        <v>87654.6</v>
      </c>
      <c r="M8" s="18"/>
      <c r="N8" s="19">
        <f>ROUND(SUM(N3:N7),5)</f>
        <v>64756.15</v>
      </c>
      <c r="O8" s="18"/>
      <c r="P8" s="19">
        <f>ROUND(SUM(P3:P7),5)</f>
        <v>125213.14</v>
      </c>
      <c r="Q8" s="18"/>
      <c r="R8" s="19">
        <f>ROUND(SUM(R3:R7),5)</f>
        <v>168297.4</v>
      </c>
      <c r="S8" s="18"/>
      <c r="T8" s="19">
        <f>ROUND(SUM(T3:T7),5)</f>
        <v>188638.11</v>
      </c>
      <c r="U8" s="18"/>
      <c r="V8" s="19">
        <f>ROUND(SUM(V3:V7),5)</f>
        <v>156423.24</v>
      </c>
      <c r="W8" s="18"/>
      <c r="X8" s="19">
        <f>ROUND(SUM(X3:X7),5)</f>
        <v>103302.48</v>
      </c>
      <c r="Y8" s="18"/>
      <c r="Z8" s="19">
        <f>ROUND(SUM(Z3:Z7),5)</f>
        <v>154851.54</v>
      </c>
      <c r="AA8" s="18"/>
      <c r="AB8" s="19">
        <f>ROUND(SUM(AB3:AB7),5)</f>
        <v>134111.73000000001</v>
      </c>
      <c r="AC8" s="18"/>
      <c r="AD8" s="19">
        <f>ROUND(SUM(AD3:AD7),5)</f>
        <v>200720.79</v>
      </c>
      <c r="AE8" s="18"/>
      <c r="AF8" s="19">
        <f>ROUND(SUM(AF3:AF7),5)</f>
        <v>77585.66</v>
      </c>
      <c r="AG8" s="18"/>
      <c r="AH8" s="19">
        <f>ROUND(SUM(AH3:AH7),5)</f>
        <v>112046.83</v>
      </c>
      <c r="AI8" s="18"/>
      <c r="AJ8" s="19">
        <f>ROUND(SUM(AJ3:AJ7),5)</f>
        <v>116056.45</v>
      </c>
      <c r="AK8" s="18"/>
      <c r="AL8" s="19">
        <f>ROUND(SUM(AL3:AL7),5)</f>
        <v>197487.82</v>
      </c>
      <c r="AM8" s="18"/>
      <c r="AN8" s="19">
        <f>ROUND(SUM(AN3:AN7),5)</f>
        <v>141886.34</v>
      </c>
      <c r="AO8" s="18"/>
      <c r="AP8" s="19">
        <f>ROUND(SUM(AP3:AP7),5)</f>
        <v>282701.40999999997</v>
      </c>
      <c r="AQ8" s="18"/>
      <c r="AR8" s="19">
        <f>ROUND(SUM(AR3:AR7),5)</f>
        <v>80425</v>
      </c>
      <c r="AS8" s="18"/>
      <c r="AT8" s="19">
        <f>ROUND(SUM(AT3:AT7),5)</f>
        <v>356755.61</v>
      </c>
      <c r="AU8" s="18"/>
      <c r="AV8" s="19">
        <f>ROUND(SUM(AV3:AV7),5)</f>
        <v>128136.99</v>
      </c>
      <c r="AW8" s="18"/>
      <c r="AX8" s="19">
        <f>ROUND(SUM(AX3:AX7),5)</f>
        <v>108515.22</v>
      </c>
      <c r="AY8" s="18"/>
      <c r="AZ8" s="19">
        <f>ROUND(SUM(AZ3:AZ7),5)</f>
        <v>103052.97</v>
      </c>
      <c r="BA8" s="18"/>
      <c r="BB8" s="19">
        <f>ROUND(SUM(BB3:BB7),5)</f>
        <v>290344.84999999998</v>
      </c>
      <c r="BC8" s="18"/>
      <c r="BD8" s="19">
        <f>ROUND(SUM(BD3:BD7),5)</f>
        <v>137588.85</v>
      </c>
      <c r="BE8" s="18"/>
      <c r="BF8" s="19">
        <f>ROUND(SUM(BF3:BF7),5)</f>
        <v>141107.9</v>
      </c>
      <c r="BG8" s="18"/>
      <c r="BH8" s="19">
        <f>ROUND(SUM(BH3:BH7),5)</f>
        <v>169050.38</v>
      </c>
      <c r="BI8" s="18"/>
      <c r="BJ8" s="19">
        <f>ROUND(SUM(BJ3:BJ7),5)</f>
        <v>158622.60999999999</v>
      </c>
      <c r="BK8" s="18"/>
      <c r="BL8" s="19">
        <f>ROUND(SUM(BL3:BL7),5)</f>
        <v>142925.92000000001</v>
      </c>
      <c r="BM8" s="18"/>
      <c r="BN8" s="19">
        <f>ROUND(SUM(BN3:BN7),5)</f>
        <v>139342.15</v>
      </c>
      <c r="BO8" s="18"/>
      <c r="BP8" s="19">
        <f>ROUND(SUM(BP3:BP7),5)</f>
        <v>147315.23000000001</v>
      </c>
      <c r="BQ8" s="18"/>
      <c r="BR8" s="19">
        <f>ROUND(SUM(BR3:BR7),5)</f>
        <v>308479.31</v>
      </c>
      <c r="BS8" s="18"/>
      <c r="BT8" s="19">
        <f>ROUND(SUM(BT3:BT7),5)</f>
        <v>197319.58</v>
      </c>
      <c r="BU8" s="18"/>
      <c r="BV8" s="19">
        <f>ROUND(SUM(BV3:BV7),5)</f>
        <v>132493.21</v>
      </c>
      <c r="BW8" s="18"/>
      <c r="BX8" s="19">
        <f>ROUND(SUM(BX3:BX7),5)</f>
        <v>151732.82</v>
      </c>
      <c r="BY8" s="18"/>
      <c r="BZ8" s="19">
        <f>ROUND(SUM(BZ3:BZ7),5)</f>
        <v>298282.62</v>
      </c>
      <c r="CA8" s="18"/>
      <c r="CB8" s="19">
        <f>ROUND(SUM(CB3:CB7),5)</f>
        <v>85423.94</v>
      </c>
      <c r="CC8" s="18"/>
      <c r="CD8" s="19">
        <f>ROUND(SUM(CD3:CD7),5)</f>
        <v>138936.07</v>
      </c>
      <c r="CE8" s="18"/>
      <c r="CF8" s="19">
        <f>ROUND(SUM(CF3:CF7),5)</f>
        <v>183028.34</v>
      </c>
      <c r="CG8" s="18"/>
      <c r="CH8" s="19">
        <f>ROUND(SUM(CH3:CH7),5)</f>
        <v>121401.99</v>
      </c>
      <c r="CI8" s="18"/>
      <c r="CJ8" s="19">
        <f>ROUND(SUM(CJ3:CJ7),5)</f>
        <v>221744.59</v>
      </c>
      <c r="CK8" s="18"/>
      <c r="CL8" s="19">
        <f>ROUND(SUM(CL3:CL7),5)</f>
        <v>175894.29</v>
      </c>
      <c r="CM8" s="18"/>
      <c r="CN8" s="19">
        <f>ROUND(SUM(H8:CL8),5)</f>
        <v>6626032.4199999999</v>
      </c>
    </row>
    <row r="9" spans="1:92" x14ac:dyDescent="0.3">
      <c r="A9" s="16"/>
      <c r="B9" s="16"/>
      <c r="C9" s="16"/>
      <c r="D9" s="16" t="s">
        <v>120</v>
      </c>
      <c r="E9" s="16"/>
      <c r="F9" s="16"/>
      <c r="G9" s="16"/>
      <c r="H9" s="19"/>
      <c r="I9" s="18"/>
      <c r="J9" s="19"/>
      <c r="K9" s="18"/>
      <c r="L9" s="19"/>
      <c r="M9" s="18"/>
      <c r="N9" s="19"/>
      <c r="O9" s="18"/>
      <c r="P9" s="19"/>
      <c r="Q9" s="18"/>
      <c r="R9" s="19"/>
      <c r="S9" s="18"/>
      <c r="T9" s="19"/>
      <c r="U9" s="18"/>
      <c r="V9" s="19"/>
      <c r="W9" s="18"/>
      <c r="X9" s="19"/>
      <c r="Y9" s="18"/>
      <c r="Z9" s="19"/>
      <c r="AA9" s="18"/>
      <c r="AB9" s="19"/>
      <c r="AC9" s="18"/>
      <c r="AD9" s="19"/>
      <c r="AE9" s="18"/>
      <c r="AF9" s="19"/>
      <c r="AG9" s="18"/>
      <c r="AH9" s="19"/>
      <c r="AI9" s="18"/>
      <c r="AJ9" s="19"/>
      <c r="AK9" s="18"/>
      <c r="AL9" s="19"/>
      <c r="AM9" s="18"/>
      <c r="AN9" s="19"/>
      <c r="AO9" s="18"/>
      <c r="AP9" s="19"/>
      <c r="AQ9" s="18"/>
      <c r="AR9" s="19"/>
      <c r="AS9" s="18"/>
      <c r="AT9" s="19"/>
      <c r="AU9" s="18"/>
      <c r="AV9" s="19"/>
      <c r="AW9" s="18"/>
      <c r="AX9" s="19"/>
      <c r="AY9" s="18"/>
      <c r="AZ9" s="19"/>
      <c r="BA9" s="18"/>
      <c r="BB9" s="19"/>
      <c r="BC9" s="18"/>
      <c r="BD9" s="19"/>
      <c r="BE9" s="18"/>
      <c r="BF9" s="19"/>
      <c r="BG9" s="18"/>
      <c r="BH9" s="19"/>
      <c r="BI9" s="18"/>
      <c r="BJ9" s="19"/>
      <c r="BK9" s="18"/>
      <c r="BL9" s="19"/>
      <c r="BM9" s="18"/>
      <c r="BN9" s="19"/>
      <c r="BO9" s="18"/>
      <c r="BP9" s="19"/>
      <c r="BQ9" s="18"/>
      <c r="BR9" s="19"/>
      <c r="BS9" s="18"/>
      <c r="BT9" s="19"/>
      <c r="BU9" s="18"/>
      <c r="BV9" s="19"/>
      <c r="BW9" s="18"/>
      <c r="BX9" s="19"/>
      <c r="BY9" s="18"/>
      <c r="BZ9" s="19"/>
      <c r="CA9" s="18"/>
      <c r="CB9" s="19"/>
      <c r="CC9" s="18"/>
      <c r="CD9" s="19"/>
      <c r="CE9" s="18"/>
      <c r="CF9" s="19"/>
      <c r="CG9" s="18"/>
      <c r="CH9" s="19"/>
      <c r="CI9" s="18"/>
      <c r="CJ9" s="19"/>
      <c r="CK9" s="18"/>
      <c r="CL9" s="19"/>
      <c r="CM9" s="18"/>
      <c r="CN9" s="19"/>
    </row>
    <row r="10" spans="1:92" x14ac:dyDescent="0.3">
      <c r="A10" s="16"/>
      <c r="B10" s="16"/>
      <c r="C10" s="16"/>
      <c r="D10" s="16"/>
      <c r="E10" s="16" t="s">
        <v>119</v>
      </c>
      <c r="F10" s="16"/>
      <c r="G10" s="16"/>
      <c r="H10" s="19">
        <v>16134.57</v>
      </c>
      <c r="I10" s="18"/>
      <c r="J10" s="19">
        <v>40438.559999999998</v>
      </c>
      <c r="K10" s="18"/>
      <c r="L10" s="19">
        <v>24388.98</v>
      </c>
      <c r="M10" s="18"/>
      <c r="N10" s="19">
        <v>24225.16</v>
      </c>
      <c r="O10" s="18"/>
      <c r="P10" s="19">
        <v>23420.38</v>
      </c>
      <c r="Q10" s="18"/>
      <c r="R10" s="19">
        <v>67135.759999999995</v>
      </c>
      <c r="S10" s="18"/>
      <c r="T10" s="19">
        <v>71305.38</v>
      </c>
      <c r="U10" s="18"/>
      <c r="V10" s="19">
        <v>23652.34</v>
      </c>
      <c r="W10" s="18"/>
      <c r="X10" s="19">
        <v>35643.65</v>
      </c>
      <c r="Y10" s="18"/>
      <c r="Z10" s="19">
        <v>25289.85</v>
      </c>
      <c r="AA10" s="18"/>
      <c r="AB10" s="19">
        <v>26940.080000000002</v>
      </c>
      <c r="AC10" s="18"/>
      <c r="AD10" s="19">
        <v>23957.91</v>
      </c>
      <c r="AE10" s="18"/>
      <c r="AF10" s="19">
        <v>28047.87</v>
      </c>
      <c r="AG10" s="18"/>
      <c r="AH10" s="19">
        <v>19193.330000000002</v>
      </c>
      <c r="AI10" s="18"/>
      <c r="AJ10" s="19">
        <v>43890.21</v>
      </c>
      <c r="AK10" s="18"/>
      <c r="AL10" s="19">
        <v>94296.29</v>
      </c>
      <c r="AM10" s="18"/>
      <c r="AN10" s="19">
        <v>25379.22</v>
      </c>
      <c r="AO10" s="18"/>
      <c r="AP10" s="19">
        <v>22046.02</v>
      </c>
      <c r="AQ10" s="18"/>
      <c r="AR10" s="19">
        <v>76783.38</v>
      </c>
      <c r="AS10" s="18"/>
      <c r="AT10" s="19">
        <v>52482.86</v>
      </c>
      <c r="AU10" s="18"/>
      <c r="AV10" s="19">
        <v>42022.55</v>
      </c>
      <c r="AW10" s="18"/>
      <c r="AX10" s="19">
        <v>37930.18</v>
      </c>
      <c r="AY10" s="18"/>
      <c r="AZ10" s="19">
        <v>89236.41</v>
      </c>
      <c r="BA10" s="18"/>
      <c r="BB10" s="19">
        <v>22817.63</v>
      </c>
      <c r="BC10" s="18"/>
      <c r="BD10" s="19">
        <v>30676.06</v>
      </c>
      <c r="BE10" s="18"/>
      <c r="BF10" s="19">
        <v>77159.37</v>
      </c>
      <c r="BG10" s="18"/>
      <c r="BH10" s="19">
        <v>48312.82</v>
      </c>
      <c r="BI10" s="18"/>
      <c r="BJ10" s="19">
        <v>23022.400000000001</v>
      </c>
      <c r="BK10" s="18"/>
      <c r="BL10" s="19">
        <v>28284.400000000001</v>
      </c>
      <c r="BM10" s="18"/>
      <c r="BN10" s="19">
        <v>34199.58</v>
      </c>
      <c r="BO10" s="18"/>
      <c r="BP10" s="19">
        <v>78845.66</v>
      </c>
      <c r="BQ10" s="18"/>
      <c r="BR10" s="19">
        <v>93987.21</v>
      </c>
      <c r="BS10" s="18"/>
      <c r="BT10" s="19">
        <v>29156.42</v>
      </c>
      <c r="BU10" s="18"/>
      <c r="BV10" s="19">
        <v>50260.84</v>
      </c>
      <c r="BW10" s="18"/>
      <c r="BX10" s="19">
        <v>45205.17</v>
      </c>
      <c r="BY10" s="18"/>
      <c r="BZ10" s="19">
        <v>28158.5</v>
      </c>
      <c r="CA10" s="18"/>
      <c r="CB10" s="19">
        <v>11220.87</v>
      </c>
      <c r="CC10" s="18"/>
      <c r="CD10" s="19">
        <v>28917.82</v>
      </c>
      <c r="CE10" s="18"/>
      <c r="CF10" s="19">
        <v>61475.31</v>
      </c>
      <c r="CG10" s="18"/>
      <c r="CH10" s="19">
        <v>55324.63</v>
      </c>
      <c r="CI10" s="18"/>
      <c r="CJ10" s="19">
        <v>19257.689999999999</v>
      </c>
      <c r="CK10" s="18"/>
      <c r="CL10" s="19">
        <v>33085.39</v>
      </c>
      <c r="CM10" s="18"/>
      <c r="CN10" s="19">
        <f>ROUND(SUM(H10:CL10),5)</f>
        <v>1733208.71</v>
      </c>
    </row>
    <row r="11" spans="1:92" ht="15" thickBot="1" x14ac:dyDescent="0.35">
      <c r="A11" s="16"/>
      <c r="B11" s="16"/>
      <c r="C11" s="16"/>
      <c r="D11" s="16"/>
      <c r="E11" s="16" t="s">
        <v>118</v>
      </c>
      <c r="F11" s="16"/>
      <c r="G11" s="16"/>
      <c r="H11" s="19">
        <v>0</v>
      </c>
      <c r="I11" s="18"/>
      <c r="J11" s="19">
        <v>950</v>
      </c>
      <c r="K11" s="18"/>
      <c r="L11" s="19">
        <v>750.34</v>
      </c>
      <c r="M11" s="18"/>
      <c r="N11" s="19">
        <v>397.58</v>
      </c>
      <c r="O11" s="18"/>
      <c r="P11" s="19">
        <v>257.5</v>
      </c>
      <c r="Q11" s="18"/>
      <c r="R11" s="19">
        <v>358.08</v>
      </c>
      <c r="S11" s="18"/>
      <c r="T11" s="19">
        <v>0</v>
      </c>
      <c r="U11" s="18"/>
      <c r="V11" s="19">
        <v>487.5</v>
      </c>
      <c r="W11" s="18"/>
      <c r="X11" s="19">
        <v>240</v>
      </c>
      <c r="Y11" s="18"/>
      <c r="Z11" s="19">
        <v>775</v>
      </c>
      <c r="AA11" s="18"/>
      <c r="AB11" s="19">
        <v>640</v>
      </c>
      <c r="AC11" s="18"/>
      <c r="AD11" s="19">
        <v>300</v>
      </c>
      <c r="AE11" s="18"/>
      <c r="AF11" s="19">
        <v>625</v>
      </c>
      <c r="AG11" s="18"/>
      <c r="AH11" s="19">
        <v>0</v>
      </c>
      <c r="AI11" s="18"/>
      <c r="AJ11" s="19">
        <v>805</v>
      </c>
      <c r="AK11" s="18"/>
      <c r="AL11" s="19">
        <v>2088.19</v>
      </c>
      <c r="AM11" s="18"/>
      <c r="AN11" s="19">
        <v>0</v>
      </c>
      <c r="AO11" s="18"/>
      <c r="AP11" s="19">
        <v>0</v>
      </c>
      <c r="AQ11" s="18"/>
      <c r="AR11" s="19">
        <v>22908</v>
      </c>
      <c r="AS11" s="18"/>
      <c r="AT11" s="19">
        <v>4143.6499999999996</v>
      </c>
      <c r="AU11" s="18"/>
      <c r="AV11" s="19">
        <v>-3049</v>
      </c>
      <c r="AW11" s="18"/>
      <c r="AX11" s="19">
        <v>1191</v>
      </c>
      <c r="AY11" s="18"/>
      <c r="AZ11" s="19">
        <v>-20000</v>
      </c>
      <c r="BA11" s="18"/>
      <c r="BB11" s="19">
        <v>-15501.84</v>
      </c>
      <c r="BC11" s="18"/>
      <c r="BD11" s="19">
        <v>0</v>
      </c>
      <c r="BE11" s="18"/>
      <c r="BF11" s="19">
        <v>911</v>
      </c>
      <c r="BG11" s="18"/>
      <c r="BH11" s="19">
        <v>0</v>
      </c>
      <c r="BI11" s="18"/>
      <c r="BJ11" s="19">
        <v>-1574.96</v>
      </c>
      <c r="BK11" s="18"/>
      <c r="BL11" s="19">
        <v>0</v>
      </c>
      <c r="BM11" s="18"/>
      <c r="BN11" s="19">
        <v>-522.5</v>
      </c>
      <c r="BO11" s="18"/>
      <c r="BP11" s="19">
        <v>-249</v>
      </c>
      <c r="BQ11" s="18"/>
      <c r="BR11" s="19">
        <v>1983.5</v>
      </c>
      <c r="BS11" s="18"/>
      <c r="BT11" s="19">
        <v>451</v>
      </c>
      <c r="BU11" s="18"/>
      <c r="BV11" s="19">
        <v>0</v>
      </c>
      <c r="BW11" s="18"/>
      <c r="BX11" s="19">
        <v>1618.75</v>
      </c>
      <c r="BY11" s="18"/>
      <c r="BZ11" s="19">
        <v>37500</v>
      </c>
      <c r="CA11" s="18"/>
      <c r="CB11" s="19">
        <v>0</v>
      </c>
      <c r="CC11" s="18"/>
      <c r="CD11" s="19">
        <v>370</v>
      </c>
      <c r="CE11" s="18"/>
      <c r="CF11" s="19">
        <v>0</v>
      </c>
      <c r="CG11" s="18"/>
      <c r="CH11" s="19">
        <v>400</v>
      </c>
      <c r="CI11" s="18"/>
      <c r="CJ11" s="19">
        <v>400</v>
      </c>
      <c r="CK11" s="18"/>
      <c r="CL11" s="19">
        <v>970</v>
      </c>
      <c r="CM11" s="18"/>
      <c r="CN11" s="19">
        <f>ROUND(SUM(H11:CL11),5)</f>
        <v>40623.79</v>
      </c>
    </row>
    <row r="12" spans="1:92" ht="15" thickBot="1" x14ac:dyDescent="0.35">
      <c r="A12" s="16"/>
      <c r="B12" s="16"/>
      <c r="C12" s="16"/>
      <c r="D12" s="16" t="s">
        <v>117</v>
      </c>
      <c r="E12" s="16"/>
      <c r="F12" s="16"/>
      <c r="G12" s="16"/>
      <c r="H12" s="21">
        <f>ROUND(SUM(H9:H11),5)</f>
        <v>16134.57</v>
      </c>
      <c r="I12" s="18"/>
      <c r="J12" s="21">
        <f>ROUND(SUM(J9:J11),5)</f>
        <v>41388.559999999998</v>
      </c>
      <c r="K12" s="18"/>
      <c r="L12" s="21">
        <f>ROUND(SUM(L9:L11),5)</f>
        <v>25139.32</v>
      </c>
      <c r="M12" s="18"/>
      <c r="N12" s="21">
        <f>ROUND(SUM(N9:N11),5)</f>
        <v>24622.74</v>
      </c>
      <c r="O12" s="18"/>
      <c r="P12" s="21">
        <f>ROUND(SUM(P9:P11),5)</f>
        <v>23677.88</v>
      </c>
      <c r="Q12" s="18"/>
      <c r="R12" s="21">
        <f>ROUND(SUM(R9:R11),5)</f>
        <v>67493.84</v>
      </c>
      <c r="S12" s="18"/>
      <c r="T12" s="21">
        <f>ROUND(SUM(T9:T11),5)</f>
        <v>71305.38</v>
      </c>
      <c r="U12" s="18"/>
      <c r="V12" s="21">
        <f>ROUND(SUM(V9:V11),5)</f>
        <v>24139.84</v>
      </c>
      <c r="W12" s="18"/>
      <c r="X12" s="21">
        <f>ROUND(SUM(X9:X11),5)</f>
        <v>35883.65</v>
      </c>
      <c r="Y12" s="18"/>
      <c r="Z12" s="21">
        <f>ROUND(SUM(Z9:Z11),5)</f>
        <v>26064.85</v>
      </c>
      <c r="AA12" s="18"/>
      <c r="AB12" s="21">
        <f>ROUND(SUM(AB9:AB11),5)</f>
        <v>27580.080000000002</v>
      </c>
      <c r="AC12" s="18"/>
      <c r="AD12" s="21">
        <f>ROUND(SUM(AD9:AD11),5)</f>
        <v>24257.91</v>
      </c>
      <c r="AE12" s="18"/>
      <c r="AF12" s="21">
        <f>ROUND(SUM(AF9:AF11),5)</f>
        <v>28672.87</v>
      </c>
      <c r="AG12" s="18"/>
      <c r="AH12" s="21">
        <f>ROUND(SUM(AH9:AH11),5)</f>
        <v>19193.330000000002</v>
      </c>
      <c r="AI12" s="18"/>
      <c r="AJ12" s="21">
        <f>ROUND(SUM(AJ9:AJ11),5)</f>
        <v>44695.21</v>
      </c>
      <c r="AK12" s="18"/>
      <c r="AL12" s="21">
        <f>ROUND(SUM(AL9:AL11),5)</f>
        <v>96384.48</v>
      </c>
      <c r="AM12" s="18"/>
      <c r="AN12" s="21">
        <f>ROUND(SUM(AN9:AN11),5)</f>
        <v>25379.22</v>
      </c>
      <c r="AO12" s="18"/>
      <c r="AP12" s="21">
        <f>ROUND(SUM(AP9:AP11),5)</f>
        <v>22046.02</v>
      </c>
      <c r="AQ12" s="18"/>
      <c r="AR12" s="21">
        <f>ROUND(SUM(AR9:AR11),5)</f>
        <v>99691.38</v>
      </c>
      <c r="AS12" s="18"/>
      <c r="AT12" s="21">
        <f>ROUND(SUM(AT9:AT11),5)</f>
        <v>56626.51</v>
      </c>
      <c r="AU12" s="18"/>
      <c r="AV12" s="21">
        <f>ROUND(SUM(AV9:AV11),5)</f>
        <v>38973.550000000003</v>
      </c>
      <c r="AW12" s="18"/>
      <c r="AX12" s="21">
        <f>ROUND(SUM(AX9:AX11),5)</f>
        <v>39121.18</v>
      </c>
      <c r="AY12" s="18"/>
      <c r="AZ12" s="21">
        <f>ROUND(SUM(AZ9:AZ11),5)</f>
        <v>69236.41</v>
      </c>
      <c r="BA12" s="18"/>
      <c r="BB12" s="21">
        <f>ROUND(SUM(BB9:BB11),5)</f>
        <v>7315.79</v>
      </c>
      <c r="BC12" s="18"/>
      <c r="BD12" s="21">
        <f>ROUND(SUM(BD9:BD11),5)</f>
        <v>30676.06</v>
      </c>
      <c r="BE12" s="18"/>
      <c r="BF12" s="21">
        <f>ROUND(SUM(BF9:BF11),5)</f>
        <v>78070.37</v>
      </c>
      <c r="BG12" s="18"/>
      <c r="BH12" s="21">
        <f>ROUND(SUM(BH9:BH11),5)</f>
        <v>48312.82</v>
      </c>
      <c r="BI12" s="18"/>
      <c r="BJ12" s="21">
        <f>ROUND(SUM(BJ9:BJ11),5)</f>
        <v>21447.439999999999</v>
      </c>
      <c r="BK12" s="18"/>
      <c r="BL12" s="21">
        <f>ROUND(SUM(BL9:BL11),5)</f>
        <v>28284.400000000001</v>
      </c>
      <c r="BM12" s="18"/>
      <c r="BN12" s="21">
        <f>ROUND(SUM(BN9:BN11),5)</f>
        <v>33677.08</v>
      </c>
      <c r="BO12" s="18"/>
      <c r="BP12" s="21">
        <f>ROUND(SUM(BP9:BP11),5)</f>
        <v>78596.66</v>
      </c>
      <c r="BQ12" s="18"/>
      <c r="BR12" s="21">
        <f>ROUND(SUM(BR9:BR11),5)</f>
        <v>95970.71</v>
      </c>
      <c r="BS12" s="18"/>
      <c r="BT12" s="21">
        <f>ROUND(SUM(BT9:BT11),5)</f>
        <v>29607.42</v>
      </c>
      <c r="BU12" s="18"/>
      <c r="BV12" s="21">
        <f>ROUND(SUM(BV9:BV11),5)</f>
        <v>50260.84</v>
      </c>
      <c r="BW12" s="18"/>
      <c r="BX12" s="21">
        <f>ROUND(SUM(BX9:BX11),5)</f>
        <v>46823.92</v>
      </c>
      <c r="BY12" s="18"/>
      <c r="BZ12" s="21">
        <f>ROUND(SUM(BZ9:BZ11),5)</f>
        <v>65658.5</v>
      </c>
      <c r="CA12" s="18"/>
      <c r="CB12" s="21">
        <f>ROUND(SUM(CB9:CB11),5)</f>
        <v>11220.87</v>
      </c>
      <c r="CC12" s="18"/>
      <c r="CD12" s="21">
        <f>ROUND(SUM(CD9:CD11),5)</f>
        <v>29287.82</v>
      </c>
      <c r="CE12" s="18"/>
      <c r="CF12" s="21">
        <f>ROUND(SUM(CF9:CF11),5)</f>
        <v>61475.31</v>
      </c>
      <c r="CG12" s="18"/>
      <c r="CH12" s="21">
        <f>ROUND(SUM(CH9:CH11),5)</f>
        <v>55724.63</v>
      </c>
      <c r="CI12" s="18"/>
      <c r="CJ12" s="21">
        <f>ROUND(SUM(CJ9:CJ11),5)</f>
        <v>19657.689999999999</v>
      </c>
      <c r="CK12" s="18"/>
      <c r="CL12" s="21">
        <f>ROUND(SUM(CL9:CL11),5)</f>
        <v>34055.39</v>
      </c>
      <c r="CM12" s="18"/>
      <c r="CN12" s="21">
        <f>ROUND(SUM(H12:CL12),5)</f>
        <v>1773832.5</v>
      </c>
    </row>
    <row r="13" spans="1:92" x14ac:dyDescent="0.3">
      <c r="A13" s="16"/>
      <c r="B13" s="16"/>
      <c r="C13" s="16" t="s">
        <v>116</v>
      </c>
      <c r="D13" s="16"/>
      <c r="E13" s="16"/>
      <c r="F13" s="16"/>
      <c r="G13" s="16"/>
      <c r="H13" s="19">
        <f>ROUND(H8-H12,5)</f>
        <v>100290.67</v>
      </c>
      <c r="I13" s="18"/>
      <c r="J13" s="19">
        <f>ROUND(J8-J12,5)</f>
        <v>38564.49</v>
      </c>
      <c r="K13" s="18"/>
      <c r="L13" s="19">
        <f>ROUND(L8-L12,5)</f>
        <v>62515.28</v>
      </c>
      <c r="M13" s="18"/>
      <c r="N13" s="19">
        <f>ROUND(N8-N12,5)</f>
        <v>40133.410000000003</v>
      </c>
      <c r="O13" s="18"/>
      <c r="P13" s="19">
        <f>ROUND(P8-P12,5)</f>
        <v>101535.26</v>
      </c>
      <c r="Q13" s="18"/>
      <c r="R13" s="19">
        <f>ROUND(R8-R12,5)</f>
        <v>100803.56</v>
      </c>
      <c r="S13" s="18"/>
      <c r="T13" s="19">
        <f>ROUND(T8-T12,5)</f>
        <v>117332.73</v>
      </c>
      <c r="U13" s="18"/>
      <c r="V13" s="19">
        <f>ROUND(V8-V12,5)</f>
        <v>132283.4</v>
      </c>
      <c r="W13" s="18"/>
      <c r="X13" s="19">
        <f>ROUND(X8-X12,5)</f>
        <v>67418.83</v>
      </c>
      <c r="Y13" s="18"/>
      <c r="Z13" s="19">
        <f>ROUND(Z8-Z12,5)</f>
        <v>128786.69</v>
      </c>
      <c r="AA13" s="18"/>
      <c r="AB13" s="19">
        <f>ROUND(AB8-AB12,5)</f>
        <v>106531.65</v>
      </c>
      <c r="AC13" s="18"/>
      <c r="AD13" s="19">
        <f>ROUND(AD8-AD12,5)</f>
        <v>176462.88</v>
      </c>
      <c r="AE13" s="18"/>
      <c r="AF13" s="19">
        <f>ROUND(AF8-AF12,5)</f>
        <v>48912.79</v>
      </c>
      <c r="AG13" s="18"/>
      <c r="AH13" s="19">
        <f>ROUND(AH8-AH12,5)</f>
        <v>92853.5</v>
      </c>
      <c r="AI13" s="18"/>
      <c r="AJ13" s="19">
        <f>ROUND(AJ8-AJ12,5)</f>
        <v>71361.240000000005</v>
      </c>
      <c r="AK13" s="18"/>
      <c r="AL13" s="19">
        <f>ROUND(AL8-AL12,5)</f>
        <v>101103.34</v>
      </c>
      <c r="AM13" s="18"/>
      <c r="AN13" s="19">
        <f>ROUND(AN8-AN12,5)</f>
        <v>116507.12</v>
      </c>
      <c r="AO13" s="18"/>
      <c r="AP13" s="19">
        <f>ROUND(AP8-AP12,5)</f>
        <v>260655.39</v>
      </c>
      <c r="AQ13" s="18"/>
      <c r="AR13" s="19">
        <f>ROUND(AR8-AR12,5)</f>
        <v>-19266.38</v>
      </c>
      <c r="AS13" s="18"/>
      <c r="AT13" s="19">
        <f>ROUND(AT8-AT12,5)</f>
        <v>300129.09999999998</v>
      </c>
      <c r="AU13" s="18"/>
      <c r="AV13" s="19">
        <f>ROUND(AV8-AV12,5)</f>
        <v>89163.44</v>
      </c>
      <c r="AW13" s="18"/>
      <c r="AX13" s="19">
        <f>ROUND(AX8-AX12,5)</f>
        <v>69394.039999999994</v>
      </c>
      <c r="AY13" s="18"/>
      <c r="AZ13" s="19">
        <f>ROUND(AZ8-AZ12,5)</f>
        <v>33816.559999999998</v>
      </c>
      <c r="BA13" s="18"/>
      <c r="BB13" s="19">
        <f>ROUND(BB8-BB12,5)</f>
        <v>283029.06</v>
      </c>
      <c r="BC13" s="18"/>
      <c r="BD13" s="19">
        <f>ROUND(BD8-BD12,5)</f>
        <v>106912.79</v>
      </c>
      <c r="BE13" s="18"/>
      <c r="BF13" s="19">
        <f>ROUND(BF8-BF12,5)</f>
        <v>63037.53</v>
      </c>
      <c r="BG13" s="18"/>
      <c r="BH13" s="19">
        <f>ROUND(BH8-BH12,5)</f>
        <v>120737.56</v>
      </c>
      <c r="BI13" s="18"/>
      <c r="BJ13" s="19">
        <f>ROUND(BJ8-BJ12,5)</f>
        <v>137175.17000000001</v>
      </c>
      <c r="BK13" s="18"/>
      <c r="BL13" s="19">
        <f>ROUND(BL8-BL12,5)</f>
        <v>114641.52</v>
      </c>
      <c r="BM13" s="18"/>
      <c r="BN13" s="19">
        <f>ROUND(BN8-BN12,5)</f>
        <v>105665.07</v>
      </c>
      <c r="BO13" s="18"/>
      <c r="BP13" s="19">
        <f>ROUND(BP8-BP12,5)</f>
        <v>68718.570000000007</v>
      </c>
      <c r="BQ13" s="18"/>
      <c r="BR13" s="19">
        <f>ROUND(BR8-BR12,5)</f>
        <v>212508.6</v>
      </c>
      <c r="BS13" s="18"/>
      <c r="BT13" s="19">
        <f>ROUND(BT8-BT12,5)</f>
        <v>167712.16</v>
      </c>
      <c r="BU13" s="18"/>
      <c r="BV13" s="19">
        <f>ROUND(BV8-BV12,5)</f>
        <v>82232.37</v>
      </c>
      <c r="BW13" s="18"/>
      <c r="BX13" s="19">
        <f>ROUND(BX8-BX12,5)</f>
        <v>104908.9</v>
      </c>
      <c r="BY13" s="18"/>
      <c r="BZ13" s="19">
        <f>ROUND(BZ8-BZ12,5)</f>
        <v>232624.12</v>
      </c>
      <c r="CA13" s="18"/>
      <c r="CB13" s="19">
        <f>ROUND(CB8-CB12,5)</f>
        <v>74203.070000000007</v>
      </c>
      <c r="CC13" s="18"/>
      <c r="CD13" s="19">
        <f>ROUND(CD8-CD12,5)</f>
        <v>109648.25</v>
      </c>
      <c r="CE13" s="18"/>
      <c r="CF13" s="19">
        <f>ROUND(CF8-CF12,5)</f>
        <v>121553.03</v>
      </c>
      <c r="CG13" s="18"/>
      <c r="CH13" s="19">
        <f>ROUND(CH8-CH12,5)</f>
        <v>65677.36</v>
      </c>
      <c r="CI13" s="18"/>
      <c r="CJ13" s="19">
        <f>ROUND(CJ8-CJ12,5)</f>
        <v>202086.9</v>
      </c>
      <c r="CK13" s="18"/>
      <c r="CL13" s="19">
        <f>ROUND(CL8-CL12,5)</f>
        <v>141838.9</v>
      </c>
      <c r="CM13" s="18"/>
      <c r="CN13" s="19">
        <f>ROUND(SUM(H13:CL13),5)</f>
        <v>4852199.92</v>
      </c>
    </row>
    <row r="14" spans="1:92" x14ac:dyDescent="0.3">
      <c r="A14" s="16"/>
      <c r="B14" s="16"/>
      <c r="C14" s="16"/>
      <c r="D14" s="16" t="s">
        <v>115</v>
      </c>
      <c r="E14" s="16"/>
      <c r="F14" s="16"/>
      <c r="G14" s="16"/>
      <c r="H14" s="19"/>
      <c r="I14" s="18"/>
      <c r="J14" s="19"/>
      <c r="K14" s="18"/>
      <c r="L14" s="19"/>
      <c r="M14" s="18"/>
      <c r="N14" s="19"/>
      <c r="O14" s="18"/>
      <c r="P14" s="19"/>
      <c r="Q14" s="18"/>
      <c r="R14" s="19"/>
      <c r="S14" s="18"/>
      <c r="T14" s="19"/>
      <c r="U14" s="18"/>
      <c r="V14" s="19"/>
      <c r="W14" s="18"/>
      <c r="X14" s="19"/>
      <c r="Y14" s="18"/>
      <c r="Z14" s="19"/>
      <c r="AA14" s="18"/>
      <c r="AB14" s="19"/>
      <c r="AC14" s="18"/>
      <c r="AD14" s="19"/>
      <c r="AE14" s="18"/>
      <c r="AF14" s="19"/>
      <c r="AG14" s="18"/>
      <c r="AH14" s="19"/>
      <c r="AI14" s="18"/>
      <c r="AJ14" s="19"/>
      <c r="AK14" s="18"/>
      <c r="AL14" s="19"/>
      <c r="AM14" s="18"/>
      <c r="AN14" s="19"/>
      <c r="AO14" s="18"/>
      <c r="AP14" s="19"/>
      <c r="AQ14" s="18"/>
      <c r="AR14" s="19"/>
      <c r="AS14" s="18"/>
      <c r="AT14" s="19"/>
      <c r="AU14" s="18"/>
      <c r="AV14" s="19"/>
      <c r="AW14" s="18"/>
      <c r="AX14" s="19"/>
      <c r="AY14" s="18"/>
      <c r="AZ14" s="19"/>
      <c r="BA14" s="18"/>
      <c r="BB14" s="19"/>
      <c r="BC14" s="18"/>
      <c r="BD14" s="19"/>
      <c r="BE14" s="18"/>
      <c r="BF14" s="19"/>
      <c r="BG14" s="18"/>
      <c r="BH14" s="19"/>
      <c r="BI14" s="18"/>
      <c r="BJ14" s="19"/>
      <c r="BK14" s="18"/>
      <c r="BL14" s="19"/>
      <c r="BM14" s="18"/>
      <c r="BN14" s="19"/>
      <c r="BO14" s="18"/>
      <c r="BP14" s="19"/>
      <c r="BQ14" s="18"/>
      <c r="BR14" s="19"/>
      <c r="BS14" s="18"/>
      <c r="BT14" s="19"/>
      <c r="BU14" s="18"/>
      <c r="BV14" s="19"/>
      <c r="BW14" s="18"/>
      <c r="BX14" s="19"/>
      <c r="BY14" s="18"/>
      <c r="BZ14" s="19"/>
      <c r="CA14" s="18"/>
      <c r="CB14" s="19"/>
      <c r="CC14" s="18"/>
      <c r="CD14" s="19"/>
      <c r="CE14" s="18"/>
      <c r="CF14" s="19"/>
      <c r="CG14" s="18"/>
      <c r="CH14" s="19"/>
      <c r="CI14" s="18"/>
      <c r="CJ14" s="19"/>
      <c r="CK14" s="18"/>
      <c r="CL14" s="19"/>
      <c r="CM14" s="18"/>
      <c r="CN14" s="19"/>
    </row>
    <row r="15" spans="1:92" x14ac:dyDescent="0.3">
      <c r="A15" s="16"/>
      <c r="B15" s="16"/>
      <c r="C15" s="16"/>
      <c r="D15" s="16"/>
      <c r="E15" s="16" t="s">
        <v>114</v>
      </c>
      <c r="F15" s="16"/>
      <c r="G15" s="16"/>
      <c r="H15" s="19">
        <v>0</v>
      </c>
      <c r="I15" s="18"/>
      <c r="J15" s="19">
        <v>0</v>
      </c>
      <c r="K15" s="18"/>
      <c r="L15" s="19">
        <v>0</v>
      </c>
      <c r="M15" s="18"/>
      <c r="N15" s="19">
        <v>0</v>
      </c>
      <c r="O15" s="18"/>
      <c r="P15" s="19">
        <v>0</v>
      </c>
      <c r="Q15" s="18"/>
      <c r="R15" s="19">
        <v>0</v>
      </c>
      <c r="S15" s="18"/>
      <c r="T15" s="19">
        <v>0</v>
      </c>
      <c r="U15" s="18"/>
      <c r="V15" s="19">
        <v>0</v>
      </c>
      <c r="W15" s="18"/>
      <c r="X15" s="19">
        <v>0</v>
      </c>
      <c r="Y15" s="18"/>
      <c r="Z15" s="19">
        <v>0</v>
      </c>
      <c r="AA15" s="18"/>
      <c r="AB15" s="19">
        <v>0</v>
      </c>
      <c r="AC15" s="18"/>
      <c r="AD15" s="19">
        <v>10631.32</v>
      </c>
      <c r="AE15" s="18"/>
      <c r="AF15" s="19">
        <v>0</v>
      </c>
      <c r="AG15" s="18"/>
      <c r="AH15" s="19">
        <v>0</v>
      </c>
      <c r="AI15" s="18"/>
      <c r="AJ15" s="19">
        <v>0</v>
      </c>
      <c r="AK15" s="18"/>
      <c r="AL15" s="19">
        <v>0</v>
      </c>
      <c r="AM15" s="18"/>
      <c r="AN15" s="19">
        <v>0</v>
      </c>
      <c r="AO15" s="18"/>
      <c r="AP15" s="19">
        <v>0</v>
      </c>
      <c r="AQ15" s="18"/>
      <c r="AR15" s="19">
        <v>0</v>
      </c>
      <c r="AS15" s="18"/>
      <c r="AT15" s="19">
        <v>0</v>
      </c>
      <c r="AU15" s="18"/>
      <c r="AV15" s="19">
        <v>0</v>
      </c>
      <c r="AW15" s="18"/>
      <c r="AX15" s="19">
        <v>0</v>
      </c>
      <c r="AY15" s="18"/>
      <c r="AZ15" s="19">
        <v>0</v>
      </c>
      <c r="BA15" s="18"/>
      <c r="BB15" s="19">
        <v>16903.310000000001</v>
      </c>
      <c r="BC15" s="18"/>
      <c r="BD15" s="19">
        <v>0</v>
      </c>
      <c r="BE15" s="18"/>
      <c r="BF15" s="19">
        <v>0</v>
      </c>
      <c r="BG15" s="18"/>
      <c r="BH15" s="19">
        <v>0</v>
      </c>
      <c r="BI15" s="18"/>
      <c r="BJ15" s="19">
        <v>0</v>
      </c>
      <c r="BK15" s="18"/>
      <c r="BL15" s="19">
        <v>0</v>
      </c>
      <c r="BM15" s="18"/>
      <c r="BN15" s="19">
        <v>0</v>
      </c>
      <c r="BO15" s="18"/>
      <c r="BP15" s="19">
        <v>0</v>
      </c>
      <c r="BQ15" s="18"/>
      <c r="BR15" s="19">
        <v>0</v>
      </c>
      <c r="BS15" s="18"/>
      <c r="BT15" s="19">
        <v>0</v>
      </c>
      <c r="BU15" s="18"/>
      <c r="BV15" s="19">
        <v>0</v>
      </c>
      <c r="BW15" s="18"/>
      <c r="BX15" s="19">
        <v>0</v>
      </c>
      <c r="BY15" s="18"/>
      <c r="BZ15" s="19">
        <v>0</v>
      </c>
      <c r="CA15" s="18"/>
      <c r="CB15" s="19">
        <v>0</v>
      </c>
      <c r="CC15" s="18"/>
      <c r="CD15" s="19">
        <v>0</v>
      </c>
      <c r="CE15" s="18"/>
      <c r="CF15" s="19">
        <v>0</v>
      </c>
      <c r="CG15" s="18"/>
      <c r="CH15" s="19">
        <v>0</v>
      </c>
      <c r="CI15" s="18"/>
      <c r="CJ15" s="19">
        <v>0</v>
      </c>
      <c r="CK15" s="18"/>
      <c r="CL15" s="19">
        <v>0</v>
      </c>
      <c r="CM15" s="18"/>
      <c r="CN15" s="19">
        <f t="shared" ref="CN15:CN28" si="0">ROUND(SUM(H15:CL15),5)</f>
        <v>27534.63</v>
      </c>
    </row>
    <row r="16" spans="1:92" x14ac:dyDescent="0.3">
      <c r="A16" s="16"/>
      <c r="B16" s="16"/>
      <c r="C16" s="16"/>
      <c r="D16" s="16"/>
      <c r="E16" s="16" t="s">
        <v>113</v>
      </c>
      <c r="F16" s="16"/>
      <c r="G16" s="16"/>
      <c r="H16" s="19">
        <v>0</v>
      </c>
      <c r="I16" s="18"/>
      <c r="J16" s="19">
        <v>0</v>
      </c>
      <c r="K16" s="18"/>
      <c r="L16" s="19">
        <v>0</v>
      </c>
      <c r="M16" s="18"/>
      <c r="N16" s="19">
        <v>0</v>
      </c>
      <c r="O16" s="18"/>
      <c r="P16" s="19">
        <v>6.37</v>
      </c>
      <c r="Q16" s="18"/>
      <c r="R16" s="19">
        <v>0</v>
      </c>
      <c r="S16" s="18"/>
      <c r="T16" s="19">
        <v>0</v>
      </c>
      <c r="U16" s="18"/>
      <c r="V16" s="19">
        <v>0</v>
      </c>
      <c r="W16" s="18"/>
      <c r="X16" s="19">
        <v>0</v>
      </c>
      <c r="Y16" s="18"/>
      <c r="Z16" s="19">
        <v>0</v>
      </c>
      <c r="AA16" s="18"/>
      <c r="AB16" s="19">
        <v>0</v>
      </c>
      <c r="AC16" s="18"/>
      <c r="AD16" s="19">
        <v>0</v>
      </c>
      <c r="AE16" s="18"/>
      <c r="AF16" s="19">
        <v>0</v>
      </c>
      <c r="AG16" s="18"/>
      <c r="AH16" s="19">
        <v>0</v>
      </c>
      <c r="AI16" s="18"/>
      <c r="AJ16" s="19">
        <v>0</v>
      </c>
      <c r="AK16" s="18"/>
      <c r="AL16" s="19">
        <v>0</v>
      </c>
      <c r="AM16" s="18"/>
      <c r="AN16" s="19">
        <v>0</v>
      </c>
      <c r="AO16" s="18"/>
      <c r="AP16" s="19">
        <v>0</v>
      </c>
      <c r="AQ16" s="18"/>
      <c r="AR16" s="19">
        <v>0</v>
      </c>
      <c r="AS16" s="18"/>
      <c r="AT16" s="19">
        <v>0</v>
      </c>
      <c r="AU16" s="18"/>
      <c r="AV16" s="19">
        <v>0</v>
      </c>
      <c r="AW16" s="18"/>
      <c r="AX16" s="19">
        <v>3.19</v>
      </c>
      <c r="AY16" s="18"/>
      <c r="AZ16" s="19">
        <v>0</v>
      </c>
      <c r="BA16" s="18"/>
      <c r="BB16" s="19">
        <v>0</v>
      </c>
      <c r="BC16" s="18"/>
      <c r="BD16" s="19">
        <v>0</v>
      </c>
      <c r="BE16" s="18"/>
      <c r="BF16" s="19">
        <v>0</v>
      </c>
      <c r="BG16" s="18"/>
      <c r="BH16" s="19">
        <v>0</v>
      </c>
      <c r="BI16" s="18"/>
      <c r="BJ16" s="19">
        <v>0</v>
      </c>
      <c r="BK16" s="18"/>
      <c r="BL16" s="19">
        <v>0</v>
      </c>
      <c r="BM16" s="18"/>
      <c r="BN16" s="19">
        <v>184.93</v>
      </c>
      <c r="BO16" s="18"/>
      <c r="BP16" s="19">
        <v>0</v>
      </c>
      <c r="BQ16" s="18"/>
      <c r="BR16" s="19">
        <v>0</v>
      </c>
      <c r="BS16" s="18"/>
      <c r="BT16" s="19">
        <v>0</v>
      </c>
      <c r="BU16" s="18"/>
      <c r="BV16" s="19">
        <v>0</v>
      </c>
      <c r="BW16" s="18"/>
      <c r="BX16" s="19">
        <v>0</v>
      </c>
      <c r="BY16" s="18"/>
      <c r="BZ16" s="19">
        <v>-31.08</v>
      </c>
      <c r="CA16" s="18"/>
      <c r="CB16" s="19">
        <v>31.08</v>
      </c>
      <c r="CC16" s="18"/>
      <c r="CD16" s="19">
        <v>0</v>
      </c>
      <c r="CE16" s="18"/>
      <c r="CF16" s="19">
        <v>0</v>
      </c>
      <c r="CG16" s="18"/>
      <c r="CH16" s="19">
        <v>0</v>
      </c>
      <c r="CI16" s="18"/>
      <c r="CJ16" s="19">
        <v>0</v>
      </c>
      <c r="CK16" s="18"/>
      <c r="CL16" s="19">
        <v>0</v>
      </c>
      <c r="CM16" s="18"/>
      <c r="CN16" s="19">
        <f t="shared" si="0"/>
        <v>194.49</v>
      </c>
    </row>
    <row r="17" spans="1:92" x14ac:dyDescent="0.3">
      <c r="A17" s="16"/>
      <c r="B17" s="16"/>
      <c r="C17" s="16"/>
      <c r="D17" s="16"/>
      <c r="E17" s="16" t="s">
        <v>112</v>
      </c>
      <c r="F17" s="16"/>
      <c r="G17" s="16"/>
      <c r="H17" s="19">
        <v>0</v>
      </c>
      <c r="I17" s="18"/>
      <c r="J17" s="19">
        <v>0</v>
      </c>
      <c r="K17" s="18"/>
      <c r="L17" s="19">
        <v>0</v>
      </c>
      <c r="M17" s="18"/>
      <c r="N17" s="19">
        <v>0</v>
      </c>
      <c r="O17" s="18"/>
      <c r="P17" s="19">
        <v>0</v>
      </c>
      <c r="Q17" s="18"/>
      <c r="R17" s="19">
        <v>0</v>
      </c>
      <c r="S17" s="18"/>
      <c r="T17" s="19">
        <v>0</v>
      </c>
      <c r="U17" s="18"/>
      <c r="V17" s="19">
        <v>0</v>
      </c>
      <c r="W17" s="18"/>
      <c r="X17" s="19">
        <v>0</v>
      </c>
      <c r="Y17" s="18"/>
      <c r="Z17" s="19">
        <v>0</v>
      </c>
      <c r="AA17" s="18"/>
      <c r="AB17" s="19">
        <v>0</v>
      </c>
      <c r="AC17" s="18"/>
      <c r="AD17" s="19">
        <v>0</v>
      </c>
      <c r="AE17" s="18"/>
      <c r="AF17" s="19">
        <v>0</v>
      </c>
      <c r="AG17" s="18"/>
      <c r="AH17" s="19">
        <v>0</v>
      </c>
      <c r="AI17" s="18"/>
      <c r="AJ17" s="19">
        <v>0</v>
      </c>
      <c r="AK17" s="18"/>
      <c r="AL17" s="19">
        <v>0</v>
      </c>
      <c r="AM17" s="18"/>
      <c r="AN17" s="19">
        <v>0</v>
      </c>
      <c r="AO17" s="18"/>
      <c r="AP17" s="19">
        <v>0</v>
      </c>
      <c r="AQ17" s="18"/>
      <c r="AR17" s="19">
        <v>0</v>
      </c>
      <c r="AS17" s="18"/>
      <c r="AT17" s="19">
        <v>0</v>
      </c>
      <c r="AU17" s="18"/>
      <c r="AV17" s="19">
        <v>0</v>
      </c>
      <c r="AW17" s="18"/>
      <c r="AX17" s="19">
        <v>0</v>
      </c>
      <c r="AY17" s="18"/>
      <c r="AZ17" s="19">
        <v>0</v>
      </c>
      <c r="BA17" s="18"/>
      <c r="BB17" s="19">
        <v>0</v>
      </c>
      <c r="BC17" s="18"/>
      <c r="BD17" s="19">
        <v>0</v>
      </c>
      <c r="BE17" s="18"/>
      <c r="BF17" s="19">
        <v>0</v>
      </c>
      <c r="BG17" s="18"/>
      <c r="BH17" s="19">
        <v>0</v>
      </c>
      <c r="BI17" s="18"/>
      <c r="BJ17" s="19">
        <v>0</v>
      </c>
      <c r="BK17" s="18"/>
      <c r="BL17" s="19">
        <v>0</v>
      </c>
      <c r="BM17" s="18"/>
      <c r="BN17" s="19">
        <v>0</v>
      </c>
      <c r="BO17" s="18"/>
      <c r="BP17" s="19">
        <v>0</v>
      </c>
      <c r="BQ17" s="18"/>
      <c r="BR17" s="19">
        <v>0</v>
      </c>
      <c r="BS17" s="18"/>
      <c r="BT17" s="19">
        <v>0</v>
      </c>
      <c r="BU17" s="18"/>
      <c r="BV17" s="19">
        <v>0</v>
      </c>
      <c r="BW17" s="18"/>
      <c r="BX17" s="19">
        <v>0</v>
      </c>
      <c r="BY17" s="18"/>
      <c r="BZ17" s="19">
        <v>876.27</v>
      </c>
      <c r="CA17" s="18"/>
      <c r="CB17" s="19">
        <v>0</v>
      </c>
      <c r="CC17" s="18"/>
      <c r="CD17" s="19">
        <v>0</v>
      </c>
      <c r="CE17" s="18"/>
      <c r="CF17" s="19">
        <v>0</v>
      </c>
      <c r="CG17" s="18"/>
      <c r="CH17" s="19">
        <v>0</v>
      </c>
      <c r="CI17" s="18"/>
      <c r="CJ17" s="19">
        <v>0</v>
      </c>
      <c r="CK17" s="18"/>
      <c r="CL17" s="19">
        <v>0</v>
      </c>
      <c r="CM17" s="18"/>
      <c r="CN17" s="19">
        <f t="shared" si="0"/>
        <v>876.27</v>
      </c>
    </row>
    <row r="18" spans="1:92" x14ac:dyDescent="0.3">
      <c r="A18" s="16"/>
      <c r="B18" s="16"/>
      <c r="C18" s="16"/>
      <c r="D18" s="16"/>
      <c r="E18" s="16" t="s">
        <v>111</v>
      </c>
      <c r="F18" s="16"/>
      <c r="G18" s="16"/>
      <c r="H18" s="19">
        <v>0</v>
      </c>
      <c r="I18" s="18"/>
      <c r="J18" s="19">
        <v>0</v>
      </c>
      <c r="K18" s="18"/>
      <c r="L18" s="19">
        <v>0</v>
      </c>
      <c r="M18" s="18"/>
      <c r="N18" s="19">
        <v>28</v>
      </c>
      <c r="O18" s="18"/>
      <c r="P18" s="19">
        <v>0</v>
      </c>
      <c r="Q18" s="18"/>
      <c r="R18" s="19">
        <v>0</v>
      </c>
      <c r="S18" s="18"/>
      <c r="T18" s="19">
        <v>85.45</v>
      </c>
      <c r="U18" s="18"/>
      <c r="V18" s="19">
        <v>80.319999999999993</v>
      </c>
      <c r="W18" s="18"/>
      <c r="X18" s="19">
        <v>0</v>
      </c>
      <c r="Y18" s="18"/>
      <c r="Z18" s="19">
        <v>0</v>
      </c>
      <c r="AA18" s="18"/>
      <c r="AB18" s="19">
        <v>0</v>
      </c>
      <c r="AC18" s="18"/>
      <c r="AD18" s="19">
        <v>0</v>
      </c>
      <c r="AE18" s="18"/>
      <c r="AF18" s="19">
        <v>0</v>
      </c>
      <c r="AG18" s="18"/>
      <c r="AH18" s="19">
        <v>0</v>
      </c>
      <c r="AI18" s="18"/>
      <c r="AJ18" s="19">
        <v>0</v>
      </c>
      <c r="AK18" s="18"/>
      <c r="AL18" s="19">
        <v>0</v>
      </c>
      <c r="AM18" s="18"/>
      <c r="AN18" s="19">
        <v>0</v>
      </c>
      <c r="AO18" s="18"/>
      <c r="AP18" s="19">
        <v>0</v>
      </c>
      <c r="AQ18" s="18"/>
      <c r="AR18" s="19">
        <v>0</v>
      </c>
      <c r="AS18" s="18"/>
      <c r="AT18" s="19">
        <v>0</v>
      </c>
      <c r="AU18" s="18"/>
      <c r="AV18" s="19">
        <v>0</v>
      </c>
      <c r="AW18" s="18"/>
      <c r="AX18" s="19">
        <v>0</v>
      </c>
      <c r="AY18" s="18"/>
      <c r="AZ18" s="19">
        <v>0</v>
      </c>
      <c r="BA18" s="18"/>
      <c r="BB18" s="19">
        <v>0</v>
      </c>
      <c r="BC18" s="18"/>
      <c r="BD18" s="19">
        <v>0</v>
      </c>
      <c r="BE18" s="18"/>
      <c r="BF18" s="19">
        <v>0</v>
      </c>
      <c r="BG18" s="18"/>
      <c r="BH18" s="19">
        <v>0</v>
      </c>
      <c r="BI18" s="18"/>
      <c r="BJ18" s="19">
        <v>0</v>
      </c>
      <c r="BK18" s="18"/>
      <c r="BL18" s="19">
        <v>0</v>
      </c>
      <c r="BM18" s="18"/>
      <c r="BN18" s="19">
        <v>0</v>
      </c>
      <c r="BO18" s="18"/>
      <c r="BP18" s="19">
        <v>0</v>
      </c>
      <c r="BQ18" s="18"/>
      <c r="BR18" s="19">
        <v>0</v>
      </c>
      <c r="BS18" s="18"/>
      <c r="BT18" s="19">
        <v>0</v>
      </c>
      <c r="BU18" s="18"/>
      <c r="BV18" s="19">
        <v>0</v>
      </c>
      <c r="BW18" s="18"/>
      <c r="BX18" s="19">
        <v>0</v>
      </c>
      <c r="BY18" s="18"/>
      <c r="BZ18" s="19">
        <v>0</v>
      </c>
      <c r="CA18" s="18"/>
      <c r="CB18" s="19">
        <v>0</v>
      </c>
      <c r="CC18" s="18"/>
      <c r="CD18" s="19">
        <v>0</v>
      </c>
      <c r="CE18" s="18"/>
      <c r="CF18" s="19">
        <v>0</v>
      </c>
      <c r="CG18" s="18"/>
      <c r="CH18" s="19">
        <v>0</v>
      </c>
      <c r="CI18" s="18"/>
      <c r="CJ18" s="19">
        <v>0</v>
      </c>
      <c r="CK18" s="18"/>
      <c r="CL18" s="19">
        <v>0</v>
      </c>
      <c r="CM18" s="18"/>
      <c r="CN18" s="19">
        <f t="shared" si="0"/>
        <v>193.77</v>
      </c>
    </row>
    <row r="19" spans="1:92" x14ac:dyDescent="0.3">
      <c r="A19" s="16"/>
      <c r="B19" s="16"/>
      <c r="C19" s="16"/>
      <c r="D19" s="16"/>
      <c r="E19" s="16" t="s">
        <v>110</v>
      </c>
      <c r="F19" s="16"/>
      <c r="G19" s="16"/>
      <c r="H19" s="19">
        <v>-13.69</v>
      </c>
      <c r="I19" s="18"/>
      <c r="J19" s="19">
        <v>-50.2</v>
      </c>
      <c r="K19" s="18"/>
      <c r="L19" s="19">
        <v>-23.29</v>
      </c>
      <c r="M19" s="18"/>
      <c r="N19" s="19">
        <v>-5.72</v>
      </c>
      <c r="O19" s="18"/>
      <c r="P19" s="19">
        <v>-52.93</v>
      </c>
      <c r="Q19" s="18"/>
      <c r="R19" s="19">
        <v>-58.31</v>
      </c>
      <c r="S19" s="18"/>
      <c r="T19" s="19">
        <v>-351.07</v>
      </c>
      <c r="U19" s="18"/>
      <c r="V19" s="19">
        <v>-42.79</v>
      </c>
      <c r="W19" s="18"/>
      <c r="X19" s="19">
        <v>36.78</v>
      </c>
      <c r="Y19" s="18"/>
      <c r="Z19" s="19">
        <v>-36.700000000000003</v>
      </c>
      <c r="AA19" s="18"/>
      <c r="AB19" s="19">
        <v>-8.1</v>
      </c>
      <c r="AC19" s="18"/>
      <c r="AD19" s="19">
        <v>-25.26</v>
      </c>
      <c r="AE19" s="18"/>
      <c r="AF19" s="19">
        <v>-25.91</v>
      </c>
      <c r="AG19" s="18"/>
      <c r="AH19" s="19">
        <v>-30.04</v>
      </c>
      <c r="AI19" s="18"/>
      <c r="AJ19" s="19">
        <v>-33.36</v>
      </c>
      <c r="AK19" s="18"/>
      <c r="AL19" s="19">
        <v>-81.08</v>
      </c>
      <c r="AM19" s="18"/>
      <c r="AN19" s="19">
        <v>-18.420000000000002</v>
      </c>
      <c r="AO19" s="18"/>
      <c r="AP19" s="19">
        <v>-98.58</v>
      </c>
      <c r="AQ19" s="18"/>
      <c r="AR19" s="19">
        <v>-36.79</v>
      </c>
      <c r="AS19" s="18"/>
      <c r="AT19" s="19">
        <v>27.64</v>
      </c>
      <c r="AU19" s="18"/>
      <c r="AV19" s="19">
        <v>-30.14</v>
      </c>
      <c r="AW19" s="18"/>
      <c r="AX19" s="19">
        <v>-14.7</v>
      </c>
      <c r="AY19" s="18"/>
      <c r="AZ19" s="19">
        <v>-13.11</v>
      </c>
      <c r="BA19" s="18"/>
      <c r="BB19" s="19">
        <v>-11.2</v>
      </c>
      <c r="BC19" s="18"/>
      <c r="BD19" s="19">
        <v>-70.95</v>
      </c>
      <c r="BE19" s="18"/>
      <c r="BF19" s="19">
        <v>-102.85</v>
      </c>
      <c r="BG19" s="18"/>
      <c r="BH19" s="19">
        <v>-12.95</v>
      </c>
      <c r="BI19" s="18"/>
      <c r="BJ19" s="19">
        <v>-78.94</v>
      </c>
      <c r="BK19" s="18"/>
      <c r="BL19" s="19">
        <v>-54.34</v>
      </c>
      <c r="BM19" s="18"/>
      <c r="BN19" s="19">
        <v>-51.41</v>
      </c>
      <c r="BO19" s="18"/>
      <c r="BP19" s="19">
        <v>-49.23</v>
      </c>
      <c r="BQ19" s="18"/>
      <c r="BR19" s="19">
        <v>-129.31</v>
      </c>
      <c r="BS19" s="18"/>
      <c r="BT19" s="19">
        <v>-80.099999999999994</v>
      </c>
      <c r="BU19" s="18"/>
      <c r="BV19" s="19">
        <v>-71.52</v>
      </c>
      <c r="BW19" s="18"/>
      <c r="BX19" s="19">
        <v>-14.42</v>
      </c>
      <c r="BY19" s="18"/>
      <c r="BZ19" s="19">
        <v>-129.81</v>
      </c>
      <c r="CA19" s="18"/>
      <c r="CB19" s="19">
        <v>0.03</v>
      </c>
      <c r="CC19" s="18"/>
      <c r="CD19" s="19">
        <v>-15.4</v>
      </c>
      <c r="CE19" s="18"/>
      <c r="CF19" s="19">
        <v>69.39</v>
      </c>
      <c r="CG19" s="18"/>
      <c r="CH19" s="19">
        <v>-63.64</v>
      </c>
      <c r="CI19" s="18"/>
      <c r="CJ19" s="19">
        <v>-68.53</v>
      </c>
      <c r="CK19" s="18"/>
      <c r="CL19" s="19">
        <v>0</v>
      </c>
      <c r="CM19" s="18"/>
      <c r="CN19" s="19">
        <f t="shared" si="0"/>
        <v>-1920.95</v>
      </c>
    </row>
    <row r="20" spans="1:92" x14ac:dyDescent="0.3">
      <c r="A20" s="16"/>
      <c r="B20" s="16"/>
      <c r="C20" s="16"/>
      <c r="D20" s="16"/>
      <c r="E20" s="16" t="s">
        <v>109</v>
      </c>
      <c r="F20" s="16"/>
      <c r="G20" s="16"/>
      <c r="H20" s="19">
        <v>225</v>
      </c>
      <c r="I20" s="18"/>
      <c r="J20" s="19">
        <v>225</v>
      </c>
      <c r="K20" s="18"/>
      <c r="L20" s="19">
        <v>765</v>
      </c>
      <c r="M20" s="18"/>
      <c r="N20" s="19">
        <v>495</v>
      </c>
      <c r="O20" s="18"/>
      <c r="P20" s="19">
        <v>425</v>
      </c>
      <c r="Q20" s="18"/>
      <c r="R20" s="19">
        <v>440</v>
      </c>
      <c r="S20" s="18"/>
      <c r="T20" s="19">
        <v>440</v>
      </c>
      <c r="U20" s="18"/>
      <c r="V20" s="19">
        <v>225</v>
      </c>
      <c r="W20" s="18"/>
      <c r="X20" s="19">
        <v>240</v>
      </c>
      <c r="Y20" s="18"/>
      <c r="Z20" s="19">
        <v>240</v>
      </c>
      <c r="AA20" s="18"/>
      <c r="AB20" s="19">
        <v>240</v>
      </c>
      <c r="AC20" s="18"/>
      <c r="AD20" s="19">
        <v>240</v>
      </c>
      <c r="AE20" s="18"/>
      <c r="AF20" s="19">
        <v>240</v>
      </c>
      <c r="AG20" s="18"/>
      <c r="AH20" s="19">
        <v>240</v>
      </c>
      <c r="AI20" s="18"/>
      <c r="AJ20" s="19">
        <v>240</v>
      </c>
      <c r="AK20" s="18"/>
      <c r="AL20" s="19">
        <v>240</v>
      </c>
      <c r="AM20" s="18"/>
      <c r="AN20" s="19">
        <v>240</v>
      </c>
      <c r="AO20" s="18"/>
      <c r="AP20" s="19">
        <v>240</v>
      </c>
      <c r="AQ20" s="18"/>
      <c r="AR20" s="19">
        <v>240</v>
      </c>
      <c r="AS20" s="18"/>
      <c r="AT20" s="19">
        <v>240</v>
      </c>
      <c r="AU20" s="18"/>
      <c r="AV20" s="19">
        <v>240</v>
      </c>
      <c r="AW20" s="18"/>
      <c r="AX20" s="19">
        <v>352.16</v>
      </c>
      <c r="AY20" s="18"/>
      <c r="AZ20" s="19">
        <v>240</v>
      </c>
      <c r="BA20" s="18"/>
      <c r="BB20" s="19">
        <v>240</v>
      </c>
      <c r="BC20" s="18"/>
      <c r="BD20" s="19">
        <v>240</v>
      </c>
      <c r="BE20" s="18"/>
      <c r="BF20" s="19">
        <v>240</v>
      </c>
      <c r="BG20" s="18"/>
      <c r="BH20" s="19">
        <v>240</v>
      </c>
      <c r="BI20" s="18"/>
      <c r="BJ20" s="19">
        <v>240</v>
      </c>
      <c r="BK20" s="18"/>
      <c r="BL20" s="19">
        <v>240</v>
      </c>
      <c r="BM20" s="18"/>
      <c r="BN20" s="19">
        <v>240</v>
      </c>
      <c r="BO20" s="18"/>
      <c r="BP20" s="19">
        <v>240</v>
      </c>
      <c r="BQ20" s="18"/>
      <c r="BR20" s="19">
        <v>240</v>
      </c>
      <c r="BS20" s="18"/>
      <c r="BT20" s="19">
        <v>240</v>
      </c>
      <c r="BU20" s="18"/>
      <c r="BV20" s="19">
        <v>240</v>
      </c>
      <c r="BW20" s="18"/>
      <c r="BX20" s="19">
        <v>240</v>
      </c>
      <c r="BY20" s="18"/>
      <c r="BZ20" s="19">
        <v>240</v>
      </c>
      <c r="CA20" s="18"/>
      <c r="CB20" s="19">
        <v>240</v>
      </c>
      <c r="CC20" s="18"/>
      <c r="CD20" s="19">
        <v>240</v>
      </c>
      <c r="CE20" s="18"/>
      <c r="CF20" s="19">
        <v>240</v>
      </c>
      <c r="CG20" s="18"/>
      <c r="CH20" s="19">
        <v>240</v>
      </c>
      <c r="CI20" s="18"/>
      <c r="CJ20" s="19">
        <v>240</v>
      </c>
      <c r="CK20" s="18"/>
      <c r="CL20" s="19">
        <v>0</v>
      </c>
      <c r="CM20" s="18"/>
      <c r="CN20" s="19">
        <f t="shared" si="0"/>
        <v>11272.16</v>
      </c>
    </row>
    <row r="21" spans="1:92" x14ac:dyDescent="0.3">
      <c r="A21" s="16"/>
      <c r="B21" s="16"/>
      <c r="C21" s="16"/>
      <c r="D21" s="16"/>
      <c r="E21" s="16" t="s">
        <v>108</v>
      </c>
      <c r="F21" s="16"/>
      <c r="G21" s="16"/>
      <c r="H21" s="19">
        <v>1240.78</v>
      </c>
      <c r="I21" s="18"/>
      <c r="J21" s="19">
        <v>392.2</v>
      </c>
      <c r="K21" s="18"/>
      <c r="L21" s="19">
        <v>250.5</v>
      </c>
      <c r="M21" s="18"/>
      <c r="N21" s="19">
        <v>250.5</v>
      </c>
      <c r="O21" s="18"/>
      <c r="P21" s="19">
        <v>250.5</v>
      </c>
      <c r="Q21" s="18"/>
      <c r="R21" s="19">
        <v>91.5</v>
      </c>
      <c r="S21" s="18"/>
      <c r="T21" s="19">
        <v>91.5</v>
      </c>
      <c r="U21" s="18"/>
      <c r="V21" s="19">
        <v>91.5</v>
      </c>
      <c r="W21" s="18"/>
      <c r="X21" s="19">
        <v>116.5</v>
      </c>
      <c r="Y21" s="18"/>
      <c r="Z21" s="19">
        <v>891.5</v>
      </c>
      <c r="AA21" s="18"/>
      <c r="AB21" s="19">
        <v>910.5</v>
      </c>
      <c r="AC21" s="18"/>
      <c r="AD21" s="19">
        <v>246.51</v>
      </c>
      <c r="AE21" s="18"/>
      <c r="AF21" s="19">
        <v>709.26</v>
      </c>
      <c r="AG21" s="18"/>
      <c r="AH21" s="19">
        <v>1488.4</v>
      </c>
      <c r="AI21" s="18"/>
      <c r="AJ21" s="19">
        <v>232.79</v>
      </c>
      <c r="AK21" s="18"/>
      <c r="AL21" s="19">
        <v>724.94</v>
      </c>
      <c r="AM21" s="18"/>
      <c r="AN21" s="19">
        <v>-287</v>
      </c>
      <c r="AO21" s="18"/>
      <c r="AP21" s="19">
        <v>230</v>
      </c>
      <c r="AQ21" s="18"/>
      <c r="AR21" s="19">
        <v>1813.2</v>
      </c>
      <c r="AS21" s="18"/>
      <c r="AT21" s="19">
        <v>107</v>
      </c>
      <c r="AU21" s="18"/>
      <c r="AV21" s="19">
        <v>270.95999999999998</v>
      </c>
      <c r="AW21" s="18"/>
      <c r="AX21" s="19">
        <v>0</v>
      </c>
      <c r="AY21" s="18"/>
      <c r="AZ21" s="19">
        <v>720</v>
      </c>
      <c r="BA21" s="18"/>
      <c r="BB21" s="19">
        <v>0</v>
      </c>
      <c r="BC21" s="18"/>
      <c r="BD21" s="19">
        <v>0</v>
      </c>
      <c r="BE21" s="18"/>
      <c r="BF21" s="19">
        <v>214</v>
      </c>
      <c r="BG21" s="18"/>
      <c r="BH21" s="19">
        <v>547.36</v>
      </c>
      <c r="BI21" s="18"/>
      <c r="BJ21" s="19">
        <v>5</v>
      </c>
      <c r="BK21" s="18"/>
      <c r="BL21" s="19">
        <v>840</v>
      </c>
      <c r="BM21" s="18"/>
      <c r="BN21" s="19">
        <v>0</v>
      </c>
      <c r="BO21" s="18"/>
      <c r="BP21" s="19">
        <v>173</v>
      </c>
      <c r="BQ21" s="18"/>
      <c r="BR21" s="19">
        <v>435</v>
      </c>
      <c r="BS21" s="18"/>
      <c r="BT21" s="19">
        <v>3173</v>
      </c>
      <c r="BU21" s="18"/>
      <c r="BV21" s="19">
        <v>5</v>
      </c>
      <c r="BW21" s="18"/>
      <c r="BX21" s="19">
        <v>775</v>
      </c>
      <c r="BY21" s="18"/>
      <c r="BZ21" s="19">
        <v>5</v>
      </c>
      <c r="CA21" s="18"/>
      <c r="CB21" s="19">
        <v>5</v>
      </c>
      <c r="CC21" s="18"/>
      <c r="CD21" s="19">
        <v>0</v>
      </c>
      <c r="CE21" s="18"/>
      <c r="CF21" s="19">
        <v>0</v>
      </c>
      <c r="CG21" s="18"/>
      <c r="CH21" s="19">
        <v>0</v>
      </c>
      <c r="CI21" s="18"/>
      <c r="CJ21" s="19">
        <v>0</v>
      </c>
      <c r="CK21" s="18"/>
      <c r="CL21" s="19">
        <v>0</v>
      </c>
      <c r="CM21" s="18"/>
      <c r="CN21" s="19">
        <f t="shared" si="0"/>
        <v>17010.900000000001</v>
      </c>
    </row>
    <row r="22" spans="1:92" x14ac:dyDescent="0.3">
      <c r="A22" s="16"/>
      <c r="B22" s="16"/>
      <c r="C22" s="16"/>
      <c r="D22" s="16"/>
      <c r="E22" s="16" t="s">
        <v>107</v>
      </c>
      <c r="F22" s="16"/>
      <c r="G22" s="16"/>
      <c r="H22" s="19">
        <v>0</v>
      </c>
      <c r="I22" s="18"/>
      <c r="J22" s="19">
        <v>0</v>
      </c>
      <c r="K22" s="18"/>
      <c r="L22" s="19">
        <v>0</v>
      </c>
      <c r="M22" s="18"/>
      <c r="N22" s="19">
        <v>0</v>
      </c>
      <c r="O22" s="18"/>
      <c r="P22" s="19">
        <v>0</v>
      </c>
      <c r="Q22" s="18"/>
      <c r="R22" s="19">
        <v>0</v>
      </c>
      <c r="S22" s="18"/>
      <c r="T22" s="19">
        <v>650.16</v>
      </c>
      <c r="U22" s="18"/>
      <c r="V22" s="19">
        <v>0</v>
      </c>
      <c r="W22" s="18"/>
      <c r="X22" s="19">
        <v>0</v>
      </c>
      <c r="Y22" s="18"/>
      <c r="Z22" s="19">
        <v>0</v>
      </c>
      <c r="AA22" s="18"/>
      <c r="AB22" s="19">
        <v>0</v>
      </c>
      <c r="AC22" s="18"/>
      <c r="AD22" s="19">
        <v>0</v>
      </c>
      <c r="AE22" s="18"/>
      <c r="AF22" s="19">
        <v>0</v>
      </c>
      <c r="AG22" s="18"/>
      <c r="AH22" s="19">
        <v>0</v>
      </c>
      <c r="AI22" s="18"/>
      <c r="AJ22" s="19">
        <v>0</v>
      </c>
      <c r="AK22" s="18"/>
      <c r="AL22" s="19">
        <v>0</v>
      </c>
      <c r="AM22" s="18"/>
      <c r="AN22" s="19">
        <v>0</v>
      </c>
      <c r="AO22" s="18"/>
      <c r="AP22" s="19">
        <v>0</v>
      </c>
      <c r="AQ22" s="18"/>
      <c r="AR22" s="19">
        <v>0</v>
      </c>
      <c r="AS22" s="18"/>
      <c r="AT22" s="19">
        <v>0</v>
      </c>
      <c r="AU22" s="18"/>
      <c r="AV22" s="19">
        <v>0</v>
      </c>
      <c r="AW22" s="18"/>
      <c r="AX22" s="19">
        <v>0</v>
      </c>
      <c r="AY22" s="18"/>
      <c r="AZ22" s="19">
        <v>0</v>
      </c>
      <c r="BA22" s="18"/>
      <c r="BB22" s="19">
        <v>4186.46</v>
      </c>
      <c r="BC22" s="18"/>
      <c r="BD22" s="19">
        <v>0</v>
      </c>
      <c r="BE22" s="18"/>
      <c r="BF22" s="19">
        <v>0</v>
      </c>
      <c r="BG22" s="18"/>
      <c r="BH22" s="19">
        <v>0</v>
      </c>
      <c r="BI22" s="18"/>
      <c r="BJ22" s="19">
        <v>0</v>
      </c>
      <c r="BK22" s="18"/>
      <c r="BL22" s="19">
        <v>0</v>
      </c>
      <c r="BM22" s="18"/>
      <c r="BN22" s="19">
        <v>0</v>
      </c>
      <c r="BO22" s="18"/>
      <c r="BP22" s="19">
        <v>0</v>
      </c>
      <c r="BQ22" s="18"/>
      <c r="BR22" s="19">
        <v>0</v>
      </c>
      <c r="BS22" s="18"/>
      <c r="BT22" s="19">
        <v>0</v>
      </c>
      <c r="BU22" s="18"/>
      <c r="BV22" s="19">
        <v>0</v>
      </c>
      <c r="BW22" s="18"/>
      <c r="BX22" s="19">
        <v>0</v>
      </c>
      <c r="BY22" s="18"/>
      <c r="BZ22" s="19">
        <v>0</v>
      </c>
      <c r="CA22" s="18"/>
      <c r="CB22" s="19">
        <v>0</v>
      </c>
      <c r="CC22" s="18"/>
      <c r="CD22" s="19">
        <v>0</v>
      </c>
      <c r="CE22" s="18"/>
      <c r="CF22" s="19">
        <v>0</v>
      </c>
      <c r="CG22" s="18"/>
      <c r="CH22" s="19">
        <v>0</v>
      </c>
      <c r="CI22" s="18"/>
      <c r="CJ22" s="19">
        <v>0</v>
      </c>
      <c r="CK22" s="18"/>
      <c r="CL22" s="19">
        <v>0</v>
      </c>
      <c r="CM22" s="18"/>
      <c r="CN22" s="19">
        <f t="shared" si="0"/>
        <v>4836.62</v>
      </c>
    </row>
    <row r="23" spans="1:92" x14ac:dyDescent="0.3">
      <c r="A23" s="16"/>
      <c r="B23" s="16"/>
      <c r="C23" s="16"/>
      <c r="D23" s="16"/>
      <c r="E23" s="16" t="s">
        <v>106</v>
      </c>
      <c r="F23" s="16"/>
      <c r="G23" s="16"/>
      <c r="H23" s="19">
        <v>447.03</v>
      </c>
      <c r="I23" s="18"/>
      <c r="J23" s="19">
        <v>568.9</v>
      </c>
      <c r="K23" s="18"/>
      <c r="L23" s="19">
        <v>330.68</v>
      </c>
      <c r="M23" s="18"/>
      <c r="N23" s="19">
        <v>440.73</v>
      </c>
      <c r="O23" s="18"/>
      <c r="P23" s="19">
        <v>519.66</v>
      </c>
      <c r="Q23" s="18"/>
      <c r="R23" s="19">
        <v>90.45</v>
      </c>
      <c r="S23" s="18"/>
      <c r="T23" s="19">
        <v>709.88</v>
      </c>
      <c r="U23" s="18"/>
      <c r="V23" s="19">
        <v>385.25</v>
      </c>
      <c r="W23" s="18"/>
      <c r="X23" s="19">
        <v>39.6</v>
      </c>
      <c r="Y23" s="18"/>
      <c r="Z23" s="19">
        <v>206.57</v>
      </c>
      <c r="AA23" s="18"/>
      <c r="AB23" s="19">
        <v>21.78</v>
      </c>
      <c r="AC23" s="18"/>
      <c r="AD23" s="19">
        <v>347.38</v>
      </c>
      <c r="AE23" s="18"/>
      <c r="AF23" s="19">
        <v>105.39</v>
      </c>
      <c r="AG23" s="18"/>
      <c r="AH23" s="19">
        <v>285.51</v>
      </c>
      <c r="AI23" s="18"/>
      <c r="AJ23" s="19">
        <v>541.88</v>
      </c>
      <c r="AK23" s="18"/>
      <c r="AL23" s="19">
        <v>462.31</v>
      </c>
      <c r="AM23" s="18"/>
      <c r="AN23" s="19">
        <v>305.38</v>
      </c>
      <c r="AO23" s="18"/>
      <c r="AP23" s="19">
        <v>243.23</v>
      </c>
      <c r="AQ23" s="18"/>
      <c r="AR23" s="19">
        <v>25.42</v>
      </c>
      <c r="AS23" s="18"/>
      <c r="AT23" s="19">
        <v>90.16</v>
      </c>
      <c r="AU23" s="18"/>
      <c r="AV23" s="19">
        <v>682.83</v>
      </c>
      <c r="AW23" s="18"/>
      <c r="AX23" s="19">
        <v>539.02</v>
      </c>
      <c r="AY23" s="18"/>
      <c r="AZ23" s="19">
        <v>57.62</v>
      </c>
      <c r="BA23" s="18"/>
      <c r="BB23" s="19">
        <v>126.07</v>
      </c>
      <c r="BC23" s="18"/>
      <c r="BD23" s="19">
        <v>563.57000000000005</v>
      </c>
      <c r="BE23" s="18"/>
      <c r="BF23" s="19">
        <v>85.82</v>
      </c>
      <c r="BG23" s="18"/>
      <c r="BH23" s="19">
        <v>87.94</v>
      </c>
      <c r="BI23" s="18"/>
      <c r="BJ23" s="19">
        <v>156.63</v>
      </c>
      <c r="BK23" s="18"/>
      <c r="BL23" s="19">
        <v>104.25</v>
      </c>
      <c r="BM23" s="18"/>
      <c r="BN23" s="19">
        <v>672.36</v>
      </c>
      <c r="BO23" s="18"/>
      <c r="BP23" s="19">
        <v>69.569999999999993</v>
      </c>
      <c r="BQ23" s="18"/>
      <c r="BR23" s="19">
        <v>299.52999999999997</v>
      </c>
      <c r="BS23" s="18"/>
      <c r="BT23" s="19">
        <v>517.79999999999995</v>
      </c>
      <c r="BU23" s="18"/>
      <c r="BV23" s="19">
        <v>147.47</v>
      </c>
      <c r="BW23" s="18"/>
      <c r="BX23" s="19">
        <v>193.7</v>
      </c>
      <c r="BY23" s="18"/>
      <c r="BZ23" s="19">
        <v>81.63</v>
      </c>
      <c r="CA23" s="18"/>
      <c r="CB23" s="19">
        <v>2061.2199999999998</v>
      </c>
      <c r="CC23" s="18"/>
      <c r="CD23" s="19">
        <v>237.35</v>
      </c>
      <c r="CE23" s="18"/>
      <c r="CF23" s="19">
        <v>78.67</v>
      </c>
      <c r="CG23" s="18"/>
      <c r="CH23" s="19">
        <v>82.65</v>
      </c>
      <c r="CI23" s="18"/>
      <c r="CJ23" s="19">
        <v>327.01</v>
      </c>
      <c r="CK23" s="18"/>
      <c r="CL23" s="19">
        <v>268.01</v>
      </c>
      <c r="CM23" s="18"/>
      <c r="CN23" s="19">
        <f t="shared" si="0"/>
        <v>13607.91</v>
      </c>
    </row>
    <row r="24" spans="1:92" x14ac:dyDescent="0.3">
      <c r="A24" s="16"/>
      <c r="B24" s="16"/>
      <c r="C24" s="16"/>
      <c r="D24" s="16"/>
      <c r="E24" s="16" t="s">
        <v>105</v>
      </c>
      <c r="F24" s="16"/>
      <c r="G24" s="16"/>
      <c r="H24" s="19">
        <v>500.99</v>
      </c>
      <c r="I24" s="18"/>
      <c r="J24" s="19">
        <v>233.13</v>
      </c>
      <c r="K24" s="18"/>
      <c r="L24" s="19">
        <v>254.46</v>
      </c>
      <c r="M24" s="18"/>
      <c r="N24" s="19">
        <v>233.13</v>
      </c>
      <c r="O24" s="18"/>
      <c r="P24" s="19">
        <v>233.13</v>
      </c>
      <c r="Q24" s="18"/>
      <c r="R24" s="19">
        <v>233.13</v>
      </c>
      <c r="S24" s="18"/>
      <c r="T24" s="19">
        <v>583.12</v>
      </c>
      <c r="U24" s="18"/>
      <c r="V24" s="19">
        <v>323.12</v>
      </c>
      <c r="W24" s="18"/>
      <c r="X24" s="19">
        <v>240.39</v>
      </c>
      <c r="Y24" s="18"/>
      <c r="Z24" s="19">
        <v>233.95</v>
      </c>
      <c r="AA24" s="18"/>
      <c r="AB24" s="19">
        <v>233.95</v>
      </c>
      <c r="AC24" s="18"/>
      <c r="AD24" s="19">
        <v>233.95</v>
      </c>
      <c r="AE24" s="18"/>
      <c r="AF24" s="19">
        <v>233.95</v>
      </c>
      <c r="AG24" s="18"/>
      <c r="AH24" s="19">
        <v>330.4</v>
      </c>
      <c r="AI24" s="18"/>
      <c r="AJ24" s="19">
        <v>1269.7</v>
      </c>
      <c r="AK24" s="18"/>
      <c r="AL24" s="19">
        <v>570.28</v>
      </c>
      <c r="AM24" s="18"/>
      <c r="AN24" s="19">
        <v>233.95</v>
      </c>
      <c r="AO24" s="18"/>
      <c r="AP24" s="19">
        <v>302.95</v>
      </c>
      <c r="AQ24" s="18"/>
      <c r="AR24" s="19">
        <v>593.29999999999995</v>
      </c>
      <c r="AS24" s="18"/>
      <c r="AT24" s="19">
        <v>333.3</v>
      </c>
      <c r="AU24" s="18"/>
      <c r="AV24" s="19">
        <v>1060.6199999999999</v>
      </c>
      <c r="AW24" s="18"/>
      <c r="AX24" s="19">
        <v>486.64</v>
      </c>
      <c r="AY24" s="18"/>
      <c r="AZ24" s="19">
        <v>36.21</v>
      </c>
      <c r="BA24" s="18"/>
      <c r="BB24" s="19">
        <v>226.3</v>
      </c>
      <c r="BC24" s="18"/>
      <c r="BD24" s="19">
        <v>243.32</v>
      </c>
      <c r="BE24" s="18"/>
      <c r="BF24" s="19">
        <v>0</v>
      </c>
      <c r="BG24" s="18"/>
      <c r="BH24" s="19">
        <v>486.64</v>
      </c>
      <c r="BI24" s="18"/>
      <c r="BJ24" s="19">
        <v>1106.75</v>
      </c>
      <c r="BK24" s="18"/>
      <c r="BL24" s="19">
        <v>1156.02</v>
      </c>
      <c r="BM24" s="18"/>
      <c r="BN24" s="19">
        <v>263.23</v>
      </c>
      <c r="BO24" s="18"/>
      <c r="BP24" s="19">
        <v>613.22</v>
      </c>
      <c r="BQ24" s="18"/>
      <c r="BR24" s="19">
        <v>768.65</v>
      </c>
      <c r="BS24" s="18"/>
      <c r="BT24" s="19">
        <v>281.97000000000003</v>
      </c>
      <c r="BU24" s="18"/>
      <c r="BV24" s="19">
        <v>421.02</v>
      </c>
      <c r="BW24" s="18"/>
      <c r="BX24" s="19">
        <v>281.97000000000003</v>
      </c>
      <c r="BY24" s="18"/>
      <c r="BZ24" s="19">
        <v>115.88</v>
      </c>
      <c r="CA24" s="18"/>
      <c r="CB24" s="19">
        <v>1493.28</v>
      </c>
      <c r="CC24" s="18"/>
      <c r="CD24" s="19">
        <v>0</v>
      </c>
      <c r="CE24" s="18"/>
      <c r="CF24" s="19">
        <v>250.78</v>
      </c>
      <c r="CG24" s="18"/>
      <c r="CH24" s="19">
        <v>420</v>
      </c>
      <c r="CI24" s="18"/>
      <c r="CJ24" s="19">
        <v>1049</v>
      </c>
      <c r="CK24" s="18"/>
      <c r="CL24" s="19">
        <v>0</v>
      </c>
      <c r="CM24" s="18"/>
      <c r="CN24" s="19">
        <f t="shared" si="0"/>
        <v>18165.78</v>
      </c>
    </row>
    <row r="25" spans="1:92" x14ac:dyDescent="0.3">
      <c r="A25" s="16"/>
      <c r="B25" s="16"/>
      <c r="C25" s="16"/>
      <c r="D25" s="16"/>
      <c r="E25" s="16" t="s">
        <v>104</v>
      </c>
      <c r="F25" s="16"/>
      <c r="G25" s="16"/>
      <c r="H25" s="19">
        <v>0</v>
      </c>
      <c r="I25" s="18"/>
      <c r="J25" s="19">
        <v>0</v>
      </c>
      <c r="K25" s="18"/>
      <c r="L25" s="19">
        <v>0</v>
      </c>
      <c r="M25" s="18"/>
      <c r="N25" s="19">
        <v>0</v>
      </c>
      <c r="O25" s="18"/>
      <c r="P25" s="19">
        <v>0</v>
      </c>
      <c r="Q25" s="18"/>
      <c r="R25" s="19">
        <v>0</v>
      </c>
      <c r="S25" s="18"/>
      <c r="T25" s="19">
        <v>0</v>
      </c>
      <c r="U25" s="18"/>
      <c r="V25" s="19">
        <v>0</v>
      </c>
      <c r="W25" s="18"/>
      <c r="X25" s="19">
        <v>0</v>
      </c>
      <c r="Y25" s="18"/>
      <c r="Z25" s="19">
        <v>0</v>
      </c>
      <c r="AA25" s="18"/>
      <c r="AB25" s="19">
        <v>0</v>
      </c>
      <c r="AC25" s="18"/>
      <c r="AD25" s="19">
        <v>2764.99</v>
      </c>
      <c r="AE25" s="18"/>
      <c r="AF25" s="19">
        <v>0</v>
      </c>
      <c r="AG25" s="18"/>
      <c r="AH25" s="19">
        <v>0</v>
      </c>
      <c r="AI25" s="18"/>
      <c r="AJ25" s="19">
        <v>0</v>
      </c>
      <c r="AK25" s="18"/>
      <c r="AL25" s="19">
        <v>0</v>
      </c>
      <c r="AM25" s="18"/>
      <c r="AN25" s="19">
        <v>0</v>
      </c>
      <c r="AO25" s="18"/>
      <c r="AP25" s="19">
        <v>0</v>
      </c>
      <c r="AQ25" s="18"/>
      <c r="AR25" s="19">
        <v>0</v>
      </c>
      <c r="AS25" s="18"/>
      <c r="AT25" s="19">
        <v>0</v>
      </c>
      <c r="AU25" s="18"/>
      <c r="AV25" s="19">
        <v>0</v>
      </c>
      <c r="AW25" s="18"/>
      <c r="AX25" s="19">
        <v>0</v>
      </c>
      <c r="AY25" s="18"/>
      <c r="AZ25" s="19">
        <v>0</v>
      </c>
      <c r="BA25" s="18"/>
      <c r="BB25" s="19">
        <v>32567</v>
      </c>
      <c r="BC25" s="18"/>
      <c r="BD25" s="19">
        <v>0</v>
      </c>
      <c r="BE25" s="18"/>
      <c r="BF25" s="19">
        <v>0</v>
      </c>
      <c r="BG25" s="18"/>
      <c r="BH25" s="19">
        <v>0</v>
      </c>
      <c r="BI25" s="18"/>
      <c r="BJ25" s="19">
        <v>0</v>
      </c>
      <c r="BK25" s="18"/>
      <c r="BL25" s="19">
        <v>0</v>
      </c>
      <c r="BM25" s="18"/>
      <c r="BN25" s="19">
        <v>0</v>
      </c>
      <c r="BO25" s="18"/>
      <c r="BP25" s="19">
        <v>0</v>
      </c>
      <c r="BQ25" s="18"/>
      <c r="BR25" s="19">
        <v>0</v>
      </c>
      <c r="BS25" s="18"/>
      <c r="BT25" s="19">
        <v>0</v>
      </c>
      <c r="BU25" s="18"/>
      <c r="BV25" s="19">
        <v>0</v>
      </c>
      <c r="BW25" s="18"/>
      <c r="BX25" s="19">
        <v>0</v>
      </c>
      <c r="BY25" s="18"/>
      <c r="BZ25" s="19">
        <v>30565.62</v>
      </c>
      <c r="CA25" s="18"/>
      <c r="CB25" s="19">
        <v>0</v>
      </c>
      <c r="CC25" s="18"/>
      <c r="CD25" s="19">
        <v>0</v>
      </c>
      <c r="CE25" s="18"/>
      <c r="CF25" s="19">
        <v>0</v>
      </c>
      <c r="CG25" s="18"/>
      <c r="CH25" s="19">
        <v>0</v>
      </c>
      <c r="CI25" s="18"/>
      <c r="CJ25" s="19">
        <v>0</v>
      </c>
      <c r="CK25" s="18"/>
      <c r="CL25" s="19">
        <v>0</v>
      </c>
      <c r="CM25" s="18"/>
      <c r="CN25" s="19">
        <f t="shared" si="0"/>
        <v>65897.61</v>
      </c>
    </row>
    <row r="26" spans="1:92" x14ac:dyDescent="0.3">
      <c r="A26" s="16"/>
      <c r="B26" s="16"/>
      <c r="C26" s="16"/>
      <c r="D26" s="16"/>
      <c r="E26" s="16" t="s">
        <v>103</v>
      </c>
      <c r="F26" s="16"/>
      <c r="G26" s="16"/>
      <c r="H26" s="19">
        <v>1940.74</v>
      </c>
      <c r="I26" s="18"/>
      <c r="J26" s="19">
        <v>1631.14</v>
      </c>
      <c r="K26" s="18"/>
      <c r="L26" s="19">
        <v>1709.74</v>
      </c>
      <c r="M26" s="18"/>
      <c r="N26" s="19">
        <v>2095.7399999999998</v>
      </c>
      <c r="O26" s="18"/>
      <c r="P26" s="19">
        <v>2010.57</v>
      </c>
      <c r="Q26" s="18"/>
      <c r="R26" s="19">
        <v>1600.74</v>
      </c>
      <c r="S26" s="18"/>
      <c r="T26" s="19">
        <v>1701.47</v>
      </c>
      <c r="U26" s="18"/>
      <c r="V26" s="19">
        <v>3135.13</v>
      </c>
      <c r="W26" s="18"/>
      <c r="X26" s="19">
        <v>1580.74</v>
      </c>
      <c r="Y26" s="18"/>
      <c r="Z26" s="19">
        <v>2270.7399999999998</v>
      </c>
      <c r="AA26" s="18"/>
      <c r="AB26" s="19">
        <v>1235.74</v>
      </c>
      <c r="AC26" s="18"/>
      <c r="AD26" s="19">
        <v>3666.71</v>
      </c>
      <c r="AE26" s="18"/>
      <c r="AF26" s="19">
        <v>1555.74</v>
      </c>
      <c r="AG26" s="18"/>
      <c r="AH26" s="19">
        <v>1435.74</v>
      </c>
      <c r="AI26" s="18"/>
      <c r="AJ26" s="19">
        <v>1556.74</v>
      </c>
      <c r="AK26" s="18"/>
      <c r="AL26" s="19">
        <v>1480.74</v>
      </c>
      <c r="AM26" s="18"/>
      <c r="AN26" s="19">
        <v>2095.7399999999998</v>
      </c>
      <c r="AO26" s="18"/>
      <c r="AP26" s="19">
        <v>1455.74</v>
      </c>
      <c r="AQ26" s="18"/>
      <c r="AR26" s="19">
        <v>1795.74</v>
      </c>
      <c r="AS26" s="18"/>
      <c r="AT26" s="19">
        <v>2505.7399999999998</v>
      </c>
      <c r="AU26" s="18"/>
      <c r="AV26" s="19">
        <v>1650.95</v>
      </c>
      <c r="AW26" s="18"/>
      <c r="AX26" s="19">
        <v>2025.74</v>
      </c>
      <c r="AY26" s="18"/>
      <c r="AZ26" s="19">
        <v>2722.89</v>
      </c>
      <c r="BA26" s="18"/>
      <c r="BB26" s="19">
        <v>1870.74</v>
      </c>
      <c r="BC26" s="18"/>
      <c r="BD26" s="19">
        <v>1480.74</v>
      </c>
      <c r="BE26" s="18"/>
      <c r="BF26" s="19">
        <v>1430.74</v>
      </c>
      <c r="BG26" s="18"/>
      <c r="BH26" s="19">
        <v>1530.74</v>
      </c>
      <c r="BI26" s="18"/>
      <c r="BJ26" s="19">
        <v>1795.74</v>
      </c>
      <c r="BK26" s="18"/>
      <c r="BL26" s="19">
        <v>1655.74</v>
      </c>
      <c r="BM26" s="18"/>
      <c r="BN26" s="19">
        <v>1662.74</v>
      </c>
      <c r="BO26" s="18"/>
      <c r="BP26" s="19">
        <v>1795.74</v>
      </c>
      <c r="BQ26" s="18"/>
      <c r="BR26" s="19">
        <v>1455.74</v>
      </c>
      <c r="BS26" s="18"/>
      <c r="BT26" s="19">
        <v>2083.35</v>
      </c>
      <c r="BU26" s="18"/>
      <c r="BV26" s="19">
        <v>1795.74</v>
      </c>
      <c r="BW26" s="18"/>
      <c r="BX26" s="19">
        <v>1970.24</v>
      </c>
      <c r="BY26" s="18"/>
      <c r="BZ26" s="19">
        <v>3355.58</v>
      </c>
      <c r="CA26" s="18"/>
      <c r="CB26" s="19">
        <v>1455.74</v>
      </c>
      <c r="CC26" s="18"/>
      <c r="CD26" s="19">
        <v>1535.53</v>
      </c>
      <c r="CE26" s="18"/>
      <c r="CF26" s="19">
        <v>1795.74</v>
      </c>
      <c r="CG26" s="18"/>
      <c r="CH26" s="19">
        <v>1455.74</v>
      </c>
      <c r="CI26" s="18"/>
      <c r="CJ26" s="19">
        <v>1485.74</v>
      </c>
      <c r="CK26" s="18"/>
      <c r="CL26" s="19">
        <v>50</v>
      </c>
      <c r="CM26" s="18"/>
      <c r="CN26" s="19">
        <f t="shared" si="0"/>
        <v>76522.759999999995</v>
      </c>
    </row>
    <row r="27" spans="1:92" x14ac:dyDescent="0.3">
      <c r="A27" s="16"/>
      <c r="B27" s="16"/>
      <c r="C27" s="16"/>
      <c r="D27" s="16"/>
      <c r="E27" s="16" t="s">
        <v>102</v>
      </c>
      <c r="F27" s="16"/>
      <c r="G27" s="16"/>
      <c r="H27" s="19">
        <v>16.899999999999999</v>
      </c>
      <c r="I27" s="18"/>
      <c r="J27" s="19">
        <v>66.900000000000006</v>
      </c>
      <c r="K27" s="18"/>
      <c r="L27" s="19">
        <v>16.899999999999999</v>
      </c>
      <c r="M27" s="18"/>
      <c r="N27" s="19">
        <v>440.49</v>
      </c>
      <c r="O27" s="18"/>
      <c r="P27" s="19">
        <v>16.899999999999999</v>
      </c>
      <c r="Q27" s="18"/>
      <c r="R27" s="19">
        <v>16.899999999999999</v>
      </c>
      <c r="S27" s="18"/>
      <c r="T27" s="19">
        <v>16.899999999999999</v>
      </c>
      <c r="U27" s="18"/>
      <c r="V27" s="19">
        <v>16.899999999999999</v>
      </c>
      <c r="W27" s="18"/>
      <c r="X27" s="19">
        <v>175.9</v>
      </c>
      <c r="Y27" s="18"/>
      <c r="Z27" s="19">
        <v>16.899999999999999</v>
      </c>
      <c r="AA27" s="18"/>
      <c r="AB27" s="19">
        <v>16.899999999999999</v>
      </c>
      <c r="AC27" s="18"/>
      <c r="AD27" s="19">
        <v>0</v>
      </c>
      <c r="AE27" s="18"/>
      <c r="AF27" s="19">
        <v>0</v>
      </c>
      <c r="AG27" s="18"/>
      <c r="AH27" s="19">
        <v>8.4499999999999993</v>
      </c>
      <c r="AI27" s="18"/>
      <c r="AJ27" s="19">
        <v>8.4499999999999993</v>
      </c>
      <c r="AK27" s="18"/>
      <c r="AL27" s="19">
        <v>28.45</v>
      </c>
      <c r="AM27" s="18"/>
      <c r="AN27" s="19">
        <v>8.4499999999999993</v>
      </c>
      <c r="AO27" s="18"/>
      <c r="AP27" s="19">
        <v>8.4499999999999993</v>
      </c>
      <c r="AQ27" s="18"/>
      <c r="AR27" s="19">
        <v>8.4499999999999993</v>
      </c>
      <c r="AS27" s="18"/>
      <c r="AT27" s="19">
        <v>8.4499999999999993</v>
      </c>
      <c r="AU27" s="18"/>
      <c r="AV27" s="19">
        <v>8.4499999999999993</v>
      </c>
      <c r="AW27" s="18"/>
      <c r="AX27" s="19">
        <v>8.4499999999999993</v>
      </c>
      <c r="AY27" s="18"/>
      <c r="AZ27" s="19">
        <v>8.4499999999999993</v>
      </c>
      <c r="BA27" s="18"/>
      <c r="BB27" s="19">
        <v>8.4499999999999993</v>
      </c>
      <c r="BC27" s="18"/>
      <c r="BD27" s="19">
        <v>23.44</v>
      </c>
      <c r="BE27" s="18"/>
      <c r="BF27" s="19">
        <v>16.899999999999999</v>
      </c>
      <c r="BG27" s="18"/>
      <c r="BH27" s="19">
        <v>16.899999999999999</v>
      </c>
      <c r="BI27" s="18"/>
      <c r="BJ27" s="19">
        <v>440.49</v>
      </c>
      <c r="BK27" s="18"/>
      <c r="BL27" s="19">
        <v>16.899999999999999</v>
      </c>
      <c r="BM27" s="18"/>
      <c r="BN27" s="19">
        <v>16.899999999999999</v>
      </c>
      <c r="BO27" s="18"/>
      <c r="BP27" s="19">
        <v>391.9</v>
      </c>
      <c r="BQ27" s="18"/>
      <c r="BR27" s="19">
        <v>16.899999999999999</v>
      </c>
      <c r="BS27" s="18"/>
      <c r="BT27" s="19">
        <v>16.899999999999999</v>
      </c>
      <c r="BU27" s="18"/>
      <c r="BV27" s="19">
        <v>16.899999999999999</v>
      </c>
      <c r="BW27" s="18"/>
      <c r="BX27" s="19">
        <v>16.899999999999999</v>
      </c>
      <c r="BY27" s="18"/>
      <c r="BZ27" s="19">
        <v>16.899999999999999</v>
      </c>
      <c r="CA27" s="18"/>
      <c r="CB27" s="19">
        <v>16.899999999999999</v>
      </c>
      <c r="CC27" s="18"/>
      <c r="CD27" s="19">
        <v>16.899999999999999</v>
      </c>
      <c r="CE27" s="18"/>
      <c r="CF27" s="19">
        <v>16.899999999999999</v>
      </c>
      <c r="CG27" s="18"/>
      <c r="CH27" s="19">
        <v>16.899999999999999</v>
      </c>
      <c r="CI27" s="18"/>
      <c r="CJ27" s="19">
        <v>16.899999999999999</v>
      </c>
      <c r="CK27" s="18"/>
      <c r="CL27" s="19">
        <v>0</v>
      </c>
      <c r="CM27" s="18"/>
      <c r="CN27" s="19">
        <f t="shared" si="0"/>
        <v>2023.87</v>
      </c>
    </row>
    <row r="28" spans="1:92" x14ac:dyDescent="0.3">
      <c r="A28" s="16"/>
      <c r="B28" s="16"/>
      <c r="C28" s="16"/>
      <c r="D28" s="16"/>
      <c r="E28" s="16" t="s">
        <v>101</v>
      </c>
      <c r="F28" s="16"/>
      <c r="G28" s="16"/>
      <c r="H28" s="19">
        <v>0</v>
      </c>
      <c r="I28" s="18"/>
      <c r="J28" s="19">
        <v>0</v>
      </c>
      <c r="K28" s="18"/>
      <c r="L28" s="19">
        <v>0</v>
      </c>
      <c r="M28" s="18"/>
      <c r="N28" s="19">
        <v>0</v>
      </c>
      <c r="O28" s="18"/>
      <c r="P28" s="19">
        <v>0</v>
      </c>
      <c r="Q28" s="18"/>
      <c r="R28" s="19">
        <v>0</v>
      </c>
      <c r="S28" s="18"/>
      <c r="T28" s="19">
        <v>0</v>
      </c>
      <c r="U28" s="18"/>
      <c r="V28" s="19">
        <v>0</v>
      </c>
      <c r="W28" s="18"/>
      <c r="X28" s="19">
        <v>0</v>
      </c>
      <c r="Y28" s="18"/>
      <c r="Z28" s="19">
        <v>0</v>
      </c>
      <c r="AA28" s="18"/>
      <c r="AB28" s="19">
        <v>0</v>
      </c>
      <c r="AC28" s="18"/>
      <c r="AD28" s="19">
        <v>0</v>
      </c>
      <c r="AE28" s="18"/>
      <c r="AF28" s="19">
        <v>18.760000000000002</v>
      </c>
      <c r="AG28" s="18"/>
      <c r="AH28" s="19">
        <v>0</v>
      </c>
      <c r="AI28" s="18"/>
      <c r="AJ28" s="19">
        <v>4640.04</v>
      </c>
      <c r="AK28" s="18"/>
      <c r="AL28" s="19">
        <v>0</v>
      </c>
      <c r="AM28" s="18"/>
      <c r="AN28" s="19">
        <v>0</v>
      </c>
      <c r="AO28" s="18"/>
      <c r="AP28" s="19">
        <v>0</v>
      </c>
      <c r="AQ28" s="18"/>
      <c r="AR28" s="19">
        <v>0</v>
      </c>
      <c r="AS28" s="18"/>
      <c r="AT28" s="19">
        <v>0</v>
      </c>
      <c r="AU28" s="18"/>
      <c r="AV28" s="19">
        <v>0</v>
      </c>
      <c r="AW28" s="18"/>
      <c r="AX28" s="19">
        <v>0</v>
      </c>
      <c r="AY28" s="18"/>
      <c r="AZ28" s="19">
        <v>0</v>
      </c>
      <c r="BA28" s="18"/>
      <c r="BB28" s="19">
        <v>0</v>
      </c>
      <c r="BC28" s="18"/>
      <c r="BD28" s="19">
        <v>0</v>
      </c>
      <c r="BE28" s="18"/>
      <c r="BF28" s="19">
        <v>0</v>
      </c>
      <c r="BG28" s="18"/>
      <c r="BH28" s="19">
        <v>0</v>
      </c>
      <c r="BI28" s="18"/>
      <c r="BJ28" s="19">
        <v>0</v>
      </c>
      <c r="BK28" s="18"/>
      <c r="BL28" s="19">
        <v>0</v>
      </c>
      <c r="BM28" s="18"/>
      <c r="BN28" s="19">
        <v>0</v>
      </c>
      <c r="BO28" s="18"/>
      <c r="BP28" s="19">
        <v>0</v>
      </c>
      <c r="BQ28" s="18"/>
      <c r="BR28" s="19">
        <v>0</v>
      </c>
      <c r="BS28" s="18"/>
      <c r="BT28" s="19">
        <v>0</v>
      </c>
      <c r="BU28" s="18"/>
      <c r="BV28" s="19">
        <v>0</v>
      </c>
      <c r="BW28" s="18"/>
      <c r="BX28" s="19">
        <v>0</v>
      </c>
      <c r="BY28" s="18"/>
      <c r="BZ28" s="19">
        <v>0</v>
      </c>
      <c r="CA28" s="18"/>
      <c r="CB28" s="19">
        <v>0</v>
      </c>
      <c r="CC28" s="18"/>
      <c r="CD28" s="19">
        <v>0</v>
      </c>
      <c r="CE28" s="18"/>
      <c r="CF28" s="19">
        <v>0</v>
      </c>
      <c r="CG28" s="18"/>
      <c r="CH28" s="19">
        <v>0</v>
      </c>
      <c r="CI28" s="18"/>
      <c r="CJ28" s="19">
        <v>0</v>
      </c>
      <c r="CK28" s="18"/>
      <c r="CL28" s="19">
        <v>0</v>
      </c>
      <c r="CM28" s="18"/>
      <c r="CN28" s="19">
        <f t="shared" si="0"/>
        <v>4658.8</v>
      </c>
    </row>
    <row r="29" spans="1:92" x14ac:dyDescent="0.3">
      <c r="A29" s="16"/>
      <c r="B29" s="16"/>
      <c r="C29" s="16"/>
      <c r="D29" s="16"/>
      <c r="E29" s="16" t="s">
        <v>100</v>
      </c>
      <c r="F29" s="16"/>
      <c r="G29" s="16"/>
      <c r="H29" s="19"/>
      <c r="I29" s="18"/>
      <c r="J29" s="19"/>
      <c r="K29" s="18"/>
      <c r="L29" s="19"/>
      <c r="M29" s="18"/>
      <c r="N29" s="19"/>
      <c r="O29" s="18"/>
      <c r="P29" s="19"/>
      <c r="Q29" s="18"/>
      <c r="R29" s="19"/>
      <c r="S29" s="18"/>
      <c r="T29" s="19"/>
      <c r="U29" s="18"/>
      <c r="V29" s="19"/>
      <c r="W29" s="18"/>
      <c r="X29" s="19"/>
      <c r="Y29" s="18"/>
      <c r="Z29" s="19"/>
      <c r="AA29" s="18"/>
      <c r="AB29" s="19"/>
      <c r="AC29" s="18"/>
      <c r="AD29" s="19"/>
      <c r="AE29" s="18"/>
      <c r="AF29" s="19"/>
      <c r="AG29" s="18"/>
      <c r="AH29" s="19"/>
      <c r="AI29" s="18"/>
      <c r="AJ29" s="19"/>
      <c r="AK29" s="18"/>
      <c r="AL29" s="19"/>
      <c r="AM29" s="18"/>
      <c r="AN29" s="19"/>
      <c r="AO29" s="18"/>
      <c r="AP29" s="19"/>
      <c r="AQ29" s="18"/>
      <c r="AR29" s="19"/>
      <c r="AS29" s="18"/>
      <c r="AT29" s="19"/>
      <c r="AU29" s="18"/>
      <c r="AV29" s="19"/>
      <c r="AW29" s="18"/>
      <c r="AX29" s="19"/>
      <c r="AY29" s="18"/>
      <c r="AZ29" s="19"/>
      <c r="BA29" s="18"/>
      <c r="BB29" s="19"/>
      <c r="BC29" s="18"/>
      <c r="BD29" s="19"/>
      <c r="BE29" s="18"/>
      <c r="BF29" s="19"/>
      <c r="BG29" s="18"/>
      <c r="BH29" s="19"/>
      <c r="BI29" s="18"/>
      <c r="BJ29" s="19"/>
      <c r="BK29" s="18"/>
      <c r="BL29" s="19"/>
      <c r="BM29" s="18"/>
      <c r="BN29" s="19"/>
      <c r="BO29" s="18"/>
      <c r="BP29" s="19"/>
      <c r="BQ29" s="18"/>
      <c r="BR29" s="19"/>
      <c r="BS29" s="18"/>
      <c r="BT29" s="19"/>
      <c r="BU29" s="18"/>
      <c r="BV29" s="19"/>
      <c r="BW29" s="18"/>
      <c r="BX29" s="19"/>
      <c r="BY29" s="18"/>
      <c r="BZ29" s="19"/>
      <c r="CA29" s="18"/>
      <c r="CB29" s="19"/>
      <c r="CC29" s="18"/>
      <c r="CD29" s="19"/>
      <c r="CE29" s="18"/>
      <c r="CF29" s="19"/>
      <c r="CG29" s="18"/>
      <c r="CH29" s="19"/>
      <c r="CI29" s="18"/>
      <c r="CJ29" s="19"/>
      <c r="CK29" s="18"/>
      <c r="CL29" s="19"/>
      <c r="CM29" s="18"/>
      <c r="CN29" s="19"/>
    </row>
    <row r="30" spans="1:92" x14ac:dyDescent="0.3">
      <c r="A30" s="16"/>
      <c r="B30" s="16"/>
      <c r="C30" s="16"/>
      <c r="D30" s="16"/>
      <c r="E30" s="16"/>
      <c r="F30" s="16" t="s">
        <v>99</v>
      </c>
      <c r="G30" s="16"/>
      <c r="H30" s="19">
        <v>0</v>
      </c>
      <c r="I30" s="18"/>
      <c r="J30" s="19">
        <v>0</v>
      </c>
      <c r="K30" s="18"/>
      <c r="L30" s="19">
        <v>0</v>
      </c>
      <c r="M30" s="18"/>
      <c r="N30" s="19">
        <v>0</v>
      </c>
      <c r="O30" s="18"/>
      <c r="P30" s="19">
        <v>0</v>
      </c>
      <c r="Q30" s="18"/>
      <c r="R30" s="19">
        <v>0</v>
      </c>
      <c r="S30" s="18"/>
      <c r="T30" s="19">
        <v>0</v>
      </c>
      <c r="U30" s="18"/>
      <c r="V30" s="19">
        <v>0</v>
      </c>
      <c r="W30" s="18"/>
      <c r="X30" s="19">
        <v>0</v>
      </c>
      <c r="Y30" s="18"/>
      <c r="Z30" s="19">
        <v>0</v>
      </c>
      <c r="AA30" s="18"/>
      <c r="AB30" s="19">
        <v>0</v>
      </c>
      <c r="AC30" s="18"/>
      <c r="AD30" s="19">
        <v>0</v>
      </c>
      <c r="AE30" s="18"/>
      <c r="AF30" s="19">
        <v>0</v>
      </c>
      <c r="AG30" s="18"/>
      <c r="AH30" s="19">
        <v>0</v>
      </c>
      <c r="AI30" s="18"/>
      <c r="AJ30" s="19">
        <v>0</v>
      </c>
      <c r="AK30" s="18"/>
      <c r="AL30" s="19">
        <v>0</v>
      </c>
      <c r="AM30" s="18"/>
      <c r="AN30" s="19">
        <v>0</v>
      </c>
      <c r="AO30" s="18"/>
      <c r="AP30" s="19">
        <v>0</v>
      </c>
      <c r="AQ30" s="18"/>
      <c r="AR30" s="19">
        <v>0</v>
      </c>
      <c r="AS30" s="18"/>
      <c r="AT30" s="19">
        <v>0</v>
      </c>
      <c r="AU30" s="18"/>
      <c r="AV30" s="19">
        <v>0</v>
      </c>
      <c r="AW30" s="18"/>
      <c r="AX30" s="19">
        <v>0</v>
      </c>
      <c r="AY30" s="18"/>
      <c r="AZ30" s="19">
        <v>0</v>
      </c>
      <c r="BA30" s="18"/>
      <c r="BB30" s="19">
        <v>0</v>
      </c>
      <c r="BC30" s="18"/>
      <c r="BD30" s="19">
        <v>0</v>
      </c>
      <c r="BE30" s="18"/>
      <c r="BF30" s="19">
        <v>0</v>
      </c>
      <c r="BG30" s="18"/>
      <c r="BH30" s="19">
        <v>0</v>
      </c>
      <c r="BI30" s="18"/>
      <c r="BJ30" s="19">
        <v>0</v>
      </c>
      <c r="BK30" s="18"/>
      <c r="BL30" s="19">
        <v>0</v>
      </c>
      <c r="BM30" s="18"/>
      <c r="BN30" s="19">
        <v>0</v>
      </c>
      <c r="BO30" s="18"/>
      <c r="BP30" s="19">
        <v>0</v>
      </c>
      <c r="BQ30" s="18"/>
      <c r="BR30" s="19">
        <v>0</v>
      </c>
      <c r="BS30" s="18"/>
      <c r="BT30" s="19">
        <v>0</v>
      </c>
      <c r="BU30" s="18"/>
      <c r="BV30" s="19">
        <v>54.51</v>
      </c>
      <c r="BW30" s="18"/>
      <c r="BX30" s="19">
        <v>7.5</v>
      </c>
      <c r="BY30" s="18"/>
      <c r="BZ30" s="19">
        <v>0</v>
      </c>
      <c r="CA30" s="18"/>
      <c r="CB30" s="19">
        <v>0</v>
      </c>
      <c r="CC30" s="18"/>
      <c r="CD30" s="19">
        <v>0</v>
      </c>
      <c r="CE30" s="18"/>
      <c r="CF30" s="19">
        <v>0</v>
      </c>
      <c r="CG30" s="18"/>
      <c r="CH30" s="19">
        <v>0</v>
      </c>
      <c r="CI30" s="18"/>
      <c r="CJ30" s="19">
        <v>0</v>
      </c>
      <c r="CK30" s="18"/>
      <c r="CL30" s="19">
        <v>0</v>
      </c>
      <c r="CM30" s="18"/>
      <c r="CN30" s="19">
        <f>ROUND(SUM(H30:CL30),5)</f>
        <v>62.01</v>
      </c>
    </row>
    <row r="31" spans="1:92" ht="15" thickBot="1" x14ac:dyDescent="0.35">
      <c r="A31" s="16"/>
      <c r="B31" s="16"/>
      <c r="C31" s="16"/>
      <c r="D31" s="16"/>
      <c r="E31" s="16"/>
      <c r="F31" s="16" t="s">
        <v>98</v>
      </c>
      <c r="G31" s="16"/>
      <c r="H31" s="20">
        <v>0</v>
      </c>
      <c r="I31" s="18"/>
      <c r="J31" s="20">
        <v>0</v>
      </c>
      <c r="K31" s="18"/>
      <c r="L31" s="20">
        <v>0</v>
      </c>
      <c r="M31" s="18"/>
      <c r="N31" s="20">
        <v>0</v>
      </c>
      <c r="O31" s="18"/>
      <c r="P31" s="20">
        <v>0</v>
      </c>
      <c r="Q31" s="18"/>
      <c r="R31" s="20">
        <v>0</v>
      </c>
      <c r="S31" s="18"/>
      <c r="T31" s="20">
        <v>0</v>
      </c>
      <c r="U31" s="18"/>
      <c r="V31" s="20">
        <v>1069</v>
      </c>
      <c r="W31" s="18"/>
      <c r="X31" s="20">
        <v>117.02</v>
      </c>
      <c r="Y31" s="18"/>
      <c r="Z31" s="20">
        <v>0</v>
      </c>
      <c r="AA31" s="18"/>
      <c r="AB31" s="20">
        <v>0</v>
      </c>
      <c r="AC31" s="18"/>
      <c r="AD31" s="20">
        <v>0</v>
      </c>
      <c r="AE31" s="18"/>
      <c r="AF31" s="20">
        <v>0</v>
      </c>
      <c r="AG31" s="18"/>
      <c r="AH31" s="20">
        <v>0</v>
      </c>
      <c r="AI31" s="18"/>
      <c r="AJ31" s="20">
        <v>0</v>
      </c>
      <c r="AK31" s="18"/>
      <c r="AL31" s="20">
        <v>0</v>
      </c>
      <c r="AM31" s="18"/>
      <c r="AN31" s="20">
        <v>0</v>
      </c>
      <c r="AO31" s="18"/>
      <c r="AP31" s="20">
        <v>0</v>
      </c>
      <c r="AQ31" s="18"/>
      <c r="AR31" s="20">
        <v>0</v>
      </c>
      <c r="AS31" s="18"/>
      <c r="AT31" s="20">
        <v>0</v>
      </c>
      <c r="AU31" s="18"/>
      <c r="AV31" s="20">
        <v>0</v>
      </c>
      <c r="AW31" s="18"/>
      <c r="AX31" s="20">
        <v>0</v>
      </c>
      <c r="AY31" s="18"/>
      <c r="AZ31" s="20">
        <v>211.45</v>
      </c>
      <c r="BA31" s="18"/>
      <c r="BB31" s="20">
        <v>0</v>
      </c>
      <c r="BC31" s="18"/>
      <c r="BD31" s="20">
        <v>0</v>
      </c>
      <c r="BE31" s="18"/>
      <c r="BF31" s="20">
        <v>0</v>
      </c>
      <c r="BG31" s="18"/>
      <c r="BH31" s="20">
        <v>0</v>
      </c>
      <c r="BI31" s="18"/>
      <c r="BJ31" s="20">
        <v>0</v>
      </c>
      <c r="BK31" s="18"/>
      <c r="BL31" s="20">
        <v>0</v>
      </c>
      <c r="BM31" s="18"/>
      <c r="BN31" s="20">
        <v>0</v>
      </c>
      <c r="BO31" s="18"/>
      <c r="BP31" s="20">
        <v>0</v>
      </c>
      <c r="BQ31" s="18"/>
      <c r="BR31" s="20">
        <v>110.96</v>
      </c>
      <c r="BS31" s="18"/>
      <c r="BT31" s="20">
        <v>0</v>
      </c>
      <c r="BU31" s="18"/>
      <c r="BV31" s="20">
        <v>0</v>
      </c>
      <c r="BW31" s="18"/>
      <c r="BX31" s="20">
        <v>111.27</v>
      </c>
      <c r="BY31" s="18"/>
      <c r="BZ31" s="20">
        <v>218.09</v>
      </c>
      <c r="CA31" s="18"/>
      <c r="CB31" s="20">
        <v>0</v>
      </c>
      <c r="CC31" s="18"/>
      <c r="CD31" s="20">
        <v>0</v>
      </c>
      <c r="CE31" s="18"/>
      <c r="CF31" s="20">
        <v>0</v>
      </c>
      <c r="CG31" s="18"/>
      <c r="CH31" s="20">
        <v>0</v>
      </c>
      <c r="CI31" s="18"/>
      <c r="CJ31" s="20">
        <v>909.65</v>
      </c>
      <c r="CK31" s="18"/>
      <c r="CL31" s="20">
        <v>0</v>
      </c>
      <c r="CM31" s="18"/>
      <c r="CN31" s="20">
        <f>ROUND(SUM(H31:CL31),5)</f>
        <v>2747.44</v>
      </c>
    </row>
    <row r="32" spans="1:92" x14ac:dyDescent="0.3">
      <c r="A32" s="16"/>
      <c r="B32" s="16"/>
      <c r="C32" s="16"/>
      <c r="D32" s="16"/>
      <c r="E32" s="16" t="s">
        <v>97</v>
      </c>
      <c r="F32" s="16"/>
      <c r="G32" s="16"/>
      <c r="H32" s="19">
        <f>ROUND(SUM(H29:H31),5)</f>
        <v>0</v>
      </c>
      <c r="I32" s="18"/>
      <c r="J32" s="19">
        <f>ROUND(SUM(J29:J31),5)</f>
        <v>0</v>
      </c>
      <c r="K32" s="18"/>
      <c r="L32" s="19">
        <f>ROUND(SUM(L29:L31),5)</f>
        <v>0</v>
      </c>
      <c r="M32" s="18"/>
      <c r="N32" s="19">
        <f>ROUND(SUM(N29:N31),5)</f>
        <v>0</v>
      </c>
      <c r="O32" s="18"/>
      <c r="P32" s="19">
        <f>ROUND(SUM(P29:P31),5)</f>
        <v>0</v>
      </c>
      <c r="Q32" s="18"/>
      <c r="R32" s="19">
        <f>ROUND(SUM(R29:R31),5)</f>
        <v>0</v>
      </c>
      <c r="S32" s="18"/>
      <c r="T32" s="19">
        <f>ROUND(SUM(T29:T31),5)</f>
        <v>0</v>
      </c>
      <c r="U32" s="18"/>
      <c r="V32" s="19">
        <f>ROUND(SUM(V29:V31),5)</f>
        <v>1069</v>
      </c>
      <c r="W32" s="18"/>
      <c r="X32" s="19">
        <f>ROUND(SUM(X29:X31),5)</f>
        <v>117.02</v>
      </c>
      <c r="Y32" s="18"/>
      <c r="Z32" s="19">
        <f>ROUND(SUM(Z29:Z31),5)</f>
        <v>0</v>
      </c>
      <c r="AA32" s="18"/>
      <c r="AB32" s="19">
        <f>ROUND(SUM(AB29:AB31),5)</f>
        <v>0</v>
      </c>
      <c r="AC32" s="18"/>
      <c r="AD32" s="19">
        <f>ROUND(SUM(AD29:AD31),5)</f>
        <v>0</v>
      </c>
      <c r="AE32" s="18"/>
      <c r="AF32" s="19">
        <f>ROUND(SUM(AF29:AF31),5)</f>
        <v>0</v>
      </c>
      <c r="AG32" s="18"/>
      <c r="AH32" s="19">
        <f>ROUND(SUM(AH29:AH31),5)</f>
        <v>0</v>
      </c>
      <c r="AI32" s="18"/>
      <c r="AJ32" s="19">
        <f>ROUND(SUM(AJ29:AJ31),5)</f>
        <v>0</v>
      </c>
      <c r="AK32" s="18"/>
      <c r="AL32" s="19">
        <f>ROUND(SUM(AL29:AL31),5)</f>
        <v>0</v>
      </c>
      <c r="AM32" s="18"/>
      <c r="AN32" s="19">
        <f>ROUND(SUM(AN29:AN31),5)</f>
        <v>0</v>
      </c>
      <c r="AO32" s="18"/>
      <c r="AP32" s="19">
        <f>ROUND(SUM(AP29:AP31),5)</f>
        <v>0</v>
      </c>
      <c r="AQ32" s="18"/>
      <c r="AR32" s="19">
        <f>ROUND(SUM(AR29:AR31),5)</f>
        <v>0</v>
      </c>
      <c r="AS32" s="18"/>
      <c r="AT32" s="19">
        <f>ROUND(SUM(AT29:AT31),5)</f>
        <v>0</v>
      </c>
      <c r="AU32" s="18"/>
      <c r="AV32" s="19">
        <f>ROUND(SUM(AV29:AV31),5)</f>
        <v>0</v>
      </c>
      <c r="AW32" s="18"/>
      <c r="AX32" s="19">
        <f>ROUND(SUM(AX29:AX31),5)</f>
        <v>0</v>
      </c>
      <c r="AY32" s="18"/>
      <c r="AZ32" s="19">
        <f>ROUND(SUM(AZ29:AZ31),5)</f>
        <v>211.45</v>
      </c>
      <c r="BA32" s="18"/>
      <c r="BB32" s="19">
        <f>ROUND(SUM(BB29:BB31),5)</f>
        <v>0</v>
      </c>
      <c r="BC32" s="18"/>
      <c r="BD32" s="19">
        <f>ROUND(SUM(BD29:BD31),5)</f>
        <v>0</v>
      </c>
      <c r="BE32" s="18"/>
      <c r="BF32" s="19">
        <f>ROUND(SUM(BF29:BF31),5)</f>
        <v>0</v>
      </c>
      <c r="BG32" s="18"/>
      <c r="BH32" s="19">
        <f>ROUND(SUM(BH29:BH31),5)</f>
        <v>0</v>
      </c>
      <c r="BI32" s="18"/>
      <c r="BJ32" s="19">
        <f>ROUND(SUM(BJ29:BJ31),5)</f>
        <v>0</v>
      </c>
      <c r="BK32" s="18"/>
      <c r="BL32" s="19">
        <f>ROUND(SUM(BL29:BL31),5)</f>
        <v>0</v>
      </c>
      <c r="BM32" s="18"/>
      <c r="BN32" s="19">
        <f>ROUND(SUM(BN29:BN31),5)</f>
        <v>0</v>
      </c>
      <c r="BO32" s="18"/>
      <c r="BP32" s="19">
        <f>ROUND(SUM(BP29:BP31),5)</f>
        <v>0</v>
      </c>
      <c r="BQ32" s="18"/>
      <c r="BR32" s="19">
        <f>ROUND(SUM(BR29:BR31),5)</f>
        <v>110.96</v>
      </c>
      <c r="BS32" s="18"/>
      <c r="BT32" s="19">
        <f>ROUND(SUM(BT29:BT31),5)</f>
        <v>0</v>
      </c>
      <c r="BU32" s="18"/>
      <c r="BV32" s="19">
        <f>ROUND(SUM(BV29:BV31),5)</f>
        <v>54.51</v>
      </c>
      <c r="BW32" s="18"/>
      <c r="BX32" s="19">
        <f>ROUND(SUM(BX29:BX31),5)</f>
        <v>118.77</v>
      </c>
      <c r="BY32" s="18"/>
      <c r="BZ32" s="19">
        <f>ROUND(SUM(BZ29:BZ31),5)</f>
        <v>218.09</v>
      </c>
      <c r="CA32" s="18"/>
      <c r="CB32" s="19">
        <f>ROUND(SUM(CB29:CB31),5)</f>
        <v>0</v>
      </c>
      <c r="CC32" s="18"/>
      <c r="CD32" s="19">
        <f>ROUND(SUM(CD29:CD31),5)</f>
        <v>0</v>
      </c>
      <c r="CE32" s="18"/>
      <c r="CF32" s="19">
        <f>ROUND(SUM(CF29:CF31),5)</f>
        <v>0</v>
      </c>
      <c r="CG32" s="18"/>
      <c r="CH32" s="19">
        <f>ROUND(SUM(CH29:CH31),5)</f>
        <v>0</v>
      </c>
      <c r="CI32" s="18"/>
      <c r="CJ32" s="19">
        <f>ROUND(SUM(CJ29:CJ31),5)</f>
        <v>909.65</v>
      </c>
      <c r="CK32" s="18"/>
      <c r="CL32" s="19">
        <f>ROUND(SUM(CL29:CL31),5)</f>
        <v>0</v>
      </c>
      <c r="CM32" s="18"/>
      <c r="CN32" s="19">
        <f>ROUND(SUM(H32:CL32),5)</f>
        <v>2809.45</v>
      </c>
    </row>
    <row r="33" spans="1:92" x14ac:dyDescent="0.3">
      <c r="A33" s="16"/>
      <c r="B33" s="16"/>
      <c r="C33" s="16"/>
      <c r="D33" s="16"/>
      <c r="E33" s="16" t="s">
        <v>96</v>
      </c>
      <c r="F33" s="16"/>
      <c r="G33" s="16"/>
      <c r="H33" s="19">
        <v>1244.76</v>
      </c>
      <c r="I33" s="18"/>
      <c r="J33" s="19">
        <v>964.97</v>
      </c>
      <c r="K33" s="18"/>
      <c r="L33" s="19">
        <v>1799.44</v>
      </c>
      <c r="M33" s="18"/>
      <c r="N33" s="19">
        <v>1605.24</v>
      </c>
      <c r="O33" s="18"/>
      <c r="P33" s="19">
        <v>1399.65</v>
      </c>
      <c r="Q33" s="18"/>
      <c r="R33" s="19">
        <v>1672.31</v>
      </c>
      <c r="S33" s="18"/>
      <c r="T33" s="19">
        <v>1612.98</v>
      </c>
      <c r="U33" s="18"/>
      <c r="V33" s="19">
        <v>1782.7</v>
      </c>
      <c r="W33" s="18"/>
      <c r="X33" s="19">
        <v>1529.38</v>
      </c>
      <c r="Y33" s="18"/>
      <c r="Z33" s="19">
        <v>1908.94</v>
      </c>
      <c r="AA33" s="18"/>
      <c r="AB33" s="19">
        <v>2031.86</v>
      </c>
      <c r="AC33" s="18"/>
      <c r="AD33" s="19">
        <v>1586.53</v>
      </c>
      <c r="AE33" s="18"/>
      <c r="AF33" s="19">
        <v>1626.86</v>
      </c>
      <c r="AG33" s="18"/>
      <c r="AH33" s="19">
        <v>1693.48</v>
      </c>
      <c r="AI33" s="18"/>
      <c r="AJ33" s="19">
        <v>2188.63</v>
      </c>
      <c r="AK33" s="18"/>
      <c r="AL33" s="19">
        <v>2104.23</v>
      </c>
      <c r="AM33" s="18"/>
      <c r="AN33" s="19">
        <v>2688.53</v>
      </c>
      <c r="AO33" s="18"/>
      <c r="AP33" s="19">
        <v>3307.08</v>
      </c>
      <c r="AQ33" s="18"/>
      <c r="AR33" s="19">
        <v>3568.54</v>
      </c>
      <c r="AS33" s="18"/>
      <c r="AT33" s="19">
        <v>4236.8100000000004</v>
      </c>
      <c r="AU33" s="18"/>
      <c r="AV33" s="19">
        <v>2251.06</v>
      </c>
      <c r="AW33" s="18"/>
      <c r="AX33" s="19">
        <v>2480.89</v>
      </c>
      <c r="AY33" s="18"/>
      <c r="AZ33" s="19">
        <v>2474.54</v>
      </c>
      <c r="BA33" s="18"/>
      <c r="BB33" s="19">
        <v>1494.85</v>
      </c>
      <c r="BC33" s="18"/>
      <c r="BD33" s="19">
        <v>1427.65</v>
      </c>
      <c r="BE33" s="18"/>
      <c r="BF33" s="19">
        <v>1935.2</v>
      </c>
      <c r="BG33" s="18"/>
      <c r="BH33" s="19">
        <v>2078.08</v>
      </c>
      <c r="BI33" s="18"/>
      <c r="BJ33" s="19">
        <v>1748.1</v>
      </c>
      <c r="BK33" s="18"/>
      <c r="BL33" s="19">
        <v>2160.71</v>
      </c>
      <c r="BM33" s="18"/>
      <c r="BN33" s="19">
        <v>2668.45</v>
      </c>
      <c r="BO33" s="18"/>
      <c r="BP33" s="19">
        <v>2920.86</v>
      </c>
      <c r="BQ33" s="18"/>
      <c r="BR33" s="19">
        <v>3171.68</v>
      </c>
      <c r="BS33" s="18"/>
      <c r="BT33" s="19">
        <v>2255.87</v>
      </c>
      <c r="BU33" s="18"/>
      <c r="BV33" s="19">
        <v>2179.84</v>
      </c>
      <c r="BW33" s="18"/>
      <c r="BX33" s="19">
        <v>1770.01</v>
      </c>
      <c r="BY33" s="18"/>
      <c r="BZ33" s="19">
        <v>1104.1400000000001</v>
      </c>
      <c r="CA33" s="18"/>
      <c r="CB33" s="19">
        <v>1337.94</v>
      </c>
      <c r="CC33" s="18"/>
      <c r="CD33" s="19">
        <v>1411.72</v>
      </c>
      <c r="CE33" s="18"/>
      <c r="CF33" s="19">
        <v>1317.12</v>
      </c>
      <c r="CG33" s="18"/>
      <c r="CH33" s="19">
        <v>1753.98</v>
      </c>
      <c r="CI33" s="18"/>
      <c r="CJ33" s="19">
        <v>1625.17</v>
      </c>
      <c r="CK33" s="18"/>
      <c r="CL33" s="19">
        <v>0</v>
      </c>
      <c r="CM33" s="18"/>
      <c r="CN33" s="19">
        <f>ROUND(SUM(H33:CL33),5)</f>
        <v>82120.78</v>
      </c>
    </row>
    <row r="34" spans="1:92" x14ac:dyDescent="0.3">
      <c r="A34" s="16"/>
      <c r="B34" s="16"/>
      <c r="C34" s="16"/>
      <c r="D34" s="16"/>
      <c r="E34" s="16" t="s">
        <v>95</v>
      </c>
      <c r="F34" s="16"/>
      <c r="G34" s="16"/>
      <c r="H34" s="19"/>
      <c r="I34" s="18"/>
      <c r="J34" s="19"/>
      <c r="K34" s="18"/>
      <c r="L34" s="19"/>
      <c r="M34" s="18"/>
      <c r="N34" s="19"/>
      <c r="O34" s="18"/>
      <c r="P34" s="19"/>
      <c r="Q34" s="18"/>
      <c r="R34" s="19"/>
      <c r="S34" s="18"/>
      <c r="T34" s="19"/>
      <c r="U34" s="18"/>
      <c r="V34" s="19"/>
      <c r="W34" s="18"/>
      <c r="X34" s="19"/>
      <c r="Y34" s="18"/>
      <c r="Z34" s="19"/>
      <c r="AA34" s="18"/>
      <c r="AB34" s="19"/>
      <c r="AC34" s="18"/>
      <c r="AD34" s="19"/>
      <c r="AE34" s="18"/>
      <c r="AF34" s="19"/>
      <c r="AG34" s="18"/>
      <c r="AH34" s="19"/>
      <c r="AI34" s="18"/>
      <c r="AJ34" s="19"/>
      <c r="AK34" s="18"/>
      <c r="AL34" s="19"/>
      <c r="AM34" s="18"/>
      <c r="AN34" s="19"/>
      <c r="AO34" s="18"/>
      <c r="AP34" s="19"/>
      <c r="AQ34" s="18"/>
      <c r="AR34" s="19"/>
      <c r="AS34" s="18"/>
      <c r="AT34" s="19"/>
      <c r="AU34" s="18"/>
      <c r="AV34" s="19"/>
      <c r="AW34" s="18"/>
      <c r="AX34" s="19"/>
      <c r="AY34" s="18"/>
      <c r="AZ34" s="19"/>
      <c r="BA34" s="18"/>
      <c r="BB34" s="19"/>
      <c r="BC34" s="18"/>
      <c r="BD34" s="19"/>
      <c r="BE34" s="18"/>
      <c r="BF34" s="19"/>
      <c r="BG34" s="18"/>
      <c r="BH34" s="19"/>
      <c r="BI34" s="18"/>
      <c r="BJ34" s="19"/>
      <c r="BK34" s="18"/>
      <c r="BL34" s="19"/>
      <c r="BM34" s="18"/>
      <c r="BN34" s="19"/>
      <c r="BO34" s="18"/>
      <c r="BP34" s="19"/>
      <c r="BQ34" s="18"/>
      <c r="BR34" s="19"/>
      <c r="BS34" s="18"/>
      <c r="BT34" s="19"/>
      <c r="BU34" s="18"/>
      <c r="BV34" s="19"/>
      <c r="BW34" s="18"/>
      <c r="BX34" s="19"/>
      <c r="BY34" s="18"/>
      <c r="BZ34" s="19"/>
      <c r="CA34" s="18"/>
      <c r="CB34" s="19"/>
      <c r="CC34" s="18"/>
      <c r="CD34" s="19"/>
      <c r="CE34" s="18"/>
      <c r="CF34" s="19"/>
      <c r="CG34" s="18"/>
      <c r="CH34" s="19"/>
      <c r="CI34" s="18"/>
      <c r="CJ34" s="19"/>
      <c r="CK34" s="18"/>
      <c r="CL34" s="19"/>
      <c r="CM34" s="18"/>
      <c r="CN34" s="19"/>
    </row>
    <row r="35" spans="1:92" x14ac:dyDescent="0.3">
      <c r="A35" s="16"/>
      <c r="B35" s="16"/>
      <c r="C35" s="16"/>
      <c r="D35" s="16"/>
      <c r="E35" s="16"/>
      <c r="F35" s="16" t="s">
        <v>94</v>
      </c>
      <c r="G35" s="16"/>
      <c r="H35" s="19">
        <v>0</v>
      </c>
      <c r="I35" s="18"/>
      <c r="J35" s="19">
        <v>0</v>
      </c>
      <c r="K35" s="18"/>
      <c r="L35" s="19">
        <v>0</v>
      </c>
      <c r="M35" s="18"/>
      <c r="N35" s="19">
        <v>0</v>
      </c>
      <c r="O35" s="18"/>
      <c r="P35" s="19">
        <v>0</v>
      </c>
      <c r="Q35" s="18"/>
      <c r="R35" s="19">
        <v>0</v>
      </c>
      <c r="S35" s="18"/>
      <c r="T35" s="19">
        <v>312.88</v>
      </c>
      <c r="U35" s="18"/>
      <c r="V35" s="19">
        <v>0</v>
      </c>
      <c r="W35" s="18"/>
      <c r="X35" s="19">
        <v>0</v>
      </c>
      <c r="Y35" s="18"/>
      <c r="Z35" s="19">
        <v>0</v>
      </c>
      <c r="AA35" s="18"/>
      <c r="AB35" s="19">
        <v>0</v>
      </c>
      <c r="AC35" s="18"/>
      <c r="AD35" s="19">
        <v>0</v>
      </c>
      <c r="AE35" s="18"/>
      <c r="AF35" s="19">
        <v>0</v>
      </c>
      <c r="AG35" s="18"/>
      <c r="AH35" s="19">
        <v>0</v>
      </c>
      <c r="AI35" s="18"/>
      <c r="AJ35" s="19">
        <v>0</v>
      </c>
      <c r="AK35" s="18"/>
      <c r="AL35" s="19">
        <v>0</v>
      </c>
      <c r="AM35" s="18"/>
      <c r="AN35" s="19">
        <v>0</v>
      </c>
      <c r="AO35" s="18"/>
      <c r="AP35" s="19">
        <v>0</v>
      </c>
      <c r="AQ35" s="18"/>
      <c r="AR35" s="19">
        <v>1721.84</v>
      </c>
      <c r="AS35" s="18"/>
      <c r="AT35" s="19">
        <v>0</v>
      </c>
      <c r="AU35" s="18"/>
      <c r="AV35" s="19">
        <v>0</v>
      </c>
      <c r="AW35" s="18"/>
      <c r="AX35" s="19">
        <v>0</v>
      </c>
      <c r="AY35" s="18"/>
      <c r="AZ35" s="19">
        <v>0</v>
      </c>
      <c r="BA35" s="18"/>
      <c r="BB35" s="19">
        <v>614.77</v>
      </c>
      <c r="BC35" s="18"/>
      <c r="BD35" s="19">
        <v>0</v>
      </c>
      <c r="BE35" s="18"/>
      <c r="BF35" s="19">
        <v>0</v>
      </c>
      <c r="BG35" s="18"/>
      <c r="BH35" s="19">
        <v>0</v>
      </c>
      <c r="BI35" s="18"/>
      <c r="BJ35" s="19">
        <v>0</v>
      </c>
      <c r="BK35" s="18"/>
      <c r="BL35" s="19">
        <v>0</v>
      </c>
      <c r="BM35" s="18"/>
      <c r="BN35" s="19">
        <v>0</v>
      </c>
      <c r="BO35" s="18"/>
      <c r="BP35" s="19">
        <v>1679.15</v>
      </c>
      <c r="BQ35" s="18"/>
      <c r="BR35" s="19">
        <v>0</v>
      </c>
      <c r="BS35" s="18"/>
      <c r="BT35" s="19">
        <v>0</v>
      </c>
      <c r="BU35" s="18"/>
      <c r="BV35" s="19">
        <v>0</v>
      </c>
      <c r="BW35" s="18"/>
      <c r="BX35" s="19">
        <v>0</v>
      </c>
      <c r="BY35" s="18"/>
      <c r="BZ35" s="19">
        <v>335.4</v>
      </c>
      <c r="CA35" s="18"/>
      <c r="CB35" s="19">
        <v>0</v>
      </c>
      <c r="CC35" s="18"/>
      <c r="CD35" s="19">
        <v>0</v>
      </c>
      <c r="CE35" s="18"/>
      <c r="CF35" s="19">
        <v>0</v>
      </c>
      <c r="CG35" s="18"/>
      <c r="CH35" s="19">
        <v>0</v>
      </c>
      <c r="CI35" s="18"/>
      <c r="CJ35" s="19">
        <v>0</v>
      </c>
      <c r="CK35" s="18"/>
      <c r="CL35" s="19">
        <v>0</v>
      </c>
      <c r="CM35" s="18"/>
      <c r="CN35" s="19">
        <f>ROUND(SUM(H35:CL35),5)</f>
        <v>4664.04</v>
      </c>
    </row>
    <row r="36" spans="1:92" ht="15" thickBot="1" x14ac:dyDescent="0.35">
      <c r="A36" s="16"/>
      <c r="B36" s="16"/>
      <c r="C36" s="16"/>
      <c r="D36" s="16"/>
      <c r="E36" s="16"/>
      <c r="F36" s="16" t="s">
        <v>93</v>
      </c>
      <c r="G36" s="16"/>
      <c r="H36" s="20">
        <v>0</v>
      </c>
      <c r="I36" s="18"/>
      <c r="J36" s="20">
        <v>0</v>
      </c>
      <c r="K36" s="18"/>
      <c r="L36" s="20">
        <v>0</v>
      </c>
      <c r="M36" s="18"/>
      <c r="N36" s="20">
        <v>0</v>
      </c>
      <c r="O36" s="18"/>
      <c r="P36" s="20">
        <v>0</v>
      </c>
      <c r="Q36" s="18"/>
      <c r="R36" s="20">
        <v>0</v>
      </c>
      <c r="S36" s="18"/>
      <c r="T36" s="20">
        <v>1470.93</v>
      </c>
      <c r="U36" s="18"/>
      <c r="V36" s="20">
        <v>0</v>
      </c>
      <c r="W36" s="18"/>
      <c r="X36" s="20">
        <v>405.32</v>
      </c>
      <c r="Y36" s="18"/>
      <c r="Z36" s="20">
        <v>91.03</v>
      </c>
      <c r="AA36" s="18"/>
      <c r="AB36" s="20">
        <v>0</v>
      </c>
      <c r="AC36" s="18"/>
      <c r="AD36" s="20">
        <v>534.46</v>
      </c>
      <c r="AE36" s="18"/>
      <c r="AF36" s="20">
        <v>0</v>
      </c>
      <c r="AG36" s="18"/>
      <c r="AH36" s="20">
        <v>0</v>
      </c>
      <c r="AI36" s="18"/>
      <c r="AJ36" s="20">
        <v>0</v>
      </c>
      <c r="AK36" s="18"/>
      <c r="AL36" s="20">
        <v>0</v>
      </c>
      <c r="AM36" s="18"/>
      <c r="AN36" s="20">
        <v>21.86</v>
      </c>
      <c r="AO36" s="18"/>
      <c r="AP36" s="20">
        <v>0</v>
      </c>
      <c r="AQ36" s="18"/>
      <c r="AR36" s="20">
        <v>0</v>
      </c>
      <c r="AS36" s="18"/>
      <c r="AT36" s="20">
        <v>0</v>
      </c>
      <c r="AU36" s="18"/>
      <c r="AV36" s="20">
        <v>0</v>
      </c>
      <c r="AW36" s="18"/>
      <c r="AX36" s="20">
        <v>165.88</v>
      </c>
      <c r="AY36" s="18"/>
      <c r="AZ36" s="20">
        <v>0</v>
      </c>
      <c r="BA36" s="18"/>
      <c r="BB36" s="20">
        <v>292.72000000000003</v>
      </c>
      <c r="BC36" s="18"/>
      <c r="BD36" s="20">
        <v>0</v>
      </c>
      <c r="BE36" s="18"/>
      <c r="BF36" s="20">
        <v>0</v>
      </c>
      <c r="BG36" s="18"/>
      <c r="BH36" s="20">
        <v>0</v>
      </c>
      <c r="BI36" s="18"/>
      <c r="BJ36" s="20">
        <v>0</v>
      </c>
      <c r="BK36" s="18"/>
      <c r="BL36" s="20">
        <v>0</v>
      </c>
      <c r="BM36" s="18"/>
      <c r="BN36" s="20">
        <v>0</v>
      </c>
      <c r="BO36" s="18"/>
      <c r="BP36" s="20">
        <v>0</v>
      </c>
      <c r="BQ36" s="18"/>
      <c r="BR36" s="20">
        <v>0</v>
      </c>
      <c r="BS36" s="18"/>
      <c r="BT36" s="20">
        <v>0</v>
      </c>
      <c r="BU36" s="18"/>
      <c r="BV36" s="20">
        <v>0</v>
      </c>
      <c r="BW36" s="18"/>
      <c r="BX36" s="20">
        <v>0</v>
      </c>
      <c r="BY36" s="18"/>
      <c r="BZ36" s="20">
        <v>632.95000000000005</v>
      </c>
      <c r="CA36" s="18"/>
      <c r="CB36" s="20">
        <v>0</v>
      </c>
      <c r="CC36" s="18"/>
      <c r="CD36" s="20">
        <v>25.67</v>
      </c>
      <c r="CE36" s="18"/>
      <c r="CF36" s="20">
        <v>0</v>
      </c>
      <c r="CG36" s="18"/>
      <c r="CH36" s="20">
        <v>0</v>
      </c>
      <c r="CI36" s="18"/>
      <c r="CJ36" s="20">
        <v>0</v>
      </c>
      <c r="CK36" s="18"/>
      <c r="CL36" s="20">
        <v>0</v>
      </c>
      <c r="CM36" s="18"/>
      <c r="CN36" s="20">
        <f>ROUND(SUM(H36:CL36),5)</f>
        <v>3640.82</v>
      </c>
    </row>
    <row r="37" spans="1:92" x14ac:dyDescent="0.3">
      <c r="A37" s="16"/>
      <c r="B37" s="16"/>
      <c r="C37" s="16"/>
      <c r="D37" s="16"/>
      <c r="E37" s="16" t="s">
        <v>92</v>
      </c>
      <c r="F37" s="16"/>
      <c r="G37" s="16"/>
      <c r="H37" s="19">
        <f>ROUND(SUM(H34:H36),5)</f>
        <v>0</v>
      </c>
      <c r="I37" s="18"/>
      <c r="J37" s="19">
        <f>ROUND(SUM(J34:J36),5)</f>
        <v>0</v>
      </c>
      <c r="K37" s="18"/>
      <c r="L37" s="19">
        <f>ROUND(SUM(L34:L36),5)</f>
        <v>0</v>
      </c>
      <c r="M37" s="18"/>
      <c r="N37" s="19">
        <f>ROUND(SUM(N34:N36),5)</f>
        <v>0</v>
      </c>
      <c r="O37" s="18"/>
      <c r="P37" s="19">
        <f>ROUND(SUM(P34:P36),5)</f>
        <v>0</v>
      </c>
      <c r="Q37" s="18"/>
      <c r="R37" s="19">
        <f>ROUND(SUM(R34:R36),5)</f>
        <v>0</v>
      </c>
      <c r="S37" s="18"/>
      <c r="T37" s="19">
        <f>ROUND(SUM(T34:T36),5)</f>
        <v>1783.81</v>
      </c>
      <c r="U37" s="18"/>
      <c r="V37" s="19">
        <f>ROUND(SUM(V34:V36),5)</f>
        <v>0</v>
      </c>
      <c r="W37" s="18"/>
      <c r="X37" s="19">
        <f>ROUND(SUM(X34:X36),5)</f>
        <v>405.32</v>
      </c>
      <c r="Y37" s="18"/>
      <c r="Z37" s="19">
        <f>ROUND(SUM(Z34:Z36),5)</f>
        <v>91.03</v>
      </c>
      <c r="AA37" s="18"/>
      <c r="AB37" s="19">
        <f>ROUND(SUM(AB34:AB36),5)</f>
        <v>0</v>
      </c>
      <c r="AC37" s="18"/>
      <c r="AD37" s="19">
        <f>ROUND(SUM(AD34:AD36),5)</f>
        <v>534.46</v>
      </c>
      <c r="AE37" s="18"/>
      <c r="AF37" s="19">
        <f>ROUND(SUM(AF34:AF36),5)</f>
        <v>0</v>
      </c>
      <c r="AG37" s="18"/>
      <c r="AH37" s="19">
        <f>ROUND(SUM(AH34:AH36),5)</f>
        <v>0</v>
      </c>
      <c r="AI37" s="18"/>
      <c r="AJ37" s="19">
        <f>ROUND(SUM(AJ34:AJ36),5)</f>
        <v>0</v>
      </c>
      <c r="AK37" s="18"/>
      <c r="AL37" s="19">
        <f>ROUND(SUM(AL34:AL36),5)</f>
        <v>0</v>
      </c>
      <c r="AM37" s="18"/>
      <c r="AN37" s="19">
        <f>ROUND(SUM(AN34:AN36),5)</f>
        <v>21.86</v>
      </c>
      <c r="AO37" s="18"/>
      <c r="AP37" s="19">
        <f>ROUND(SUM(AP34:AP36),5)</f>
        <v>0</v>
      </c>
      <c r="AQ37" s="18"/>
      <c r="AR37" s="19">
        <f>ROUND(SUM(AR34:AR36),5)</f>
        <v>1721.84</v>
      </c>
      <c r="AS37" s="18"/>
      <c r="AT37" s="19">
        <f>ROUND(SUM(AT34:AT36),5)</f>
        <v>0</v>
      </c>
      <c r="AU37" s="18"/>
      <c r="AV37" s="19">
        <f>ROUND(SUM(AV34:AV36),5)</f>
        <v>0</v>
      </c>
      <c r="AW37" s="18"/>
      <c r="AX37" s="19">
        <f>ROUND(SUM(AX34:AX36),5)</f>
        <v>165.88</v>
      </c>
      <c r="AY37" s="18"/>
      <c r="AZ37" s="19">
        <f>ROUND(SUM(AZ34:AZ36),5)</f>
        <v>0</v>
      </c>
      <c r="BA37" s="18"/>
      <c r="BB37" s="19">
        <f>ROUND(SUM(BB34:BB36),5)</f>
        <v>907.49</v>
      </c>
      <c r="BC37" s="18"/>
      <c r="BD37" s="19">
        <f>ROUND(SUM(BD34:BD36),5)</f>
        <v>0</v>
      </c>
      <c r="BE37" s="18"/>
      <c r="BF37" s="19">
        <f>ROUND(SUM(BF34:BF36),5)</f>
        <v>0</v>
      </c>
      <c r="BG37" s="18"/>
      <c r="BH37" s="19">
        <f>ROUND(SUM(BH34:BH36),5)</f>
        <v>0</v>
      </c>
      <c r="BI37" s="18"/>
      <c r="BJ37" s="19">
        <f>ROUND(SUM(BJ34:BJ36),5)</f>
        <v>0</v>
      </c>
      <c r="BK37" s="18"/>
      <c r="BL37" s="19">
        <f>ROUND(SUM(BL34:BL36),5)</f>
        <v>0</v>
      </c>
      <c r="BM37" s="18"/>
      <c r="BN37" s="19">
        <f>ROUND(SUM(BN34:BN36),5)</f>
        <v>0</v>
      </c>
      <c r="BO37" s="18"/>
      <c r="BP37" s="19">
        <f>ROUND(SUM(BP34:BP36),5)</f>
        <v>1679.15</v>
      </c>
      <c r="BQ37" s="18"/>
      <c r="BR37" s="19">
        <f>ROUND(SUM(BR34:BR36),5)</f>
        <v>0</v>
      </c>
      <c r="BS37" s="18"/>
      <c r="BT37" s="19">
        <f>ROUND(SUM(BT34:BT36),5)</f>
        <v>0</v>
      </c>
      <c r="BU37" s="18"/>
      <c r="BV37" s="19">
        <f>ROUND(SUM(BV34:BV36),5)</f>
        <v>0</v>
      </c>
      <c r="BW37" s="18"/>
      <c r="BX37" s="19">
        <f>ROUND(SUM(BX34:BX36),5)</f>
        <v>0</v>
      </c>
      <c r="BY37" s="18"/>
      <c r="BZ37" s="19">
        <f>ROUND(SUM(BZ34:BZ36),5)</f>
        <v>968.35</v>
      </c>
      <c r="CA37" s="18"/>
      <c r="CB37" s="19">
        <f>ROUND(SUM(CB34:CB36),5)</f>
        <v>0</v>
      </c>
      <c r="CC37" s="18"/>
      <c r="CD37" s="19">
        <f>ROUND(SUM(CD34:CD36),5)</f>
        <v>25.67</v>
      </c>
      <c r="CE37" s="18"/>
      <c r="CF37" s="19">
        <f>ROUND(SUM(CF34:CF36),5)</f>
        <v>0</v>
      </c>
      <c r="CG37" s="18"/>
      <c r="CH37" s="19">
        <f>ROUND(SUM(CH34:CH36),5)</f>
        <v>0</v>
      </c>
      <c r="CI37" s="18"/>
      <c r="CJ37" s="19">
        <f>ROUND(SUM(CJ34:CJ36),5)</f>
        <v>0</v>
      </c>
      <c r="CK37" s="18"/>
      <c r="CL37" s="19">
        <f>ROUND(SUM(CL34:CL36),5)</f>
        <v>0</v>
      </c>
      <c r="CM37" s="18"/>
      <c r="CN37" s="19">
        <f>ROUND(SUM(H37:CL37),5)</f>
        <v>8304.86</v>
      </c>
    </row>
    <row r="38" spans="1:92" x14ac:dyDescent="0.3">
      <c r="A38" s="16"/>
      <c r="B38" s="16"/>
      <c r="C38" s="16"/>
      <c r="D38" s="16"/>
      <c r="E38" s="16" t="s">
        <v>91</v>
      </c>
      <c r="F38" s="16"/>
      <c r="G38" s="16"/>
      <c r="H38" s="19"/>
      <c r="I38" s="18"/>
      <c r="J38" s="19"/>
      <c r="K38" s="18"/>
      <c r="L38" s="19"/>
      <c r="M38" s="18"/>
      <c r="N38" s="19"/>
      <c r="O38" s="18"/>
      <c r="P38" s="19"/>
      <c r="Q38" s="18"/>
      <c r="R38" s="19"/>
      <c r="S38" s="18"/>
      <c r="T38" s="19"/>
      <c r="U38" s="18"/>
      <c r="V38" s="19"/>
      <c r="W38" s="18"/>
      <c r="X38" s="19"/>
      <c r="Y38" s="18"/>
      <c r="Z38" s="19"/>
      <c r="AA38" s="18"/>
      <c r="AB38" s="19"/>
      <c r="AC38" s="18"/>
      <c r="AD38" s="19"/>
      <c r="AE38" s="18"/>
      <c r="AF38" s="19"/>
      <c r="AG38" s="18"/>
      <c r="AH38" s="19"/>
      <c r="AI38" s="18"/>
      <c r="AJ38" s="19"/>
      <c r="AK38" s="18"/>
      <c r="AL38" s="19"/>
      <c r="AM38" s="18"/>
      <c r="AN38" s="19"/>
      <c r="AO38" s="18"/>
      <c r="AP38" s="19"/>
      <c r="AQ38" s="18"/>
      <c r="AR38" s="19"/>
      <c r="AS38" s="18"/>
      <c r="AT38" s="19"/>
      <c r="AU38" s="18"/>
      <c r="AV38" s="19"/>
      <c r="AW38" s="18"/>
      <c r="AX38" s="19"/>
      <c r="AY38" s="18"/>
      <c r="AZ38" s="19"/>
      <c r="BA38" s="18"/>
      <c r="BB38" s="19"/>
      <c r="BC38" s="18"/>
      <c r="BD38" s="19"/>
      <c r="BE38" s="18"/>
      <c r="BF38" s="19"/>
      <c r="BG38" s="18"/>
      <c r="BH38" s="19"/>
      <c r="BI38" s="18"/>
      <c r="BJ38" s="19"/>
      <c r="BK38" s="18"/>
      <c r="BL38" s="19"/>
      <c r="BM38" s="18"/>
      <c r="BN38" s="19"/>
      <c r="BO38" s="18"/>
      <c r="BP38" s="19"/>
      <c r="BQ38" s="18"/>
      <c r="BR38" s="19"/>
      <c r="BS38" s="18"/>
      <c r="BT38" s="19"/>
      <c r="BU38" s="18"/>
      <c r="BV38" s="19"/>
      <c r="BW38" s="18"/>
      <c r="BX38" s="19"/>
      <c r="BY38" s="18"/>
      <c r="BZ38" s="19"/>
      <c r="CA38" s="18"/>
      <c r="CB38" s="19"/>
      <c r="CC38" s="18"/>
      <c r="CD38" s="19"/>
      <c r="CE38" s="18"/>
      <c r="CF38" s="19"/>
      <c r="CG38" s="18"/>
      <c r="CH38" s="19"/>
      <c r="CI38" s="18"/>
      <c r="CJ38" s="19"/>
      <c r="CK38" s="18"/>
      <c r="CL38" s="19"/>
      <c r="CM38" s="18"/>
      <c r="CN38" s="19"/>
    </row>
    <row r="39" spans="1:92" x14ac:dyDescent="0.3">
      <c r="A39" s="16"/>
      <c r="B39" s="16"/>
      <c r="C39" s="16"/>
      <c r="D39" s="16"/>
      <c r="E39" s="16"/>
      <c r="F39" s="16" t="s">
        <v>90</v>
      </c>
      <c r="G39" s="16"/>
      <c r="H39" s="19">
        <v>-64.5</v>
      </c>
      <c r="I39" s="18"/>
      <c r="J39" s="19">
        <v>0</v>
      </c>
      <c r="K39" s="18"/>
      <c r="L39" s="19">
        <v>4191.2</v>
      </c>
      <c r="M39" s="18"/>
      <c r="N39" s="19">
        <v>2095.6</v>
      </c>
      <c r="O39" s="18"/>
      <c r="P39" s="19">
        <v>3212.6</v>
      </c>
      <c r="Q39" s="18"/>
      <c r="R39" s="19">
        <v>2580.1999999999998</v>
      </c>
      <c r="S39" s="18"/>
      <c r="T39" s="19">
        <v>2192.52</v>
      </c>
      <c r="U39" s="18"/>
      <c r="V39" s="19">
        <v>2192.52</v>
      </c>
      <c r="W39" s="18"/>
      <c r="X39" s="19">
        <v>2192.52</v>
      </c>
      <c r="Y39" s="18"/>
      <c r="Z39" s="19">
        <v>2192.52</v>
      </c>
      <c r="AA39" s="18"/>
      <c r="AB39" s="19">
        <v>3965.52</v>
      </c>
      <c r="AC39" s="18"/>
      <c r="AD39" s="19">
        <v>2207.52</v>
      </c>
      <c r="AE39" s="18"/>
      <c r="AF39" s="19">
        <v>2192.2800000000002</v>
      </c>
      <c r="AG39" s="18"/>
      <c r="AH39" s="19">
        <v>0</v>
      </c>
      <c r="AI39" s="18"/>
      <c r="AJ39" s="19">
        <v>4655.0200000000004</v>
      </c>
      <c r="AK39" s="18"/>
      <c r="AL39" s="19">
        <v>2327.5100000000002</v>
      </c>
      <c r="AM39" s="18"/>
      <c r="AN39" s="19">
        <v>2327.5100000000002</v>
      </c>
      <c r="AO39" s="18"/>
      <c r="AP39" s="19">
        <v>3956.11</v>
      </c>
      <c r="AQ39" s="18"/>
      <c r="AR39" s="19">
        <v>2425.4299999999998</v>
      </c>
      <c r="AS39" s="18"/>
      <c r="AT39" s="19">
        <v>2425.4299999999998</v>
      </c>
      <c r="AU39" s="18"/>
      <c r="AV39" s="19">
        <v>2425.4299999999998</v>
      </c>
      <c r="AW39" s="18"/>
      <c r="AX39" s="19">
        <v>2261.4699999999998</v>
      </c>
      <c r="AY39" s="18"/>
      <c r="AZ39" s="19">
        <v>2481.7399999999998</v>
      </c>
      <c r="BA39" s="18"/>
      <c r="BB39" s="19">
        <v>2481.7399999999998</v>
      </c>
      <c r="BC39" s="18"/>
      <c r="BD39" s="19">
        <v>4793.74</v>
      </c>
      <c r="BE39" s="18"/>
      <c r="BF39" s="19">
        <v>2436.59</v>
      </c>
      <c r="BG39" s="18"/>
      <c r="BH39" s="19">
        <v>2743.09</v>
      </c>
      <c r="BI39" s="18"/>
      <c r="BJ39" s="19">
        <v>2580.84</v>
      </c>
      <c r="BK39" s="18"/>
      <c r="BL39" s="19">
        <v>4130.84</v>
      </c>
      <c r="BM39" s="18"/>
      <c r="BN39" s="19">
        <v>2203.84</v>
      </c>
      <c r="BO39" s="18"/>
      <c r="BP39" s="19">
        <v>2730.84</v>
      </c>
      <c r="BQ39" s="18"/>
      <c r="BR39" s="19">
        <v>2730.84</v>
      </c>
      <c r="BS39" s="18"/>
      <c r="BT39" s="19">
        <v>2666.4</v>
      </c>
      <c r="BU39" s="18"/>
      <c r="BV39" s="19">
        <v>2633.59</v>
      </c>
      <c r="BW39" s="18"/>
      <c r="BX39" s="19">
        <v>5464.59</v>
      </c>
      <c r="BY39" s="18"/>
      <c r="BZ39" s="19">
        <v>2633.59</v>
      </c>
      <c r="CA39" s="18"/>
      <c r="CB39" s="19">
        <v>2633.51</v>
      </c>
      <c r="CC39" s="18"/>
      <c r="CD39" s="19">
        <v>2743.5</v>
      </c>
      <c r="CE39" s="18"/>
      <c r="CF39" s="19">
        <v>2743.5</v>
      </c>
      <c r="CG39" s="18"/>
      <c r="CH39" s="19">
        <v>2743.5</v>
      </c>
      <c r="CI39" s="18"/>
      <c r="CJ39" s="19">
        <v>3063.5</v>
      </c>
      <c r="CK39" s="18"/>
      <c r="CL39" s="19">
        <v>2481.7399999999998</v>
      </c>
      <c r="CM39" s="18"/>
      <c r="CN39" s="19">
        <f t="shared" ref="CN39:CN47" si="1">ROUND(SUM(H39:CL39),5)</f>
        <v>111075.93</v>
      </c>
    </row>
    <row r="40" spans="1:92" x14ac:dyDescent="0.3">
      <c r="A40" s="16"/>
      <c r="B40" s="16"/>
      <c r="C40" s="16"/>
      <c r="D40" s="16"/>
      <c r="E40" s="16"/>
      <c r="F40" s="16" t="s">
        <v>89</v>
      </c>
      <c r="G40" s="16"/>
      <c r="H40" s="19">
        <v>0</v>
      </c>
      <c r="I40" s="18"/>
      <c r="J40" s="19">
        <v>0</v>
      </c>
      <c r="K40" s="18"/>
      <c r="L40" s="19">
        <v>0</v>
      </c>
      <c r="M40" s="18"/>
      <c r="N40" s="19">
        <v>0</v>
      </c>
      <c r="O40" s="18"/>
      <c r="P40" s="19">
        <v>0</v>
      </c>
      <c r="Q40" s="18"/>
      <c r="R40" s="19">
        <v>0</v>
      </c>
      <c r="S40" s="18"/>
      <c r="T40" s="19">
        <v>0</v>
      </c>
      <c r="U40" s="18"/>
      <c r="V40" s="19">
        <v>0</v>
      </c>
      <c r="W40" s="18"/>
      <c r="X40" s="19">
        <v>0</v>
      </c>
      <c r="Y40" s="18"/>
      <c r="Z40" s="19">
        <v>0</v>
      </c>
      <c r="AA40" s="18"/>
      <c r="AB40" s="19">
        <v>0</v>
      </c>
      <c r="AC40" s="18"/>
      <c r="AD40" s="19">
        <v>0</v>
      </c>
      <c r="AE40" s="18"/>
      <c r="AF40" s="19">
        <v>0</v>
      </c>
      <c r="AG40" s="18"/>
      <c r="AH40" s="19">
        <v>0</v>
      </c>
      <c r="AI40" s="18"/>
      <c r="AJ40" s="19">
        <v>0</v>
      </c>
      <c r="AK40" s="18"/>
      <c r="AL40" s="19">
        <v>0</v>
      </c>
      <c r="AM40" s="18"/>
      <c r="AN40" s="19">
        <v>0</v>
      </c>
      <c r="AO40" s="18"/>
      <c r="AP40" s="19">
        <v>0</v>
      </c>
      <c r="AQ40" s="18"/>
      <c r="AR40" s="19">
        <v>4161</v>
      </c>
      <c r="AS40" s="18"/>
      <c r="AT40" s="19">
        <v>0</v>
      </c>
      <c r="AU40" s="18"/>
      <c r="AV40" s="19">
        <v>0</v>
      </c>
      <c r="AW40" s="18"/>
      <c r="AX40" s="19">
        <v>0</v>
      </c>
      <c r="AY40" s="18"/>
      <c r="AZ40" s="19">
        <v>0</v>
      </c>
      <c r="BA40" s="18"/>
      <c r="BB40" s="19">
        <v>0</v>
      </c>
      <c r="BC40" s="18"/>
      <c r="BD40" s="19">
        <v>0</v>
      </c>
      <c r="BE40" s="18"/>
      <c r="BF40" s="19">
        <v>0</v>
      </c>
      <c r="BG40" s="18"/>
      <c r="BH40" s="19">
        <v>0</v>
      </c>
      <c r="BI40" s="18"/>
      <c r="BJ40" s="19">
        <v>0</v>
      </c>
      <c r="BK40" s="18"/>
      <c r="BL40" s="19">
        <v>0</v>
      </c>
      <c r="BM40" s="18"/>
      <c r="BN40" s="19">
        <v>0</v>
      </c>
      <c r="BO40" s="18"/>
      <c r="BP40" s="19">
        <v>0</v>
      </c>
      <c r="BQ40" s="18"/>
      <c r="BR40" s="19">
        <v>0</v>
      </c>
      <c r="BS40" s="18"/>
      <c r="BT40" s="19">
        <v>0</v>
      </c>
      <c r="BU40" s="18"/>
      <c r="BV40" s="19">
        <v>0</v>
      </c>
      <c r="BW40" s="18"/>
      <c r="BX40" s="19">
        <v>0</v>
      </c>
      <c r="BY40" s="18"/>
      <c r="BZ40" s="19">
        <v>0</v>
      </c>
      <c r="CA40" s="18"/>
      <c r="CB40" s="19">
        <v>0</v>
      </c>
      <c r="CC40" s="18"/>
      <c r="CD40" s="19">
        <v>0</v>
      </c>
      <c r="CE40" s="18"/>
      <c r="CF40" s="19">
        <v>0</v>
      </c>
      <c r="CG40" s="18"/>
      <c r="CH40" s="19">
        <v>0</v>
      </c>
      <c r="CI40" s="18"/>
      <c r="CJ40" s="19">
        <v>0</v>
      </c>
      <c r="CK40" s="18"/>
      <c r="CL40" s="19">
        <v>0</v>
      </c>
      <c r="CM40" s="18"/>
      <c r="CN40" s="19">
        <f t="shared" si="1"/>
        <v>4161</v>
      </c>
    </row>
    <row r="41" spans="1:92" x14ac:dyDescent="0.3">
      <c r="A41" s="16"/>
      <c r="B41" s="16"/>
      <c r="C41" s="16"/>
      <c r="D41" s="16"/>
      <c r="E41" s="16"/>
      <c r="F41" s="16" t="s">
        <v>88</v>
      </c>
      <c r="G41" s="16"/>
      <c r="H41" s="19">
        <v>215.54</v>
      </c>
      <c r="I41" s="18"/>
      <c r="J41" s="19">
        <v>215.54</v>
      </c>
      <c r="K41" s="18"/>
      <c r="L41" s="19">
        <v>215.54</v>
      </c>
      <c r="M41" s="18"/>
      <c r="N41" s="19">
        <v>215.54</v>
      </c>
      <c r="O41" s="18"/>
      <c r="P41" s="19">
        <v>323.31</v>
      </c>
      <c r="Q41" s="18"/>
      <c r="R41" s="19">
        <v>215.54</v>
      </c>
      <c r="S41" s="18"/>
      <c r="T41" s="19">
        <v>215.54</v>
      </c>
      <c r="U41" s="18"/>
      <c r="V41" s="19">
        <v>215.54</v>
      </c>
      <c r="W41" s="18"/>
      <c r="X41" s="19">
        <v>215.54</v>
      </c>
      <c r="Y41" s="18"/>
      <c r="Z41" s="19">
        <v>215.54</v>
      </c>
      <c r="AA41" s="18"/>
      <c r="AB41" s="19">
        <v>323.31</v>
      </c>
      <c r="AC41" s="18"/>
      <c r="AD41" s="19">
        <v>215.54</v>
      </c>
      <c r="AE41" s="18"/>
      <c r="AF41" s="19">
        <v>215.54</v>
      </c>
      <c r="AG41" s="18"/>
      <c r="AH41" s="19">
        <v>215.54</v>
      </c>
      <c r="AI41" s="18"/>
      <c r="AJ41" s="19">
        <v>215.54</v>
      </c>
      <c r="AK41" s="18"/>
      <c r="AL41" s="19">
        <v>215.54</v>
      </c>
      <c r="AM41" s="18"/>
      <c r="AN41" s="19">
        <v>323.31</v>
      </c>
      <c r="AO41" s="18"/>
      <c r="AP41" s="19">
        <v>215.54</v>
      </c>
      <c r="AQ41" s="18"/>
      <c r="AR41" s="19">
        <v>215.54</v>
      </c>
      <c r="AS41" s="18"/>
      <c r="AT41" s="19">
        <v>215.54</v>
      </c>
      <c r="AU41" s="18"/>
      <c r="AV41" s="19">
        <v>215.54</v>
      </c>
      <c r="AW41" s="18"/>
      <c r="AX41" s="19">
        <v>323.31</v>
      </c>
      <c r="AY41" s="18"/>
      <c r="AZ41" s="19">
        <v>215.54</v>
      </c>
      <c r="BA41" s="18"/>
      <c r="BB41" s="19">
        <v>466.94</v>
      </c>
      <c r="BC41" s="18"/>
      <c r="BD41" s="19">
        <v>466.94</v>
      </c>
      <c r="BE41" s="18"/>
      <c r="BF41" s="19">
        <v>466.94</v>
      </c>
      <c r="BG41" s="18"/>
      <c r="BH41" s="19">
        <v>466.94</v>
      </c>
      <c r="BI41" s="18"/>
      <c r="BJ41" s="19">
        <v>700.41</v>
      </c>
      <c r="BK41" s="18"/>
      <c r="BL41" s="19">
        <v>466.94</v>
      </c>
      <c r="BM41" s="18"/>
      <c r="BN41" s="19">
        <v>215.54</v>
      </c>
      <c r="BO41" s="18"/>
      <c r="BP41" s="19">
        <v>215.54</v>
      </c>
      <c r="BQ41" s="18"/>
      <c r="BR41" s="19">
        <v>215.54</v>
      </c>
      <c r="BS41" s="18"/>
      <c r="BT41" s="19">
        <v>215.54</v>
      </c>
      <c r="BU41" s="18"/>
      <c r="BV41" s="19">
        <v>323.31</v>
      </c>
      <c r="BW41" s="18"/>
      <c r="BX41" s="19">
        <v>215.54</v>
      </c>
      <c r="BY41" s="18"/>
      <c r="BZ41" s="19">
        <v>215.54</v>
      </c>
      <c r="CA41" s="18"/>
      <c r="CB41" s="19">
        <v>215.54</v>
      </c>
      <c r="CC41" s="18"/>
      <c r="CD41" s="19">
        <v>0</v>
      </c>
      <c r="CE41" s="18"/>
      <c r="CF41" s="19">
        <v>431.08</v>
      </c>
      <c r="CG41" s="18"/>
      <c r="CH41" s="19">
        <v>323.31</v>
      </c>
      <c r="CI41" s="18"/>
      <c r="CJ41" s="19">
        <v>215.54</v>
      </c>
      <c r="CK41" s="18"/>
      <c r="CL41" s="19">
        <v>466.94</v>
      </c>
      <c r="CM41" s="18"/>
      <c r="CN41" s="19">
        <f t="shared" si="1"/>
        <v>11692.57</v>
      </c>
    </row>
    <row r="42" spans="1:92" x14ac:dyDescent="0.3">
      <c r="A42" s="16"/>
      <c r="B42" s="16"/>
      <c r="C42" s="16"/>
      <c r="D42" s="16"/>
      <c r="E42" s="16"/>
      <c r="F42" s="16" t="s">
        <v>87</v>
      </c>
      <c r="G42" s="16"/>
      <c r="H42" s="19">
        <v>0</v>
      </c>
      <c r="I42" s="18"/>
      <c r="J42" s="19">
        <v>0</v>
      </c>
      <c r="K42" s="18"/>
      <c r="L42" s="19">
        <v>0</v>
      </c>
      <c r="M42" s="18"/>
      <c r="N42" s="19">
        <v>0</v>
      </c>
      <c r="O42" s="18"/>
      <c r="P42" s="19">
        <v>0</v>
      </c>
      <c r="Q42" s="18"/>
      <c r="R42" s="19">
        <v>0</v>
      </c>
      <c r="S42" s="18"/>
      <c r="T42" s="19">
        <v>0</v>
      </c>
      <c r="U42" s="18"/>
      <c r="V42" s="19">
        <v>0</v>
      </c>
      <c r="W42" s="18"/>
      <c r="X42" s="19">
        <v>0</v>
      </c>
      <c r="Y42" s="18"/>
      <c r="Z42" s="19">
        <v>0</v>
      </c>
      <c r="AA42" s="18"/>
      <c r="AB42" s="19">
        <v>0</v>
      </c>
      <c r="AC42" s="18"/>
      <c r="AD42" s="19">
        <v>0</v>
      </c>
      <c r="AE42" s="18"/>
      <c r="AF42" s="19">
        <v>0</v>
      </c>
      <c r="AG42" s="18"/>
      <c r="AH42" s="19">
        <v>0</v>
      </c>
      <c r="AI42" s="18"/>
      <c r="AJ42" s="19">
        <v>0</v>
      </c>
      <c r="AK42" s="18"/>
      <c r="AL42" s="19">
        <v>0</v>
      </c>
      <c r="AM42" s="18"/>
      <c r="AN42" s="19">
        <v>0</v>
      </c>
      <c r="AO42" s="18"/>
      <c r="AP42" s="19">
        <v>0</v>
      </c>
      <c r="AQ42" s="18"/>
      <c r="AR42" s="19">
        <v>0</v>
      </c>
      <c r="AS42" s="18"/>
      <c r="AT42" s="19">
        <v>0</v>
      </c>
      <c r="AU42" s="18"/>
      <c r="AV42" s="19">
        <v>0</v>
      </c>
      <c r="AW42" s="18"/>
      <c r="AX42" s="19">
        <v>0</v>
      </c>
      <c r="AY42" s="18"/>
      <c r="AZ42" s="19">
        <v>0</v>
      </c>
      <c r="BA42" s="18"/>
      <c r="BB42" s="19">
        <v>0</v>
      </c>
      <c r="BC42" s="18"/>
      <c r="BD42" s="19">
        <v>0</v>
      </c>
      <c r="BE42" s="18"/>
      <c r="BF42" s="19">
        <v>0</v>
      </c>
      <c r="BG42" s="18"/>
      <c r="BH42" s="19">
        <v>0</v>
      </c>
      <c r="BI42" s="18"/>
      <c r="BJ42" s="19">
        <v>0</v>
      </c>
      <c r="BK42" s="18"/>
      <c r="BL42" s="19">
        <v>0</v>
      </c>
      <c r="BM42" s="18"/>
      <c r="BN42" s="19">
        <v>0</v>
      </c>
      <c r="BO42" s="18"/>
      <c r="BP42" s="19">
        <v>0</v>
      </c>
      <c r="BQ42" s="18"/>
      <c r="BR42" s="19">
        <v>0</v>
      </c>
      <c r="BS42" s="18"/>
      <c r="BT42" s="19">
        <v>0</v>
      </c>
      <c r="BU42" s="18"/>
      <c r="BV42" s="19">
        <v>0</v>
      </c>
      <c r="BW42" s="18"/>
      <c r="BX42" s="19">
        <v>0</v>
      </c>
      <c r="BY42" s="18"/>
      <c r="BZ42" s="19">
        <v>0</v>
      </c>
      <c r="CA42" s="18"/>
      <c r="CB42" s="19">
        <v>0</v>
      </c>
      <c r="CC42" s="18"/>
      <c r="CD42" s="19">
        <v>0</v>
      </c>
      <c r="CE42" s="18"/>
      <c r="CF42" s="19">
        <v>-392</v>
      </c>
      <c r="CG42" s="18"/>
      <c r="CH42" s="19">
        <v>0</v>
      </c>
      <c r="CI42" s="18"/>
      <c r="CJ42" s="19">
        <v>0</v>
      </c>
      <c r="CK42" s="18"/>
      <c r="CL42" s="19">
        <v>0</v>
      </c>
      <c r="CM42" s="18"/>
      <c r="CN42" s="19">
        <f t="shared" si="1"/>
        <v>-392</v>
      </c>
    </row>
    <row r="43" spans="1:92" x14ac:dyDescent="0.3">
      <c r="A43" s="16"/>
      <c r="B43" s="16"/>
      <c r="C43" s="16"/>
      <c r="D43" s="16"/>
      <c r="E43" s="16"/>
      <c r="F43" s="16" t="s">
        <v>86</v>
      </c>
      <c r="G43" s="16"/>
      <c r="H43" s="19">
        <v>468.7</v>
      </c>
      <c r="I43" s="18"/>
      <c r="J43" s="19">
        <v>455.8</v>
      </c>
      <c r="K43" s="18"/>
      <c r="L43" s="19">
        <v>462.25</v>
      </c>
      <c r="M43" s="18"/>
      <c r="N43" s="19">
        <v>462.25</v>
      </c>
      <c r="O43" s="18"/>
      <c r="P43" s="19">
        <v>462.25</v>
      </c>
      <c r="Q43" s="18"/>
      <c r="R43" s="19">
        <v>481.6</v>
      </c>
      <c r="S43" s="18"/>
      <c r="T43" s="19">
        <v>468.7</v>
      </c>
      <c r="U43" s="18"/>
      <c r="V43" s="19">
        <v>453.85</v>
      </c>
      <c r="W43" s="18"/>
      <c r="X43" s="19">
        <v>466.75</v>
      </c>
      <c r="Y43" s="18"/>
      <c r="Z43" s="19">
        <v>466.75</v>
      </c>
      <c r="AA43" s="18"/>
      <c r="AB43" s="19">
        <v>466.75</v>
      </c>
      <c r="AC43" s="18"/>
      <c r="AD43" s="19">
        <v>488.8</v>
      </c>
      <c r="AE43" s="18"/>
      <c r="AF43" s="19">
        <v>474.1</v>
      </c>
      <c r="AG43" s="18"/>
      <c r="AH43" s="19">
        <v>474.1</v>
      </c>
      <c r="AI43" s="18"/>
      <c r="AJ43" s="19">
        <v>474.1</v>
      </c>
      <c r="AK43" s="18"/>
      <c r="AL43" s="19">
        <v>474.1</v>
      </c>
      <c r="AM43" s="18"/>
      <c r="AN43" s="19">
        <v>904.1</v>
      </c>
      <c r="AO43" s="18"/>
      <c r="AP43" s="19">
        <v>44.1</v>
      </c>
      <c r="AQ43" s="18"/>
      <c r="AR43" s="19">
        <v>474.1</v>
      </c>
      <c r="AS43" s="18"/>
      <c r="AT43" s="19">
        <v>474.1</v>
      </c>
      <c r="AU43" s="18"/>
      <c r="AV43" s="19">
        <v>474.1</v>
      </c>
      <c r="AW43" s="18"/>
      <c r="AX43" s="19">
        <v>474.1</v>
      </c>
      <c r="AY43" s="18"/>
      <c r="AZ43" s="19">
        <v>488.8</v>
      </c>
      <c r="BA43" s="18"/>
      <c r="BB43" s="19">
        <v>481.45</v>
      </c>
      <c r="BC43" s="18"/>
      <c r="BD43" s="19">
        <v>478.88</v>
      </c>
      <c r="BE43" s="18"/>
      <c r="BF43" s="19">
        <v>478.88</v>
      </c>
      <c r="BG43" s="18"/>
      <c r="BH43" s="19">
        <v>478.88</v>
      </c>
      <c r="BI43" s="18"/>
      <c r="BJ43" s="19">
        <v>478.88</v>
      </c>
      <c r="BK43" s="18"/>
      <c r="BL43" s="19">
        <v>478.88</v>
      </c>
      <c r="BM43" s="18"/>
      <c r="BN43" s="19">
        <v>493.58</v>
      </c>
      <c r="BO43" s="18"/>
      <c r="BP43" s="19">
        <v>471.53</v>
      </c>
      <c r="BQ43" s="18"/>
      <c r="BR43" s="19">
        <v>3846.51</v>
      </c>
      <c r="BS43" s="18"/>
      <c r="BT43" s="19">
        <v>484.87</v>
      </c>
      <c r="BU43" s="18"/>
      <c r="BV43" s="19">
        <v>484.87</v>
      </c>
      <c r="BW43" s="18"/>
      <c r="BX43" s="19">
        <v>463.39</v>
      </c>
      <c r="BY43" s="18"/>
      <c r="BZ43" s="19">
        <v>479.5</v>
      </c>
      <c r="CA43" s="18"/>
      <c r="CB43" s="19">
        <v>479.5</v>
      </c>
      <c r="CC43" s="18"/>
      <c r="CD43" s="19">
        <v>479.5</v>
      </c>
      <c r="CE43" s="18"/>
      <c r="CF43" s="19">
        <v>479.5</v>
      </c>
      <c r="CG43" s="18"/>
      <c r="CH43" s="19">
        <v>479.5</v>
      </c>
      <c r="CI43" s="18"/>
      <c r="CJ43" s="19">
        <v>619.41999999999996</v>
      </c>
      <c r="CK43" s="18"/>
      <c r="CL43" s="19">
        <v>474.1</v>
      </c>
      <c r="CM43" s="18"/>
      <c r="CN43" s="19">
        <f t="shared" si="1"/>
        <v>23445.87</v>
      </c>
    </row>
    <row r="44" spans="1:92" x14ac:dyDescent="0.3">
      <c r="A44" s="16"/>
      <c r="B44" s="16"/>
      <c r="C44" s="16"/>
      <c r="D44" s="16"/>
      <c r="E44" s="16"/>
      <c r="F44" s="16" t="s">
        <v>85</v>
      </c>
      <c r="G44" s="16"/>
      <c r="H44" s="19">
        <v>0</v>
      </c>
      <c r="I44" s="18"/>
      <c r="J44" s="19">
        <v>0</v>
      </c>
      <c r="K44" s="18"/>
      <c r="L44" s="19">
        <v>-2007</v>
      </c>
      <c r="M44" s="18"/>
      <c r="N44" s="19">
        <v>921</v>
      </c>
      <c r="O44" s="18"/>
      <c r="P44" s="19">
        <v>0</v>
      </c>
      <c r="Q44" s="18"/>
      <c r="R44" s="19">
        <v>1218</v>
      </c>
      <c r="S44" s="18"/>
      <c r="T44" s="19">
        <v>4669</v>
      </c>
      <c r="U44" s="18"/>
      <c r="V44" s="19">
        <v>2428</v>
      </c>
      <c r="W44" s="18"/>
      <c r="X44" s="19">
        <v>1214</v>
      </c>
      <c r="Y44" s="18"/>
      <c r="Z44" s="19">
        <v>0</v>
      </c>
      <c r="AA44" s="18"/>
      <c r="AB44" s="19">
        <v>2428</v>
      </c>
      <c r="AC44" s="18"/>
      <c r="AD44" s="19">
        <v>1214</v>
      </c>
      <c r="AE44" s="18"/>
      <c r="AF44" s="19">
        <v>1214</v>
      </c>
      <c r="AG44" s="18"/>
      <c r="AH44" s="19">
        <v>0</v>
      </c>
      <c r="AI44" s="18"/>
      <c r="AJ44" s="19">
        <v>770</v>
      </c>
      <c r="AK44" s="18"/>
      <c r="AL44" s="19">
        <v>1257</v>
      </c>
      <c r="AM44" s="18"/>
      <c r="AN44" s="19">
        <v>0</v>
      </c>
      <c r="AO44" s="18"/>
      <c r="AP44" s="19">
        <v>0</v>
      </c>
      <c r="AQ44" s="18"/>
      <c r="AR44" s="19">
        <v>0</v>
      </c>
      <c r="AS44" s="18"/>
      <c r="AT44" s="19">
        <v>-105</v>
      </c>
      <c r="AU44" s="18"/>
      <c r="AV44" s="19">
        <v>0</v>
      </c>
      <c r="AW44" s="18"/>
      <c r="AX44" s="19">
        <v>2518</v>
      </c>
      <c r="AY44" s="18"/>
      <c r="AZ44" s="19">
        <v>1259</v>
      </c>
      <c r="BA44" s="18"/>
      <c r="BB44" s="19">
        <v>0</v>
      </c>
      <c r="BC44" s="18"/>
      <c r="BD44" s="19">
        <v>2518</v>
      </c>
      <c r="BE44" s="18"/>
      <c r="BF44" s="19">
        <v>0</v>
      </c>
      <c r="BG44" s="18"/>
      <c r="BH44" s="19">
        <v>-367</v>
      </c>
      <c r="BI44" s="18"/>
      <c r="BJ44" s="19">
        <v>1323</v>
      </c>
      <c r="BK44" s="18"/>
      <c r="BL44" s="19">
        <v>0</v>
      </c>
      <c r="BM44" s="18"/>
      <c r="BN44" s="19">
        <v>0</v>
      </c>
      <c r="BO44" s="18"/>
      <c r="BP44" s="19">
        <v>2646</v>
      </c>
      <c r="BQ44" s="18"/>
      <c r="BR44" s="19">
        <v>0</v>
      </c>
      <c r="BS44" s="18"/>
      <c r="BT44" s="19">
        <v>0</v>
      </c>
      <c r="BU44" s="18"/>
      <c r="BV44" s="19">
        <v>1995</v>
      </c>
      <c r="BW44" s="18"/>
      <c r="BX44" s="19">
        <v>1330</v>
      </c>
      <c r="BY44" s="18"/>
      <c r="BZ44" s="19">
        <v>0</v>
      </c>
      <c r="CA44" s="18"/>
      <c r="CB44" s="19">
        <v>2660</v>
      </c>
      <c r="CC44" s="18"/>
      <c r="CD44" s="19">
        <v>0</v>
      </c>
      <c r="CE44" s="18"/>
      <c r="CF44" s="19">
        <v>500</v>
      </c>
      <c r="CG44" s="18"/>
      <c r="CH44" s="19">
        <v>1581</v>
      </c>
      <c r="CI44" s="18"/>
      <c r="CJ44" s="19">
        <v>0</v>
      </c>
      <c r="CK44" s="18"/>
      <c r="CL44" s="19">
        <v>0</v>
      </c>
      <c r="CM44" s="18"/>
      <c r="CN44" s="19">
        <f t="shared" si="1"/>
        <v>33184</v>
      </c>
    </row>
    <row r="45" spans="1:92" ht="15" thickBot="1" x14ac:dyDescent="0.35">
      <c r="A45" s="16"/>
      <c r="B45" s="16"/>
      <c r="C45" s="16"/>
      <c r="D45" s="16"/>
      <c r="E45" s="16"/>
      <c r="F45" s="16" t="s">
        <v>84</v>
      </c>
      <c r="G45" s="16"/>
      <c r="H45" s="20">
        <v>0</v>
      </c>
      <c r="I45" s="18"/>
      <c r="J45" s="20">
        <v>0</v>
      </c>
      <c r="K45" s="18"/>
      <c r="L45" s="20">
        <v>0</v>
      </c>
      <c r="M45" s="18"/>
      <c r="N45" s="20">
        <v>0</v>
      </c>
      <c r="O45" s="18"/>
      <c r="P45" s="20">
        <v>0</v>
      </c>
      <c r="Q45" s="18"/>
      <c r="R45" s="20">
        <v>0</v>
      </c>
      <c r="S45" s="18"/>
      <c r="T45" s="20">
        <v>0</v>
      </c>
      <c r="U45" s="18"/>
      <c r="V45" s="20">
        <v>0</v>
      </c>
      <c r="W45" s="18"/>
      <c r="X45" s="20">
        <v>0</v>
      </c>
      <c r="Y45" s="18"/>
      <c r="Z45" s="20">
        <v>0</v>
      </c>
      <c r="AA45" s="18"/>
      <c r="AB45" s="20">
        <v>0</v>
      </c>
      <c r="AC45" s="18"/>
      <c r="AD45" s="20">
        <v>0</v>
      </c>
      <c r="AE45" s="18"/>
      <c r="AF45" s="20">
        <v>0</v>
      </c>
      <c r="AG45" s="18"/>
      <c r="AH45" s="20">
        <v>0</v>
      </c>
      <c r="AI45" s="18"/>
      <c r="AJ45" s="20">
        <v>1019</v>
      </c>
      <c r="AK45" s="18"/>
      <c r="AL45" s="20">
        <v>0</v>
      </c>
      <c r="AM45" s="18"/>
      <c r="AN45" s="20">
        <v>0</v>
      </c>
      <c r="AO45" s="18"/>
      <c r="AP45" s="20">
        <v>0</v>
      </c>
      <c r="AQ45" s="18"/>
      <c r="AR45" s="20">
        <v>0</v>
      </c>
      <c r="AS45" s="18"/>
      <c r="AT45" s="20">
        <v>0</v>
      </c>
      <c r="AU45" s="18"/>
      <c r="AV45" s="20">
        <v>0</v>
      </c>
      <c r="AW45" s="18"/>
      <c r="AX45" s="20">
        <v>0</v>
      </c>
      <c r="AY45" s="18"/>
      <c r="AZ45" s="20">
        <v>0</v>
      </c>
      <c r="BA45" s="18"/>
      <c r="BB45" s="20">
        <v>0</v>
      </c>
      <c r="BC45" s="18"/>
      <c r="BD45" s="20">
        <v>0</v>
      </c>
      <c r="BE45" s="18"/>
      <c r="BF45" s="20">
        <v>0</v>
      </c>
      <c r="BG45" s="18"/>
      <c r="BH45" s="20">
        <v>0</v>
      </c>
      <c r="BI45" s="18"/>
      <c r="BJ45" s="20">
        <v>0</v>
      </c>
      <c r="BK45" s="18"/>
      <c r="BL45" s="20">
        <v>0</v>
      </c>
      <c r="BM45" s="18"/>
      <c r="BN45" s="20">
        <v>0</v>
      </c>
      <c r="BO45" s="18"/>
      <c r="BP45" s="20">
        <v>0</v>
      </c>
      <c r="BQ45" s="18"/>
      <c r="BR45" s="20">
        <v>0</v>
      </c>
      <c r="BS45" s="18"/>
      <c r="BT45" s="20">
        <v>0</v>
      </c>
      <c r="BU45" s="18"/>
      <c r="BV45" s="20">
        <v>0</v>
      </c>
      <c r="BW45" s="18"/>
      <c r="BX45" s="20">
        <v>0</v>
      </c>
      <c r="BY45" s="18"/>
      <c r="BZ45" s="20">
        <v>0</v>
      </c>
      <c r="CA45" s="18"/>
      <c r="CB45" s="20">
        <v>0</v>
      </c>
      <c r="CC45" s="18"/>
      <c r="CD45" s="20">
        <v>0</v>
      </c>
      <c r="CE45" s="18"/>
      <c r="CF45" s="20">
        <v>0</v>
      </c>
      <c r="CG45" s="18"/>
      <c r="CH45" s="20">
        <v>0</v>
      </c>
      <c r="CI45" s="18"/>
      <c r="CJ45" s="20">
        <v>0</v>
      </c>
      <c r="CK45" s="18"/>
      <c r="CL45" s="20">
        <v>0</v>
      </c>
      <c r="CM45" s="18"/>
      <c r="CN45" s="20">
        <f t="shared" si="1"/>
        <v>1019</v>
      </c>
    </row>
    <row r="46" spans="1:92" x14ac:dyDescent="0.3">
      <c r="A46" s="16"/>
      <c r="B46" s="16"/>
      <c r="C46" s="16"/>
      <c r="D46" s="16"/>
      <c r="E46" s="16" t="s">
        <v>83</v>
      </c>
      <c r="F46" s="16"/>
      <c r="G46" s="16"/>
      <c r="H46" s="19">
        <f>ROUND(SUM(H38:H45),5)</f>
        <v>619.74</v>
      </c>
      <c r="I46" s="18"/>
      <c r="J46" s="19">
        <f>ROUND(SUM(J38:J45),5)</f>
        <v>671.34</v>
      </c>
      <c r="K46" s="18"/>
      <c r="L46" s="19">
        <f>ROUND(SUM(L38:L45),5)</f>
        <v>2861.99</v>
      </c>
      <c r="M46" s="18"/>
      <c r="N46" s="19">
        <f>ROUND(SUM(N38:N45),5)</f>
        <v>3694.39</v>
      </c>
      <c r="O46" s="18"/>
      <c r="P46" s="19">
        <f>ROUND(SUM(P38:P45),5)</f>
        <v>3998.16</v>
      </c>
      <c r="Q46" s="18"/>
      <c r="R46" s="19">
        <f>ROUND(SUM(R38:R45),5)</f>
        <v>4495.34</v>
      </c>
      <c r="S46" s="18"/>
      <c r="T46" s="19">
        <f>ROUND(SUM(T38:T45),5)</f>
        <v>7545.76</v>
      </c>
      <c r="U46" s="18"/>
      <c r="V46" s="19">
        <f>ROUND(SUM(V38:V45),5)</f>
        <v>5289.91</v>
      </c>
      <c r="W46" s="18"/>
      <c r="X46" s="19">
        <f>ROUND(SUM(X38:X45),5)</f>
        <v>4088.81</v>
      </c>
      <c r="Y46" s="18"/>
      <c r="Z46" s="19">
        <f>ROUND(SUM(Z38:Z45),5)</f>
        <v>2874.81</v>
      </c>
      <c r="AA46" s="18"/>
      <c r="AB46" s="19">
        <f>ROUND(SUM(AB38:AB45),5)</f>
        <v>7183.58</v>
      </c>
      <c r="AC46" s="18"/>
      <c r="AD46" s="19">
        <f>ROUND(SUM(AD38:AD45),5)</f>
        <v>4125.8599999999997</v>
      </c>
      <c r="AE46" s="18"/>
      <c r="AF46" s="19">
        <f>ROUND(SUM(AF38:AF45),5)</f>
        <v>4095.92</v>
      </c>
      <c r="AG46" s="18"/>
      <c r="AH46" s="19">
        <f>ROUND(SUM(AH38:AH45),5)</f>
        <v>689.64</v>
      </c>
      <c r="AI46" s="18"/>
      <c r="AJ46" s="19">
        <f>ROUND(SUM(AJ38:AJ45),5)</f>
        <v>7133.66</v>
      </c>
      <c r="AK46" s="18"/>
      <c r="AL46" s="19">
        <f>ROUND(SUM(AL38:AL45),5)</f>
        <v>4274.1499999999996</v>
      </c>
      <c r="AM46" s="18"/>
      <c r="AN46" s="19">
        <f>ROUND(SUM(AN38:AN45),5)</f>
        <v>3554.92</v>
      </c>
      <c r="AO46" s="18"/>
      <c r="AP46" s="19">
        <f>ROUND(SUM(AP38:AP45),5)</f>
        <v>4215.75</v>
      </c>
      <c r="AQ46" s="18"/>
      <c r="AR46" s="19">
        <f>ROUND(SUM(AR38:AR45),5)</f>
        <v>7276.07</v>
      </c>
      <c r="AS46" s="18"/>
      <c r="AT46" s="19">
        <f>ROUND(SUM(AT38:AT45),5)</f>
        <v>3010.07</v>
      </c>
      <c r="AU46" s="18"/>
      <c r="AV46" s="19">
        <f>ROUND(SUM(AV38:AV45),5)</f>
        <v>3115.07</v>
      </c>
      <c r="AW46" s="18"/>
      <c r="AX46" s="19">
        <f>ROUND(SUM(AX38:AX45),5)</f>
        <v>5576.88</v>
      </c>
      <c r="AY46" s="18"/>
      <c r="AZ46" s="19">
        <f>ROUND(SUM(AZ38:AZ45),5)</f>
        <v>4445.08</v>
      </c>
      <c r="BA46" s="18"/>
      <c r="BB46" s="19">
        <f>ROUND(SUM(BB38:BB45),5)</f>
        <v>3430.13</v>
      </c>
      <c r="BC46" s="18"/>
      <c r="BD46" s="19">
        <f>ROUND(SUM(BD38:BD45),5)</f>
        <v>8257.56</v>
      </c>
      <c r="BE46" s="18"/>
      <c r="BF46" s="19">
        <f>ROUND(SUM(BF38:BF45),5)</f>
        <v>3382.41</v>
      </c>
      <c r="BG46" s="18"/>
      <c r="BH46" s="19">
        <f>ROUND(SUM(BH38:BH45),5)</f>
        <v>3321.91</v>
      </c>
      <c r="BI46" s="18"/>
      <c r="BJ46" s="19">
        <f>ROUND(SUM(BJ38:BJ45),5)</f>
        <v>5083.13</v>
      </c>
      <c r="BK46" s="18"/>
      <c r="BL46" s="19">
        <f>ROUND(SUM(BL38:BL45),5)</f>
        <v>5076.66</v>
      </c>
      <c r="BM46" s="18"/>
      <c r="BN46" s="19">
        <f>ROUND(SUM(BN38:BN45),5)</f>
        <v>2912.96</v>
      </c>
      <c r="BO46" s="18"/>
      <c r="BP46" s="19">
        <f>ROUND(SUM(BP38:BP45),5)</f>
        <v>6063.91</v>
      </c>
      <c r="BQ46" s="18"/>
      <c r="BR46" s="19">
        <f>ROUND(SUM(BR38:BR45),5)</f>
        <v>6792.89</v>
      </c>
      <c r="BS46" s="18"/>
      <c r="BT46" s="19">
        <f>ROUND(SUM(BT38:BT45),5)</f>
        <v>3366.81</v>
      </c>
      <c r="BU46" s="18"/>
      <c r="BV46" s="19">
        <f>ROUND(SUM(BV38:BV45),5)</f>
        <v>5436.77</v>
      </c>
      <c r="BW46" s="18"/>
      <c r="BX46" s="19">
        <f>ROUND(SUM(BX38:BX45),5)</f>
        <v>7473.52</v>
      </c>
      <c r="BY46" s="18"/>
      <c r="BZ46" s="19">
        <f>ROUND(SUM(BZ38:BZ45),5)</f>
        <v>3328.63</v>
      </c>
      <c r="CA46" s="18"/>
      <c r="CB46" s="19">
        <f>ROUND(SUM(CB38:CB45),5)</f>
        <v>5988.55</v>
      </c>
      <c r="CC46" s="18"/>
      <c r="CD46" s="19">
        <f>ROUND(SUM(CD38:CD45),5)</f>
        <v>3223</v>
      </c>
      <c r="CE46" s="18"/>
      <c r="CF46" s="19">
        <f>ROUND(SUM(CF38:CF45),5)</f>
        <v>3762.08</v>
      </c>
      <c r="CG46" s="18"/>
      <c r="CH46" s="19">
        <f>ROUND(SUM(CH38:CH45),5)</f>
        <v>5127.3100000000004</v>
      </c>
      <c r="CI46" s="18"/>
      <c r="CJ46" s="19">
        <f>ROUND(SUM(CJ38:CJ45),5)</f>
        <v>3898.46</v>
      </c>
      <c r="CK46" s="18"/>
      <c r="CL46" s="19">
        <f>ROUND(SUM(CL38:CL45),5)</f>
        <v>3422.78</v>
      </c>
      <c r="CM46" s="18"/>
      <c r="CN46" s="19">
        <f t="shared" si="1"/>
        <v>184186.37</v>
      </c>
    </row>
    <row r="47" spans="1:92" x14ac:dyDescent="0.3">
      <c r="A47" s="16"/>
      <c r="B47" s="16"/>
      <c r="C47" s="16"/>
      <c r="D47" s="16"/>
      <c r="E47" s="16" t="s">
        <v>82</v>
      </c>
      <c r="F47" s="16"/>
      <c r="G47" s="16"/>
      <c r="H47" s="19">
        <v>3500</v>
      </c>
      <c r="I47" s="18"/>
      <c r="J47" s="19">
        <v>3500</v>
      </c>
      <c r="K47" s="18"/>
      <c r="L47" s="19">
        <v>3500</v>
      </c>
      <c r="M47" s="18"/>
      <c r="N47" s="19">
        <v>3500</v>
      </c>
      <c r="O47" s="18"/>
      <c r="P47" s="19">
        <v>0</v>
      </c>
      <c r="Q47" s="18"/>
      <c r="R47" s="19">
        <v>0</v>
      </c>
      <c r="S47" s="18"/>
      <c r="T47" s="19">
        <v>10500</v>
      </c>
      <c r="U47" s="18"/>
      <c r="V47" s="19">
        <v>3500</v>
      </c>
      <c r="W47" s="18"/>
      <c r="X47" s="19">
        <v>3500</v>
      </c>
      <c r="Y47" s="18"/>
      <c r="Z47" s="19">
        <v>3500</v>
      </c>
      <c r="AA47" s="18"/>
      <c r="AB47" s="19">
        <v>3500</v>
      </c>
      <c r="AC47" s="18"/>
      <c r="AD47" s="19">
        <v>3500</v>
      </c>
      <c r="AE47" s="18"/>
      <c r="AF47" s="19">
        <v>3600</v>
      </c>
      <c r="AG47" s="18"/>
      <c r="AH47" s="19">
        <v>3600</v>
      </c>
      <c r="AI47" s="18"/>
      <c r="AJ47" s="19">
        <v>3600</v>
      </c>
      <c r="AK47" s="18"/>
      <c r="AL47" s="19">
        <v>3600</v>
      </c>
      <c r="AM47" s="18"/>
      <c r="AN47" s="19">
        <v>0</v>
      </c>
      <c r="AO47" s="18"/>
      <c r="AP47" s="19">
        <v>3600</v>
      </c>
      <c r="AQ47" s="18"/>
      <c r="AR47" s="19">
        <v>7200</v>
      </c>
      <c r="AS47" s="18"/>
      <c r="AT47" s="19">
        <v>3600</v>
      </c>
      <c r="AU47" s="18"/>
      <c r="AV47" s="19">
        <v>3600</v>
      </c>
      <c r="AW47" s="18"/>
      <c r="AX47" s="19">
        <v>3600</v>
      </c>
      <c r="AY47" s="18"/>
      <c r="AZ47" s="19">
        <v>3600</v>
      </c>
      <c r="BA47" s="18"/>
      <c r="BB47" s="19">
        <v>3600</v>
      </c>
      <c r="BC47" s="18"/>
      <c r="BD47" s="19">
        <v>3700</v>
      </c>
      <c r="BE47" s="18"/>
      <c r="BF47" s="19">
        <v>3700</v>
      </c>
      <c r="BG47" s="18"/>
      <c r="BH47" s="19">
        <v>3700</v>
      </c>
      <c r="BI47" s="18"/>
      <c r="BJ47" s="19">
        <v>3700</v>
      </c>
      <c r="BK47" s="18"/>
      <c r="BL47" s="19">
        <v>3700</v>
      </c>
      <c r="BM47" s="18"/>
      <c r="BN47" s="19">
        <v>3700</v>
      </c>
      <c r="BO47" s="18"/>
      <c r="BP47" s="19">
        <v>0</v>
      </c>
      <c r="BQ47" s="18"/>
      <c r="BR47" s="19">
        <v>7400</v>
      </c>
      <c r="BS47" s="18"/>
      <c r="BT47" s="19">
        <v>3700</v>
      </c>
      <c r="BU47" s="18"/>
      <c r="BV47" s="19">
        <v>3700</v>
      </c>
      <c r="BW47" s="18"/>
      <c r="BX47" s="19">
        <v>3700</v>
      </c>
      <c r="BY47" s="18"/>
      <c r="BZ47" s="19">
        <v>3700</v>
      </c>
      <c r="CA47" s="18"/>
      <c r="CB47" s="19">
        <v>0</v>
      </c>
      <c r="CC47" s="18"/>
      <c r="CD47" s="19">
        <v>8000</v>
      </c>
      <c r="CE47" s="18"/>
      <c r="CF47" s="19">
        <v>0</v>
      </c>
      <c r="CG47" s="18"/>
      <c r="CH47" s="19">
        <v>4000</v>
      </c>
      <c r="CI47" s="18"/>
      <c r="CJ47" s="19">
        <v>4000</v>
      </c>
      <c r="CK47" s="18"/>
      <c r="CL47" s="19">
        <v>4000</v>
      </c>
      <c r="CM47" s="18"/>
      <c r="CN47" s="19">
        <f t="shared" si="1"/>
        <v>149600</v>
      </c>
    </row>
    <row r="48" spans="1:92" x14ac:dyDescent="0.3">
      <c r="A48" s="16"/>
      <c r="B48" s="16"/>
      <c r="C48" s="16"/>
      <c r="D48" s="16"/>
      <c r="E48" s="16" t="s">
        <v>81</v>
      </c>
      <c r="F48" s="16"/>
      <c r="G48" s="16"/>
      <c r="H48" s="19"/>
      <c r="I48" s="18"/>
      <c r="J48" s="19"/>
      <c r="K48" s="18"/>
      <c r="L48" s="19"/>
      <c r="M48" s="18"/>
      <c r="N48" s="19"/>
      <c r="O48" s="18"/>
      <c r="P48" s="19"/>
      <c r="Q48" s="18"/>
      <c r="R48" s="19"/>
      <c r="S48" s="18"/>
      <c r="T48" s="19"/>
      <c r="U48" s="18"/>
      <c r="V48" s="19"/>
      <c r="W48" s="18"/>
      <c r="X48" s="19"/>
      <c r="Y48" s="18"/>
      <c r="Z48" s="19"/>
      <c r="AA48" s="18"/>
      <c r="AB48" s="19"/>
      <c r="AC48" s="18"/>
      <c r="AD48" s="19"/>
      <c r="AE48" s="18"/>
      <c r="AF48" s="19"/>
      <c r="AG48" s="18"/>
      <c r="AH48" s="19"/>
      <c r="AI48" s="18"/>
      <c r="AJ48" s="19"/>
      <c r="AK48" s="18"/>
      <c r="AL48" s="19"/>
      <c r="AM48" s="18"/>
      <c r="AN48" s="19"/>
      <c r="AO48" s="18"/>
      <c r="AP48" s="19"/>
      <c r="AQ48" s="18"/>
      <c r="AR48" s="19"/>
      <c r="AS48" s="18"/>
      <c r="AT48" s="19"/>
      <c r="AU48" s="18"/>
      <c r="AV48" s="19"/>
      <c r="AW48" s="18"/>
      <c r="AX48" s="19"/>
      <c r="AY48" s="18"/>
      <c r="AZ48" s="19"/>
      <c r="BA48" s="18"/>
      <c r="BB48" s="19"/>
      <c r="BC48" s="18"/>
      <c r="BD48" s="19"/>
      <c r="BE48" s="18"/>
      <c r="BF48" s="19"/>
      <c r="BG48" s="18"/>
      <c r="BH48" s="19"/>
      <c r="BI48" s="18"/>
      <c r="BJ48" s="19"/>
      <c r="BK48" s="18"/>
      <c r="BL48" s="19"/>
      <c r="BM48" s="18"/>
      <c r="BN48" s="19"/>
      <c r="BO48" s="18"/>
      <c r="BP48" s="19"/>
      <c r="BQ48" s="18"/>
      <c r="BR48" s="19"/>
      <c r="BS48" s="18"/>
      <c r="BT48" s="19"/>
      <c r="BU48" s="18"/>
      <c r="BV48" s="19"/>
      <c r="BW48" s="18"/>
      <c r="BX48" s="19"/>
      <c r="BY48" s="18"/>
      <c r="BZ48" s="19"/>
      <c r="CA48" s="18"/>
      <c r="CB48" s="19"/>
      <c r="CC48" s="18"/>
      <c r="CD48" s="19"/>
      <c r="CE48" s="18"/>
      <c r="CF48" s="19"/>
      <c r="CG48" s="18"/>
      <c r="CH48" s="19"/>
      <c r="CI48" s="18"/>
      <c r="CJ48" s="19"/>
      <c r="CK48" s="18"/>
      <c r="CL48" s="19"/>
      <c r="CM48" s="18"/>
      <c r="CN48" s="19"/>
    </row>
    <row r="49" spans="1:92" x14ac:dyDescent="0.3">
      <c r="A49" s="16"/>
      <c r="B49" s="16"/>
      <c r="C49" s="16"/>
      <c r="D49" s="16"/>
      <c r="E49" s="16"/>
      <c r="F49" s="16" t="s">
        <v>80</v>
      </c>
      <c r="G49" s="16"/>
      <c r="H49" s="19">
        <v>0</v>
      </c>
      <c r="I49" s="18"/>
      <c r="J49" s="19">
        <v>0</v>
      </c>
      <c r="K49" s="18"/>
      <c r="L49" s="19">
        <v>0</v>
      </c>
      <c r="M49" s="18"/>
      <c r="N49" s="19">
        <v>0</v>
      </c>
      <c r="O49" s="18"/>
      <c r="P49" s="19">
        <v>0</v>
      </c>
      <c r="Q49" s="18"/>
      <c r="R49" s="19">
        <v>0</v>
      </c>
      <c r="S49" s="18"/>
      <c r="T49" s="19">
        <v>0</v>
      </c>
      <c r="U49" s="18"/>
      <c r="V49" s="19">
        <v>0</v>
      </c>
      <c r="W49" s="18"/>
      <c r="X49" s="19">
        <v>0</v>
      </c>
      <c r="Y49" s="18"/>
      <c r="Z49" s="19">
        <v>0</v>
      </c>
      <c r="AA49" s="18"/>
      <c r="AB49" s="19">
        <v>0</v>
      </c>
      <c r="AC49" s="18"/>
      <c r="AD49" s="19">
        <v>0</v>
      </c>
      <c r="AE49" s="18"/>
      <c r="AF49" s="19">
        <v>0</v>
      </c>
      <c r="AG49" s="18"/>
      <c r="AH49" s="19">
        <v>0</v>
      </c>
      <c r="AI49" s="18"/>
      <c r="AJ49" s="19">
        <v>0</v>
      </c>
      <c r="AK49" s="18"/>
      <c r="AL49" s="19">
        <v>0</v>
      </c>
      <c r="AM49" s="18"/>
      <c r="AN49" s="19">
        <v>0</v>
      </c>
      <c r="AO49" s="18"/>
      <c r="AP49" s="19">
        <v>0</v>
      </c>
      <c r="AQ49" s="18"/>
      <c r="AR49" s="19">
        <v>0</v>
      </c>
      <c r="AS49" s="18"/>
      <c r="AT49" s="19">
        <v>0</v>
      </c>
      <c r="AU49" s="18"/>
      <c r="AV49" s="19">
        <v>0</v>
      </c>
      <c r="AW49" s="18"/>
      <c r="AX49" s="19">
        <v>0</v>
      </c>
      <c r="AY49" s="18"/>
      <c r="AZ49" s="19">
        <v>0</v>
      </c>
      <c r="BA49" s="18"/>
      <c r="BB49" s="19">
        <v>0</v>
      </c>
      <c r="BC49" s="18"/>
      <c r="BD49" s="19">
        <v>0</v>
      </c>
      <c r="BE49" s="18"/>
      <c r="BF49" s="19">
        <v>0</v>
      </c>
      <c r="BG49" s="18"/>
      <c r="BH49" s="19">
        <v>406.15</v>
      </c>
      <c r="BI49" s="18"/>
      <c r="BJ49" s="19">
        <v>0</v>
      </c>
      <c r="BK49" s="18"/>
      <c r="BL49" s="19">
        <v>0</v>
      </c>
      <c r="BM49" s="18"/>
      <c r="BN49" s="19">
        <v>77.47</v>
      </c>
      <c r="BO49" s="18"/>
      <c r="BP49" s="19">
        <v>0</v>
      </c>
      <c r="BQ49" s="18"/>
      <c r="BR49" s="19">
        <v>1552.19</v>
      </c>
      <c r="BS49" s="18"/>
      <c r="BT49" s="19">
        <v>0</v>
      </c>
      <c r="BU49" s="18"/>
      <c r="BV49" s="19">
        <v>0</v>
      </c>
      <c r="BW49" s="18"/>
      <c r="BX49" s="19">
        <v>0</v>
      </c>
      <c r="BY49" s="18"/>
      <c r="BZ49" s="19">
        <v>564.57000000000005</v>
      </c>
      <c r="CA49" s="18"/>
      <c r="CB49" s="19">
        <v>0</v>
      </c>
      <c r="CC49" s="18"/>
      <c r="CD49" s="19">
        <v>0</v>
      </c>
      <c r="CE49" s="18"/>
      <c r="CF49" s="19">
        <v>0</v>
      </c>
      <c r="CG49" s="18"/>
      <c r="CH49" s="19">
        <v>0</v>
      </c>
      <c r="CI49" s="18"/>
      <c r="CJ49" s="19">
        <v>0</v>
      </c>
      <c r="CK49" s="18"/>
      <c r="CL49" s="19">
        <v>0</v>
      </c>
      <c r="CM49" s="18"/>
      <c r="CN49" s="19">
        <f>ROUND(SUM(H49:CL49),5)</f>
        <v>2600.38</v>
      </c>
    </row>
    <row r="50" spans="1:92" x14ac:dyDescent="0.3">
      <c r="A50" s="16"/>
      <c r="B50" s="16"/>
      <c r="C50" s="16"/>
      <c r="D50" s="16"/>
      <c r="E50" s="16"/>
      <c r="F50" s="16" t="s">
        <v>79</v>
      </c>
      <c r="G50" s="16"/>
      <c r="H50" s="19">
        <v>20</v>
      </c>
      <c r="I50" s="18"/>
      <c r="J50" s="19">
        <v>0</v>
      </c>
      <c r="K50" s="18"/>
      <c r="L50" s="19">
        <v>0</v>
      </c>
      <c r="M50" s="18"/>
      <c r="N50" s="19">
        <v>86.12</v>
      </c>
      <c r="O50" s="18"/>
      <c r="P50" s="19">
        <v>0</v>
      </c>
      <c r="Q50" s="18"/>
      <c r="R50" s="19">
        <v>0</v>
      </c>
      <c r="S50" s="18"/>
      <c r="T50" s="19">
        <v>90.3</v>
      </c>
      <c r="U50" s="18"/>
      <c r="V50" s="19">
        <v>0</v>
      </c>
      <c r="W50" s="18"/>
      <c r="X50" s="19">
        <v>660.82</v>
      </c>
      <c r="Y50" s="18"/>
      <c r="Z50" s="19">
        <v>0</v>
      </c>
      <c r="AA50" s="18"/>
      <c r="AB50" s="19">
        <v>45</v>
      </c>
      <c r="AC50" s="18"/>
      <c r="AD50" s="19">
        <v>0</v>
      </c>
      <c r="AE50" s="18"/>
      <c r="AF50" s="19">
        <v>0</v>
      </c>
      <c r="AG50" s="18"/>
      <c r="AH50" s="19">
        <v>0</v>
      </c>
      <c r="AI50" s="18"/>
      <c r="AJ50" s="19">
        <v>0</v>
      </c>
      <c r="AK50" s="18"/>
      <c r="AL50" s="19">
        <v>613.15</v>
      </c>
      <c r="AM50" s="18"/>
      <c r="AN50" s="19">
        <v>3162.68</v>
      </c>
      <c r="AO50" s="18"/>
      <c r="AP50" s="19">
        <v>0</v>
      </c>
      <c r="AQ50" s="18"/>
      <c r="AR50" s="19">
        <v>179.2</v>
      </c>
      <c r="AS50" s="18"/>
      <c r="AT50" s="19">
        <v>125</v>
      </c>
      <c r="AU50" s="18"/>
      <c r="AV50" s="19">
        <v>0</v>
      </c>
      <c r="AW50" s="18"/>
      <c r="AX50" s="19">
        <v>0</v>
      </c>
      <c r="AY50" s="18"/>
      <c r="AZ50" s="19">
        <v>45</v>
      </c>
      <c r="BA50" s="18"/>
      <c r="BB50" s="19">
        <v>0</v>
      </c>
      <c r="BC50" s="18"/>
      <c r="BD50" s="19">
        <v>0</v>
      </c>
      <c r="BE50" s="18"/>
      <c r="BF50" s="19">
        <v>104.47</v>
      </c>
      <c r="BG50" s="18"/>
      <c r="BH50" s="19">
        <v>0</v>
      </c>
      <c r="BI50" s="18"/>
      <c r="BJ50" s="19">
        <v>108.38</v>
      </c>
      <c r="BK50" s="18"/>
      <c r="BL50" s="19">
        <v>0</v>
      </c>
      <c r="BM50" s="18"/>
      <c r="BN50" s="19">
        <v>0</v>
      </c>
      <c r="BO50" s="18"/>
      <c r="BP50" s="19">
        <v>0</v>
      </c>
      <c r="BQ50" s="18"/>
      <c r="BR50" s="19">
        <v>0</v>
      </c>
      <c r="BS50" s="18"/>
      <c r="BT50" s="19">
        <v>0</v>
      </c>
      <c r="BU50" s="18"/>
      <c r="BV50" s="19">
        <v>0</v>
      </c>
      <c r="BW50" s="18"/>
      <c r="BX50" s="19">
        <v>25</v>
      </c>
      <c r="BY50" s="18"/>
      <c r="BZ50" s="19">
        <v>20</v>
      </c>
      <c r="CA50" s="18"/>
      <c r="CB50" s="19">
        <v>0</v>
      </c>
      <c r="CC50" s="18"/>
      <c r="CD50" s="19">
        <v>0</v>
      </c>
      <c r="CE50" s="18"/>
      <c r="CF50" s="19">
        <v>88.21</v>
      </c>
      <c r="CG50" s="18"/>
      <c r="CH50" s="19">
        <v>440.03</v>
      </c>
      <c r="CI50" s="18"/>
      <c r="CJ50" s="19">
        <v>225.75</v>
      </c>
      <c r="CK50" s="18"/>
      <c r="CL50" s="19">
        <v>0</v>
      </c>
      <c r="CM50" s="18"/>
      <c r="CN50" s="19">
        <f>ROUND(SUM(H50:CL50),5)</f>
        <v>6039.11</v>
      </c>
    </row>
    <row r="51" spans="1:92" ht="15" thickBot="1" x14ac:dyDescent="0.35">
      <c r="A51" s="16"/>
      <c r="B51" s="16"/>
      <c r="C51" s="16"/>
      <c r="D51" s="16"/>
      <c r="E51" s="16"/>
      <c r="F51" s="16" t="s">
        <v>78</v>
      </c>
      <c r="G51" s="16"/>
      <c r="H51" s="20">
        <v>0</v>
      </c>
      <c r="I51" s="18"/>
      <c r="J51" s="20">
        <v>0</v>
      </c>
      <c r="K51" s="18"/>
      <c r="L51" s="20">
        <v>10</v>
      </c>
      <c r="M51" s="18"/>
      <c r="N51" s="20">
        <v>40</v>
      </c>
      <c r="O51" s="18"/>
      <c r="P51" s="20">
        <v>77.47</v>
      </c>
      <c r="Q51" s="18"/>
      <c r="R51" s="20">
        <v>0</v>
      </c>
      <c r="S51" s="18"/>
      <c r="T51" s="20">
        <v>0</v>
      </c>
      <c r="U51" s="18"/>
      <c r="V51" s="20">
        <v>644.94000000000005</v>
      </c>
      <c r="W51" s="18"/>
      <c r="X51" s="20">
        <v>0</v>
      </c>
      <c r="Y51" s="18"/>
      <c r="Z51" s="20">
        <v>0</v>
      </c>
      <c r="AA51" s="18"/>
      <c r="AB51" s="20">
        <v>0</v>
      </c>
      <c r="AC51" s="18"/>
      <c r="AD51" s="20">
        <v>0</v>
      </c>
      <c r="AE51" s="18"/>
      <c r="AF51" s="20">
        <v>230</v>
      </c>
      <c r="AG51" s="18"/>
      <c r="AH51" s="20">
        <v>735.43</v>
      </c>
      <c r="AI51" s="18"/>
      <c r="AJ51" s="20">
        <v>707.16</v>
      </c>
      <c r="AK51" s="18"/>
      <c r="AL51" s="20">
        <v>40</v>
      </c>
      <c r="AM51" s="18"/>
      <c r="AN51" s="20">
        <v>0</v>
      </c>
      <c r="AO51" s="18"/>
      <c r="AP51" s="20">
        <v>0</v>
      </c>
      <c r="AQ51" s="18"/>
      <c r="AR51" s="20">
        <v>0</v>
      </c>
      <c r="AS51" s="18"/>
      <c r="AT51" s="20">
        <v>644.94000000000005</v>
      </c>
      <c r="AU51" s="18"/>
      <c r="AV51" s="20">
        <v>0</v>
      </c>
      <c r="AW51" s="18"/>
      <c r="AX51" s="20">
        <v>0</v>
      </c>
      <c r="AY51" s="18"/>
      <c r="AZ51" s="20">
        <v>0</v>
      </c>
      <c r="BA51" s="18"/>
      <c r="BB51" s="20">
        <v>0</v>
      </c>
      <c r="BC51" s="18"/>
      <c r="BD51" s="20">
        <v>80.72</v>
      </c>
      <c r="BE51" s="18"/>
      <c r="BF51" s="20">
        <v>10</v>
      </c>
      <c r="BG51" s="18"/>
      <c r="BH51" s="20">
        <v>0</v>
      </c>
      <c r="BI51" s="18"/>
      <c r="BJ51" s="20">
        <v>41.67</v>
      </c>
      <c r="BK51" s="18"/>
      <c r="BL51" s="20">
        <v>0</v>
      </c>
      <c r="BM51" s="18"/>
      <c r="BN51" s="20">
        <v>0</v>
      </c>
      <c r="BO51" s="18"/>
      <c r="BP51" s="20">
        <v>1292.4000000000001</v>
      </c>
      <c r="BQ51" s="18"/>
      <c r="BR51" s="20">
        <v>644.94000000000005</v>
      </c>
      <c r="BS51" s="18"/>
      <c r="BT51" s="20">
        <v>55.72</v>
      </c>
      <c r="BU51" s="18"/>
      <c r="BV51" s="20">
        <v>0</v>
      </c>
      <c r="BW51" s="18"/>
      <c r="BX51" s="20">
        <v>25</v>
      </c>
      <c r="BY51" s="18"/>
      <c r="BZ51" s="20">
        <v>0</v>
      </c>
      <c r="CA51" s="18"/>
      <c r="CB51" s="20">
        <v>0</v>
      </c>
      <c r="CC51" s="18"/>
      <c r="CD51" s="20">
        <v>0</v>
      </c>
      <c r="CE51" s="18"/>
      <c r="CF51" s="20">
        <v>0</v>
      </c>
      <c r="CG51" s="18"/>
      <c r="CH51" s="20">
        <v>50</v>
      </c>
      <c r="CI51" s="18"/>
      <c r="CJ51" s="20">
        <v>0</v>
      </c>
      <c r="CK51" s="18"/>
      <c r="CL51" s="20">
        <v>0</v>
      </c>
      <c r="CM51" s="18"/>
      <c r="CN51" s="20">
        <f>ROUND(SUM(H51:CL51),5)</f>
        <v>5330.39</v>
      </c>
    </row>
    <row r="52" spans="1:92" x14ac:dyDescent="0.3">
      <c r="A52" s="16"/>
      <c r="B52" s="16"/>
      <c r="C52" s="16"/>
      <c r="D52" s="16"/>
      <c r="E52" s="16" t="s">
        <v>77</v>
      </c>
      <c r="F52" s="16"/>
      <c r="G52" s="16"/>
      <c r="H52" s="19">
        <f>ROUND(SUM(H48:H51),5)</f>
        <v>20</v>
      </c>
      <c r="I52" s="18"/>
      <c r="J52" s="19">
        <f>ROUND(SUM(J48:J51),5)</f>
        <v>0</v>
      </c>
      <c r="K52" s="18"/>
      <c r="L52" s="19">
        <f>ROUND(SUM(L48:L51),5)</f>
        <v>10</v>
      </c>
      <c r="M52" s="18"/>
      <c r="N52" s="19">
        <f>ROUND(SUM(N48:N51),5)</f>
        <v>126.12</v>
      </c>
      <c r="O52" s="18"/>
      <c r="P52" s="19">
        <f>ROUND(SUM(P48:P51),5)</f>
        <v>77.47</v>
      </c>
      <c r="Q52" s="18"/>
      <c r="R52" s="19">
        <f>ROUND(SUM(R48:R51),5)</f>
        <v>0</v>
      </c>
      <c r="S52" s="18"/>
      <c r="T52" s="19">
        <f>ROUND(SUM(T48:T51),5)</f>
        <v>90.3</v>
      </c>
      <c r="U52" s="18"/>
      <c r="V52" s="19">
        <f>ROUND(SUM(V48:V51),5)</f>
        <v>644.94000000000005</v>
      </c>
      <c r="W52" s="18"/>
      <c r="X52" s="19">
        <f>ROUND(SUM(X48:X51),5)</f>
        <v>660.82</v>
      </c>
      <c r="Y52" s="18"/>
      <c r="Z52" s="19">
        <f>ROUND(SUM(Z48:Z51),5)</f>
        <v>0</v>
      </c>
      <c r="AA52" s="18"/>
      <c r="AB52" s="19">
        <f>ROUND(SUM(AB48:AB51),5)</f>
        <v>45</v>
      </c>
      <c r="AC52" s="18"/>
      <c r="AD52" s="19">
        <f>ROUND(SUM(AD48:AD51),5)</f>
        <v>0</v>
      </c>
      <c r="AE52" s="18"/>
      <c r="AF52" s="19">
        <f>ROUND(SUM(AF48:AF51),5)</f>
        <v>230</v>
      </c>
      <c r="AG52" s="18"/>
      <c r="AH52" s="19">
        <f>ROUND(SUM(AH48:AH51),5)</f>
        <v>735.43</v>
      </c>
      <c r="AI52" s="18"/>
      <c r="AJ52" s="19">
        <f>ROUND(SUM(AJ48:AJ51),5)</f>
        <v>707.16</v>
      </c>
      <c r="AK52" s="18"/>
      <c r="AL52" s="19">
        <f>ROUND(SUM(AL48:AL51),5)</f>
        <v>653.15</v>
      </c>
      <c r="AM52" s="18"/>
      <c r="AN52" s="19">
        <f>ROUND(SUM(AN48:AN51),5)</f>
        <v>3162.68</v>
      </c>
      <c r="AO52" s="18"/>
      <c r="AP52" s="19">
        <f>ROUND(SUM(AP48:AP51),5)</f>
        <v>0</v>
      </c>
      <c r="AQ52" s="18"/>
      <c r="AR52" s="19">
        <f>ROUND(SUM(AR48:AR51),5)</f>
        <v>179.2</v>
      </c>
      <c r="AS52" s="18"/>
      <c r="AT52" s="19">
        <f>ROUND(SUM(AT48:AT51),5)</f>
        <v>769.94</v>
      </c>
      <c r="AU52" s="18"/>
      <c r="AV52" s="19">
        <f>ROUND(SUM(AV48:AV51),5)</f>
        <v>0</v>
      </c>
      <c r="AW52" s="18"/>
      <c r="AX52" s="19">
        <f>ROUND(SUM(AX48:AX51),5)</f>
        <v>0</v>
      </c>
      <c r="AY52" s="18"/>
      <c r="AZ52" s="19">
        <f>ROUND(SUM(AZ48:AZ51),5)</f>
        <v>45</v>
      </c>
      <c r="BA52" s="18"/>
      <c r="BB52" s="19">
        <f>ROUND(SUM(BB48:BB51),5)</f>
        <v>0</v>
      </c>
      <c r="BC52" s="18"/>
      <c r="BD52" s="19">
        <f>ROUND(SUM(BD48:BD51),5)</f>
        <v>80.72</v>
      </c>
      <c r="BE52" s="18"/>
      <c r="BF52" s="19">
        <f>ROUND(SUM(BF48:BF51),5)</f>
        <v>114.47</v>
      </c>
      <c r="BG52" s="18"/>
      <c r="BH52" s="19">
        <f>ROUND(SUM(BH48:BH51),5)</f>
        <v>406.15</v>
      </c>
      <c r="BI52" s="18"/>
      <c r="BJ52" s="19">
        <f>ROUND(SUM(BJ48:BJ51),5)</f>
        <v>150.05000000000001</v>
      </c>
      <c r="BK52" s="18"/>
      <c r="BL52" s="19">
        <f>ROUND(SUM(BL48:BL51),5)</f>
        <v>0</v>
      </c>
      <c r="BM52" s="18"/>
      <c r="BN52" s="19">
        <f>ROUND(SUM(BN48:BN51),5)</f>
        <v>77.47</v>
      </c>
      <c r="BO52" s="18"/>
      <c r="BP52" s="19">
        <f>ROUND(SUM(BP48:BP51),5)</f>
        <v>1292.4000000000001</v>
      </c>
      <c r="BQ52" s="18"/>
      <c r="BR52" s="19">
        <f>ROUND(SUM(BR48:BR51),5)</f>
        <v>2197.13</v>
      </c>
      <c r="BS52" s="18"/>
      <c r="BT52" s="19">
        <f>ROUND(SUM(BT48:BT51),5)</f>
        <v>55.72</v>
      </c>
      <c r="BU52" s="18"/>
      <c r="BV52" s="19">
        <f>ROUND(SUM(BV48:BV51),5)</f>
        <v>0</v>
      </c>
      <c r="BW52" s="18"/>
      <c r="BX52" s="19">
        <f>ROUND(SUM(BX48:BX51),5)</f>
        <v>50</v>
      </c>
      <c r="BY52" s="18"/>
      <c r="BZ52" s="19">
        <f>ROUND(SUM(BZ48:BZ51),5)</f>
        <v>584.57000000000005</v>
      </c>
      <c r="CA52" s="18"/>
      <c r="CB52" s="19">
        <f>ROUND(SUM(CB48:CB51),5)</f>
        <v>0</v>
      </c>
      <c r="CC52" s="18"/>
      <c r="CD52" s="19">
        <f>ROUND(SUM(CD48:CD51),5)</f>
        <v>0</v>
      </c>
      <c r="CE52" s="18"/>
      <c r="CF52" s="19">
        <f>ROUND(SUM(CF48:CF51),5)</f>
        <v>88.21</v>
      </c>
      <c r="CG52" s="18"/>
      <c r="CH52" s="19">
        <f>ROUND(SUM(CH48:CH51),5)</f>
        <v>490.03</v>
      </c>
      <c r="CI52" s="18"/>
      <c r="CJ52" s="19">
        <f>ROUND(SUM(CJ48:CJ51),5)</f>
        <v>225.75</v>
      </c>
      <c r="CK52" s="18"/>
      <c r="CL52" s="19">
        <f>ROUND(SUM(CL48:CL51),5)</f>
        <v>0</v>
      </c>
      <c r="CM52" s="18"/>
      <c r="CN52" s="19">
        <f>ROUND(SUM(H52:CL52),5)</f>
        <v>13969.88</v>
      </c>
    </row>
    <row r="53" spans="1:92" x14ac:dyDescent="0.3">
      <c r="A53" s="16"/>
      <c r="B53" s="16"/>
      <c r="C53" s="16"/>
      <c r="D53" s="16"/>
      <c r="E53" s="16" t="s">
        <v>76</v>
      </c>
      <c r="F53" s="16"/>
      <c r="G53" s="16"/>
      <c r="H53" s="19">
        <v>0</v>
      </c>
      <c r="I53" s="18"/>
      <c r="J53" s="19">
        <v>0</v>
      </c>
      <c r="K53" s="18"/>
      <c r="L53" s="19">
        <v>0</v>
      </c>
      <c r="M53" s="18"/>
      <c r="N53" s="19">
        <v>0</v>
      </c>
      <c r="O53" s="18"/>
      <c r="P53" s="19">
        <v>0</v>
      </c>
      <c r="Q53" s="18"/>
      <c r="R53" s="19">
        <v>0</v>
      </c>
      <c r="S53" s="18"/>
      <c r="T53" s="19">
        <v>0</v>
      </c>
      <c r="U53" s="18"/>
      <c r="V53" s="19">
        <v>0</v>
      </c>
      <c r="W53" s="18"/>
      <c r="X53" s="19">
        <v>0</v>
      </c>
      <c r="Y53" s="18"/>
      <c r="Z53" s="19">
        <v>0</v>
      </c>
      <c r="AA53" s="18"/>
      <c r="AB53" s="19">
        <v>0</v>
      </c>
      <c r="AC53" s="18"/>
      <c r="AD53" s="19">
        <v>351.91</v>
      </c>
      <c r="AE53" s="18"/>
      <c r="AF53" s="19">
        <v>0</v>
      </c>
      <c r="AG53" s="18"/>
      <c r="AH53" s="19">
        <v>0</v>
      </c>
      <c r="AI53" s="18"/>
      <c r="AJ53" s="19">
        <v>0</v>
      </c>
      <c r="AK53" s="18"/>
      <c r="AL53" s="19">
        <v>0</v>
      </c>
      <c r="AM53" s="18"/>
      <c r="AN53" s="19">
        <v>0</v>
      </c>
      <c r="AO53" s="18"/>
      <c r="AP53" s="19">
        <v>0</v>
      </c>
      <c r="AQ53" s="18"/>
      <c r="AR53" s="19">
        <v>0</v>
      </c>
      <c r="AS53" s="18"/>
      <c r="AT53" s="19">
        <v>0</v>
      </c>
      <c r="AU53" s="18"/>
      <c r="AV53" s="19">
        <v>0</v>
      </c>
      <c r="AW53" s="18"/>
      <c r="AX53" s="19">
        <v>0</v>
      </c>
      <c r="AY53" s="18"/>
      <c r="AZ53" s="19">
        <v>0</v>
      </c>
      <c r="BA53" s="18"/>
      <c r="BB53" s="19">
        <v>0</v>
      </c>
      <c r="BC53" s="18"/>
      <c r="BD53" s="19">
        <v>0</v>
      </c>
      <c r="BE53" s="18"/>
      <c r="BF53" s="19">
        <v>0</v>
      </c>
      <c r="BG53" s="18"/>
      <c r="BH53" s="19">
        <v>0</v>
      </c>
      <c r="BI53" s="18"/>
      <c r="BJ53" s="19">
        <v>0</v>
      </c>
      <c r="BK53" s="18"/>
      <c r="BL53" s="19">
        <v>0</v>
      </c>
      <c r="BM53" s="18"/>
      <c r="BN53" s="19">
        <v>0</v>
      </c>
      <c r="BO53" s="18"/>
      <c r="BP53" s="19">
        <v>0</v>
      </c>
      <c r="BQ53" s="18"/>
      <c r="BR53" s="19">
        <v>0</v>
      </c>
      <c r="BS53" s="18"/>
      <c r="BT53" s="19">
        <v>0</v>
      </c>
      <c r="BU53" s="18"/>
      <c r="BV53" s="19">
        <v>0</v>
      </c>
      <c r="BW53" s="18"/>
      <c r="BX53" s="19">
        <v>0</v>
      </c>
      <c r="BY53" s="18"/>
      <c r="BZ53" s="19">
        <v>0</v>
      </c>
      <c r="CA53" s="18"/>
      <c r="CB53" s="19">
        <v>0</v>
      </c>
      <c r="CC53" s="18"/>
      <c r="CD53" s="19">
        <v>0</v>
      </c>
      <c r="CE53" s="18"/>
      <c r="CF53" s="19">
        <v>0</v>
      </c>
      <c r="CG53" s="18"/>
      <c r="CH53" s="19">
        <v>0</v>
      </c>
      <c r="CI53" s="18"/>
      <c r="CJ53" s="19">
        <v>0</v>
      </c>
      <c r="CK53" s="18"/>
      <c r="CL53" s="19">
        <v>0</v>
      </c>
      <c r="CM53" s="18"/>
      <c r="CN53" s="19">
        <f>ROUND(SUM(H53:CL53),5)</f>
        <v>351.91</v>
      </c>
    </row>
    <row r="54" spans="1:92" x14ac:dyDescent="0.3">
      <c r="A54" s="16"/>
      <c r="B54" s="16"/>
      <c r="C54" s="16"/>
      <c r="D54" s="16"/>
      <c r="E54" s="16" t="s">
        <v>75</v>
      </c>
      <c r="F54" s="16"/>
      <c r="G54" s="16"/>
      <c r="H54" s="19"/>
      <c r="I54" s="18"/>
      <c r="J54" s="19"/>
      <c r="K54" s="18"/>
      <c r="L54" s="19"/>
      <c r="M54" s="18"/>
      <c r="N54" s="19"/>
      <c r="O54" s="18"/>
      <c r="P54" s="19"/>
      <c r="Q54" s="18"/>
      <c r="R54" s="19"/>
      <c r="S54" s="18"/>
      <c r="T54" s="19"/>
      <c r="U54" s="18"/>
      <c r="V54" s="19"/>
      <c r="W54" s="18"/>
      <c r="X54" s="19"/>
      <c r="Y54" s="18"/>
      <c r="Z54" s="19"/>
      <c r="AA54" s="18"/>
      <c r="AB54" s="19"/>
      <c r="AC54" s="18"/>
      <c r="AD54" s="19"/>
      <c r="AE54" s="18"/>
      <c r="AF54" s="19"/>
      <c r="AG54" s="18"/>
      <c r="AH54" s="19"/>
      <c r="AI54" s="18"/>
      <c r="AJ54" s="19"/>
      <c r="AK54" s="18"/>
      <c r="AL54" s="19"/>
      <c r="AM54" s="18"/>
      <c r="AN54" s="19"/>
      <c r="AO54" s="18"/>
      <c r="AP54" s="19"/>
      <c r="AQ54" s="18"/>
      <c r="AR54" s="19"/>
      <c r="AS54" s="18"/>
      <c r="AT54" s="19"/>
      <c r="AU54" s="18"/>
      <c r="AV54" s="19"/>
      <c r="AW54" s="18"/>
      <c r="AX54" s="19"/>
      <c r="AY54" s="18"/>
      <c r="AZ54" s="19"/>
      <c r="BA54" s="18"/>
      <c r="BB54" s="19"/>
      <c r="BC54" s="18"/>
      <c r="BD54" s="19"/>
      <c r="BE54" s="18"/>
      <c r="BF54" s="19"/>
      <c r="BG54" s="18"/>
      <c r="BH54" s="19"/>
      <c r="BI54" s="18"/>
      <c r="BJ54" s="19"/>
      <c r="BK54" s="18"/>
      <c r="BL54" s="19"/>
      <c r="BM54" s="18"/>
      <c r="BN54" s="19"/>
      <c r="BO54" s="18"/>
      <c r="BP54" s="19"/>
      <c r="BQ54" s="18"/>
      <c r="BR54" s="19"/>
      <c r="BS54" s="18"/>
      <c r="BT54" s="19"/>
      <c r="BU54" s="18"/>
      <c r="BV54" s="19"/>
      <c r="BW54" s="18"/>
      <c r="BX54" s="19"/>
      <c r="BY54" s="18"/>
      <c r="BZ54" s="19"/>
      <c r="CA54" s="18"/>
      <c r="CB54" s="19"/>
      <c r="CC54" s="18"/>
      <c r="CD54" s="19"/>
      <c r="CE54" s="18"/>
      <c r="CF54" s="19"/>
      <c r="CG54" s="18"/>
      <c r="CH54" s="19"/>
      <c r="CI54" s="18"/>
      <c r="CJ54" s="19"/>
      <c r="CK54" s="18"/>
      <c r="CL54" s="19"/>
      <c r="CM54" s="18"/>
      <c r="CN54" s="19"/>
    </row>
    <row r="55" spans="1:92" x14ac:dyDescent="0.3">
      <c r="A55" s="16"/>
      <c r="B55" s="16"/>
      <c r="C55" s="16"/>
      <c r="D55" s="16"/>
      <c r="E55" s="16"/>
      <c r="F55" s="16" t="s">
        <v>74</v>
      </c>
      <c r="G55" s="16"/>
      <c r="H55" s="19">
        <v>242.78</v>
      </c>
      <c r="I55" s="18"/>
      <c r="J55" s="19">
        <v>0</v>
      </c>
      <c r="K55" s="18"/>
      <c r="L55" s="19">
        <v>163.51</v>
      </c>
      <c r="M55" s="18"/>
      <c r="N55" s="19">
        <v>0</v>
      </c>
      <c r="O55" s="18"/>
      <c r="P55" s="19">
        <v>338.46</v>
      </c>
      <c r="Q55" s="18"/>
      <c r="R55" s="19">
        <v>30.92</v>
      </c>
      <c r="S55" s="18"/>
      <c r="T55" s="19">
        <v>101.24</v>
      </c>
      <c r="U55" s="18"/>
      <c r="V55" s="19">
        <v>166.41</v>
      </c>
      <c r="W55" s="18"/>
      <c r="X55" s="19">
        <v>0</v>
      </c>
      <c r="Y55" s="18"/>
      <c r="Z55" s="19">
        <v>150.55000000000001</v>
      </c>
      <c r="AA55" s="18"/>
      <c r="AB55" s="19">
        <v>208.67</v>
      </c>
      <c r="AC55" s="18"/>
      <c r="AD55" s="19">
        <v>209</v>
      </c>
      <c r="AE55" s="18"/>
      <c r="AF55" s="19">
        <v>38.08</v>
      </c>
      <c r="AG55" s="18"/>
      <c r="AH55" s="19">
        <v>47.3</v>
      </c>
      <c r="AI55" s="18"/>
      <c r="AJ55" s="19">
        <v>0</v>
      </c>
      <c r="AK55" s="18"/>
      <c r="AL55" s="19">
        <v>0</v>
      </c>
      <c r="AM55" s="18"/>
      <c r="AN55" s="19">
        <v>0</v>
      </c>
      <c r="AO55" s="18"/>
      <c r="AP55" s="19">
        <v>0</v>
      </c>
      <c r="AQ55" s="18"/>
      <c r="AR55" s="19">
        <v>41.58</v>
      </c>
      <c r="AS55" s="18"/>
      <c r="AT55" s="19">
        <v>0</v>
      </c>
      <c r="AU55" s="18"/>
      <c r="AV55" s="19">
        <v>116.13</v>
      </c>
      <c r="AW55" s="18"/>
      <c r="AX55" s="19">
        <v>0</v>
      </c>
      <c r="AY55" s="18"/>
      <c r="AZ55" s="19">
        <v>0</v>
      </c>
      <c r="BA55" s="18"/>
      <c r="BB55" s="19">
        <v>50.18</v>
      </c>
      <c r="BC55" s="18"/>
      <c r="BD55" s="19">
        <v>269.32</v>
      </c>
      <c r="BE55" s="18"/>
      <c r="BF55" s="19">
        <v>64.89</v>
      </c>
      <c r="BG55" s="18"/>
      <c r="BH55" s="19">
        <v>101.03</v>
      </c>
      <c r="BI55" s="18"/>
      <c r="BJ55" s="19">
        <v>0</v>
      </c>
      <c r="BK55" s="18"/>
      <c r="BL55" s="19">
        <v>96.14</v>
      </c>
      <c r="BM55" s="18"/>
      <c r="BN55" s="19">
        <v>0</v>
      </c>
      <c r="BO55" s="18"/>
      <c r="BP55" s="19">
        <v>0</v>
      </c>
      <c r="BQ55" s="18"/>
      <c r="BR55" s="19">
        <v>0</v>
      </c>
      <c r="BS55" s="18"/>
      <c r="BT55" s="19">
        <v>100.42</v>
      </c>
      <c r="BU55" s="18"/>
      <c r="BV55" s="19">
        <v>0</v>
      </c>
      <c r="BW55" s="18"/>
      <c r="BX55" s="19">
        <v>0</v>
      </c>
      <c r="BY55" s="18"/>
      <c r="BZ55" s="19">
        <v>0</v>
      </c>
      <c r="CA55" s="18"/>
      <c r="CB55" s="19">
        <v>531.74</v>
      </c>
      <c r="CC55" s="18"/>
      <c r="CD55" s="19">
        <v>0</v>
      </c>
      <c r="CE55" s="18"/>
      <c r="CF55" s="19">
        <v>0</v>
      </c>
      <c r="CG55" s="18"/>
      <c r="CH55" s="19">
        <v>192.64</v>
      </c>
      <c r="CI55" s="18"/>
      <c r="CJ55" s="19">
        <v>0</v>
      </c>
      <c r="CK55" s="18"/>
      <c r="CL55" s="19">
        <v>0</v>
      </c>
      <c r="CM55" s="18"/>
      <c r="CN55" s="19">
        <f>ROUND(SUM(H55:CL55),5)</f>
        <v>3260.99</v>
      </c>
    </row>
    <row r="56" spans="1:92" x14ac:dyDescent="0.3">
      <c r="A56" s="16"/>
      <c r="B56" s="16"/>
      <c r="C56" s="16"/>
      <c r="D56" s="16"/>
      <c r="E56" s="16"/>
      <c r="F56" s="16" t="s">
        <v>73</v>
      </c>
      <c r="G56" s="16"/>
      <c r="H56" s="19">
        <v>98.06</v>
      </c>
      <c r="I56" s="18"/>
      <c r="J56" s="19">
        <v>115.66</v>
      </c>
      <c r="K56" s="18"/>
      <c r="L56" s="19">
        <v>111.87</v>
      </c>
      <c r="M56" s="18"/>
      <c r="N56" s="19">
        <v>145.41999999999999</v>
      </c>
      <c r="O56" s="18"/>
      <c r="P56" s="19">
        <v>0</v>
      </c>
      <c r="Q56" s="18"/>
      <c r="R56" s="19">
        <v>170.72</v>
      </c>
      <c r="S56" s="18"/>
      <c r="T56" s="19">
        <v>771.72</v>
      </c>
      <c r="U56" s="18"/>
      <c r="V56" s="19">
        <v>104.39</v>
      </c>
      <c r="W56" s="18"/>
      <c r="X56" s="19">
        <v>45.97</v>
      </c>
      <c r="Y56" s="18"/>
      <c r="Z56" s="19">
        <v>0</v>
      </c>
      <c r="AA56" s="18"/>
      <c r="AB56" s="19">
        <v>73.52</v>
      </c>
      <c r="AC56" s="18"/>
      <c r="AD56" s="19">
        <v>1412.61</v>
      </c>
      <c r="AE56" s="18"/>
      <c r="AF56" s="19">
        <v>192.01</v>
      </c>
      <c r="AG56" s="18"/>
      <c r="AH56" s="19">
        <v>321.5</v>
      </c>
      <c r="AI56" s="18"/>
      <c r="AJ56" s="19">
        <v>108.12</v>
      </c>
      <c r="AK56" s="18"/>
      <c r="AL56" s="19">
        <v>37.75</v>
      </c>
      <c r="AM56" s="18"/>
      <c r="AN56" s="19">
        <v>33.81</v>
      </c>
      <c r="AO56" s="18"/>
      <c r="AP56" s="19">
        <v>33</v>
      </c>
      <c r="AQ56" s="18"/>
      <c r="AR56" s="19">
        <v>272.22000000000003</v>
      </c>
      <c r="AS56" s="18"/>
      <c r="AT56" s="19">
        <v>85.99</v>
      </c>
      <c r="AU56" s="18"/>
      <c r="AV56" s="19">
        <v>338.13</v>
      </c>
      <c r="AW56" s="18"/>
      <c r="AX56" s="19">
        <v>87.94</v>
      </c>
      <c r="AY56" s="18"/>
      <c r="AZ56" s="19">
        <v>358.54</v>
      </c>
      <c r="BA56" s="18"/>
      <c r="BB56" s="19">
        <v>1033.04</v>
      </c>
      <c r="BC56" s="18"/>
      <c r="BD56" s="19">
        <v>129.06</v>
      </c>
      <c r="BE56" s="18"/>
      <c r="BF56" s="19">
        <v>11.69</v>
      </c>
      <c r="BG56" s="18"/>
      <c r="BH56" s="19">
        <v>226.11</v>
      </c>
      <c r="BI56" s="18"/>
      <c r="BJ56" s="19">
        <v>182.95</v>
      </c>
      <c r="BK56" s="18"/>
      <c r="BL56" s="19">
        <v>599.67999999999995</v>
      </c>
      <c r="BM56" s="18"/>
      <c r="BN56" s="19">
        <v>124.55</v>
      </c>
      <c r="BO56" s="18"/>
      <c r="BP56" s="19">
        <v>367.1</v>
      </c>
      <c r="BQ56" s="18"/>
      <c r="BR56" s="19">
        <v>456.01</v>
      </c>
      <c r="BS56" s="18"/>
      <c r="BT56" s="19">
        <v>23.19</v>
      </c>
      <c r="BU56" s="18"/>
      <c r="BV56" s="19">
        <v>0</v>
      </c>
      <c r="BW56" s="18"/>
      <c r="BX56" s="19">
        <v>151.33000000000001</v>
      </c>
      <c r="BY56" s="18"/>
      <c r="BZ56" s="19">
        <v>536.71</v>
      </c>
      <c r="CA56" s="18"/>
      <c r="CB56" s="19">
        <v>8.1300000000000008</v>
      </c>
      <c r="CC56" s="18"/>
      <c r="CD56" s="19">
        <v>25.89</v>
      </c>
      <c r="CE56" s="18"/>
      <c r="CF56" s="19">
        <v>88.05</v>
      </c>
      <c r="CG56" s="18"/>
      <c r="CH56" s="19">
        <v>213.07</v>
      </c>
      <c r="CI56" s="18"/>
      <c r="CJ56" s="19">
        <v>211.18</v>
      </c>
      <c r="CK56" s="18"/>
      <c r="CL56" s="19">
        <v>0</v>
      </c>
      <c r="CM56" s="18"/>
      <c r="CN56" s="19">
        <f>ROUND(SUM(H56:CL56),5)</f>
        <v>9306.69</v>
      </c>
    </row>
    <row r="57" spans="1:92" ht="15" thickBot="1" x14ac:dyDescent="0.35">
      <c r="A57" s="16"/>
      <c r="B57" s="16"/>
      <c r="C57" s="16"/>
      <c r="D57" s="16"/>
      <c r="E57" s="16"/>
      <c r="F57" s="16" t="s">
        <v>72</v>
      </c>
      <c r="G57" s="16"/>
      <c r="H57" s="20">
        <v>0</v>
      </c>
      <c r="I57" s="18"/>
      <c r="J57" s="20">
        <v>0</v>
      </c>
      <c r="K57" s="18"/>
      <c r="L57" s="20">
        <v>0</v>
      </c>
      <c r="M57" s="18"/>
      <c r="N57" s="20">
        <v>0</v>
      </c>
      <c r="O57" s="18"/>
      <c r="P57" s="20">
        <v>0</v>
      </c>
      <c r="Q57" s="18"/>
      <c r="R57" s="20">
        <v>0</v>
      </c>
      <c r="S57" s="18"/>
      <c r="T57" s="20">
        <v>0</v>
      </c>
      <c r="U57" s="18"/>
      <c r="V57" s="20">
        <v>0</v>
      </c>
      <c r="W57" s="18"/>
      <c r="X57" s="20">
        <v>0</v>
      </c>
      <c r="Y57" s="18"/>
      <c r="Z57" s="20">
        <v>0</v>
      </c>
      <c r="AA57" s="18"/>
      <c r="AB57" s="20">
        <v>0</v>
      </c>
      <c r="AC57" s="18"/>
      <c r="AD57" s="20">
        <v>0</v>
      </c>
      <c r="AE57" s="18"/>
      <c r="AF57" s="20">
        <v>164.72</v>
      </c>
      <c r="AG57" s="18"/>
      <c r="AH57" s="20">
        <v>0</v>
      </c>
      <c r="AI57" s="18"/>
      <c r="AJ57" s="20">
        <v>0</v>
      </c>
      <c r="AK57" s="18"/>
      <c r="AL57" s="20">
        <v>0</v>
      </c>
      <c r="AM57" s="18"/>
      <c r="AN57" s="20">
        <v>0</v>
      </c>
      <c r="AO57" s="18"/>
      <c r="AP57" s="20">
        <v>11.19</v>
      </c>
      <c r="AQ57" s="18"/>
      <c r="AR57" s="20">
        <v>0</v>
      </c>
      <c r="AS57" s="18"/>
      <c r="AT57" s="20">
        <v>110.52</v>
      </c>
      <c r="AU57" s="18"/>
      <c r="AV57" s="20">
        <v>0</v>
      </c>
      <c r="AW57" s="18"/>
      <c r="AX57" s="20">
        <v>0</v>
      </c>
      <c r="AY57" s="18"/>
      <c r="AZ57" s="20">
        <v>0</v>
      </c>
      <c r="BA57" s="18"/>
      <c r="BB57" s="20">
        <v>0</v>
      </c>
      <c r="BC57" s="18"/>
      <c r="BD57" s="20">
        <v>0</v>
      </c>
      <c r="BE57" s="18"/>
      <c r="BF57" s="20">
        <v>0</v>
      </c>
      <c r="BG57" s="18"/>
      <c r="BH57" s="20">
        <v>0</v>
      </c>
      <c r="BI57" s="18"/>
      <c r="BJ57" s="20">
        <v>0</v>
      </c>
      <c r="BK57" s="18"/>
      <c r="BL57" s="20">
        <v>0</v>
      </c>
      <c r="BM57" s="18"/>
      <c r="BN57" s="20">
        <v>0</v>
      </c>
      <c r="BO57" s="18"/>
      <c r="BP57" s="20">
        <v>0</v>
      </c>
      <c r="BQ57" s="18"/>
      <c r="BR57" s="20">
        <v>0</v>
      </c>
      <c r="BS57" s="18"/>
      <c r="BT57" s="20">
        <v>0</v>
      </c>
      <c r="BU57" s="18"/>
      <c r="BV57" s="20">
        <v>0</v>
      </c>
      <c r="BW57" s="18"/>
      <c r="BX57" s="20">
        <v>0</v>
      </c>
      <c r="BY57" s="18"/>
      <c r="BZ57" s="20">
        <v>0</v>
      </c>
      <c r="CA57" s="18"/>
      <c r="CB57" s="20">
        <v>0</v>
      </c>
      <c r="CC57" s="18"/>
      <c r="CD57" s="20">
        <v>0</v>
      </c>
      <c r="CE57" s="18"/>
      <c r="CF57" s="20">
        <v>0</v>
      </c>
      <c r="CG57" s="18"/>
      <c r="CH57" s="20">
        <v>0</v>
      </c>
      <c r="CI57" s="18"/>
      <c r="CJ57" s="20">
        <v>0</v>
      </c>
      <c r="CK57" s="18"/>
      <c r="CL57" s="20">
        <v>0</v>
      </c>
      <c r="CM57" s="18"/>
      <c r="CN57" s="20">
        <f>ROUND(SUM(H57:CL57),5)</f>
        <v>286.43</v>
      </c>
    </row>
    <row r="58" spans="1:92" x14ac:dyDescent="0.3">
      <c r="A58" s="16"/>
      <c r="B58" s="16"/>
      <c r="C58" s="16"/>
      <c r="D58" s="16"/>
      <c r="E58" s="16" t="s">
        <v>71</v>
      </c>
      <c r="F58" s="16"/>
      <c r="G58" s="16"/>
      <c r="H58" s="19">
        <f>ROUND(SUM(H54:H57),5)</f>
        <v>340.84</v>
      </c>
      <c r="I58" s="18"/>
      <c r="J58" s="19">
        <f>ROUND(SUM(J54:J57),5)</f>
        <v>115.66</v>
      </c>
      <c r="K58" s="18"/>
      <c r="L58" s="19">
        <f>ROUND(SUM(L54:L57),5)</f>
        <v>275.38</v>
      </c>
      <c r="M58" s="18"/>
      <c r="N58" s="19">
        <f>ROUND(SUM(N54:N57),5)</f>
        <v>145.41999999999999</v>
      </c>
      <c r="O58" s="18"/>
      <c r="P58" s="19">
        <f>ROUND(SUM(P54:P57),5)</f>
        <v>338.46</v>
      </c>
      <c r="Q58" s="18"/>
      <c r="R58" s="19">
        <f>ROUND(SUM(R54:R57),5)</f>
        <v>201.64</v>
      </c>
      <c r="S58" s="18"/>
      <c r="T58" s="19">
        <f>ROUND(SUM(T54:T57),5)</f>
        <v>872.96</v>
      </c>
      <c r="U58" s="18"/>
      <c r="V58" s="19">
        <f>ROUND(SUM(V54:V57),5)</f>
        <v>270.8</v>
      </c>
      <c r="W58" s="18"/>
      <c r="X58" s="19">
        <f>ROUND(SUM(X54:X57),5)</f>
        <v>45.97</v>
      </c>
      <c r="Y58" s="18"/>
      <c r="Z58" s="19">
        <f>ROUND(SUM(Z54:Z57),5)</f>
        <v>150.55000000000001</v>
      </c>
      <c r="AA58" s="18"/>
      <c r="AB58" s="19">
        <f>ROUND(SUM(AB54:AB57),5)</f>
        <v>282.19</v>
      </c>
      <c r="AC58" s="18"/>
      <c r="AD58" s="19">
        <f>ROUND(SUM(AD54:AD57),5)</f>
        <v>1621.61</v>
      </c>
      <c r="AE58" s="18"/>
      <c r="AF58" s="19">
        <f>ROUND(SUM(AF54:AF57),5)</f>
        <v>394.81</v>
      </c>
      <c r="AG58" s="18"/>
      <c r="AH58" s="19">
        <f>ROUND(SUM(AH54:AH57),5)</f>
        <v>368.8</v>
      </c>
      <c r="AI58" s="18"/>
      <c r="AJ58" s="19">
        <f>ROUND(SUM(AJ54:AJ57),5)</f>
        <v>108.12</v>
      </c>
      <c r="AK58" s="18"/>
      <c r="AL58" s="19">
        <f>ROUND(SUM(AL54:AL57),5)</f>
        <v>37.75</v>
      </c>
      <c r="AM58" s="18"/>
      <c r="AN58" s="19">
        <f>ROUND(SUM(AN54:AN57),5)</f>
        <v>33.81</v>
      </c>
      <c r="AO58" s="18"/>
      <c r="AP58" s="19">
        <f>ROUND(SUM(AP54:AP57),5)</f>
        <v>44.19</v>
      </c>
      <c r="AQ58" s="18"/>
      <c r="AR58" s="19">
        <f>ROUND(SUM(AR54:AR57),5)</f>
        <v>313.8</v>
      </c>
      <c r="AS58" s="18"/>
      <c r="AT58" s="19">
        <f>ROUND(SUM(AT54:AT57),5)</f>
        <v>196.51</v>
      </c>
      <c r="AU58" s="18"/>
      <c r="AV58" s="19">
        <f>ROUND(SUM(AV54:AV57),5)</f>
        <v>454.26</v>
      </c>
      <c r="AW58" s="18"/>
      <c r="AX58" s="19">
        <f>ROUND(SUM(AX54:AX57),5)</f>
        <v>87.94</v>
      </c>
      <c r="AY58" s="18"/>
      <c r="AZ58" s="19">
        <f>ROUND(SUM(AZ54:AZ57),5)</f>
        <v>358.54</v>
      </c>
      <c r="BA58" s="18"/>
      <c r="BB58" s="19">
        <f>ROUND(SUM(BB54:BB57),5)</f>
        <v>1083.22</v>
      </c>
      <c r="BC58" s="18"/>
      <c r="BD58" s="19">
        <f>ROUND(SUM(BD54:BD57),5)</f>
        <v>398.38</v>
      </c>
      <c r="BE58" s="18"/>
      <c r="BF58" s="19">
        <f>ROUND(SUM(BF54:BF57),5)</f>
        <v>76.58</v>
      </c>
      <c r="BG58" s="18"/>
      <c r="BH58" s="19">
        <f>ROUND(SUM(BH54:BH57),5)</f>
        <v>327.14</v>
      </c>
      <c r="BI58" s="18"/>
      <c r="BJ58" s="19">
        <f>ROUND(SUM(BJ54:BJ57),5)</f>
        <v>182.95</v>
      </c>
      <c r="BK58" s="18"/>
      <c r="BL58" s="19">
        <f>ROUND(SUM(BL54:BL57),5)</f>
        <v>695.82</v>
      </c>
      <c r="BM58" s="18"/>
      <c r="BN58" s="19">
        <f>ROUND(SUM(BN54:BN57),5)</f>
        <v>124.55</v>
      </c>
      <c r="BO58" s="18"/>
      <c r="BP58" s="19">
        <f>ROUND(SUM(BP54:BP57),5)</f>
        <v>367.1</v>
      </c>
      <c r="BQ58" s="18"/>
      <c r="BR58" s="19">
        <f>ROUND(SUM(BR54:BR57),5)</f>
        <v>456.01</v>
      </c>
      <c r="BS58" s="18"/>
      <c r="BT58" s="19">
        <f>ROUND(SUM(BT54:BT57),5)</f>
        <v>123.61</v>
      </c>
      <c r="BU58" s="18"/>
      <c r="BV58" s="19">
        <f>ROUND(SUM(BV54:BV57),5)</f>
        <v>0</v>
      </c>
      <c r="BW58" s="18"/>
      <c r="BX58" s="19">
        <f>ROUND(SUM(BX54:BX57),5)</f>
        <v>151.33000000000001</v>
      </c>
      <c r="BY58" s="18"/>
      <c r="BZ58" s="19">
        <f>ROUND(SUM(BZ54:BZ57),5)</f>
        <v>536.71</v>
      </c>
      <c r="CA58" s="18"/>
      <c r="CB58" s="19">
        <f>ROUND(SUM(CB54:CB57),5)</f>
        <v>539.87</v>
      </c>
      <c r="CC58" s="18"/>
      <c r="CD58" s="19">
        <f>ROUND(SUM(CD54:CD57),5)</f>
        <v>25.89</v>
      </c>
      <c r="CE58" s="18"/>
      <c r="CF58" s="19">
        <f>ROUND(SUM(CF54:CF57),5)</f>
        <v>88.05</v>
      </c>
      <c r="CG58" s="18"/>
      <c r="CH58" s="19">
        <f>ROUND(SUM(CH54:CH57),5)</f>
        <v>405.71</v>
      </c>
      <c r="CI58" s="18"/>
      <c r="CJ58" s="19">
        <f>ROUND(SUM(CJ54:CJ57),5)</f>
        <v>211.18</v>
      </c>
      <c r="CK58" s="18"/>
      <c r="CL58" s="19">
        <f>ROUND(SUM(CL54:CL57),5)</f>
        <v>0</v>
      </c>
      <c r="CM58" s="18"/>
      <c r="CN58" s="19">
        <f>ROUND(SUM(H58:CL58),5)</f>
        <v>12854.11</v>
      </c>
    </row>
    <row r="59" spans="1:92" x14ac:dyDescent="0.3">
      <c r="A59" s="16"/>
      <c r="B59" s="16"/>
      <c r="C59" s="16"/>
      <c r="D59" s="16"/>
      <c r="E59" s="16" t="s">
        <v>70</v>
      </c>
      <c r="F59" s="16"/>
      <c r="G59" s="16"/>
      <c r="H59" s="19">
        <v>0</v>
      </c>
      <c r="I59" s="18"/>
      <c r="J59" s="19">
        <v>0</v>
      </c>
      <c r="K59" s="18"/>
      <c r="L59" s="19">
        <v>0</v>
      </c>
      <c r="M59" s="18"/>
      <c r="N59" s="19">
        <v>0</v>
      </c>
      <c r="O59" s="18"/>
      <c r="P59" s="19">
        <v>0</v>
      </c>
      <c r="Q59" s="18"/>
      <c r="R59" s="19">
        <v>0</v>
      </c>
      <c r="S59" s="18"/>
      <c r="T59" s="19">
        <v>0</v>
      </c>
      <c r="U59" s="18"/>
      <c r="V59" s="19">
        <v>0</v>
      </c>
      <c r="W59" s="18"/>
      <c r="X59" s="19">
        <v>0</v>
      </c>
      <c r="Y59" s="18"/>
      <c r="Z59" s="19">
        <v>0</v>
      </c>
      <c r="AA59" s="18"/>
      <c r="AB59" s="19">
        <v>0</v>
      </c>
      <c r="AC59" s="18"/>
      <c r="AD59" s="19">
        <v>0</v>
      </c>
      <c r="AE59" s="18"/>
      <c r="AF59" s="19">
        <v>0</v>
      </c>
      <c r="AG59" s="18"/>
      <c r="AH59" s="19">
        <v>0</v>
      </c>
      <c r="AI59" s="18"/>
      <c r="AJ59" s="19">
        <v>0</v>
      </c>
      <c r="AK59" s="18"/>
      <c r="AL59" s="19">
        <v>0</v>
      </c>
      <c r="AM59" s="18"/>
      <c r="AN59" s="19">
        <v>0</v>
      </c>
      <c r="AO59" s="18"/>
      <c r="AP59" s="19">
        <v>0</v>
      </c>
      <c r="AQ59" s="18"/>
      <c r="AR59" s="19">
        <v>0</v>
      </c>
      <c r="AS59" s="18"/>
      <c r="AT59" s="19">
        <v>0</v>
      </c>
      <c r="AU59" s="18"/>
      <c r="AV59" s="19">
        <v>-12978.3</v>
      </c>
      <c r="AW59" s="18"/>
      <c r="AX59" s="19">
        <v>12978.3</v>
      </c>
      <c r="AY59" s="18"/>
      <c r="AZ59" s="19">
        <v>0</v>
      </c>
      <c r="BA59" s="18"/>
      <c r="BB59" s="19">
        <v>0</v>
      </c>
      <c r="BC59" s="18"/>
      <c r="BD59" s="19">
        <v>0</v>
      </c>
      <c r="BE59" s="18"/>
      <c r="BF59" s="19">
        <v>0</v>
      </c>
      <c r="BG59" s="18"/>
      <c r="BH59" s="19">
        <v>0</v>
      </c>
      <c r="BI59" s="18"/>
      <c r="BJ59" s="19">
        <v>0</v>
      </c>
      <c r="BK59" s="18"/>
      <c r="BL59" s="19">
        <v>0</v>
      </c>
      <c r="BM59" s="18"/>
      <c r="BN59" s="19">
        <v>0</v>
      </c>
      <c r="BO59" s="18"/>
      <c r="BP59" s="19">
        <v>0</v>
      </c>
      <c r="BQ59" s="18"/>
      <c r="BR59" s="19">
        <v>0</v>
      </c>
      <c r="BS59" s="18"/>
      <c r="BT59" s="19">
        <v>420.6</v>
      </c>
      <c r="BU59" s="18"/>
      <c r="BV59" s="19">
        <v>0</v>
      </c>
      <c r="BW59" s="18"/>
      <c r="BX59" s="19">
        <v>0</v>
      </c>
      <c r="BY59" s="18"/>
      <c r="BZ59" s="19">
        <v>-22.45</v>
      </c>
      <c r="CA59" s="18"/>
      <c r="CB59" s="19">
        <v>0</v>
      </c>
      <c r="CC59" s="18"/>
      <c r="CD59" s="19">
        <v>0</v>
      </c>
      <c r="CE59" s="18"/>
      <c r="CF59" s="19">
        <v>0</v>
      </c>
      <c r="CG59" s="18"/>
      <c r="CH59" s="19">
        <v>0</v>
      </c>
      <c r="CI59" s="18"/>
      <c r="CJ59" s="19">
        <v>0</v>
      </c>
      <c r="CK59" s="18"/>
      <c r="CL59" s="19">
        <v>0</v>
      </c>
      <c r="CM59" s="18"/>
      <c r="CN59" s="19">
        <f>ROUND(SUM(H59:CL59),5)</f>
        <v>398.15</v>
      </c>
    </row>
    <row r="60" spans="1:92" x14ac:dyDescent="0.3">
      <c r="A60" s="16"/>
      <c r="B60" s="16"/>
      <c r="C60" s="16"/>
      <c r="D60" s="16"/>
      <c r="E60" s="16" t="s">
        <v>69</v>
      </c>
      <c r="F60" s="16"/>
      <c r="G60" s="16"/>
      <c r="H60" s="19"/>
      <c r="I60" s="18"/>
      <c r="J60" s="19"/>
      <c r="K60" s="18"/>
      <c r="L60" s="19"/>
      <c r="M60" s="18"/>
      <c r="N60" s="19"/>
      <c r="O60" s="18"/>
      <c r="P60" s="19"/>
      <c r="Q60" s="18"/>
      <c r="R60" s="19"/>
      <c r="S60" s="18"/>
      <c r="T60" s="19"/>
      <c r="U60" s="18"/>
      <c r="V60" s="19"/>
      <c r="W60" s="18"/>
      <c r="X60" s="19"/>
      <c r="Y60" s="18"/>
      <c r="Z60" s="19"/>
      <c r="AA60" s="18"/>
      <c r="AB60" s="19"/>
      <c r="AC60" s="18"/>
      <c r="AD60" s="19"/>
      <c r="AE60" s="18"/>
      <c r="AF60" s="19"/>
      <c r="AG60" s="18"/>
      <c r="AH60" s="19"/>
      <c r="AI60" s="18"/>
      <c r="AJ60" s="19"/>
      <c r="AK60" s="18"/>
      <c r="AL60" s="19"/>
      <c r="AM60" s="18"/>
      <c r="AN60" s="19"/>
      <c r="AO60" s="18"/>
      <c r="AP60" s="19"/>
      <c r="AQ60" s="18"/>
      <c r="AR60" s="19"/>
      <c r="AS60" s="18"/>
      <c r="AT60" s="19"/>
      <c r="AU60" s="18"/>
      <c r="AV60" s="19"/>
      <c r="AW60" s="18"/>
      <c r="AX60" s="19"/>
      <c r="AY60" s="18"/>
      <c r="AZ60" s="19"/>
      <c r="BA60" s="18"/>
      <c r="BB60" s="19"/>
      <c r="BC60" s="18"/>
      <c r="BD60" s="19"/>
      <c r="BE60" s="18"/>
      <c r="BF60" s="19"/>
      <c r="BG60" s="18"/>
      <c r="BH60" s="19"/>
      <c r="BI60" s="18"/>
      <c r="BJ60" s="19"/>
      <c r="BK60" s="18"/>
      <c r="BL60" s="19"/>
      <c r="BM60" s="18"/>
      <c r="BN60" s="19"/>
      <c r="BO60" s="18"/>
      <c r="BP60" s="19"/>
      <c r="BQ60" s="18"/>
      <c r="BR60" s="19"/>
      <c r="BS60" s="18"/>
      <c r="BT60" s="19"/>
      <c r="BU60" s="18"/>
      <c r="BV60" s="19"/>
      <c r="BW60" s="18"/>
      <c r="BX60" s="19"/>
      <c r="BY60" s="18"/>
      <c r="BZ60" s="19"/>
      <c r="CA60" s="18"/>
      <c r="CB60" s="19"/>
      <c r="CC60" s="18"/>
      <c r="CD60" s="19"/>
      <c r="CE60" s="18"/>
      <c r="CF60" s="19"/>
      <c r="CG60" s="18"/>
      <c r="CH60" s="19"/>
      <c r="CI60" s="18"/>
      <c r="CJ60" s="19"/>
      <c r="CK60" s="18"/>
      <c r="CL60" s="19"/>
      <c r="CM60" s="18"/>
      <c r="CN60" s="19"/>
    </row>
    <row r="61" spans="1:92" x14ac:dyDescent="0.3">
      <c r="A61" s="16"/>
      <c r="B61" s="16"/>
      <c r="C61" s="16"/>
      <c r="D61" s="16"/>
      <c r="E61" s="16"/>
      <c r="F61" s="16" t="s">
        <v>68</v>
      </c>
      <c r="G61" s="16"/>
      <c r="H61" s="19">
        <v>0</v>
      </c>
      <c r="I61" s="18"/>
      <c r="J61" s="19">
        <v>0</v>
      </c>
      <c r="K61" s="18"/>
      <c r="L61" s="19">
        <v>165</v>
      </c>
      <c r="M61" s="18"/>
      <c r="N61" s="19">
        <v>110</v>
      </c>
      <c r="O61" s="18"/>
      <c r="P61" s="19">
        <v>0</v>
      </c>
      <c r="Q61" s="18"/>
      <c r="R61" s="19">
        <v>0</v>
      </c>
      <c r="S61" s="18"/>
      <c r="T61" s="19">
        <v>110</v>
      </c>
      <c r="U61" s="18"/>
      <c r="V61" s="19">
        <v>1755</v>
      </c>
      <c r="W61" s="18"/>
      <c r="X61" s="19">
        <v>0</v>
      </c>
      <c r="Y61" s="18"/>
      <c r="Z61" s="19">
        <v>825</v>
      </c>
      <c r="AA61" s="18"/>
      <c r="AB61" s="19">
        <v>935</v>
      </c>
      <c r="AC61" s="18"/>
      <c r="AD61" s="19">
        <v>0</v>
      </c>
      <c r="AE61" s="18"/>
      <c r="AF61" s="19">
        <v>720</v>
      </c>
      <c r="AG61" s="18"/>
      <c r="AH61" s="19">
        <v>580</v>
      </c>
      <c r="AI61" s="18"/>
      <c r="AJ61" s="19">
        <v>530</v>
      </c>
      <c r="AK61" s="18"/>
      <c r="AL61" s="19">
        <v>580</v>
      </c>
      <c r="AM61" s="18"/>
      <c r="AN61" s="19">
        <v>405</v>
      </c>
      <c r="AO61" s="18"/>
      <c r="AP61" s="19">
        <v>786.52</v>
      </c>
      <c r="AQ61" s="18"/>
      <c r="AR61" s="19">
        <v>545</v>
      </c>
      <c r="AS61" s="18"/>
      <c r="AT61" s="19">
        <v>1210</v>
      </c>
      <c r="AU61" s="18"/>
      <c r="AV61" s="19">
        <v>0</v>
      </c>
      <c r="AW61" s="18"/>
      <c r="AX61" s="19">
        <v>1330</v>
      </c>
      <c r="AY61" s="18"/>
      <c r="AZ61" s="19">
        <v>0</v>
      </c>
      <c r="BA61" s="18"/>
      <c r="BB61" s="19">
        <v>225</v>
      </c>
      <c r="BC61" s="18"/>
      <c r="BD61" s="19">
        <v>730</v>
      </c>
      <c r="BE61" s="18"/>
      <c r="BF61" s="19">
        <v>0</v>
      </c>
      <c r="BG61" s="18"/>
      <c r="BH61" s="19">
        <v>505</v>
      </c>
      <c r="BI61" s="18"/>
      <c r="BJ61" s="19">
        <v>730</v>
      </c>
      <c r="BK61" s="18"/>
      <c r="BL61" s="19">
        <v>35.67</v>
      </c>
      <c r="BM61" s="18"/>
      <c r="BN61" s="19">
        <v>130</v>
      </c>
      <c r="BO61" s="18"/>
      <c r="BP61" s="19">
        <v>65</v>
      </c>
      <c r="BQ61" s="18"/>
      <c r="BR61" s="19">
        <v>65</v>
      </c>
      <c r="BS61" s="18"/>
      <c r="BT61" s="19">
        <v>65</v>
      </c>
      <c r="BU61" s="18"/>
      <c r="BV61" s="19">
        <v>0</v>
      </c>
      <c r="BW61" s="18"/>
      <c r="BX61" s="19">
        <v>150</v>
      </c>
      <c r="BY61" s="18"/>
      <c r="BZ61" s="19">
        <v>75</v>
      </c>
      <c r="CA61" s="18"/>
      <c r="CB61" s="19">
        <v>75</v>
      </c>
      <c r="CC61" s="18"/>
      <c r="CD61" s="19">
        <v>75</v>
      </c>
      <c r="CE61" s="18"/>
      <c r="CF61" s="19">
        <v>0</v>
      </c>
      <c r="CG61" s="18"/>
      <c r="CH61" s="19">
        <v>75</v>
      </c>
      <c r="CI61" s="18"/>
      <c r="CJ61" s="19">
        <v>0</v>
      </c>
      <c r="CK61" s="18"/>
      <c r="CL61" s="19">
        <v>75</v>
      </c>
      <c r="CM61" s="18"/>
      <c r="CN61" s="19">
        <f>ROUND(SUM(H61:CL61),5)</f>
        <v>13662.19</v>
      </c>
    </row>
    <row r="62" spans="1:92" ht="15" thickBot="1" x14ac:dyDescent="0.35">
      <c r="A62" s="16"/>
      <c r="B62" s="16"/>
      <c r="C62" s="16"/>
      <c r="D62" s="16"/>
      <c r="E62" s="16"/>
      <c r="F62" s="16" t="s">
        <v>67</v>
      </c>
      <c r="G62" s="16"/>
      <c r="H62" s="20">
        <v>0</v>
      </c>
      <c r="I62" s="18"/>
      <c r="J62" s="20">
        <v>0</v>
      </c>
      <c r="K62" s="18"/>
      <c r="L62" s="20">
        <v>25.95</v>
      </c>
      <c r="M62" s="18"/>
      <c r="N62" s="20">
        <v>0</v>
      </c>
      <c r="O62" s="18"/>
      <c r="P62" s="20">
        <v>144.02000000000001</v>
      </c>
      <c r="Q62" s="18"/>
      <c r="R62" s="20">
        <v>-6.24</v>
      </c>
      <c r="S62" s="18"/>
      <c r="T62" s="20">
        <v>119.99</v>
      </c>
      <c r="U62" s="18"/>
      <c r="V62" s="20">
        <v>119.99</v>
      </c>
      <c r="W62" s="18"/>
      <c r="X62" s="20">
        <v>475.3</v>
      </c>
      <c r="Y62" s="18"/>
      <c r="Z62" s="20">
        <v>0</v>
      </c>
      <c r="AA62" s="18"/>
      <c r="AB62" s="20">
        <v>250.34</v>
      </c>
      <c r="AC62" s="18"/>
      <c r="AD62" s="20">
        <v>40.61</v>
      </c>
      <c r="AE62" s="18"/>
      <c r="AF62" s="20">
        <v>0</v>
      </c>
      <c r="AG62" s="18"/>
      <c r="AH62" s="20">
        <v>0</v>
      </c>
      <c r="AI62" s="18"/>
      <c r="AJ62" s="20">
        <v>119.99</v>
      </c>
      <c r="AK62" s="18"/>
      <c r="AL62" s="20">
        <v>150.72999999999999</v>
      </c>
      <c r="AM62" s="18"/>
      <c r="AN62" s="20">
        <v>244.99</v>
      </c>
      <c r="AO62" s="18"/>
      <c r="AP62" s="20">
        <v>0</v>
      </c>
      <c r="AQ62" s="18"/>
      <c r="AR62" s="20">
        <v>0</v>
      </c>
      <c r="AS62" s="18"/>
      <c r="AT62" s="20">
        <v>201.03</v>
      </c>
      <c r="AU62" s="18"/>
      <c r="AV62" s="20">
        <v>0</v>
      </c>
      <c r="AW62" s="18"/>
      <c r="AX62" s="20">
        <v>165.79</v>
      </c>
      <c r="AY62" s="18"/>
      <c r="AZ62" s="20">
        <v>85.59</v>
      </c>
      <c r="BA62" s="18"/>
      <c r="BB62" s="20">
        <v>199.99</v>
      </c>
      <c r="BC62" s="18"/>
      <c r="BD62" s="20">
        <v>119.99</v>
      </c>
      <c r="BE62" s="18"/>
      <c r="BF62" s="20">
        <v>0</v>
      </c>
      <c r="BG62" s="18"/>
      <c r="BH62" s="20">
        <v>0</v>
      </c>
      <c r="BI62" s="18"/>
      <c r="BJ62" s="20">
        <v>126.19</v>
      </c>
      <c r="BK62" s="18"/>
      <c r="BL62" s="20">
        <v>0</v>
      </c>
      <c r="BM62" s="18"/>
      <c r="BN62" s="20">
        <v>125.99</v>
      </c>
      <c r="BO62" s="18"/>
      <c r="BP62" s="20">
        <v>0</v>
      </c>
      <c r="BQ62" s="18"/>
      <c r="BR62" s="20">
        <v>0</v>
      </c>
      <c r="BS62" s="18"/>
      <c r="BT62" s="20">
        <v>137.63</v>
      </c>
      <c r="BU62" s="18"/>
      <c r="BV62" s="20">
        <v>10.96</v>
      </c>
      <c r="BW62" s="18"/>
      <c r="BX62" s="20">
        <v>0</v>
      </c>
      <c r="BY62" s="18"/>
      <c r="BZ62" s="20">
        <v>99.99</v>
      </c>
      <c r="CA62" s="18"/>
      <c r="CB62" s="20">
        <v>22.73</v>
      </c>
      <c r="CC62" s="18"/>
      <c r="CD62" s="20">
        <v>67.05</v>
      </c>
      <c r="CE62" s="18"/>
      <c r="CF62" s="20">
        <v>99.99</v>
      </c>
      <c r="CG62" s="18"/>
      <c r="CH62" s="20">
        <v>3.67</v>
      </c>
      <c r="CI62" s="18"/>
      <c r="CJ62" s="20">
        <v>119.99</v>
      </c>
      <c r="CK62" s="18"/>
      <c r="CL62" s="20">
        <v>119.99</v>
      </c>
      <c r="CM62" s="18"/>
      <c r="CN62" s="20">
        <f>ROUND(SUM(H62:CL62),5)</f>
        <v>3392.24</v>
      </c>
    </row>
    <row r="63" spans="1:92" x14ac:dyDescent="0.3">
      <c r="A63" s="16"/>
      <c r="B63" s="16"/>
      <c r="C63" s="16"/>
      <c r="D63" s="16"/>
      <c r="E63" s="16" t="s">
        <v>66</v>
      </c>
      <c r="F63" s="16"/>
      <c r="G63" s="16"/>
      <c r="H63" s="19">
        <f>ROUND(SUM(H60:H62),5)</f>
        <v>0</v>
      </c>
      <c r="I63" s="18"/>
      <c r="J63" s="19">
        <f>ROUND(SUM(J60:J62),5)</f>
        <v>0</v>
      </c>
      <c r="K63" s="18"/>
      <c r="L63" s="19">
        <f>ROUND(SUM(L60:L62),5)</f>
        <v>190.95</v>
      </c>
      <c r="M63" s="18"/>
      <c r="N63" s="19">
        <f>ROUND(SUM(N60:N62),5)</f>
        <v>110</v>
      </c>
      <c r="O63" s="18"/>
      <c r="P63" s="19">
        <f>ROUND(SUM(P60:P62),5)</f>
        <v>144.02000000000001</v>
      </c>
      <c r="Q63" s="18"/>
      <c r="R63" s="19">
        <f>ROUND(SUM(R60:R62),5)</f>
        <v>-6.24</v>
      </c>
      <c r="S63" s="18"/>
      <c r="T63" s="19">
        <f>ROUND(SUM(T60:T62),5)</f>
        <v>229.99</v>
      </c>
      <c r="U63" s="18"/>
      <c r="V63" s="19">
        <f>ROUND(SUM(V60:V62),5)</f>
        <v>1874.99</v>
      </c>
      <c r="W63" s="18"/>
      <c r="X63" s="19">
        <f>ROUND(SUM(X60:X62),5)</f>
        <v>475.3</v>
      </c>
      <c r="Y63" s="18"/>
      <c r="Z63" s="19">
        <f>ROUND(SUM(Z60:Z62),5)</f>
        <v>825</v>
      </c>
      <c r="AA63" s="18"/>
      <c r="AB63" s="19">
        <f>ROUND(SUM(AB60:AB62),5)</f>
        <v>1185.3399999999999</v>
      </c>
      <c r="AC63" s="18"/>
      <c r="AD63" s="19">
        <f>ROUND(SUM(AD60:AD62),5)</f>
        <v>40.61</v>
      </c>
      <c r="AE63" s="18"/>
      <c r="AF63" s="19">
        <f>ROUND(SUM(AF60:AF62),5)</f>
        <v>720</v>
      </c>
      <c r="AG63" s="18"/>
      <c r="AH63" s="19">
        <f>ROUND(SUM(AH60:AH62),5)</f>
        <v>580</v>
      </c>
      <c r="AI63" s="18"/>
      <c r="AJ63" s="19">
        <f>ROUND(SUM(AJ60:AJ62),5)</f>
        <v>649.99</v>
      </c>
      <c r="AK63" s="18"/>
      <c r="AL63" s="19">
        <f>ROUND(SUM(AL60:AL62),5)</f>
        <v>730.73</v>
      </c>
      <c r="AM63" s="18"/>
      <c r="AN63" s="19">
        <f>ROUND(SUM(AN60:AN62),5)</f>
        <v>649.99</v>
      </c>
      <c r="AO63" s="18"/>
      <c r="AP63" s="19">
        <f>ROUND(SUM(AP60:AP62),5)</f>
        <v>786.52</v>
      </c>
      <c r="AQ63" s="18"/>
      <c r="AR63" s="19">
        <f>ROUND(SUM(AR60:AR62),5)</f>
        <v>545</v>
      </c>
      <c r="AS63" s="18"/>
      <c r="AT63" s="19">
        <f>ROUND(SUM(AT60:AT62),5)</f>
        <v>1411.03</v>
      </c>
      <c r="AU63" s="18"/>
      <c r="AV63" s="19">
        <f>ROUND(SUM(AV60:AV62),5)</f>
        <v>0</v>
      </c>
      <c r="AW63" s="18"/>
      <c r="AX63" s="19">
        <f>ROUND(SUM(AX60:AX62),5)</f>
        <v>1495.79</v>
      </c>
      <c r="AY63" s="18"/>
      <c r="AZ63" s="19">
        <f>ROUND(SUM(AZ60:AZ62),5)</f>
        <v>85.59</v>
      </c>
      <c r="BA63" s="18"/>
      <c r="BB63" s="19">
        <f>ROUND(SUM(BB60:BB62),5)</f>
        <v>424.99</v>
      </c>
      <c r="BC63" s="18"/>
      <c r="BD63" s="19">
        <f>ROUND(SUM(BD60:BD62),5)</f>
        <v>849.99</v>
      </c>
      <c r="BE63" s="18"/>
      <c r="BF63" s="19">
        <f>ROUND(SUM(BF60:BF62),5)</f>
        <v>0</v>
      </c>
      <c r="BG63" s="18"/>
      <c r="BH63" s="19">
        <f>ROUND(SUM(BH60:BH62),5)</f>
        <v>505</v>
      </c>
      <c r="BI63" s="18"/>
      <c r="BJ63" s="19">
        <f>ROUND(SUM(BJ60:BJ62),5)</f>
        <v>856.19</v>
      </c>
      <c r="BK63" s="18"/>
      <c r="BL63" s="19">
        <f>ROUND(SUM(BL60:BL62),5)</f>
        <v>35.67</v>
      </c>
      <c r="BM63" s="18"/>
      <c r="BN63" s="19">
        <f>ROUND(SUM(BN60:BN62),5)</f>
        <v>255.99</v>
      </c>
      <c r="BO63" s="18"/>
      <c r="BP63" s="19">
        <f>ROUND(SUM(BP60:BP62),5)</f>
        <v>65</v>
      </c>
      <c r="BQ63" s="18"/>
      <c r="BR63" s="19">
        <f>ROUND(SUM(BR60:BR62),5)</f>
        <v>65</v>
      </c>
      <c r="BS63" s="18"/>
      <c r="BT63" s="19">
        <f>ROUND(SUM(BT60:BT62),5)</f>
        <v>202.63</v>
      </c>
      <c r="BU63" s="18"/>
      <c r="BV63" s="19">
        <f>ROUND(SUM(BV60:BV62),5)</f>
        <v>10.96</v>
      </c>
      <c r="BW63" s="18"/>
      <c r="BX63" s="19">
        <f>ROUND(SUM(BX60:BX62),5)</f>
        <v>150</v>
      </c>
      <c r="BY63" s="18"/>
      <c r="BZ63" s="19">
        <f>ROUND(SUM(BZ60:BZ62),5)</f>
        <v>174.99</v>
      </c>
      <c r="CA63" s="18"/>
      <c r="CB63" s="19">
        <f>ROUND(SUM(CB60:CB62),5)</f>
        <v>97.73</v>
      </c>
      <c r="CC63" s="18"/>
      <c r="CD63" s="19">
        <f>ROUND(SUM(CD60:CD62),5)</f>
        <v>142.05000000000001</v>
      </c>
      <c r="CE63" s="18"/>
      <c r="CF63" s="19">
        <f>ROUND(SUM(CF60:CF62),5)</f>
        <v>99.99</v>
      </c>
      <c r="CG63" s="18"/>
      <c r="CH63" s="19">
        <f>ROUND(SUM(CH60:CH62),5)</f>
        <v>78.67</v>
      </c>
      <c r="CI63" s="18"/>
      <c r="CJ63" s="19">
        <f>ROUND(SUM(CJ60:CJ62),5)</f>
        <v>119.99</v>
      </c>
      <c r="CK63" s="18"/>
      <c r="CL63" s="19">
        <f>ROUND(SUM(CL60:CL62),5)</f>
        <v>194.99</v>
      </c>
      <c r="CM63" s="18"/>
      <c r="CN63" s="19">
        <f>ROUND(SUM(H63:CL63),5)</f>
        <v>17054.43</v>
      </c>
    </row>
    <row r="64" spans="1:92" x14ac:dyDescent="0.3">
      <c r="A64" s="16"/>
      <c r="B64" s="16"/>
      <c r="C64" s="16"/>
      <c r="D64" s="16"/>
      <c r="E64" s="16" t="s">
        <v>65</v>
      </c>
      <c r="F64" s="16"/>
      <c r="G64" s="16"/>
      <c r="H64" s="19"/>
      <c r="I64" s="18"/>
      <c r="J64" s="19"/>
      <c r="K64" s="18"/>
      <c r="L64" s="19"/>
      <c r="M64" s="18"/>
      <c r="N64" s="19"/>
      <c r="O64" s="18"/>
      <c r="P64" s="19"/>
      <c r="Q64" s="18"/>
      <c r="R64" s="19"/>
      <c r="S64" s="18"/>
      <c r="T64" s="19"/>
      <c r="U64" s="18"/>
      <c r="V64" s="19"/>
      <c r="W64" s="18"/>
      <c r="X64" s="19"/>
      <c r="Y64" s="18"/>
      <c r="Z64" s="19"/>
      <c r="AA64" s="18"/>
      <c r="AB64" s="19"/>
      <c r="AC64" s="18"/>
      <c r="AD64" s="19"/>
      <c r="AE64" s="18"/>
      <c r="AF64" s="19"/>
      <c r="AG64" s="18"/>
      <c r="AH64" s="19"/>
      <c r="AI64" s="18"/>
      <c r="AJ64" s="19"/>
      <c r="AK64" s="18"/>
      <c r="AL64" s="19"/>
      <c r="AM64" s="18"/>
      <c r="AN64" s="19"/>
      <c r="AO64" s="18"/>
      <c r="AP64" s="19"/>
      <c r="AQ64" s="18"/>
      <c r="AR64" s="19"/>
      <c r="AS64" s="18"/>
      <c r="AT64" s="19"/>
      <c r="AU64" s="18"/>
      <c r="AV64" s="19"/>
      <c r="AW64" s="18"/>
      <c r="AX64" s="19"/>
      <c r="AY64" s="18"/>
      <c r="AZ64" s="19"/>
      <c r="BA64" s="18"/>
      <c r="BB64" s="19"/>
      <c r="BC64" s="18"/>
      <c r="BD64" s="19"/>
      <c r="BE64" s="18"/>
      <c r="BF64" s="19"/>
      <c r="BG64" s="18"/>
      <c r="BH64" s="19"/>
      <c r="BI64" s="18"/>
      <c r="BJ64" s="19"/>
      <c r="BK64" s="18"/>
      <c r="BL64" s="19"/>
      <c r="BM64" s="18"/>
      <c r="BN64" s="19"/>
      <c r="BO64" s="18"/>
      <c r="BP64" s="19"/>
      <c r="BQ64" s="18"/>
      <c r="BR64" s="19"/>
      <c r="BS64" s="18"/>
      <c r="BT64" s="19"/>
      <c r="BU64" s="18"/>
      <c r="BV64" s="19"/>
      <c r="BW64" s="18"/>
      <c r="BX64" s="19"/>
      <c r="BY64" s="18"/>
      <c r="BZ64" s="19"/>
      <c r="CA64" s="18"/>
      <c r="CB64" s="19"/>
      <c r="CC64" s="18"/>
      <c r="CD64" s="19"/>
      <c r="CE64" s="18"/>
      <c r="CF64" s="19"/>
      <c r="CG64" s="18"/>
      <c r="CH64" s="19"/>
      <c r="CI64" s="18"/>
      <c r="CJ64" s="19"/>
      <c r="CK64" s="18"/>
      <c r="CL64" s="19"/>
      <c r="CM64" s="18"/>
      <c r="CN64" s="19"/>
    </row>
    <row r="65" spans="1:92" x14ac:dyDescent="0.3">
      <c r="A65" s="16"/>
      <c r="B65" s="16"/>
      <c r="C65" s="16"/>
      <c r="D65" s="16"/>
      <c r="E65" s="16"/>
      <c r="F65" s="16" t="s">
        <v>64</v>
      </c>
      <c r="G65" s="16"/>
      <c r="H65" s="19">
        <v>0</v>
      </c>
      <c r="I65" s="18"/>
      <c r="J65" s="19">
        <v>0</v>
      </c>
      <c r="K65" s="18"/>
      <c r="L65" s="19">
        <v>0</v>
      </c>
      <c r="M65" s="18"/>
      <c r="N65" s="19">
        <v>0</v>
      </c>
      <c r="O65" s="18"/>
      <c r="P65" s="19">
        <v>0</v>
      </c>
      <c r="Q65" s="18"/>
      <c r="R65" s="19">
        <v>0</v>
      </c>
      <c r="S65" s="18"/>
      <c r="T65" s="19">
        <v>0</v>
      </c>
      <c r="U65" s="18"/>
      <c r="V65" s="19">
        <v>0</v>
      </c>
      <c r="W65" s="18"/>
      <c r="X65" s="19">
        <v>0</v>
      </c>
      <c r="Y65" s="18"/>
      <c r="Z65" s="19">
        <v>0</v>
      </c>
      <c r="AA65" s="18"/>
      <c r="AB65" s="19">
        <v>199.99</v>
      </c>
      <c r="AC65" s="18"/>
      <c r="AD65" s="19">
        <v>0</v>
      </c>
      <c r="AE65" s="18"/>
      <c r="AF65" s="19">
        <v>0</v>
      </c>
      <c r="AG65" s="18"/>
      <c r="AH65" s="19">
        <v>0</v>
      </c>
      <c r="AI65" s="18"/>
      <c r="AJ65" s="19">
        <v>0</v>
      </c>
      <c r="AK65" s="18"/>
      <c r="AL65" s="19">
        <v>0</v>
      </c>
      <c r="AM65" s="18"/>
      <c r="AN65" s="19">
        <v>0</v>
      </c>
      <c r="AO65" s="18"/>
      <c r="AP65" s="19">
        <v>0</v>
      </c>
      <c r="AQ65" s="18"/>
      <c r="AR65" s="19">
        <v>0</v>
      </c>
      <c r="AS65" s="18"/>
      <c r="AT65" s="19">
        <v>0</v>
      </c>
      <c r="AU65" s="18"/>
      <c r="AV65" s="19">
        <v>0</v>
      </c>
      <c r="AW65" s="18"/>
      <c r="AX65" s="19">
        <v>0</v>
      </c>
      <c r="AY65" s="18"/>
      <c r="AZ65" s="19">
        <v>0</v>
      </c>
      <c r="BA65" s="18"/>
      <c r="BB65" s="19">
        <v>0</v>
      </c>
      <c r="BC65" s="18"/>
      <c r="BD65" s="19">
        <v>0</v>
      </c>
      <c r="BE65" s="18"/>
      <c r="BF65" s="19">
        <v>0</v>
      </c>
      <c r="BG65" s="18"/>
      <c r="BH65" s="19">
        <v>0</v>
      </c>
      <c r="BI65" s="18"/>
      <c r="BJ65" s="19">
        <v>0</v>
      </c>
      <c r="BK65" s="18"/>
      <c r="BL65" s="19">
        <v>0</v>
      </c>
      <c r="BM65" s="18"/>
      <c r="BN65" s="19">
        <v>0</v>
      </c>
      <c r="BO65" s="18"/>
      <c r="BP65" s="19">
        <v>0</v>
      </c>
      <c r="BQ65" s="18"/>
      <c r="BR65" s="19">
        <v>0</v>
      </c>
      <c r="BS65" s="18"/>
      <c r="BT65" s="19">
        <v>0</v>
      </c>
      <c r="BU65" s="18"/>
      <c r="BV65" s="19">
        <v>0</v>
      </c>
      <c r="BW65" s="18"/>
      <c r="BX65" s="19">
        <v>0</v>
      </c>
      <c r="BY65" s="18"/>
      <c r="BZ65" s="19">
        <v>0</v>
      </c>
      <c r="CA65" s="18"/>
      <c r="CB65" s="19">
        <v>0</v>
      </c>
      <c r="CC65" s="18"/>
      <c r="CD65" s="19">
        <v>9.99</v>
      </c>
      <c r="CE65" s="18"/>
      <c r="CF65" s="19">
        <v>0</v>
      </c>
      <c r="CG65" s="18"/>
      <c r="CH65" s="19">
        <v>0</v>
      </c>
      <c r="CI65" s="18"/>
      <c r="CJ65" s="19">
        <v>0</v>
      </c>
      <c r="CK65" s="18"/>
      <c r="CL65" s="19">
        <v>0</v>
      </c>
      <c r="CM65" s="18"/>
      <c r="CN65" s="19">
        <f>ROUND(SUM(H65:CL65),5)</f>
        <v>209.98</v>
      </c>
    </row>
    <row r="66" spans="1:92" ht="15" thickBot="1" x14ac:dyDescent="0.35">
      <c r="A66" s="16"/>
      <c r="B66" s="16"/>
      <c r="C66" s="16"/>
      <c r="D66" s="16"/>
      <c r="E66" s="16"/>
      <c r="F66" s="16" t="s">
        <v>63</v>
      </c>
      <c r="G66" s="16"/>
      <c r="H66" s="20">
        <v>393.35</v>
      </c>
      <c r="I66" s="18"/>
      <c r="J66" s="20">
        <v>693.28</v>
      </c>
      <c r="K66" s="18"/>
      <c r="L66" s="20">
        <v>478.49</v>
      </c>
      <c r="M66" s="18"/>
      <c r="N66" s="20">
        <v>340.81</v>
      </c>
      <c r="O66" s="18"/>
      <c r="P66" s="20">
        <v>504.05</v>
      </c>
      <c r="Q66" s="18"/>
      <c r="R66" s="20">
        <v>1084.19</v>
      </c>
      <c r="S66" s="18"/>
      <c r="T66" s="20">
        <v>802.52</v>
      </c>
      <c r="U66" s="18"/>
      <c r="V66" s="20">
        <v>131.88999999999999</v>
      </c>
      <c r="W66" s="18"/>
      <c r="X66" s="20">
        <v>442.87</v>
      </c>
      <c r="Y66" s="18"/>
      <c r="Z66" s="20">
        <v>287.05</v>
      </c>
      <c r="AA66" s="18"/>
      <c r="AB66" s="20">
        <v>579.70000000000005</v>
      </c>
      <c r="AC66" s="18"/>
      <c r="AD66" s="20">
        <v>1777.31</v>
      </c>
      <c r="AE66" s="18"/>
      <c r="AF66" s="20">
        <v>288.64999999999998</v>
      </c>
      <c r="AG66" s="18"/>
      <c r="AH66" s="20">
        <v>556.29999999999995</v>
      </c>
      <c r="AI66" s="18"/>
      <c r="AJ66" s="20">
        <v>1281.74</v>
      </c>
      <c r="AK66" s="18"/>
      <c r="AL66" s="20">
        <v>98.2</v>
      </c>
      <c r="AM66" s="18"/>
      <c r="AN66" s="20">
        <v>392.73</v>
      </c>
      <c r="AO66" s="18"/>
      <c r="AP66" s="20">
        <v>0.99</v>
      </c>
      <c r="AQ66" s="18"/>
      <c r="AR66" s="20">
        <v>732.68</v>
      </c>
      <c r="AS66" s="18"/>
      <c r="AT66" s="20">
        <v>0.99</v>
      </c>
      <c r="AU66" s="18"/>
      <c r="AV66" s="20">
        <v>78.87</v>
      </c>
      <c r="AW66" s="18"/>
      <c r="AX66" s="20">
        <v>83.14</v>
      </c>
      <c r="AY66" s="18"/>
      <c r="AZ66" s="20">
        <v>602.51</v>
      </c>
      <c r="BA66" s="18"/>
      <c r="BB66" s="20">
        <v>616.69000000000005</v>
      </c>
      <c r="BC66" s="18"/>
      <c r="BD66" s="20">
        <v>87.3</v>
      </c>
      <c r="BE66" s="18"/>
      <c r="BF66" s="20">
        <v>19.010000000000002</v>
      </c>
      <c r="BG66" s="18"/>
      <c r="BH66" s="20">
        <v>546</v>
      </c>
      <c r="BI66" s="18"/>
      <c r="BJ66" s="20">
        <v>165.54</v>
      </c>
      <c r="BK66" s="18"/>
      <c r="BL66" s="20">
        <v>84.79</v>
      </c>
      <c r="BM66" s="18"/>
      <c r="BN66" s="20">
        <v>10.98</v>
      </c>
      <c r="BO66" s="18"/>
      <c r="BP66" s="20">
        <v>52.88</v>
      </c>
      <c r="BQ66" s="18"/>
      <c r="BR66" s="20">
        <v>10.98</v>
      </c>
      <c r="BS66" s="18"/>
      <c r="BT66" s="20">
        <v>405.68</v>
      </c>
      <c r="BU66" s="18"/>
      <c r="BV66" s="20">
        <v>230.65</v>
      </c>
      <c r="BW66" s="18"/>
      <c r="BX66" s="20">
        <v>9.99</v>
      </c>
      <c r="BY66" s="18"/>
      <c r="BZ66" s="20">
        <v>1522.41</v>
      </c>
      <c r="CA66" s="18"/>
      <c r="CB66" s="20">
        <v>217.8</v>
      </c>
      <c r="CC66" s="18"/>
      <c r="CD66" s="20">
        <v>147.16999999999999</v>
      </c>
      <c r="CE66" s="18"/>
      <c r="CF66" s="20">
        <v>9.99</v>
      </c>
      <c r="CG66" s="18"/>
      <c r="CH66" s="20">
        <v>1115.77</v>
      </c>
      <c r="CI66" s="18"/>
      <c r="CJ66" s="20">
        <v>9.99</v>
      </c>
      <c r="CK66" s="18"/>
      <c r="CL66" s="20">
        <v>0</v>
      </c>
      <c r="CM66" s="18"/>
      <c r="CN66" s="20">
        <f>ROUND(SUM(H66:CL66),5)</f>
        <v>16895.93</v>
      </c>
    </row>
    <row r="67" spans="1:92" x14ac:dyDescent="0.3">
      <c r="A67" s="16"/>
      <c r="B67" s="16"/>
      <c r="C67" s="16"/>
      <c r="D67" s="16"/>
      <c r="E67" s="16" t="s">
        <v>62</v>
      </c>
      <c r="F67" s="16"/>
      <c r="G67" s="16"/>
      <c r="H67" s="19">
        <f>ROUND(SUM(H64:H66),5)</f>
        <v>393.35</v>
      </c>
      <c r="I67" s="18"/>
      <c r="J67" s="19">
        <f>ROUND(SUM(J64:J66),5)</f>
        <v>693.28</v>
      </c>
      <c r="K67" s="18"/>
      <c r="L67" s="19">
        <f>ROUND(SUM(L64:L66),5)</f>
        <v>478.49</v>
      </c>
      <c r="M67" s="18"/>
      <c r="N67" s="19">
        <f>ROUND(SUM(N64:N66),5)</f>
        <v>340.81</v>
      </c>
      <c r="O67" s="18"/>
      <c r="P67" s="19">
        <f>ROUND(SUM(P64:P66),5)</f>
        <v>504.05</v>
      </c>
      <c r="Q67" s="18"/>
      <c r="R67" s="19">
        <f>ROUND(SUM(R64:R66),5)</f>
        <v>1084.19</v>
      </c>
      <c r="S67" s="18"/>
      <c r="T67" s="19">
        <f>ROUND(SUM(T64:T66),5)</f>
        <v>802.52</v>
      </c>
      <c r="U67" s="18"/>
      <c r="V67" s="19">
        <f>ROUND(SUM(V64:V66),5)</f>
        <v>131.88999999999999</v>
      </c>
      <c r="W67" s="18"/>
      <c r="X67" s="19">
        <f>ROUND(SUM(X64:X66),5)</f>
        <v>442.87</v>
      </c>
      <c r="Y67" s="18"/>
      <c r="Z67" s="19">
        <f>ROUND(SUM(Z64:Z66),5)</f>
        <v>287.05</v>
      </c>
      <c r="AA67" s="18"/>
      <c r="AB67" s="19">
        <f>ROUND(SUM(AB64:AB66),5)</f>
        <v>779.69</v>
      </c>
      <c r="AC67" s="18"/>
      <c r="AD67" s="19">
        <f>ROUND(SUM(AD64:AD66),5)</f>
        <v>1777.31</v>
      </c>
      <c r="AE67" s="18"/>
      <c r="AF67" s="19">
        <f>ROUND(SUM(AF64:AF66),5)</f>
        <v>288.64999999999998</v>
      </c>
      <c r="AG67" s="18"/>
      <c r="AH67" s="19">
        <f>ROUND(SUM(AH64:AH66),5)</f>
        <v>556.29999999999995</v>
      </c>
      <c r="AI67" s="18"/>
      <c r="AJ67" s="19">
        <f>ROUND(SUM(AJ64:AJ66),5)</f>
        <v>1281.74</v>
      </c>
      <c r="AK67" s="18"/>
      <c r="AL67" s="19">
        <f>ROUND(SUM(AL64:AL66),5)</f>
        <v>98.2</v>
      </c>
      <c r="AM67" s="18"/>
      <c r="AN67" s="19">
        <f>ROUND(SUM(AN64:AN66),5)</f>
        <v>392.73</v>
      </c>
      <c r="AO67" s="18"/>
      <c r="AP67" s="19">
        <f>ROUND(SUM(AP64:AP66),5)</f>
        <v>0.99</v>
      </c>
      <c r="AQ67" s="18"/>
      <c r="AR67" s="19">
        <f>ROUND(SUM(AR64:AR66),5)</f>
        <v>732.68</v>
      </c>
      <c r="AS67" s="18"/>
      <c r="AT67" s="19">
        <f>ROUND(SUM(AT64:AT66),5)</f>
        <v>0.99</v>
      </c>
      <c r="AU67" s="18"/>
      <c r="AV67" s="19">
        <f>ROUND(SUM(AV64:AV66),5)</f>
        <v>78.87</v>
      </c>
      <c r="AW67" s="18"/>
      <c r="AX67" s="19">
        <f>ROUND(SUM(AX64:AX66),5)</f>
        <v>83.14</v>
      </c>
      <c r="AY67" s="18"/>
      <c r="AZ67" s="19">
        <f>ROUND(SUM(AZ64:AZ66),5)</f>
        <v>602.51</v>
      </c>
      <c r="BA67" s="18"/>
      <c r="BB67" s="19">
        <f>ROUND(SUM(BB64:BB66),5)</f>
        <v>616.69000000000005</v>
      </c>
      <c r="BC67" s="18"/>
      <c r="BD67" s="19">
        <f>ROUND(SUM(BD64:BD66),5)</f>
        <v>87.3</v>
      </c>
      <c r="BE67" s="18"/>
      <c r="BF67" s="19">
        <f>ROUND(SUM(BF64:BF66),5)</f>
        <v>19.010000000000002</v>
      </c>
      <c r="BG67" s="18"/>
      <c r="BH67" s="19">
        <f>ROUND(SUM(BH64:BH66),5)</f>
        <v>546</v>
      </c>
      <c r="BI67" s="18"/>
      <c r="BJ67" s="19">
        <f>ROUND(SUM(BJ64:BJ66),5)</f>
        <v>165.54</v>
      </c>
      <c r="BK67" s="18"/>
      <c r="BL67" s="19">
        <f>ROUND(SUM(BL64:BL66),5)</f>
        <v>84.79</v>
      </c>
      <c r="BM67" s="18"/>
      <c r="BN67" s="19">
        <f>ROUND(SUM(BN64:BN66),5)</f>
        <v>10.98</v>
      </c>
      <c r="BO67" s="18"/>
      <c r="BP67" s="19">
        <f>ROUND(SUM(BP64:BP66),5)</f>
        <v>52.88</v>
      </c>
      <c r="BQ67" s="18"/>
      <c r="BR67" s="19">
        <f>ROUND(SUM(BR64:BR66),5)</f>
        <v>10.98</v>
      </c>
      <c r="BS67" s="18"/>
      <c r="BT67" s="19">
        <f>ROUND(SUM(BT64:BT66),5)</f>
        <v>405.68</v>
      </c>
      <c r="BU67" s="18"/>
      <c r="BV67" s="19">
        <f>ROUND(SUM(BV64:BV66),5)</f>
        <v>230.65</v>
      </c>
      <c r="BW67" s="18"/>
      <c r="BX67" s="19">
        <f>ROUND(SUM(BX64:BX66),5)</f>
        <v>9.99</v>
      </c>
      <c r="BY67" s="18"/>
      <c r="BZ67" s="19">
        <f>ROUND(SUM(BZ64:BZ66),5)</f>
        <v>1522.41</v>
      </c>
      <c r="CA67" s="18"/>
      <c r="CB67" s="19">
        <f>ROUND(SUM(CB64:CB66),5)</f>
        <v>217.8</v>
      </c>
      <c r="CC67" s="18"/>
      <c r="CD67" s="19">
        <f>ROUND(SUM(CD64:CD66),5)</f>
        <v>157.16</v>
      </c>
      <c r="CE67" s="18"/>
      <c r="CF67" s="19">
        <f>ROUND(SUM(CF64:CF66),5)</f>
        <v>9.99</v>
      </c>
      <c r="CG67" s="18"/>
      <c r="CH67" s="19">
        <f>ROUND(SUM(CH64:CH66),5)</f>
        <v>1115.77</v>
      </c>
      <c r="CI67" s="18"/>
      <c r="CJ67" s="19">
        <f>ROUND(SUM(CJ64:CJ66),5)</f>
        <v>9.99</v>
      </c>
      <c r="CK67" s="18"/>
      <c r="CL67" s="19">
        <f>ROUND(SUM(CL64:CL66),5)</f>
        <v>0</v>
      </c>
      <c r="CM67" s="18"/>
      <c r="CN67" s="19">
        <f>ROUND(SUM(H67:CL67),5)</f>
        <v>17105.91</v>
      </c>
    </row>
    <row r="68" spans="1:92" x14ac:dyDescent="0.3">
      <c r="A68" s="16"/>
      <c r="B68" s="16"/>
      <c r="C68" s="16"/>
      <c r="D68" s="16"/>
      <c r="E68" s="16" t="s">
        <v>61</v>
      </c>
      <c r="F68" s="16"/>
      <c r="G68" s="16"/>
      <c r="H68" s="19"/>
      <c r="I68" s="18"/>
      <c r="J68" s="19"/>
      <c r="K68" s="18"/>
      <c r="L68" s="19"/>
      <c r="M68" s="18"/>
      <c r="N68" s="19"/>
      <c r="O68" s="18"/>
      <c r="P68" s="19"/>
      <c r="Q68" s="18"/>
      <c r="R68" s="19"/>
      <c r="S68" s="18"/>
      <c r="T68" s="19"/>
      <c r="U68" s="18"/>
      <c r="V68" s="19"/>
      <c r="W68" s="18"/>
      <c r="X68" s="19"/>
      <c r="Y68" s="18"/>
      <c r="Z68" s="19"/>
      <c r="AA68" s="18"/>
      <c r="AB68" s="19"/>
      <c r="AC68" s="18"/>
      <c r="AD68" s="19"/>
      <c r="AE68" s="18"/>
      <c r="AF68" s="19"/>
      <c r="AG68" s="18"/>
      <c r="AH68" s="19"/>
      <c r="AI68" s="18"/>
      <c r="AJ68" s="19"/>
      <c r="AK68" s="18"/>
      <c r="AL68" s="19"/>
      <c r="AM68" s="18"/>
      <c r="AN68" s="19"/>
      <c r="AO68" s="18"/>
      <c r="AP68" s="19"/>
      <c r="AQ68" s="18"/>
      <c r="AR68" s="19"/>
      <c r="AS68" s="18"/>
      <c r="AT68" s="19"/>
      <c r="AU68" s="18"/>
      <c r="AV68" s="19"/>
      <c r="AW68" s="18"/>
      <c r="AX68" s="19"/>
      <c r="AY68" s="18"/>
      <c r="AZ68" s="19"/>
      <c r="BA68" s="18"/>
      <c r="BB68" s="19"/>
      <c r="BC68" s="18"/>
      <c r="BD68" s="19"/>
      <c r="BE68" s="18"/>
      <c r="BF68" s="19"/>
      <c r="BG68" s="18"/>
      <c r="BH68" s="19"/>
      <c r="BI68" s="18"/>
      <c r="BJ68" s="19"/>
      <c r="BK68" s="18"/>
      <c r="BL68" s="19"/>
      <c r="BM68" s="18"/>
      <c r="BN68" s="19"/>
      <c r="BO68" s="18"/>
      <c r="BP68" s="19"/>
      <c r="BQ68" s="18"/>
      <c r="BR68" s="19"/>
      <c r="BS68" s="18"/>
      <c r="BT68" s="19"/>
      <c r="BU68" s="18"/>
      <c r="BV68" s="19"/>
      <c r="BW68" s="18"/>
      <c r="BX68" s="19"/>
      <c r="BY68" s="18"/>
      <c r="BZ68" s="19"/>
      <c r="CA68" s="18"/>
      <c r="CB68" s="19"/>
      <c r="CC68" s="18"/>
      <c r="CD68" s="19"/>
      <c r="CE68" s="18"/>
      <c r="CF68" s="19"/>
      <c r="CG68" s="18"/>
      <c r="CH68" s="19"/>
      <c r="CI68" s="18"/>
      <c r="CJ68" s="19"/>
      <c r="CK68" s="18"/>
      <c r="CL68" s="19"/>
      <c r="CM68" s="18"/>
      <c r="CN68" s="19"/>
    </row>
    <row r="69" spans="1:92" x14ac:dyDescent="0.3">
      <c r="A69" s="16"/>
      <c r="B69" s="16"/>
      <c r="C69" s="16"/>
      <c r="D69" s="16"/>
      <c r="E69" s="16"/>
      <c r="F69" s="16" t="s">
        <v>60</v>
      </c>
      <c r="G69" s="16"/>
      <c r="H69" s="19">
        <v>0</v>
      </c>
      <c r="I69" s="18"/>
      <c r="J69" s="19">
        <v>0</v>
      </c>
      <c r="K69" s="18"/>
      <c r="L69" s="19">
        <v>0</v>
      </c>
      <c r="M69" s="18"/>
      <c r="N69" s="19">
        <v>0</v>
      </c>
      <c r="O69" s="18"/>
      <c r="P69" s="19">
        <v>0</v>
      </c>
      <c r="Q69" s="18"/>
      <c r="R69" s="19">
        <v>0</v>
      </c>
      <c r="S69" s="18"/>
      <c r="T69" s="19">
        <v>0</v>
      </c>
      <c r="U69" s="18"/>
      <c r="V69" s="19">
        <v>0</v>
      </c>
      <c r="W69" s="18"/>
      <c r="X69" s="19">
        <v>0</v>
      </c>
      <c r="Y69" s="18"/>
      <c r="Z69" s="19">
        <v>0</v>
      </c>
      <c r="AA69" s="18"/>
      <c r="AB69" s="19">
        <v>0</v>
      </c>
      <c r="AC69" s="18"/>
      <c r="AD69" s="19">
        <v>0</v>
      </c>
      <c r="AE69" s="18"/>
      <c r="AF69" s="19">
        <v>0</v>
      </c>
      <c r="AG69" s="18"/>
      <c r="AH69" s="19">
        <v>0</v>
      </c>
      <c r="AI69" s="18"/>
      <c r="AJ69" s="19">
        <v>0</v>
      </c>
      <c r="AK69" s="18"/>
      <c r="AL69" s="19">
        <v>0</v>
      </c>
      <c r="AM69" s="18"/>
      <c r="AN69" s="19">
        <v>0</v>
      </c>
      <c r="AO69" s="18"/>
      <c r="AP69" s="19">
        <v>0</v>
      </c>
      <c r="AQ69" s="18"/>
      <c r="AR69" s="19">
        <v>0</v>
      </c>
      <c r="AS69" s="18"/>
      <c r="AT69" s="19">
        <v>0</v>
      </c>
      <c r="AU69" s="18"/>
      <c r="AV69" s="19">
        <v>0</v>
      </c>
      <c r="AW69" s="18"/>
      <c r="AX69" s="19">
        <v>0</v>
      </c>
      <c r="AY69" s="18"/>
      <c r="AZ69" s="19">
        <v>0</v>
      </c>
      <c r="BA69" s="18"/>
      <c r="BB69" s="19">
        <v>0</v>
      </c>
      <c r="BC69" s="18"/>
      <c r="BD69" s="19">
        <v>0</v>
      </c>
      <c r="BE69" s="18"/>
      <c r="BF69" s="19">
        <v>16903.310000000001</v>
      </c>
      <c r="BG69" s="18"/>
      <c r="BH69" s="19">
        <v>0</v>
      </c>
      <c r="BI69" s="18"/>
      <c r="BJ69" s="19">
        <v>0</v>
      </c>
      <c r="BK69" s="18"/>
      <c r="BL69" s="19">
        <v>0</v>
      </c>
      <c r="BM69" s="18"/>
      <c r="BN69" s="19">
        <v>0</v>
      </c>
      <c r="BO69" s="18"/>
      <c r="BP69" s="19">
        <v>0</v>
      </c>
      <c r="BQ69" s="18"/>
      <c r="BR69" s="19">
        <v>0</v>
      </c>
      <c r="BS69" s="18"/>
      <c r="BT69" s="19">
        <v>0</v>
      </c>
      <c r="BU69" s="18"/>
      <c r="BV69" s="19">
        <v>0</v>
      </c>
      <c r="BW69" s="18"/>
      <c r="BX69" s="19">
        <v>0</v>
      </c>
      <c r="BY69" s="18"/>
      <c r="BZ69" s="19">
        <v>1587.88</v>
      </c>
      <c r="CA69" s="18"/>
      <c r="CB69" s="19">
        <v>0</v>
      </c>
      <c r="CC69" s="18"/>
      <c r="CD69" s="19">
        <v>18491.189999999999</v>
      </c>
      <c r="CE69" s="18"/>
      <c r="CF69" s="19">
        <v>0</v>
      </c>
      <c r="CG69" s="18"/>
      <c r="CH69" s="19">
        <v>0</v>
      </c>
      <c r="CI69" s="18"/>
      <c r="CJ69" s="19">
        <v>0</v>
      </c>
      <c r="CK69" s="18"/>
      <c r="CL69" s="19">
        <v>0</v>
      </c>
      <c r="CM69" s="18"/>
      <c r="CN69" s="19">
        <f t="shared" ref="CN69:CN84" si="2">ROUND(SUM(H69:CL69),5)</f>
        <v>36982.379999999997</v>
      </c>
    </row>
    <row r="70" spans="1:92" x14ac:dyDescent="0.3">
      <c r="A70" s="16"/>
      <c r="B70" s="16"/>
      <c r="C70" s="16"/>
      <c r="D70" s="16"/>
      <c r="E70" s="16"/>
      <c r="F70" s="16" t="s">
        <v>59</v>
      </c>
      <c r="G70" s="16"/>
      <c r="H70" s="19">
        <v>0</v>
      </c>
      <c r="I70" s="18"/>
      <c r="J70" s="19">
        <v>0</v>
      </c>
      <c r="K70" s="18"/>
      <c r="L70" s="19">
        <v>0</v>
      </c>
      <c r="M70" s="18"/>
      <c r="N70" s="19">
        <v>0</v>
      </c>
      <c r="O70" s="18"/>
      <c r="P70" s="19">
        <v>380</v>
      </c>
      <c r="Q70" s="18"/>
      <c r="R70" s="19">
        <v>615.84</v>
      </c>
      <c r="S70" s="18"/>
      <c r="T70" s="19">
        <v>0</v>
      </c>
      <c r="U70" s="18"/>
      <c r="V70" s="19">
        <v>380</v>
      </c>
      <c r="W70" s="18"/>
      <c r="X70" s="19">
        <v>824.5</v>
      </c>
      <c r="Y70" s="18"/>
      <c r="Z70" s="19">
        <v>1096.42</v>
      </c>
      <c r="AA70" s="18"/>
      <c r="AB70" s="19">
        <v>380</v>
      </c>
      <c r="AC70" s="18"/>
      <c r="AD70" s="19">
        <v>641.55999999999995</v>
      </c>
      <c r="AE70" s="18"/>
      <c r="AF70" s="19">
        <v>1005.82</v>
      </c>
      <c r="AG70" s="18"/>
      <c r="AH70" s="19">
        <v>502.85</v>
      </c>
      <c r="AI70" s="18"/>
      <c r="AJ70" s="19">
        <v>35.770000000000003</v>
      </c>
      <c r="AK70" s="18"/>
      <c r="AL70" s="19">
        <v>237.06</v>
      </c>
      <c r="AM70" s="18"/>
      <c r="AN70" s="19">
        <v>562.74</v>
      </c>
      <c r="AO70" s="18"/>
      <c r="AP70" s="19">
        <v>545.24</v>
      </c>
      <c r="AQ70" s="18"/>
      <c r="AR70" s="19">
        <v>518.74</v>
      </c>
      <c r="AS70" s="18"/>
      <c r="AT70" s="19">
        <v>-187.13</v>
      </c>
      <c r="AU70" s="18"/>
      <c r="AV70" s="19">
        <v>762.02</v>
      </c>
      <c r="AW70" s="18"/>
      <c r="AX70" s="19">
        <v>532.55999999999995</v>
      </c>
      <c r="AY70" s="18"/>
      <c r="AZ70" s="19">
        <v>573.44000000000005</v>
      </c>
      <c r="BA70" s="18"/>
      <c r="BB70" s="19">
        <v>565.12</v>
      </c>
      <c r="BC70" s="18"/>
      <c r="BD70" s="19">
        <v>535.14</v>
      </c>
      <c r="BE70" s="18"/>
      <c r="BF70" s="19">
        <v>894.46</v>
      </c>
      <c r="BG70" s="18"/>
      <c r="BH70" s="19">
        <v>839.68</v>
      </c>
      <c r="BI70" s="18"/>
      <c r="BJ70" s="19">
        <v>914.06</v>
      </c>
      <c r="BK70" s="18"/>
      <c r="BL70" s="19">
        <v>355</v>
      </c>
      <c r="BM70" s="18"/>
      <c r="BN70" s="19">
        <v>559.64</v>
      </c>
      <c r="BO70" s="18"/>
      <c r="BP70" s="19">
        <v>538.78</v>
      </c>
      <c r="BQ70" s="18"/>
      <c r="BR70" s="19">
        <v>728.33</v>
      </c>
      <c r="BS70" s="18"/>
      <c r="BT70" s="19">
        <v>786.42</v>
      </c>
      <c r="BU70" s="18"/>
      <c r="BV70" s="19">
        <v>535.28</v>
      </c>
      <c r="BW70" s="18"/>
      <c r="BX70" s="19">
        <v>579.48</v>
      </c>
      <c r="BY70" s="18"/>
      <c r="BZ70" s="19">
        <v>539.4</v>
      </c>
      <c r="CA70" s="18"/>
      <c r="CB70" s="19">
        <v>545.08000000000004</v>
      </c>
      <c r="CC70" s="18"/>
      <c r="CD70" s="19">
        <v>881.92</v>
      </c>
      <c r="CE70" s="18"/>
      <c r="CF70" s="19">
        <v>521.58000000000004</v>
      </c>
      <c r="CG70" s="18"/>
      <c r="CH70" s="19">
        <v>626.07000000000005</v>
      </c>
      <c r="CI70" s="18"/>
      <c r="CJ70" s="19">
        <v>542.28</v>
      </c>
      <c r="CK70" s="18"/>
      <c r="CL70" s="19">
        <v>318.33999999999997</v>
      </c>
      <c r="CM70" s="18"/>
      <c r="CN70" s="19">
        <f t="shared" si="2"/>
        <v>21213.49</v>
      </c>
    </row>
    <row r="71" spans="1:92" x14ac:dyDescent="0.3">
      <c r="A71" s="16"/>
      <c r="B71" s="16"/>
      <c r="C71" s="16"/>
      <c r="D71" s="16"/>
      <c r="E71" s="16"/>
      <c r="F71" s="16" t="s">
        <v>58</v>
      </c>
      <c r="G71" s="16"/>
      <c r="H71" s="19">
        <v>0</v>
      </c>
      <c r="I71" s="18"/>
      <c r="J71" s="19">
        <v>0</v>
      </c>
      <c r="K71" s="18"/>
      <c r="L71" s="19">
        <v>0</v>
      </c>
      <c r="M71" s="18"/>
      <c r="N71" s="19">
        <v>0</v>
      </c>
      <c r="O71" s="18"/>
      <c r="P71" s="19">
        <v>1568</v>
      </c>
      <c r="Q71" s="18"/>
      <c r="R71" s="19">
        <v>972.4</v>
      </c>
      <c r="S71" s="18"/>
      <c r="T71" s="19">
        <v>1412.4</v>
      </c>
      <c r="U71" s="18"/>
      <c r="V71" s="19">
        <v>3440</v>
      </c>
      <c r="W71" s="18"/>
      <c r="X71" s="19">
        <v>0</v>
      </c>
      <c r="Y71" s="18"/>
      <c r="Z71" s="19">
        <v>0</v>
      </c>
      <c r="AA71" s="18"/>
      <c r="AB71" s="19">
        <v>0</v>
      </c>
      <c r="AC71" s="18"/>
      <c r="AD71" s="19">
        <v>0</v>
      </c>
      <c r="AE71" s="18"/>
      <c r="AF71" s="19">
        <v>0</v>
      </c>
      <c r="AG71" s="18"/>
      <c r="AH71" s="19">
        <v>0</v>
      </c>
      <c r="AI71" s="18"/>
      <c r="AJ71" s="19">
        <v>0</v>
      </c>
      <c r="AK71" s="18"/>
      <c r="AL71" s="19">
        <v>0</v>
      </c>
      <c r="AM71" s="18"/>
      <c r="AN71" s="19">
        <v>0</v>
      </c>
      <c r="AO71" s="18"/>
      <c r="AP71" s="19">
        <v>0</v>
      </c>
      <c r="AQ71" s="18"/>
      <c r="AR71" s="19">
        <v>0</v>
      </c>
      <c r="AS71" s="18"/>
      <c r="AT71" s="19">
        <v>0</v>
      </c>
      <c r="AU71" s="18"/>
      <c r="AV71" s="19">
        <v>0</v>
      </c>
      <c r="AW71" s="18"/>
      <c r="AX71" s="19">
        <v>0</v>
      </c>
      <c r="AY71" s="18"/>
      <c r="AZ71" s="19">
        <v>0</v>
      </c>
      <c r="BA71" s="18"/>
      <c r="BB71" s="19">
        <v>0</v>
      </c>
      <c r="BC71" s="18"/>
      <c r="BD71" s="19">
        <v>0</v>
      </c>
      <c r="BE71" s="18"/>
      <c r="BF71" s="19">
        <v>0</v>
      </c>
      <c r="BG71" s="18"/>
      <c r="BH71" s="19">
        <v>0</v>
      </c>
      <c r="BI71" s="18"/>
      <c r="BJ71" s="19">
        <v>0</v>
      </c>
      <c r="BK71" s="18"/>
      <c r="BL71" s="19">
        <v>0</v>
      </c>
      <c r="BM71" s="18"/>
      <c r="BN71" s="19">
        <v>0</v>
      </c>
      <c r="BO71" s="18"/>
      <c r="BP71" s="19">
        <v>0</v>
      </c>
      <c r="BQ71" s="18"/>
      <c r="BR71" s="19">
        <v>0</v>
      </c>
      <c r="BS71" s="18"/>
      <c r="BT71" s="19">
        <v>0</v>
      </c>
      <c r="BU71" s="18"/>
      <c r="BV71" s="19">
        <v>0</v>
      </c>
      <c r="BW71" s="18"/>
      <c r="BX71" s="19">
        <v>2026</v>
      </c>
      <c r="BY71" s="18"/>
      <c r="BZ71" s="19">
        <v>1045.2</v>
      </c>
      <c r="CA71" s="18"/>
      <c r="CB71" s="19">
        <v>0</v>
      </c>
      <c r="CC71" s="18"/>
      <c r="CD71" s="19">
        <v>0</v>
      </c>
      <c r="CE71" s="18"/>
      <c r="CF71" s="19">
        <v>620.4</v>
      </c>
      <c r="CG71" s="18"/>
      <c r="CH71" s="19">
        <v>0</v>
      </c>
      <c r="CI71" s="18"/>
      <c r="CJ71" s="19">
        <v>0</v>
      </c>
      <c r="CK71" s="18"/>
      <c r="CL71" s="19">
        <v>0</v>
      </c>
      <c r="CM71" s="18"/>
      <c r="CN71" s="19">
        <f t="shared" si="2"/>
        <v>11084.4</v>
      </c>
    </row>
    <row r="72" spans="1:92" x14ac:dyDescent="0.3">
      <c r="A72" s="16"/>
      <c r="B72" s="16"/>
      <c r="C72" s="16"/>
      <c r="D72" s="16"/>
      <c r="E72" s="16"/>
      <c r="F72" s="16" t="s">
        <v>57</v>
      </c>
      <c r="G72" s="16"/>
      <c r="H72" s="19">
        <v>-181.7</v>
      </c>
      <c r="I72" s="18"/>
      <c r="J72" s="19">
        <v>-500</v>
      </c>
      <c r="K72" s="18"/>
      <c r="L72" s="19">
        <v>0</v>
      </c>
      <c r="M72" s="18"/>
      <c r="N72" s="19">
        <v>0</v>
      </c>
      <c r="O72" s="18"/>
      <c r="P72" s="19">
        <v>0</v>
      </c>
      <c r="Q72" s="18"/>
      <c r="R72" s="19">
        <v>-25.75</v>
      </c>
      <c r="S72" s="18"/>
      <c r="T72" s="19">
        <v>0</v>
      </c>
      <c r="U72" s="18"/>
      <c r="V72" s="19">
        <v>0</v>
      </c>
      <c r="W72" s="18"/>
      <c r="X72" s="19">
        <v>0</v>
      </c>
      <c r="Y72" s="18"/>
      <c r="Z72" s="19">
        <v>0</v>
      </c>
      <c r="AA72" s="18"/>
      <c r="AB72" s="19">
        <v>0</v>
      </c>
      <c r="AC72" s="18"/>
      <c r="AD72" s="19">
        <v>0</v>
      </c>
      <c r="AE72" s="18"/>
      <c r="AF72" s="19">
        <v>0</v>
      </c>
      <c r="AG72" s="18"/>
      <c r="AH72" s="19">
        <v>0</v>
      </c>
      <c r="AI72" s="18"/>
      <c r="AJ72" s="19">
        <v>0</v>
      </c>
      <c r="AK72" s="18"/>
      <c r="AL72" s="19">
        <v>0</v>
      </c>
      <c r="AM72" s="18"/>
      <c r="AN72" s="19">
        <v>0</v>
      </c>
      <c r="AO72" s="18"/>
      <c r="AP72" s="19">
        <v>0</v>
      </c>
      <c r="AQ72" s="18"/>
      <c r="AR72" s="19">
        <v>732.61</v>
      </c>
      <c r="AS72" s="18"/>
      <c r="AT72" s="19">
        <v>0</v>
      </c>
      <c r="AU72" s="18"/>
      <c r="AV72" s="19">
        <v>-258.52999999999997</v>
      </c>
      <c r="AW72" s="18"/>
      <c r="AX72" s="19">
        <v>0</v>
      </c>
      <c r="AY72" s="18"/>
      <c r="AZ72" s="19">
        <v>0</v>
      </c>
      <c r="BA72" s="18"/>
      <c r="BB72" s="19">
        <v>0</v>
      </c>
      <c r="BC72" s="18"/>
      <c r="BD72" s="19">
        <v>0</v>
      </c>
      <c r="BE72" s="18"/>
      <c r="BF72" s="19">
        <v>0</v>
      </c>
      <c r="BG72" s="18"/>
      <c r="BH72" s="19">
        <v>0</v>
      </c>
      <c r="BI72" s="18"/>
      <c r="BJ72" s="19">
        <v>-400</v>
      </c>
      <c r="BK72" s="18"/>
      <c r="BL72" s="19">
        <v>1179.6199999999999</v>
      </c>
      <c r="BM72" s="18"/>
      <c r="BN72" s="19">
        <v>-273.75</v>
      </c>
      <c r="BO72" s="18"/>
      <c r="BP72" s="19">
        <v>0</v>
      </c>
      <c r="BQ72" s="18"/>
      <c r="BR72" s="19">
        <v>0</v>
      </c>
      <c r="BS72" s="18"/>
      <c r="BT72" s="19">
        <v>0</v>
      </c>
      <c r="BU72" s="18"/>
      <c r="BV72" s="19">
        <v>0</v>
      </c>
      <c r="BW72" s="18"/>
      <c r="BX72" s="19">
        <v>0</v>
      </c>
      <c r="BY72" s="18"/>
      <c r="BZ72" s="19">
        <v>-505.87</v>
      </c>
      <c r="CA72" s="18"/>
      <c r="CB72" s="19">
        <v>0</v>
      </c>
      <c r="CC72" s="18"/>
      <c r="CD72" s="19">
        <v>0</v>
      </c>
      <c r="CE72" s="18"/>
      <c r="CF72" s="19">
        <v>0</v>
      </c>
      <c r="CG72" s="18"/>
      <c r="CH72" s="19">
        <v>0</v>
      </c>
      <c r="CI72" s="18"/>
      <c r="CJ72" s="19">
        <v>0</v>
      </c>
      <c r="CK72" s="18"/>
      <c r="CL72" s="19">
        <v>0</v>
      </c>
      <c r="CM72" s="18"/>
      <c r="CN72" s="19">
        <f t="shared" si="2"/>
        <v>-233.37</v>
      </c>
    </row>
    <row r="73" spans="1:92" x14ac:dyDescent="0.3">
      <c r="A73" s="16"/>
      <c r="B73" s="16"/>
      <c r="C73" s="16"/>
      <c r="D73" s="16"/>
      <c r="E73" s="16"/>
      <c r="F73" s="16" t="s">
        <v>56</v>
      </c>
      <c r="G73" s="16"/>
      <c r="H73" s="19">
        <v>0</v>
      </c>
      <c r="I73" s="18"/>
      <c r="J73" s="19">
        <v>0</v>
      </c>
      <c r="K73" s="18"/>
      <c r="L73" s="19">
        <v>0</v>
      </c>
      <c r="M73" s="18"/>
      <c r="N73" s="19">
        <v>2730.72</v>
      </c>
      <c r="O73" s="18"/>
      <c r="P73" s="19">
        <v>0</v>
      </c>
      <c r="Q73" s="18"/>
      <c r="R73" s="19">
        <v>0</v>
      </c>
      <c r="S73" s="18"/>
      <c r="T73" s="19">
        <v>0</v>
      </c>
      <c r="U73" s="18"/>
      <c r="V73" s="19">
        <v>0</v>
      </c>
      <c r="W73" s="18"/>
      <c r="X73" s="19">
        <v>0</v>
      </c>
      <c r="Y73" s="18"/>
      <c r="Z73" s="19">
        <v>0</v>
      </c>
      <c r="AA73" s="18"/>
      <c r="AB73" s="19">
        <v>0</v>
      </c>
      <c r="AC73" s="18"/>
      <c r="AD73" s="19">
        <v>0</v>
      </c>
      <c r="AE73" s="18"/>
      <c r="AF73" s="19">
        <v>0</v>
      </c>
      <c r="AG73" s="18"/>
      <c r="AH73" s="19">
        <v>0</v>
      </c>
      <c r="AI73" s="18"/>
      <c r="AJ73" s="19">
        <v>541.41</v>
      </c>
      <c r="AK73" s="18"/>
      <c r="AL73" s="19">
        <v>400</v>
      </c>
      <c r="AM73" s="18"/>
      <c r="AN73" s="19">
        <v>0</v>
      </c>
      <c r="AO73" s="18"/>
      <c r="AP73" s="19">
        <v>0</v>
      </c>
      <c r="AQ73" s="18"/>
      <c r="AR73" s="19">
        <v>0</v>
      </c>
      <c r="AS73" s="18"/>
      <c r="AT73" s="19">
        <v>0</v>
      </c>
      <c r="AU73" s="18"/>
      <c r="AV73" s="19">
        <v>0</v>
      </c>
      <c r="AW73" s="18"/>
      <c r="AX73" s="19">
        <v>0</v>
      </c>
      <c r="AY73" s="18"/>
      <c r="AZ73" s="19">
        <v>9835.07</v>
      </c>
      <c r="BA73" s="18"/>
      <c r="BB73" s="19">
        <v>0</v>
      </c>
      <c r="BC73" s="18"/>
      <c r="BD73" s="19">
        <v>0</v>
      </c>
      <c r="BE73" s="18"/>
      <c r="BF73" s="19">
        <v>0</v>
      </c>
      <c r="BG73" s="18"/>
      <c r="BH73" s="19">
        <v>0</v>
      </c>
      <c r="BI73" s="18"/>
      <c r="BJ73" s="19">
        <v>0</v>
      </c>
      <c r="BK73" s="18"/>
      <c r="BL73" s="19">
        <v>0</v>
      </c>
      <c r="BM73" s="18"/>
      <c r="BN73" s="19">
        <v>0</v>
      </c>
      <c r="BO73" s="18"/>
      <c r="BP73" s="19">
        <v>0</v>
      </c>
      <c r="BQ73" s="18"/>
      <c r="BR73" s="19">
        <v>0</v>
      </c>
      <c r="BS73" s="18"/>
      <c r="BT73" s="19">
        <v>0</v>
      </c>
      <c r="BU73" s="18"/>
      <c r="BV73" s="19">
        <v>0</v>
      </c>
      <c r="BW73" s="18"/>
      <c r="BX73" s="19">
        <v>7272.93</v>
      </c>
      <c r="BY73" s="18"/>
      <c r="BZ73" s="19">
        <v>0</v>
      </c>
      <c r="CA73" s="18"/>
      <c r="CB73" s="19">
        <v>0</v>
      </c>
      <c r="CC73" s="18"/>
      <c r="CD73" s="19">
        <v>0</v>
      </c>
      <c r="CE73" s="18"/>
      <c r="CF73" s="19">
        <v>0</v>
      </c>
      <c r="CG73" s="18"/>
      <c r="CH73" s="19">
        <v>0</v>
      </c>
      <c r="CI73" s="18"/>
      <c r="CJ73" s="19">
        <v>0</v>
      </c>
      <c r="CK73" s="18"/>
      <c r="CL73" s="19">
        <v>0</v>
      </c>
      <c r="CM73" s="18"/>
      <c r="CN73" s="19">
        <f t="shared" si="2"/>
        <v>20780.13</v>
      </c>
    </row>
    <row r="74" spans="1:92" x14ac:dyDescent="0.3">
      <c r="A74" s="16"/>
      <c r="B74" s="16"/>
      <c r="C74" s="16"/>
      <c r="D74" s="16"/>
      <c r="E74" s="16"/>
      <c r="F74" s="16" t="s">
        <v>55</v>
      </c>
      <c r="G74" s="16"/>
      <c r="H74" s="19">
        <v>1680</v>
      </c>
      <c r="I74" s="18"/>
      <c r="J74" s="19">
        <v>0</v>
      </c>
      <c r="K74" s="18"/>
      <c r="L74" s="19">
        <v>0</v>
      </c>
      <c r="M74" s="18"/>
      <c r="N74" s="19">
        <v>0</v>
      </c>
      <c r="O74" s="18"/>
      <c r="P74" s="19">
        <v>0</v>
      </c>
      <c r="Q74" s="18"/>
      <c r="R74" s="19">
        <v>0</v>
      </c>
      <c r="S74" s="18"/>
      <c r="T74" s="19">
        <v>0</v>
      </c>
      <c r="U74" s="18"/>
      <c r="V74" s="19">
        <v>1720</v>
      </c>
      <c r="W74" s="18"/>
      <c r="X74" s="19">
        <v>1698.5</v>
      </c>
      <c r="Y74" s="18"/>
      <c r="Z74" s="19">
        <v>0</v>
      </c>
      <c r="AA74" s="18"/>
      <c r="AB74" s="19">
        <v>0</v>
      </c>
      <c r="AC74" s="18"/>
      <c r="AD74" s="19">
        <v>0</v>
      </c>
      <c r="AE74" s="18"/>
      <c r="AF74" s="19">
        <v>0</v>
      </c>
      <c r="AG74" s="18"/>
      <c r="AH74" s="19">
        <v>0</v>
      </c>
      <c r="AI74" s="18"/>
      <c r="AJ74" s="19">
        <v>688</v>
      </c>
      <c r="AK74" s="18"/>
      <c r="AL74" s="19">
        <v>0</v>
      </c>
      <c r="AM74" s="18"/>
      <c r="AN74" s="19">
        <v>150.5</v>
      </c>
      <c r="AO74" s="18"/>
      <c r="AP74" s="19">
        <v>10776</v>
      </c>
      <c r="AQ74" s="18"/>
      <c r="AR74" s="19">
        <v>0</v>
      </c>
      <c r="AS74" s="18"/>
      <c r="AT74" s="19">
        <v>1052.4000000000001</v>
      </c>
      <c r="AU74" s="18"/>
      <c r="AV74" s="19">
        <v>848</v>
      </c>
      <c r="AW74" s="18"/>
      <c r="AX74" s="19">
        <v>352</v>
      </c>
      <c r="AY74" s="18"/>
      <c r="AZ74" s="19">
        <v>1792</v>
      </c>
      <c r="BA74" s="18"/>
      <c r="BB74" s="19">
        <v>0</v>
      </c>
      <c r="BC74" s="18"/>
      <c r="BD74" s="19">
        <v>5555.8</v>
      </c>
      <c r="BE74" s="18"/>
      <c r="BF74" s="19">
        <v>728</v>
      </c>
      <c r="BG74" s="18"/>
      <c r="BH74" s="19">
        <v>1280</v>
      </c>
      <c r="BI74" s="18"/>
      <c r="BJ74" s="19">
        <v>704</v>
      </c>
      <c r="BK74" s="18"/>
      <c r="BL74" s="19">
        <v>1220</v>
      </c>
      <c r="BM74" s="18"/>
      <c r="BN74" s="19">
        <v>1131.28</v>
      </c>
      <c r="BO74" s="18"/>
      <c r="BP74" s="19">
        <v>446</v>
      </c>
      <c r="BQ74" s="18"/>
      <c r="BR74" s="19">
        <v>1223</v>
      </c>
      <c r="BS74" s="18"/>
      <c r="BT74" s="19">
        <v>352</v>
      </c>
      <c r="BU74" s="18"/>
      <c r="BV74" s="19">
        <v>286</v>
      </c>
      <c r="BW74" s="18"/>
      <c r="BX74" s="19">
        <v>2936.7</v>
      </c>
      <c r="BY74" s="18"/>
      <c r="BZ74" s="19">
        <v>1188.4000000000001</v>
      </c>
      <c r="CA74" s="18"/>
      <c r="CB74" s="19">
        <v>1188.4000000000001</v>
      </c>
      <c r="CC74" s="18"/>
      <c r="CD74" s="19">
        <v>210</v>
      </c>
      <c r="CE74" s="18"/>
      <c r="CF74" s="19">
        <v>609.70000000000005</v>
      </c>
      <c r="CG74" s="18"/>
      <c r="CH74" s="19">
        <v>1270</v>
      </c>
      <c r="CI74" s="18"/>
      <c r="CJ74" s="19">
        <v>1140.4000000000001</v>
      </c>
      <c r="CK74" s="18"/>
      <c r="CL74" s="19">
        <v>0</v>
      </c>
      <c r="CM74" s="18"/>
      <c r="CN74" s="19">
        <f t="shared" si="2"/>
        <v>42227.08</v>
      </c>
    </row>
    <row r="75" spans="1:92" x14ac:dyDescent="0.3">
      <c r="A75" s="16"/>
      <c r="B75" s="16"/>
      <c r="C75" s="16"/>
      <c r="D75" s="16"/>
      <c r="E75" s="16"/>
      <c r="F75" s="16" t="s">
        <v>54</v>
      </c>
      <c r="G75" s="16"/>
      <c r="H75" s="19">
        <v>2112.8000000000002</v>
      </c>
      <c r="I75" s="18"/>
      <c r="J75" s="19">
        <v>0</v>
      </c>
      <c r="K75" s="18"/>
      <c r="L75" s="19">
        <v>0</v>
      </c>
      <c r="M75" s="18"/>
      <c r="N75" s="19">
        <v>0</v>
      </c>
      <c r="O75" s="18"/>
      <c r="P75" s="19">
        <v>0</v>
      </c>
      <c r="Q75" s="18"/>
      <c r="R75" s="19">
        <v>0</v>
      </c>
      <c r="S75" s="18"/>
      <c r="T75" s="19">
        <v>0</v>
      </c>
      <c r="U75" s="18"/>
      <c r="V75" s="19">
        <v>0</v>
      </c>
      <c r="W75" s="18"/>
      <c r="X75" s="19">
        <v>1036.4000000000001</v>
      </c>
      <c r="Y75" s="18"/>
      <c r="Z75" s="19">
        <v>0</v>
      </c>
      <c r="AA75" s="18"/>
      <c r="AB75" s="19">
        <v>0</v>
      </c>
      <c r="AC75" s="18"/>
      <c r="AD75" s="19">
        <v>1388.4</v>
      </c>
      <c r="AE75" s="18"/>
      <c r="AF75" s="19">
        <v>2776.8</v>
      </c>
      <c r="AG75" s="18"/>
      <c r="AH75" s="19">
        <v>0</v>
      </c>
      <c r="AI75" s="18"/>
      <c r="AJ75" s="19">
        <v>0</v>
      </c>
      <c r="AK75" s="18"/>
      <c r="AL75" s="19">
        <v>0</v>
      </c>
      <c r="AM75" s="18"/>
      <c r="AN75" s="19">
        <v>0</v>
      </c>
      <c r="AO75" s="18"/>
      <c r="AP75" s="19">
        <v>1356.4</v>
      </c>
      <c r="AQ75" s="18"/>
      <c r="AR75" s="19">
        <v>924.4</v>
      </c>
      <c r="AS75" s="18"/>
      <c r="AT75" s="19">
        <v>0</v>
      </c>
      <c r="AU75" s="18"/>
      <c r="AV75" s="19">
        <v>1884.4</v>
      </c>
      <c r="AW75" s="18"/>
      <c r="AX75" s="19">
        <v>0</v>
      </c>
      <c r="AY75" s="18"/>
      <c r="AZ75" s="19">
        <v>0</v>
      </c>
      <c r="BA75" s="18"/>
      <c r="BB75" s="19">
        <v>1468.4</v>
      </c>
      <c r="BC75" s="18"/>
      <c r="BD75" s="19">
        <v>2712.8</v>
      </c>
      <c r="BE75" s="18"/>
      <c r="BF75" s="19">
        <v>0</v>
      </c>
      <c r="BG75" s="18"/>
      <c r="BH75" s="19">
        <v>0</v>
      </c>
      <c r="BI75" s="18"/>
      <c r="BJ75" s="19">
        <v>0</v>
      </c>
      <c r="BK75" s="18"/>
      <c r="BL75" s="19">
        <v>0</v>
      </c>
      <c r="BM75" s="18"/>
      <c r="BN75" s="19">
        <v>1188.4000000000001</v>
      </c>
      <c r="BO75" s="18"/>
      <c r="BP75" s="19">
        <v>1188.4000000000001</v>
      </c>
      <c r="BQ75" s="18"/>
      <c r="BR75" s="19">
        <v>0</v>
      </c>
      <c r="BS75" s="18"/>
      <c r="BT75" s="19">
        <v>1364.4</v>
      </c>
      <c r="BU75" s="18"/>
      <c r="BV75" s="19">
        <v>0</v>
      </c>
      <c r="BW75" s="18"/>
      <c r="BX75" s="19">
        <v>0</v>
      </c>
      <c r="BY75" s="18"/>
      <c r="BZ75" s="19">
        <v>1188.4000000000001</v>
      </c>
      <c r="CA75" s="18"/>
      <c r="CB75" s="19">
        <v>2376.8000000000002</v>
      </c>
      <c r="CC75" s="18"/>
      <c r="CD75" s="19">
        <v>0</v>
      </c>
      <c r="CE75" s="18"/>
      <c r="CF75" s="19">
        <v>0</v>
      </c>
      <c r="CG75" s="18"/>
      <c r="CH75" s="19">
        <v>0</v>
      </c>
      <c r="CI75" s="18"/>
      <c r="CJ75" s="19">
        <v>0</v>
      </c>
      <c r="CK75" s="18"/>
      <c r="CL75" s="19">
        <v>0</v>
      </c>
      <c r="CM75" s="18"/>
      <c r="CN75" s="19">
        <f t="shared" si="2"/>
        <v>22967.200000000001</v>
      </c>
    </row>
    <row r="76" spans="1:92" x14ac:dyDescent="0.3">
      <c r="A76" s="16"/>
      <c r="B76" s="16"/>
      <c r="C76" s="16"/>
      <c r="D76" s="16"/>
      <c r="E76" s="16"/>
      <c r="F76" s="16" t="s">
        <v>53</v>
      </c>
      <c r="G76" s="16"/>
      <c r="H76" s="19">
        <v>0</v>
      </c>
      <c r="I76" s="18"/>
      <c r="J76" s="19">
        <v>0</v>
      </c>
      <c r="K76" s="18"/>
      <c r="L76" s="19">
        <v>0</v>
      </c>
      <c r="M76" s="18"/>
      <c r="N76" s="19">
        <v>0</v>
      </c>
      <c r="O76" s="18"/>
      <c r="P76" s="19">
        <v>0</v>
      </c>
      <c r="Q76" s="18"/>
      <c r="R76" s="19">
        <v>0</v>
      </c>
      <c r="S76" s="18"/>
      <c r="T76" s="19">
        <v>0</v>
      </c>
      <c r="U76" s="18"/>
      <c r="V76" s="19">
        <v>0</v>
      </c>
      <c r="W76" s="18"/>
      <c r="X76" s="19">
        <v>0</v>
      </c>
      <c r="Y76" s="18"/>
      <c r="Z76" s="19">
        <v>0</v>
      </c>
      <c r="AA76" s="18"/>
      <c r="AB76" s="19">
        <v>72</v>
      </c>
      <c r="AC76" s="18"/>
      <c r="AD76" s="19">
        <v>0</v>
      </c>
      <c r="AE76" s="18"/>
      <c r="AF76" s="19">
        <v>0</v>
      </c>
      <c r="AG76" s="18"/>
      <c r="AH76" s="19">
        <v>0</v>
      </c>
      <c r="AI76" s="18"/>
      <c r="AJ76" s="19">
        <v>0</v>
      </c>
      <c r="AK76" s="18"/>
      <c r="AL76" s="19">
        <v>0</v>
      </c>
      <c r="AM76" s="18"/>
      <c r="AN76" s="19">
        <v>0</v>
      </c>
      <c r="AO76" s="18"/>
      <c r="AP76" s="19">
        <v>0</v>
      </c>
      <c r="AQ76" s="18"/>
      <c r="AR76" s="19">
        <v>0</v>
      </c>
      <c r="AS76" s="18"/>
      <c r="AT76" s="19">
        <v>0</v>
      </c>
      <c r="AU76" s="18"/>
      <c r="AV76" s="19">
        <v>0</v>
      </c>
      <c r="AW76" s="18"/>
      <c r="AX76" s="19">
        <v>0</v>
      </c>
      <c r="AY76" s="18"/>
      <c r="AZ76" s="19">
        <v>0</v>
      </c>
      <c r="BA76" s="18"/>
      <c r="BB76" s="19">
        <v>128</v>
      </c>
      <c r="BC76" s="18"/>
      <c r="BD76" s="19">
        <v>0</v>
      </c>
      <c r="BE76" s="18"/>
      <c r="BF76" s="19">
        <v>0</v>
      </c>
      <c r="BG76" s="18"/>
      <c r="BH76" s="19">
        <v>0</v>
      </c>
      <c r="BI76" s="18"/>
      <c r="BJ76" s="19">
        <v>0</v>
      </c>
      <c r="BK76" s="18"/>
      <c r="BL76" s="19">
        <v>0</v>
      </c>
      <c r="BM76" s="18"/>
      <c r="BN76" s="19">
        <v>0</v>
      </c>
      <c r="BO76" s="18"/>
      <c r="BP76" s="19">
        <v>0</v>
      </c>
      <c r="BQ76" s="18"/>
      <c r="BR76" s="19">
        <v>0</v>
      </c>
      <c r="BS76" s="18"/>
      <c r="BT76" s="19">
        <v>174.2</v>
      </c>
      <c r="BU76" s="18"/>
      <c r="BV76" s="19">
        <v>87.1</v>
      </c>
      <c r="BW76" s="18"/>
      <c r="BX76" s="19">
        <v>0</v>
      </c>
      <c r="BY76" s="18"/>
      <c r="BZ76" s="19">
        <v>44</v>
      </c>
      <c r="CA76" s="18"/>
      <c r="CB76" s="19">
        <v>33</v>
      </c>
      <c r="CC76" s="18"/>
      <c r="CD76" s="19">
        <v>0</v>
      </c>
      <c r="CE76" s="18"/>
      <c r="CF76" s="19">
        <v>0</v>
      </c>
      <c r="CG76" s="18"/>
      <c r="CH76" s="19">
        <v>0</v>
      </c>
      <c r="CI76" s="18"/>
      <c r="CJ76" s="19">
        <v>0</v>
      </c>
      <c r="CK76" s="18"/>
      <c r="CL76" s="19">
        <v>0</v>
      </c>
      <c r="CM76" s="18"/>
      <c r="CN76" s="19">
        <f t="shared" si="2"/>
        <v>538.29999999999995</v>
      </c>
    </row>
    <row r="77" spans="1:92" x14ac:dyDescent="0.3">
      <c r="A77" s="16"/>
      <c r="B77" s="16"/>
      <c r="C77" s="16"/>
      <c r="D77" s="16"/>
      <c r="E77" s="16"/>
      <c r="F77" s="16" t="s">
        <v>52</v>
      </c>
      <c r="G77" s="16"/>
      <c r="H77" s="19">
        <v>722.33</v>
      </c>
      <c r="I77" s="18"/>
      <c r="J77" s="19">
        <v>870.83</v>
      </c>
      <c r="K77" s="18"/>
      <c r="L77" s="19">
        <v>982.39</v>
      </c>
      <c r="M77" s="18"/>
      <c r="N77" s="19">
        <v>1063.96</v>
      </c>
      <c r="O77" s="18"/>
      <c r="P77" s="19">
        <v>872.48</v>
      </c>
      <c r="Q77" s="18"/>
      <c r="R77" s="19">
        <v>1867.69</v>
      </c>
      <c r="S77" s="18"/>
      <c r="T77" s="19">
        <v>1433.74</v>
      </c>
      <c r="U77" s="18"/>
      <c r="V77" s="19">
        <v>2682.53</v>
      </c>
      <c r="W77" s="18"/>
      <c r="X77" s="19">
        <v>2441.59</v>
      </c>
      <c r="Y77" s="18"/>
      <c r="Z77" s="19">
        <v>4038.91</v>
      </c>
      <c r="AA77" s="18"/>
      <c r="AB77" s="19">
        <v>1525.8</v>
      </c>
      <c r="AC77" s="18"/>
      <c r="AD77" s="19">
        <v>1917.46</v>
      </c>
      <c r="AE77" s="18"/>
      <c r="AF77" s="19">
        <v>1064.21</v>
      </c>
      <c r="AG77" s="18"/>
      <c r="AH77" s="19">
        <v>1560.23</v>
      </c>
      <c r="AI77" s="18"/>
      <c r="AJ77" s="19">
        <v>2133.35</v>
      </c>
      <c r="AK77" s="18"/>
      <c r="AL77" s="19">
        <v>4083.04</v>
      </c>
      <c r="AM77" s="18"/>
      <c r="AN77" s="19">
        <v>2361.15</v>
      </c>
      <c r="AO77" s="18"/>
      <c r="AP77" s="19">
        <v>3199.99</v>
      </c>
      <c r="AQ77" s="18"/>
      <c r="AR77" s="19">
        <v>2343.5300000000002</v>
      </c>
      <c r="AS77" s="18"/>
      <c r="AT77" s="19">
        <v>4742.4799999999996</v>
      </c>
      <c r="AU77" s="18"/>
      <c r="AV77" s="19">
        <v>3598.32</v>
      </c>
      <c r="AW77" s="18"/>
      <c r="AX77" s="19">
        <v>866.36</v>
      </c>
      <c r="AY77" s="18"/>
      <c r="AZ77" s="19">
        <v>1489.01</v>
      </c>
      <c r="BA77" s="18"/>
      <c r="BB77" s="19">
        <v>779.97</v>
      </c>
      <c r="BC77" s="18"/>
      <c r="BD77" s="19">
        <v>72</v>
      </c>
      <c r="BE77" s="18"/>
      <c r="BF77" s="19">
        <v>1060.92</v>
      </c>
      <c r="BG77" s="18"/>
      <c r="BH77" s="19">
        <v>3111.41</v>
      </c>
      <c r="BI77" s="18"/>
      <c r="BJ77" s="19">
        <v>795.04</v>
      </c>
      <c r="BK77" s="18"/>
      <c r="BL77" s="19">
        <v>946.54</v>
      </c>
      <c r="BM77" s="18"/>
      <c r="BN77" s="19">
        <v>246.41</v>
      </c>
      <c r="BO77" s="18"/>
      <c r="BP77" s="19">
        <v>1995.04</v>
      </c>
      <c r="BQ77" s="18"/>
      <c r="BR77" s="19">
        <v>2168.9299999999998</v>
      </c>
      <c r="BS77" s="18"/>
      <c r="BT77" s="19">
        <v>3197.74</v>
      </c>
      <c r="BU77" s="18"/>
      <c r="BV77" s="19">
        <v>804.15</v>
      </c>
      <c r="BW77" s="18"/>
      <c r="BX77" s="19">
        <v>1542.79</v>
      </c>
      <c r="BY77" s="18"/>
      <c r="BZ77" s="19">
        <v>1415.18</v>
      </c>
      <c r="CA77" s="18"/>
      <c r="CB77" s="19">
        <v>1767.75</v>
      </c>
      <c r="CC77" s="18"/>
      <c r="CD77" s="19">
        <v>2446.65</v>
      </c>
      <c r="CE77" s="18"/>
      <c r="CF77" s="19">
        <v>2419.9899999999998</v>
      </c>
      <c r="CG77" s="18"/>
      <c r="CH77" s="19">
        <v>813.26</v>
      </c>
      <c r="CI77" s="18"/>
      <c r="CJ77" s="19">
        <v>974.37</v>
      </c>
      <c r="CK77" s="18"/>
      <c r="CL77" s="19">
        <v>0</v>
      </c>
      <c r="CM77" s="18"/>
      <c r="CN77" s="19">
        <f t="shared" si="2"/>
        <v>74419.520000000004</v>
      </c>
    </row>
    <row r="78" spans="1:92" x14ac:dyDescent="0.3">
      <c r="A78" s="16"/>
      <c r="B78" s="16"/>
      <c r="C78" s="16"/>
      <c r="D78" s="16"/>
      <c r="E78" s="16"/>
      <c r="F78" s="16" t="s">
        <v>51</v>
      </c>
      <c r="G78" s="16"/>
      <c r="H78" s="19">
        <v>30350.74</v>
      </c>
      <c r="I78" s="18"/>
      <c r="J78" s="19">
        <v>38196.54</v>
      </c>
      <c r="K78" s="18"/>
      <c r="L78" s="19">
        <v>39939.040000000001</v>
      </c>
      <c r="M78" s="18"/>
      <c r="N78" s="19">
        <v>57119.31</v>
      </c>
      <c r="O78" s="18"/>
      <c r="P78" s="19">
        <v>39133.54</v>
      </c>
      <c r="Q78" s="18"/>
      <c r="R78" s="19">
        <v>37196.14</v>
      </c>
      <c r="S78" s="18"/>
      <c r="T78" s="19">
        <v>40057.14</v>
      </c>
      <c r="U78" s="18"/>
      <c r="V78" s="19">
        <v>35974.54</v>
      </c>
      <c r="W78" s="18"/>
      <c r="X78" s="19">
        <v>38453.31</v>
      </c>
      <c r="Y78" s="18"/>
      <c r="Z78" s="19">
        <v>65582.94</v>
      </c>
      <c r="AA78" s="18"/>
      <c r="AB78" s="19">
        <v>44893.18</v>
      </c>
      <c r="AC78" s="18"/>
      <c r="AD78" s="19">
        <v>58656.34</v>
      </c>
      <c r="AE78" s="18"/>
      <c r="AF78" s="19">
        <v>47159.13</v>
      </c>
      <c r="AG78" s="18"/>
      <c r="AH78" s="19">
        <v>43316.49</v>
      </c>
      <c r="AI78" s="18"/>
      <c r="AJ78" s="19">
        <v>66328.31</v>
      </c>
      <c r="AK78" s="18"/>
      <c r="AL78" s="19">
        <v>49781.54</v>
      </c>
      <c r="AM78" s="18"/>
      <c r="AN78" s="19">
        <v>49707.54</v>
      </c>
      <c r="AO78" s="18"/>
      <c r="AP78" s="19">
        <v>48500.39</v>
      </c>
      <c r="AQ78" s="18"/>
      <c r="AR78" s="19">
        <v>40682.14</v>
      </c>
      <c r="AS78" s="18"/>
      <c r="AT78" s="19">
        <v>51790.52</v>
      </c>
      <c r="AU78" s="18"/>
      <c r="AV78" s="19">
        <v>77335.41</v>
      </c>
      <c r="AW78" s="18"/>
      <c r="AX78" s="19">
        <v>47738.54</v>
      </c>
      <c r="AY78" s="18"/>
      <c r="AZ78" s="19">
        <v>47098.54</v>
      </c>
      <c r="BA78" s="18"/>
      <c r="BB78" s="19">
        <v>46570.63</v>
      </c>
      <c r="BC78" s="18"/>
      <c r="BD78" s="19">
        <v>37448.54</v>
      </c>
      <c r="BE78" s="18"/>
      <c r="BF78" s="19">
        <v>45947.54</v>
      </c>
      <c r="BG78" s="18"/>
      <c r="BH78" s="19">
        <v>77875.31</v>
      </c>
      <c r="BI78" s="18"/>
      <c r="BJ78" s="19">
        <v>49930.04</v>
      </c>
      <c r="BK78" s="18"/>
      <c r="BL78" s="19">
        <v>50189.919999999998</v>
      </c>
      <c r="BM78" s="18"/>
      <c r="BN78" s="19">
        <v>49646.37</v>
      </c>
      <c r="BO78" s="18"/>
      <c r="BP78" s="19">
        <v>46704.29</v>
      </c>
      <c r="BQ78" s="18"/>
      <c r="BR78" s="19">
        <v>49990.04</v>
      </c>
      <c r="BS78" s="18"/>
      <c r="BT78" s="19">
        <v>75758.86</v>
      </c>
      <c r="BU78" s="18"/>
      <c r="BV78" s="19">
        <v>50410.54</v>
      </c>
      <c r="BW78" s="18"/>
      <c r="BX78" s="19">
        <v>43510.84</v>
      </c>
      <c r="BY78" s="18"/>
      <c r="BZ78" s="19">
        <v>44874.02</v>
      </c>
      <c r="CA78" s="18"/>
      <c r="CB78" s="19">
        <v>44385.34</v>
      </c>
      <c r="CC78" s="18"/>
      <c r="CD78" s="19">
        <v>40661.54</v>
      </c>
      <c r="CE78" s="18"/>
      <c r="CF78" s="19">
        <v>62102.21</v>
      </c>
      <c r="CG78" s="18"/>
      <c r="CH78" s="19">
        <v>45521.54</v>
      </c>
      <c r="CI78" s="18"/>
      <c r="CJ78" s="19">
        <v>47836.14</v>
      </c>
      <c r="CK78" s="18"/>
      <c r="CL78" s="19">
        <v>0</v>
      </c>
      <c r="CM78" s="18"/>
      <c r="CN78" s="19">
        <f t="shared" si="2"/>
        <v>2004355.02</v>
      </c>
    </row>
    <row r="79" spans="1:92" x14ac:dyDescent="0.3">
      <c r="A79" s="16"/>
      <c r="B79" s="16"/>
      <c r="C79" s="16"/>
      <c r="D79" s="16"/>
      <c r="E79" s="16"/>
      <c r="F79" s="16" t="s">
        <v>50</v>
      </c>
      <c r="G79" s="16"/>
      <c r="H79" s="19">
        <v>-509.02</v>
      </c>
      <c r="I79" s="18"/>
      <c r="J79" s="19">
        <v>7439.36</v>
      </c>
      <c r="K79" s="18"/>
      <c r="L79" s="19">
        <v>3630.39</v>
      </c>
      <c r="M79" s="18"/>
      <c r="N79" s="19">
        <v>3389.84</v>
      </c>
      <c r="O79" s="18"/>
      <c r="P79" s="19">
        <v>4900.55</v>
      </c>
      <c r="Q79" s="18"/>
      <c r="R79" s="19">
        <v>3990.47</v>
      </c>
      <c r="S79" s="18"/>
      <c r="T79" s="19">
        <v>4085.43</v>
      </c>
      <c r="U79" s="18"/>
      <c r="V79" s="19">
        <v>3630.39</v>
      </c>
      <c r="W79" s="18"/>
      <c r="X79" s="19">
        <v>2046.17</v>
      </c>
      <c r="Y79" s="18"/>
      <c r="Z79" s="19">
        <v>5104.46</v>
      </c>
      <c r="AA79" s="18"/>
      <c r="AB79" s="19">
        <v>2631.53</v>
      </c>
      <c r="AC79" s="18"/>
      <c r="AD79" s="19">
        <v>3827.33</v>
      </c>
      <c r="AE79" s="18"/>
      <c r="AF79" s="19">
        <v>3612.33</v>
      </c>
      <c r="AG79" s="18"/>
      <c r="AH79" s="19">
        <v>4096.38</v>
      </c>
      <c r="AI79" s="18"/>
      <c r="AJ79" s="19">
        <v>3891.34</v>
      </c>
      <c r="AK79" s="18"/>
      <c r="AL79" s="19">
        <v>4047.16</v>
      </c>
      <c r="AM79" s="18"/>
      <c r="AN79" s="19">
        <v>-311.64</v>
      </c>
      <c r="AO79" s="18"/>
      <c r="AP79" s="19">
        <v>3358.9</v>
      </c>
      <c r="AQ79" s="18"/>
      <c r="AR79" s="19">
        <v>6873.62</v>
      </c>
      <c r="AS79" s="18"/>
      <c r="AT79" s="19">
        <v>3358.9</v>
      </c>
      <c r="AU79" s="18"/>
      <c r="AV79" s="19">
        <v>3554.48</v>
      </c>
      <c r="AW79" s="18"/>
      <c r="AX79" s="19">
        <v>4266.59</v>
      </c>
      <c r="AY79" s="18"/>
      <c r="AZ79" s="19">
        <v>3863.71</v>
      </c>
      <c r="BA79" s="18"/>
      <c r="BB79" s="19">
        <v>3863.71</v>
      </c>
      <c r="BC79" s="18"/>
      <c r="BD79" s="19">
        <v>3863.71</v>
      </c>
      <c r="BE79" s="18"/>
      <c r="BF79" s="19">
        <v>3863.71</v>
      </c>
      <c r="BG79" s="18"/>
      <c r="BH79" s="19">
        <v>3726.79</v>
      </c>
      <c r="BI79" s="18"/>
      <c r="BJ79" s="19">
        <v>3863.71</v>
      </c>
      <c r="BK79" s="18"/>
      <c r="BL79" s="19">
        <v>3447.91</v>
      </c>
      <c r="BM79" s="18"/>
      <c r="BN79" s="19">
        <v>-277.8</v>
      </c>
      <c r="BO79" s="18"/>
      <c r="BP79" s="19">
        <v>8781.58</v>
      </c>
      <c r="BQ79" s="18"/>
      <c r="BR79" s="19">
        <v>3881.15</v>
      </c>
      <c r="BS79" s="18"/>
      <c r="BT79" s="19">
        <v>4206.17</v>
      </c>
      <c r="BU79" s="18"/>
      <c r="BV79" s="19">
        <v>4345.07</v>
      </c>
      <c r="BW79" s="18"/>
      <c r="BX79" s="19">
        <v>4345.07</v>
      </c>
      <c r="BY79" s="18"/>
      <c r="BZ79" s="19">
        <v>4345.07</v>
      </c>
      <c r="CA79" s="18"/>
      <c r="CB79" s="19">
        <v>4345.07</v>
      </c>
      <c r="CC79" s="18"/>
      <c r="CD79" s="19">
        <v>-240.96</v>
      </c>
      <c r="CE79" s="18"/>
      <c r="CF79" s="19">
        <v>4405.33</v>
      </c>
      <c r="CG79" s="18"/>
      <c r="CH79" s="19">
        <v>8990.4</v>
      </c>
      <c r="CI79" s="18"/>
      <c r="CJ79" s="19">
        <v>2368.4899999999998</v>
      </c>
      <c r="CK79" s="18"/>
      <c r="CL79" s="19">
        <v>3657.04</v>
      </c>
      <c r="CM79" s="18"/>
      <c r="CN79" s="19">
        <f t="shared" si="2"/>
        <v>160559.89000000001</v>
      </c>
    </row>
    <row r="80" spans="1:92" x14ac:dyDescent="0.3">
      <c r="A80" s="16"/>
      <c r="B80" s="16"/>
      <c r="C80" s="16"/>
      <c r="D80" s="16"/>
      <c r="E80" s="16"/>
      <c r="F80" s="16" t="s">
        <v>49</v>
      </c>
      <c r="G80" s="16"/>
      <c r="H80" s="19">
        <v>0</v>
      </c>
      <c r="I80" s="18"/>
      <c r="J80" s="19">
        <v>0</v>
      </c>
      <c r="K80" s="18"/>
      <c r="L80" s="19">
        <v>0</v>
      </c>
      <c r="M80" s="18"/>
      <c r="N80" s="19">
        <v>0</v>
      </c>
      <c r="O80" s="18"/>
      <c r="P80" s="19">
        <v>0</v>
      </c>
      <c r="Q80" s="18"/>
      <c r="R80" s="19">
        <v>0.01</v>
      </c>
      <c r="S80" s="18"/>
      <c r="T80" s="19">
        <v>0</v>
      </c>
      <c r="U80" s="18"/>
      <c r="V80" s="19">
        <v>0</v>
      </c>
      <c r="W80" s="18"/>
      <c r="X80" s="19">
        <v>0</v>
      </c>
      <c r="Y80" s="18"/>
      <c r="Z80" s="19">
        <v>0</v>
      </c>
      <c r="AA80" s="18"/>
      <c r="AB80" s="19">
        <v>0</v>
      </c>
      <c r="AC80" s="18"/>
      <c r="AD80" s="19">
        <v>0</v>
      </c>
      <c r="AE80" s="18"/>
      <c r="AF80" s="19">
        <v>0</v>
      </c>
      <c r="AG80" s="18"/>
      <c r="AH80" s="19">
        <v>0</v>
      </c>
      <c r="AI80" s="18"/>
      <c r="AJ80" s="19">
        <v>0</v>
      </c>
      <c r="AK80" s="18"/>
      <c r="AL80" s="19">
        <v>0</v>
      </c>
      <c r="AM80" s="18"/>
      <c r="AN80" s="19">
        <v>0</v>
      </c>
      <c r="AO80" s="18"/>
      <c r="AP80" s="19">
        <v>0</v>
      </c>
      <c r="AQ80" s="18"/>
      <c r="AR80" s="19">
        <v>0</v>
      </c>
      <c r="AS80" s="18"/>
      <c r="AT80" s="19">
        <v>0</v>
      </c>
      <c r="AU80" s="18"/>
      <c r="AV80" s="19">
        <v>0</v>
      </c>
      <c r="AW80" s="18"/>
      <c r="AX80" s="19">
        <v>0</v>
      </c>
      <c r="AY80" s="18"/>
      <c r="AZ80" s="19">
        <v>0</v>
      </c>
      <c r="BA80" s="18"/>
      <c r="BB80" s="19">
        <v>0</v>
      </c>
      <c r="BC80" s="18"/>
      <c r="BD80" s="19">
        <v>0</v>
      </c>
      <c r="BE80" s="18"/>
      <c r="BF80" s="19">
        <v>0</v>
      </c>
      <c r="BG80" s="18"/>
      <c r="BH80" s="19">
        <v>0</v>
      </c>
      <c r="BI80" s="18"/>
      <c r="BJ80" s="19">
        <v>0</v>
      </c>
      <c r="BK80" s="18"/>
      <c r="BL80" s="19">
        <v>0</v>
      </c>
      <c r="BM80" s="18"/>
      <c r="BN80" s="19">
        <v>0</v>
      </c>
      <c r="BO80" s="18"/>
      <c r="BP80" s="19">
        <v>0</v>
      </c>
      <c r="BQ80" s="18"/>
      <c r="BR80" s="19">
        <v>0</v>
      </c>
      <c r="BS80" s="18"/>
      <c r="BT80" s="19">
        <v>0</v>
      </c>
      <c r="BU80" s="18"/>
      <c r="BV80" s="19">
        <v>0</v>
      </c>
      <c r="BW80" s="18"/>
      <c r="BX80" s="19">
        <v>0</v>
      </c>
      <c r="BY80" s="18"/>
      <c r="BZ80" s="19">
        <v>0</v>
      </c>
      <c r="CA80" s="18"/>
      <c r="CB80" s="19">
        <v>0</v>
      </c>
      <c r="CC80" s="18"/>
      <c r="CD80" s="19">
        <v>0</v>
      </c>
      <c r="CE80" s="18"/>
      <c r="CF80" s="19">
        <v>0</v>
      </c>
      <c r="CG80" s="18"/>
      <c r="CH80" s="19">
        <v>0</v>
      </c>
      <c r="CI80" s="18"/>
      <c r="CJ80" s="19">
        <v>0</v>
      </c>
      <c r="CK80" s="18"/>
      <c r="CL80" s="19">
        <v>0</v>
      </c>
      <c r="CM80" s="18"/>
      <c r="CN80" s="19">
        <f t="shared" si="2"/>
        <v>0.01</v>
      </c>
    </row>
    <row r="81" spans="1:92" ht="15" thickBot="1" x14ac:dyDescent="0.35">
      <c r="A81" s="16"/>
      <c r="B81" s="16"/>
      <c r="C81" s="16"/>
      <c r="D81" s="16"/>
      <c r="E81" s="16"/>
      <c r="F81" s="16" t="s">
        <v>48</v>
      </c>
      <c r="G81" s="16"/>
      <c r="H81" s="20">
        <v>0</v>
      </c>
      <c r="I81" s="18"/>
      <c r="J81" s="20">
        <v>0</v>
      </c>
      <c r="K81" s="18"/>
      <c r="L81" s="20">
        <v>0</v>
      </c>
      <c r="M81" s="18"/>
      <c r="N81" s="20">
        <v>0</v>
      </c>
      <c r="O81" s="18"/>
      <c r="P81" s="20">
        <v>0</v>
      </c>
      <c r="Q81" s="18"/>
      <c r="R81" s="20">
        <v>0</v>
      </c>
      <c r="S81" s="18"/>
      <c r="T81" s="20">
        <v>0</v>
      </c>
      <c r="U81" s="18"/>
      <c r="V81" s="20">
        <v>0</v>
      </c>
      <c r="W81" s="18"/>
      <c r="X81" s="20">
        <v>103</v>
      </c>
      <c r="Y81" s="18"/>
      <c r="Z81" s="20">
        <v>74.66</v>
      </c>
      <c r="AA81" s="18"/>
      <c r="AB81" s="20">
        <v>0</v>
      </c>
      <c r="AC81" s="18"/>
      <c r="AD81" s="20">
        <v>0</v>
      </c>
      <c r="AE81" s="18"/>
      <c r="AF81" s="20">
        <v>0</v>
      </c>
      <c r="AG81" s="18"/>
      <c r="AH81" s="20">
        <v>0</v>
      </c>
      <c r="AI81" s="18"/>
      <c r="AJ81" s="20">
        <v>0</v>
      </c>
      <c r="AK81" s="18"/>
      <c r="AL81" s="20">
        <v>0</v>
      </c>
      <c r="AM81" s="18"/>
      <c r="AN81" s="20">
        <v>0</v>
      </c>
      <c r="AO81" s="18"/>
      <c r="AP81" s="20">
        <v>0</v>
      </c>
      <c r="AQ81" s="18"/>
      <c r="AR81" s="20">
        <v>0</v>
      </c>
      <c r="AS81" s="18"/>
      <c r="AT81" s="20">
        <v>851.61</v>
      </c>
      <c r="AU81" s="18"/>
      <c r="AV81" s="20">
        <v>0</v>
      </c>
      <c r="AW81" s="18"/>
      <c r="AX81" s="20">
        <v>0</v>
      </c>
      <c r="AY81" s="18"/>
      <c r="AZ81" s="20">
        <v>0</v>
      </c>
      <c r="BA81" s="18"/>
      <c r="BB81" s="20">
        <v>0</v>
      </c>
      <c r="BC81" s="18"/>
      <c r="BD81" s="20">
        <v>0</v>
      </c>
      <c r="BE81" s="18"/>
      <c r="BF81" s="20">
        <v>0</v>
      </c>
      <c r="BG81" s="18"/>
      <c r="BH81" s="20">
        <v>0</v>
      </c>
      <c r="BI81" s="18"/>
      <c r="BJ81" s="20">
        <v>472.5</v>
      </c>
      <c r="BK81" s="18"/>
      <c r="BL81" s="20">
        <v>0</v>
      </c>
      <c r="BM81" s="18"/>
      <c r="BN81" s="20">
        <v>0</v>
      </c>
      <c r="BO81" s="18"/>
      <c r="BP81" s="20">
        <v>0</v>
      </c>
      <c r="BQ81" s="18"/>
      <c r="BR81" s="20">
        <v>0</v>
      </c>
      <c r="BS81" s="18"/>
      <c r="BT81" s="20">
        <v>0</v>
      </c>
      <c r="BU81" s="18"/>
      <c r="BV81" s="20">
        <v>0</v>
      </c>
      <c r="BW81" s="18"/>
      <c r="BX81" s="20">
        <v>0</v>
      </c>
      <c r="BY81" s="18"/>
      <c r="BZ81" s="20">
        <v>0</v>
      </c>
      <c r="CA81" s="18"/>
      <c r="CB81" s="20">
        <v>0</v>
      </c>
      <c r="CC81" s="18"/>
      <c r="CD81" s="20">
        <v>0</v>
      </c>
      <c r="CE81" s="18"/>
      <c r="CF81" s="20">
        <v>0</v>
      </c>
      <c r="CG81" s="18"/>
      <c r="CH81" s="20">
        <v>0</v>
      </c>
      <c r="CI81" s="18"/>
      <c r="CJ81" s="20">
        <v>0</v>
      </c>
      <c r="CK81" s="18"/>
      <c r="CL81" s="20">
        <v>0</v>
      </c>
      <c r="CM81" s="18"/>
      <c r="CN81" s="20">
        <f t="shared" si="2"/>
        <v>1501.77</v>
      </c>
    </row>
    <row r="82" spans="1:92" x14ac:dyDescent="0.3">
      <c r="A82" s="16"/>
      <c r="B82" s="16"/>
      <c r="C82" s="16"/>
      <c r="D82" s="16"/>
      <c r="E82" s="16" t="s">
        <v>47</v>
      </c>
      <c r="F82" s="16"/>
      <c r="G82" s="16"/>
      <c r="H82" s="19">
        <f>ROUND(SUM(H68:H81),5)</f>
        <v>34175.15</v>
      </c>
      <c r="I82" s="18"/>
      <c r="J82" s="19">
        <f>ROUND(SUM(J68:J81),5)</f>
        <v>46006.73</v>
      </c>
      <c r="K82" s="18"/>
      <c r="L82" s="19">
        <f>ROUND(SUM(L68:L81),5)</f>
        <v>44551.82</v>
      </c>
      <c r="M82" s="18"/>
      <c r="N82" s="19">
        <f>ROUND(SUM(N68:N81),5)</f>
        <v>64303.83</v>
      </c>
      <c r="O82" s="18"/>
      <c r="P82" s="19">
        <f>ROUND(SUM(P68:P81),5)</f>
        <v>46854.57</v>
      </c>
      <c r="Q82" s="18"/>
      <c r="R82" s="19">
        <f>ROUND(SUM(R68:R81),5)</f>
        <v>44616.800000000003</v>
      </c>
      <c r="S82" s="18"/>
      <c r="T82" s="19">
        <f>ROUND(SUM(T68:T81),5)</f>
        <v>46988.71</v>
      </c>
      <c r="U82" s="18"/>
      <c r="V82" s="19">
        <f>ROUND(SUM(V68:V81),5)</f>
        <v>47827.46</v>
      </c>
      <c r="W82" s="18"/>
      <c r="X82" s="19">
        <f>ROUND(SUM(X68:X81),5)</f>
        <v>46603.47</v>
      </c>
      <c r="Y82" s="18"/>
      <c r="Z82" s="19">
        <f>ROUND(SUM(Z68:Z81),5)</f>
        <v>75897.39</v>
      </c>
      <c r="AA82" s="18"/>
      <c r="AB82" s="19">
        <f>ROUND(SUM(AB68:AB81),5)</f>
        <v>49502.51</v>
      </c>
      <c r="AC82" s="18"/>
      <c r="AD82" s="19">
        <f>ROUND(SUM(AD68:AD81),5)</f>
        <v>66431.09</v>
      </c>
      <c r="AE82" s="18"/>
      <c r="AF82" s="19">
        <f>ROUND(SUM(AF68:AF81),5)</f>
        <v>55618.29</v>
      </c>
      <c r="AG82" s="18"/>
      <c r="AH82" s="19">
        <f>ROUND(SUM(AH68:AH81),5)</f>
        <v>49475.95</v>
      </c>
      <c r="AI82" s="18"/>
      <c r="AJ82" s="19">
        <f>ROUND(SUM(AJ68:AJ81),5)</f>
        <v>73618.179999999993</v>
      </c>
      <c r="AK82" s="18"/>
      <c r="AL82" s="19">
        <f>ROUND(SUM(AL68:AL81),5)</f>
        <v>58548.800000000003</v>
      </c>
      <c r="AM82" s="18"/>
      <c r="AN82" s="19">
        <f>ROUND(SUM(AN68:AN81),5)</f>
        <v>52470.29</v>
      </c>
      <c r="AO82" s="18"/>
      <c r="AP82" s="19">
        <f>ROUND(SUM(AP68:AP81),5)</f>
        <v>67736.92</v>
      </c>
      <c r="AQ82" s="18"/>
      <c r="AR82" s="19">
        <f>ROUND(SUM(AR68:AR81),5)</f>
        <v>52075.040000000001</v>
      </c>
      <c r="AS82" s="18"/>
      <c r="AT82" s="19">
        <f>ROUND(SUM(AT68:AT81),5)</f>
        <v>61608.78</v>
      </c>
      <c r="AU82" s="18"/>
      <c r="AV82" s="19">
        <f>ROUND(SUM(AV68:AV81),5)</f>
        <v>87724.1</v>
      </c>
      <c r="AW82" s="18"/>
      <c r="AX82" s="19">
        <f>ROUND(SUM(AX68:AX81),5)</f>
        <v>53756.05</v>
      </c>
      <c r="AY82" s="18"/>
      <c r="AZ82" s="19">
        <f>ROUND(SUM(AZ68:AZ81),5)</f>
        <v>64651.77</v>
      </c>
      <c r="BA82" s="18"/>
      <c r="BB82" s="19">
        <f>ROUND(SUM(BB68:BB81),5)</f>
        <v>53375.83</v>
      </c>
      <c r="BC82" s="18"/>
      <c r="BD82" s="19">
        <f>ROUND(SUM(BD68:BD81),5)</f>
        <v>50187.99</v>
      </c>
      <c r="BE82" s="18"/>
      <c r="BF82" s="19">
        <f>ROUND(SUM(BF68:BF81),5)</f>
        <v>69397.94</v>
      </c>
      <c r="BG82" s="18"/>
      <c r="BH82" s="19">
        <f>ROUND(SUM(BH68:BH81),5)</f>
        <v>86833.19</v>
      </c>
      <c r="BI82" s="18"/>
      <c r="BJ82" s="19">
        <f>ROUND(SUM(BJ68:BJ81),5)</f>
        <v>56279.35</v>
      </c>
      <c r="BK82" s="18"/>
      <c r="BL82" s="19">
        <f>ROUND(SUM(BL68:BL81),5)</f>
        <v>57338.99</v>
      </c>
      <c r="BM82" s="18"/>
      <c r="BN82" s="19">
        <f>ROUND(SUM(BN68:BN81),5)</f>
        <v>52220.55</v>
      </c>
      <c r="BO82" s="18"/>
      <c r="BP82" s="19">
        <f>ROUND(SUM(BP68:BP81),5)</f>
        <v>59654.09</v>
      </c>
      <c r="BQ82" s="18"/>
      <c r="BR82" s="19">
        <f>ROUND(SUM(BR68:BR81),5)</f>
        <v>57991.45</v>
      </c>
      <c r="BS82" s="18"/>
      <c r="BT82" s="19">
        <f>ROUND(SUM(BT68:BT81),5)</f>
        <v>85839.79</v>
      </c>
      <c r="BU82" s="18"/>
      <c r="BV82" s="19">
        <f>ROUND(SUM(BV68:BV81),5)</f>
        <v>56468.14</v>
      </c>
      <c r="BW82" s="18"/>
      <c r="BX82" s="19">
        <f>ROUND(SUM(BX68:BX81),5)</f>
        <v>62213.81</v>
      </c>
      <c r="BY82" s="18"/>
      <c r="BZ82" s="19">
        <f>ROUND(SUM(BZ68:BZ81),5)</f>
        <v>55721.68</v>
      </c>
      <c r="CA82" s="18"/>
      <c r="CB82" s="19">
        <f>ROUND(SUM(CB68:CB81),5)</f>
        <v>54641.440000000002</v>
      </c>
      <c r="CC82" s="18"/>
      <c r="CD82" s="19">
        <f>ROUND(SUM(CD68:CD81),5)</f>
        <v>62450.34</v>
      </c>
      <c r="CE82" s="18"/>
      <c r="CF82" s="19">
        <f>ROUND(SUM(CF68:CF81),5)</f>
        <v>70679.210000000006</v>
      </c>
      <c r="CG82" s="18"/>
      <c r="CH82" s="19">
        <f>ROUND(SUM(CH68:CH81),5)</f>
        <v>57221.27</v>
      </c>
      <c r="CI82" s="18"/>
      <c r="CJ82" s="19">
        <f>ROUND(SUM(CJ68:CJ81),5)</f>
        <v>52861.68</v>
      </c>
      <c r="CK82" s="18"/>
      <c r="CL82" s="19">
        <f>ROUND(SUM(CL68:CL81),5)</f>
        <v>3975.38</v>
      </c>
      <c r="CM82" s="18"/>
      <c r="CN82" s="19">
        <f t="shared" si="2"/>
        <v>2396395.8199999998</v>
      </c>
    </row>
    <row r="83" spans="1:92" x14ac:dyDescent="0.3">
      <c r="A83" s="16"/>
      <c r="B83" s="16"/>
      <c r="C83" s="16"/>
      <c r="D83" s="16"/>
      <c r="E83" s="16" t="s">
        <v>46</v>
      </c>
      <c r="F83" s="16"/>
      <c r="G83" s="16"/>
      <c r="H83" s="19">
        <v>3302.39</v>
      </c>
      <c r="I83" s="18"/>
      <c r="J83" s="19">
        <v>3454.71</v>
      </c>
      <c r="K83" s="18"/>
      <c r="L83" s="19">
        <v>3209.72</v>
      </c>
      <c r="M83" s="18"/>
      <c r="N83" s="19">
        <v>4676.82</v>
      </c>
      <c r="O83" s="18"/>
      <c r="P83" s="19">
        <v>3157.74</v>
      </c>
      <c r="Q83" s="18"/>
      <c r="R83" s="19">
        <v>3065.8</v>
      </c>
      <c r="S83" s="18"/>
      <c r="T83" s="19">
        <v>3344.02</v>
      </c>
      <c r="U83" s="18"/>
      <c r="V83" s="19">
        <v>3395.83</v>
      </c>
      <c r="W83" s="18"/>
      <c r="X83" s="19">
        <v>3116.4</v>
      </c>
      <c r="Y83" s="18"/>
      <c r="Z83" s="19">
        <v>4606.88</v>
      </c>
      <c r="AA83" s="18"/>
      <c r="AB83" s="19">
        <v>2852.46</v>
      </c>
      <c r="AC83" s="18"/>
      <c r="AD83" s="19">
        <v>4141.59</v>
      </c>
      <c r="AE83" s="18"/>
      <c r="AF83" s="19">
        <v>4272.34</v>
      </c>
      <c r="AG83" s="18"/>
      <c r="AH83" s="19">
        <v>3792.53</v>
      </c>
      <c r="AI83" s="18"/>
      <c r="AJ83" s="19">
        <v>5656.17</v>
      </c>
      <c r="AK83" s="18"/>
      <c r="AL83" s="19">
        <v>4291.62</v>
      </c>
      <c r="AM83" s="18"/>
      <c r="AN83" s="19">
        <v>4075.01</v>
      </c>
      <c r="AO83" s="18"/>
      <c r="AP83" s="19">
        <v>4974.33</v>
      </c>
      <c r="AQ83" s="18"/>
      <c r="AR83" s="19">
        <v>3373.23</v>
      </c>
      <c r="AS83" s="18"/>
      <c r="AT83" s="19">
        <v>4550.25</v>
      </c>
      <c r="AU83" s="18"/>
      <c r="AV83" s="19">
        <v>6674.93</v>
      </c>
      <c r="AW83" s="18"/>
      <c r="AX83" s="19">
        <v>3816.55</v>
      </c>
      <c r="AY83" s="18"/>
      <c r="AZ83" s="19">
        <v>4638.62</v>
      </c>
      <c r="BA83" s="18"/>
      <c r="BB83" s="19">
        <v>3376.11</v>
      </c>
      <c r="BC83" s="18"/>
      <c r="BD83" s="19">
        <v>4244.96</v>
      </c>
      <c r="BE83" s="18"/>
      <c r="BF83" s="19">
        <v>4152.16</v>
      </c>
      <c r="BG83" s="18"/>
      <c r="BH83" s="19">
        <v>6757.52</v>
      </c>
      <c r="BI83" s="18"/>
      <c r="BJ83" s="19">
        <v>4014.03</v>
      </c>
      <c r="BK83" s="18"/>
      <c r="BL83" s="19">
        <v>4215.45</v>
      </c>
      <c r="BM83" s="18"/>
      <c r="BN83" s="19">
        <v>4070.66</v>
      </c>
      <c r="BO83" s="18"/>
      <c r="BP83" s="19">
        <v>3919.66</v>
      </c>
      <c r="BQ83" s="18"/>
      <c r="BR83" s="19">
        <v>4117.42</v>
      </c>
      <c r="BS83" s="18"/>
      <c r="BT83" s="19">
        <v>6235.22</v>
      </c>
      <c r="BU83" s="18"/>
      <c r="BV83" s="19">
        <v>3954.67</v>
      </c>
      <c r="BW83" s="18"/>
      <c r="BX83" s="19">
        <v>3823.14</v>
      </c>
      <c r="BY83" s="18"/>
      <c r="BZ83" s="19">
        <v>2956.15</v>
      </c>
      <c r="CA83" s="18"/>
      <c r="CB83" s="19">
        <v>4593.96</v>
      </c>
      <c r="CC83" s="18"/>
      <c r="CD83" s="19">
        <v>3767.59</v>
      </c>
      <c r="CE83" s="18"/>
      <c r="CF83" s="19">
        <v>5349.16</v>
      </c>
      <c r="CG83" s="18"/>
      <c r="CH83" s="19">
        <v>3781.48</v>
      </c>
      <c r="CI83" s="18"/>
      <c r="CJ83" s="19">
        <v>3920.52</v>
      </c>
      <c r="CK83" s="18"/>
      <c r="CL83" s="19">
        <v>0</v>
      </c>
      <c r="CM83" s="18"/>
      <c r="CN83" s="19">
        <f t="shared" si="2"/>
        <v>169689.8</v>
      </c>
    </row>
    <row r="84" spans="1:92" x14ac:dyDescent="0.3">
      <c r="A84" s="16"/>
      <c r="B84" s="16"/>
      <c r="C84" s="16"/>
      <c r="D84" s="16"/>
      <c r="E84" s="16" t="s">
        <v>45</v>
      </c>
      <c r="F84" s="16"/>
      <c r="G84" s="16"/>
      <c r="H84" s="19">
        <v>68.650000000000006</v>
      </c>
      <c r="I84" s="18"/>
      <c r="J84" s="19">
        <v>0</v>
      </c>
      <c r="K84" s="18"/>
      <c r="L84" s="19">
        <v>68.650000000000006</v>
      </c>
      <c r="M84" s="18"/>
      <c r="N84" s="19">
        <v>0</v>
      </c>
      <c r="O84" s="18"/>
      <c r="P84" s="19">
        <v>58</v>
      </c>
      <c r="Q84" s="18"/>
      <c r="R84" s="19">
        <v>0</v>
      </c>
      <c r="S84" s="18"/>
      <c r="T84" s="19">
        <v>301.60000000000002</v>
      </c>
      <c r="U84" s="18"/>
      <c r="V84" s="19">
        <v>148.38999999999999</v>
      </c>
      <c r="W84" s="18"/>
      <c r="X84" s="19">
        <v>7.08</v>
      </c>
      <c r="Y84" s="18"/>
      <c r="Z84" s="19">
        <v>166.35</v>
      </c>
      <c r="AA84" s="18"/>
      <c r="AB84" s="19">
        <v>58</v>
      </c>
      <c r="AC84" s="18"/>
      <c r="AD84" s="19">
        <v>76.989999999999995</v>
      </c>
      <c r="AE84" s="18"/>
      <c r="AF84" s="19">
        <v>8.5500000000000007</v>
      </c>
      <c r="AG84" s="18"/>
      <c r="AH84" s="19">
        <v>131.30000000000001</v>
      </c>
      <c r="AI84" s="18"/>
      <c r="AJ84" s="19">
        <v>88.1</v>
      </c>
      <c r="AK84" s="18"/>
      <c r="AL84" s="19">
        <v>0</v>
      </c>
      <c r="AM84" s="18"/>
      <c r="AN84" s="19">
        <v>67.33</v>
      </c>
      <c r="AO84" s="18"/>
      <c r="AP84" s="19">
        <v>0</v>
      </c>
      <c r="AQ84" s="18"/>
      <c r="AR84" s="19">
        <v>118.31</v>
      </c>
      <c r="AS84" s="18"/>
      <c r="AT84" s="19">
        <v>25.2</v>
      </c>
      <c r="AU84" s="18"/>
      <c r="AV84" s="19">
        <v>151.69999999999999</v>
      </c>
      <c r="AW84" s="18"/>
      <c r="AX84" s="19">
        <v>132.63999999999999</v>
      </c>
      <c r="AY84" s="18"/>
      <c r="AZ84" s="19">
        <v>12.6</v>
      </c>
      <c r="BA84" s="18"/>
      <c r="BB84" s="19">
        <v>337.04</v>
      </c>
      <c r="BC84" s="18"/>
      <c r="BD84" s="19">
        <v>0</v>
      </c>
      <c r="BE84" s="18"/>
      <c r="BF84" s="19">
        <v>0</v>
      </c>
      <c r="BG84" s="18"/>
      <c r="BH84" s="19">
        <v>0</v>
      </c>
      <c r="BI84" s="18"/>
      <c r="BJ84" s="19">
        <v>0</v>
      </c>
      <c r="BK84" s="18"/>
      <c r="BL84" s="19">
        <v>68</v>
      </c>
      <c r="BM84" s="18"/>
      <c r="BN84" s="19">
        <v>0</v>
      </c>
      <c r="BO84" s="18"/>
      <c r="BP84" s="19">
        <v>5</v>
      </c>
      <c r="BQ84" s="18"/>
      <c r="BR84" s="19">
        <v>99.4</v>
      </c>
      <c r="BS84" s="18"/>
      <c r="BT84" s="19">
        <v>346.32</v>
      </c>
      <c r="BU84" s="18"/>
      <c r="BV84" s="19">
        <v>0</v>
      </c>
      <c r="BW84" s="18"/>
      <c r="BX84" s="19">
        <v>0</v>
      </c>
      <c r="BY84" s="18"/>
      <c r="BZ84" s="19">
        <v>142</v>
      </c>
      <c r="CA84" s="18"/>
      <c r="CB84" s="19">
        <v>0</v>
      </c>
      <c r="CC84" s="18"/>
      <c r="CD84" s="19">
        <v>0</v>
      </c>
      <c r="CE84" s="18"/>
      <c r="CF84" s="19">
        <v>0</v>
      </c>
      <c r="CG84" s="18"/>
      <c r="CH84" s="19">
        <v>85.78</v>
      </c>
      <c r="CI84" s="18"/>
      <c r="CJ84" s="19">
        <v>152.53</v>
      </c>
      <c r="CK84" s="18"/>
      <c r="CL84" s="19">
        <v>0</v>
      </c>
      <c r="CM84" s="18"/>
      <c r="CN84" s="19">
        <f t="shared" si="2"/>
        <v>2925.51</v>
      </c>
    </row>
    <row r="85" spans="1:92" x14ac:dyDescent="0.3">
      <c r="A85" s="16"/>
      <c r="B85" s="16"/>
      <c r="C85" s="16"/>
      <c r="D85" s="16"/>
      <c r="E85" s="16" t="s">
        <v>44</v>
      </c>
      <c r="F85" s="16"/>
      <c r="G85" s="16"/>
      <c r="H85" s="19"/>
      <c r="I85" s="18"/>
      <c r="J85" s="19"/>
      <c r="K85" s="18"/>
      <c r="L85" s="19"/>
      <c r="M85" s="18"/>
      <c r="N85" s="19"/>
      <c r="O85" s="18"/>
      <c r="P85" s="19"/>
      <c r="Q85" s="18"/>
      <c r="R85" s="19"/>
      <c r="S85" s="18"/>
      <c r="T85" s="19"/>
      <c r="U85" s="18"/>
      <c r="V85" s="19"/>
      <c r="W85" s="18"/>
      <c r="X85" s="19"/>
      <c r="Y85" s="18"/>
      <c r="Z85" s="19"/>
      <c r="AA85" s="18"/>
      <c r="AB85" s="19"/>
      <c r="AC85" s="18"/>
      <c r="AD85" s="19"/>
      <c r="AE85" s="18"/>
      <c r="AF85" s="19"/>
      <c r="AG85" s="18"/>
      <c r="AH85" s="19"/>
      <c r="AI85" s="18"/>
      <c r="AJ85" s="19"/>
      <c r="AK85" s="18"/>
      <c r="AL85" s="19"/>
      <c r="AM85" s="18"/>
      <c r="AN85" s="19"/>
      <c r="AO85" s="18"/>
      <c r="AP85" s="19"/>
      <c r="AQ85" s="18"/>
      <c r="AR85" s="19"/>
      <c r="AS85" s="18"/>
      <c r="AT85" s="19"/>
      <c r="AU85" s="18"/>
      <c r="AV85" s="19"/>
      <c r="AW85" s="18"/>
      <c r="AX85" s="19"/>
      <c r="AY85" s="18"/>
      <c r="AZ85" s="19"/>
      <c r="BA85" s="18"/>
      <c r="BB85" s="19"/>
      <c r="BC85" s="18"/>
      <c r="BD85" s="19"/>
      <c r="BE85" s="18"/>
      <c r="BF85" s="19"/>
      <c r="BG85" s="18"/>
      <c r="BH85" s="19"/>
      <c r="BI85" s="18"/>
      <c r="BJ85" s="19"/>
      <c r="BK85" s="18"/>
      <c r="BL85" s="19"/>
      <c r="BM85" s="18"/>
      <c r="BN85" s="19"/>
      <c r="BO85" s="18"/>
      <c r="BP85" s="19"/>
      <c r="BQ85" s="18"/>
      <c r="BR85" s="19"/>
      <c r="BS85" s="18"/>
      <c r="BT85" s="19"/>
      <c r="BU85" s="18"/>
      <c r="BV85" s="19"/>
      <c r="BW85" s="18"/>
      <c r="BX85" s="19"/>
      <c r="BY85" s="18"/>
      <c r="BZ85" s="19"/>
      <c r="CA85" s="18"/>
      <c r="CB85" s="19"/>
      <c r="CC85" s="18"/>
      <c r="CD85" s="19"/>
      <c r="CE85" s="18"/>
      <c r="CF85" s="19"/>
      <c r="CG85" s="18"/>
      <c r="CH85" s="19"/>
      <c r="CI85" s="18"/>
      <c r="CJ85" s="19"/>
      <c r="CK85" s="18"/>
      <c r="CL85" s="19"/>
      <c r="CM85" s="18"/>
      <c r="CN85" s="19"/>
    </row>
    <row r="86" spans="1:92" x14ac:dyDescent="0.3">
      <c r="A86" s="16"/>
      <c r="B86" s="16"/>
      <c r="C86" s="16"/>
      <c r="D86" s="16"/>
      <c r="E86" s="16"/>
      <c r="F86" s="16" t="s">
        <v>43</v>
      </c>
      <c r="G86" s="16"/>
      <c r="H86" s="19">
        <v>0</v>
      </c>
      <c r="I86" s="18"/>
      <c r="J86" s="19">
        <v>350</v>
      </c>
      <c r="K86" s="18"/>
      <c r="L86" s="19">
        <v>0</v>
      </c>
      <c r="M86" s="18"/>
      <c r="N86" s="19">
        <v>0</v>
      </c>
      <c r="O86" s="18"/>
      <c r="P86" s="19">
        <v>270</v>
      </c>
      <c r="Q86" s="18"/>
      <c r="R86" s="19">
        <v>0</v>
      </c>
      <c r="S86" s="18"/>
      <c r="T86" s="19">
        <v>8100</v>
      </c>
      <c r="U86" s="18"/>
      <c r="V86" s="19">
        <v>170</v>
      </c>
      <c r="W86" s="18"/>
      <c r="X86" s="19">
        <v>0</v>
      </c>
      <c r="Y86" s="18"/>
      <c r="Z86" s="19">
        <v>0</v>
      </c>
      <c r="AA86" s="18"/>
      <c r="AB86" s="19">
        <v>0</v>
      </c>
      <c r="AC86" s="18"/>
      <c r="AD86" s="19">
        <v>-1325</v>
      </c>
      <c r="AE86" s="18"/>
      <c r="AF86" s="19">
        <v>250</v>
      </c>
      <c r="AG86" s="18"/>
      <c r="AH86" s="19">
        <v>1272.5</v>
      </c>
      <c r="AI86" s="18"/>
      <c r="AJ86" s="19">
        <v>0</v>
      </c>
      <c r="AK86" s="18"/>
      <c r="AL86" s="19">
        <v>0</v>
      </c>
      <c r="AM86" s="18"/>
      <c r="AN86" s="19">
        <v>0</v>
      </c>
      <c r="AO86" s="18"/>
      <c r="AP86" s="19">
        <v>200</v>
      </c>
      <c r="AQ86" s="18"/>
      <c r="AR86" s="19">
        <v>0</v>
      </c>
      <c r="AS86" s="18"/>
      <c r="AT86" s="19">
        <v>977.51</v>
      </c>
      <c r="AU86" s="18"/>
      <c r="AV86" s="19">
        <v>5875</v>
      </c>
      <c r="AW86" s="18"/>
      <c r="AX86" s="19">
        <v>0</v>
      </c>
      <c r="AY86" s="18"/>
      <c r="AZ86" s="19">
        <v>0</v>
      </c>
      <c r="BA86" s="18"/>
      <c r="BB86" s="19">
        <v>200</v>
      </c>
      <c r="BC86" s="18"/>
      <c r="BD86" s="19">
        <v>370</v>
      </c>
      <c r="BE86" s="18"/>
      <c r="BF86" s="19">
        <v>0</v>
      </c>
      <c r="BG86" s="18"/>
      <c r="BH86" s="19">
        <v>0</v>
      </c>
      <c r="BI86" s="18"/>
      <c r="BJ86" s="19">
        <v>1101.8399999999999</v>
      </c>
      <c r="BK86" s="18"/>
      <c r="BL86" s="19">
        <v>0</v>
      </c>
      <c r="BM86" s="18"/>
      <c r="BN86" s="19">
        <v>175</v>
      </c>
      <c r="BO86" s="18"/>
      <c r="BP86" s="19">
        <v>0</v>
      </c>
      <c r="BQ86" s="18"/>
      <c r="BR86" s="19">
        <v>0</v>
      </c>
      <c r="BS86" s="18"/>
      <c r="BT86" s="19">
        <v>4925</v>
      </c>
      <c r="BU86" s="18"/>
      <c r="BV86" s="19">
        <v>0</v>
      </c>
      <c r="BW86" s="18"/>
      <c r="BX86" s="19">
        <v>851.58</v>
      </c>
      <c r="BY86" s="18"/>
      <c r="BZ86" s="19">
        <v>-1750</v>
      </c>
      <c r="CA86" s="18"/>
      <c r="CB86" s="19">
        <v>0</v>
      </c>
      <c r="CC86" s="18"/>
      <c r="CD86" s="19">
        <v>500</v>
      </c>
      <c r="CE86" s="18"/>
      <c r="CF86" s="19">
        <v>0</v>
      </c>
      <c r="CG86" s="18"/>
      <c r="CH86" s="19">
        <v>639.83000000000004</v>
      </c>
      <c r="CI86" s="18"/>
      <c r="CJ86" s="19">
        <v>0</v>
      </c>
      <c r="CK86" s="18"/>
      <c r="CL86" s="19">
        <v>0</v>
      </c>
      <c r="CM86" s="18"/>
      <c r="CN86" s="19">
        <f>ROUND(SUM(H86:CL86),5)</f>
        <v>23153.26</v>
      </c>
    </row>
    <row r="87" spans="1:92" x14ac:dyDescent="0.3">
      <c r="A87" s="16"/>
      <c r="B87" s="16"/>
      <c r="C87" s="16"/>
      <c r="D87" s="16"/>
      <c r="E87" s="16"/>
      <c r="F87" s="16" t="s">
        <v>42</v>
      </c>
      <c r="G87" s="16"/>
      <c r="H87" s="19"/>
      <c r="I87" s="18"/>
      <c r="J87" s="19"/>
      <c r="K87" s="18"/>
      <c r="L87" s="19"/>
      <c r="M87" s="18"/>
      <c r="N87" s="19"/>
      <c r="O87" s="18"/>
      <c r="P87" s="19"/>
      <c r="Q87" s="18"/>
      <c r="R87" s="19"/>
      <c r="S87" s="18"/>
      <c r="T87" s="19"/>
      <c r="U87" s="18"/>
      <c r="V87" s="19"/>
      <c r="W87" s="18"/>
      <c r="X87" s="19"/>
      <c r="Y87" s="18"/>
      <c r="Z87" s="19"/>
      <c r="AA87" s="18"/>
      <c r="AB87" s="19"/>
      <c r="AC87" s="18"/>
      <c r="AD87" s="19"/>
      <c r="AE87" s="18"/>
      <c r="AF87" s="19"/>
      <c r="AG87" s="18"/>
      <c r="AH87" s="19"/>
      <c r="AI87" s="18"/>
      <c r="AJ87" s="19"/>
      <c r="AK87" s="18"/>
      <c r="AL87" s="19"/>
      <c r="AM87" s="18"/>
      <c r="AN87" s="19"/>
      <c r="AO87" s="18"/>
      <c r="AP87" s="19"/>
      <c r="AQ87" s="18"/>
      <c r="AR87" s="19"/>
      <c r="AS87" s="18"/>
      <c r="AT87" s="19"/>
      <c r="AU87" s="18"/>
      <c r="AV87" s="19"/>
      <c r="AW87" s="18"/>
      <c r="AX87" s="19"/>
      <c r="AY87" s="18"/>
      <c r="AZ87" s="19"/>
      <c r="BA87" s="18"/>
      <c r="BB87" s="19"/>
      <c r="BC87" s="18"/>
      <c r="BD87" s="19"/>
      <c r="BE87" s="18"/>
      <c r="BF87" s="19"/>
      <c r="BG87" s="18"/>
      <c r="BH87" s="19"/>
      <c r="BI87" s="18"/>
      <c r="BJ87" s="19"/>
      <c r="BK87" s="18"/>
      <c r="BL87" s="19"/>
      <c r="BM87" s="18"/>
      <c r="BN87" s="19"/>
      <c r="BO87" s="18"/>
      <c r="BP87" s="19"/>
      <c r="BQ87" s="18"/>
      <c r="BR87" s="19"/>
      <c r="BS87" s="18"/>
      <c r="BT87" s="19"/>
      <c r="BU87" s="18"/>
      <c r="BV87" s="19"/>
      <c r="BW87" s="18"/>
      <c r="BX87" s="19"/>
      <c r="BY87" s="18"/>
      <c r="BZ87" s="19"/>
      <c r="CA87" s="18"/>
      <c r="CB87" s="19"/>
      <c r="CC87" s="18"/>
      <c r="CD87" s="19"/>
      <c r="CE87" s="18"/>
      <c r="CF87" s="19"/>
      <c r="CG87" s="18"/>
      <c r="CH87" s="19"/>
      <c r="CI87" s="18"/>
      <c r="CJ87" s="19"/>
      <c r="CK87" s="18"/>
      <c r="CL87" s="19"/>
      <c r="CM87" s="18"/>
      <c r="CN87" s="19"/>
    </row>
    <row r="88" spans="1:92" x14ac:dyDescent="0.3">
      <c r="A88" s="16"/>
      <c r="B88" s="16"/>
      <c r="C88" s="16"/>
      <c r="D88" s="16"/>
      <c r="E88" s="16"/>
      <c r="F88" s="16"/>
      <c r="G88" s="16" t="s">
        <v>41</v>
      </c>
      <c r="H88" s="19">
        <v>0</v>
      </c>
      <c r="I88" s="18"/>
      <c r="J88" s="19">
        <v>0</v>
      </c>
      <c r="K88" s="18"/>
      <c r="L88" s="19">
        <v>0</v>
      </c>
      <c r="M88" s="18"/>
      <c r="N88" s="19">
        <v>0</v>
      </c>
      <c r="O88" s="18"/>
      <c r="P88" s="19">
        <v>0</v>
      </c>
      <c r="Q88" s="18"/>
      <c r="R88" s="19">
        <v>0</v>
      </c>
      <c r="S88" s="18"/>
      <c r="T88" s="19">
        <v>0</v>
      </c>
      <c r="U88" s="18"/>
      <c r="V88" s="19">
        <v>0</v>
      </c>
      <c r="W88" s="18"/>
      <c r="X88" s="19">
        <v>0</v>
      </c>
      <c r="Y88" s="18"/>
      <c r="Z88" s="19">
        <v>0</v>
      </c>
      <c r="AA88" s="18"/>
      <c r="AB88" s="19">
        <v>0</v>
      </c>
      <c r="AC88" s="18"/>
      <c r="AD88" s="19">
        <v>0</v>
      </c>
      <c r="AE88" s="18"/>
      <c r="AF88" s="19">
        <v>0</v>
      </c>
      <c r="AG88" s="18"/>
      <c r="AH88" s="19">
        <v>0</v>
      </c>
      <c r="AI88" s="18"/>
      <c r="AJ88" s="19">
        <v>0</v>
      </c>
      <c r="AK88" s="18"/>
      <c r="AL88" s="19">
        <v>0</v>
      </c>
      <c r="AM88" s="18"/>
      <c r="AN88" s="19">
        <v>0</v>
      </c>
      <c r="AO88" s="18"/>
      <c r="AP88" s="19">
        <v>0</v>
      </c>
      <c r="AQ88" s="18"/>
      <c r="AR88" s="19">
        <v>0</v>
      </c>
      <c r="AS88" s="18"/>
      <c r="AT88" s="19">
        <v>0</v>
      </c>
      <c r="AU88" s="18"/>
      <c r="AV88" s="19">
        <v>0</v>
      </c>
      <c r="AW88" s="18"/>
      <c r="AX88" s="19">
        <v>0</v>
      </c>
      <c r="AY88" s="18"/>
      <c r="AZ88" s="19">
        <v>0</v>
      </c>
      <c r="BA88" s="18"/>
      <c r="BB88" s="19">
        <v>0</v>
      </c>
      <c r="BC88" s="18"/>
      <c r="BD88" s="19">
        <v>0</v>
      </c>
      <c r="BE88" s="18"/>
      <c r="BF88" s="19">
        <v>0</v>
      </c>
      <c r="BG88" s="18"/>
      <c r="BH88" s="19">
        <v>0</v>
      </c>
      <c r="BI88" s="18"/>
      <c r="BJ88" s="19">
        <v>520</v>
      </c>
      <c r="BK88" s="18"/>
      <c r="BL88" s="19">
        <v>0</v>
      </c>
      <c r="BM88" s="18"/>
      <c r="BN88" s="19">
        <v>0</v>
      </c>
      <c r="BO88" s="18"/>
      <c r="BP88" s="19">
        <v>0</v>
      </c>
      <c r="BQ88" s="18"/>
      <c r="BR88" s="19">
        <v>0</v>
      </c>
      <c r="BS88" s="18"/>
      <c r="BT88" s="19">
        <v>0</v>
      </c>
      <c r="BU88" s="18"/>
      <c r="BV88" s="19">
        <v>0</v>
      </c>
      <c r="BW88" s="18"/>
      <c r="BX88" s="19">
        <v>0</v>
      </c>
      <c r="BY88" s="18"/>
      <c r="BZ88" s="19">
        <v>0</v>
      </c>
      <c r="CA88" s="18"/>
      <c r="CB88" s="19">
        <v>0</v>
      </c>
      <c r="CC88" s="18"/>
      <c r="CD88" s="19">
        <v>0</v>
      </c>
      <c r="CE88" s="18"/>
      <c r="CF88" s="19">
        <v>0</v>
      </c>
      <c r="CG88" s="18"/>
      <c r="CH88" s="19">
        <v>0</v>
      </c>
      <c r="CI88" s="18"/>
      <c r="CJ88" s="19">
        <v>990</v>
      </c>
      <c r="CK88" s="18"/>
      <c r="CL88" s="19">
        <v>0</v>
      </c>
      <c r="CM88" s="18"/>
      <c r="CN88" s="19">
        <f t="shared" ref="CN88:CN94" si="3">ROUND(SUM(H88:CL88),5)</f>
        <v>1510</v>
      </c>
    </row>
    <row r="89" spans="1:92" ht="15" thickBot="1" x14ac:dyDescent="0.35">
      <c r="A89" s="16"/>
      <c r="B89" s="16"/>
      <c r="C89" s="16"/>
      <c r="D89" s="16"/>
      <c r="E89" s="16"/>
      <c r="F89" s="16"/>
      <c r="G89" s="16" t="s">
        <v>40</v>
      </c>
      <c r="H89" s="20">
        <v>0</v>
      </c>
      <c r="I89" s="18"/>
      <c r="J89" s="20">
        <v>0</v>
      </c>
      <c r="K89" s="18"/>
      <c r="L89" s="20">
        <v>0</v>
      </c>
      <c r="M89" s="18"/>
      <c r="N89" s="20">
        <v>0</v>
      </c>
      <c r="O89" s="18"/>
      <c r="P89" s="20">
        <v>0</v>
      </c>
      <c r="Q89" s="18"/>
      <c r="R89" s="20">
        <v>0</v>
      </c>
      <c r="S89" s="18"/>
      <c r="T89" s="20">
        <v>0</v>
      </c>
      <c r="U89" s="18"/>
      <c r="V89" s="20">
        <v>0</v>
      </c>
      <c r="W89" s="18"/>
      <c r="X89" s="20">
        <v>0</v>
      </c>
      <c r="Y89" s="18"/>
      <c r="Z89" s="20">
        <v>0</v>
      </c>
      <c r="AA89" s="18"/>
      <c r="AB89" s="20">
        <v>0</v>
      </c>
      <c r="AC89" s="18"/>
      <c r="AD89" s="20">
        <v>0</v>
      </c>
      <c r="AE89" s="18"/>
      <c r="AF89" s="20">
        <v>0</v>
      </c>
      <c r="AG89" s="18"/>
      <c r="AH89" s="20">
        <v>0</v>
      </c>
      <c r="AI89" s="18"/>
      <c r="AJ89" s="20">
        <v>0</v>
      </c>
      <c r="AK89" s="18"/>
      <c r="AL89" s="20">
        <v>0</v>
      </c>
      <c r="AM89" s="18"/>
      <c r="AN89" s="20">
        <v>0</v>
      </c>
      <c r="AO89" s="18"/>
      <c r="AP89" s="20">
        <v>0</v>
      </c>
      <c r="AQ89" s="18"/>
      <c r="AR89" s="20">
        <v>0</v>
      </c>
      <c r="AS89" s="18"/>
      <c r="AT89" s="20">
        <v>1250</v>
      </c>
      <c r="AU89" s="18"/>
      <c r="AV89" s="20">
        <v>0</v>
      </c>
      <c r="AW89" s="18"/>
      <c r="AX89" s="20">
        <v>0</v>
      </c>
      <c r="AY89" s="18"/>
      <c r="AZ89" s="20">
        <v>0</v>
      </c>
      <c r="BA89" s="18"/>
      <c r="BB89" s="20">
        <v>950</v>
      </c>
      <c r="BC89" s="18"/>
      <c r="BD89" s="20">
        <v>0</v>
      </c>
      <c r="BE89" s="18"/>
      <c r="BF89" s="20">
        <v>0</v>
      </c>
      <c r="BG89" s="18"/>
      <c r="BH89" s="20">
        <v>500</v>
      </c>
      <c r="BI89" s="18"/>
      <c r="BJ89" s="20">
        <v>3300</v>
      </c>
      <c r="BK89" s="18"/>
      <c r="BL89" s="20">
        <v>0</v>
      </c>
      <c r="BM89" s="18"/>
      <c r="BN89" s="20">
        <v>0</v>
      </c>
      <c r="BO89" s="18"/>
      <c r="BP89" s="20">
        <v>0</v>
      </c>
      <c r="BQ89" s="18"/>
      <c r="BR89" s="20">
        <v>0</v>
      </c>
      <c r="BS89" s="18"/>
      <c r="BT89" s="20">
        <v>0</v>
      </c>
      <c r="BU89" s="18"/>
      <c r="BV89" s="20">
        <v>0</v>
      </c>
      <c r="BW89" s="18"/>
      <c r="BX89" s="20">
        <v>1000</v>
      </c>
      <c r="BY89" s="18"/>
      <c r="BZ89" s="20">
        <v>0</v>
      </c>
      <c r="CA89" s="18"/>
      <c r="CB89" s="20">
        <v>0</v>
      </c>
      <c r="CC89" s="18"/>
      <c r="CD89" s="20">
        <v>0</v>
      </c>
      <c r="CE89" s="18"/>
      <c r="CF89" s="20">
        <v>0</v>
      </c>
      <c r="CG89" s="18"/>
      <c r="CH89" s="20">
        <v>0</v>
      </c>
      <c r="CI89" s="18"/>
      <c r="CJ89" s="20">
        <v>0</v>
      </c>
      <c r="CK89" s="18"/>
      <c r="CL89" s="20">
        <v>0</v>
      </c>
      <c r="CM89" s="18"/>
      <c r="CN89" s="20">
        <f t="shared" si="3"/>
        <v>7000</v>
      </c>
    </row>
    <row r="90" spans="1:92" x14ac:dyDescent="0.3">
      <c r="A90" s="16"/>
      <c r="B90" s="16"/>
      <c r="C90" s="16"/>
      <c r="D90" s="16"/>
      <c r="E90" s="16"/>
      <c r="F90" s="16" t="s">
        <v>39</v>
      </c>
      <c r="G90" s="16"/>
      <c r="H90" s="19">
        <f>ROUND(SUM(H87:H89),5)</f>
        <v>0</v>
      </c>
      <c r="I90" s="18"/>
      <c r="J90" s="19">
        <f>ROUND(SUM(J87:J89),5)</f>
        <v>0</v>
      </c>
      <c r="K90" s="18"/>
      <c r="L90" s="19">
        <f>ROUND(SUM(L87:L89),5)</f>
        <v>0</v>
      </c>
      <c r="M90" s="18"/>
      <c r="N90" s="19">
        <f>ROUND(SUM(N87:N89),5)</f>
        <v>0</v>
      </c>
      <c r="O90" s="18"/>
      <c r="P90" s="19">
        <f>ROUND(SUM(P87:P89),5)</f>
        <v>0</v>
      </c>
      <c r="Q90" s="18"/>
      <c r="R90" s="19">
        <f>ROUND(SUM(R87:R89),5)</f>
        <v>0</v>
      </c>
      <c r="S90" s="18"/>
      <c r="T90" s="19">
        <f>ROUND(SUM(T87:T89),5)</f>
        <v>0</v>
      </c>
      <c r="U90" s="18"/>
      <c r="V90" s="19">
        <f>ROUND(SUM(V87:V89),5)</f>
        <v>0</v>
      </c>
      <c r="W90" s="18"/>
      <c r="X90" s="19">
        <f>ROUND(SUM(X87:X89),5)</f>
        <v>0</v>
      </c>
      <c r="Y90" s="18"/>
      <c r="Z90" s="19">
        <f>ROUND(SUM(Z87:Z89),5)</f>
        <v>0</v>
      </c>
      <c r="AA90" s="18"/>
      <c r="AB90" s="19">
        <f>ROUND(SUM(AB87:AB89),5)</f>
        <v>0</v>
      </c>
      <c r="AC90" s="18"/>
      <c r="AD90" s="19">
        <f>ROUND(SUM(AD87:AD89),5)</f>
        <v>0</v>
      </c>
      <c r="AE90" s="18"/>
      <c r="AF90" s="19">
        <f>ROUND(SUM(AF87:AF89),5)</f>
        <v>0</v>
      </c>
      <c r="AG90" s="18"/>
      <c r="AH90" s="19">
        <f>ROUND(SUM(AH87:AH89),5)</f>
        <v>0</v>
      </c>
      <c r="AI90" s="18"/>
      <c r="AJ90" s="19">
        <f>ROUND(SUM(AJ87:AJ89),5)</f>
        <v>0</v>
      </c>
      <c r="AK90" s="18"/>
      <c r="AL90" s="19">
        <f>ROUND(SUM(AL87:AL89),5)</f>
        <v>0</v>
      </c>
      <c r="AM90" s="18"/>
      <c r="AN90" s="19">
        <f>ROUND(SUM(AN87:AN89),5)</f>
        <v>0</v>
      </c>
      <c r="AO90" s="18"/>
      <c r="AP90" s="19">
        <f>ROUND(SUM(AP87:AP89),5)</f>
        <v>0</v>
      </c>
      <c r="AQ90" s="18"/>
      <c r="AR90" s="19">
        <f>ROUND(SUM(AR87:AR89),5)</f>
        <v>0</v>
      </c>
      <c r="AS90" s="18"/>
      <c r="AT90" s="19">
        <f>ROUND(SUM(AT87:AT89),5)</f>
        <v>1250</v>
      </c>
      <c r="AU90" s="18"/>
      <c r="AV90" s="19">
        <f>ROUND(SUM(AV87:AV89),5)</f>
        <v>0</v>
      </c>
      <c r="AW90" s="18"/>
      <c r="AX90" s="19">
        <f>ROUND(SUM(AX87:AX89),5)</f>
        <v>0</v>
      </c>
      <c r="AY90" s="18"/>
      <c r="AZ90" s="19">
        <f>ROUND(SUM(AZ87:AZ89),5)</f>
        <v>0</v>
      </c>
      <c r="BA90" s="18"/>
      <c r="BB90" s="19">
        <f>ROUND(SUM(BB87:BB89),5)</f>
        <v>950</v>
      </c>
      <c r="BC90" s="18"/>
      <c r="BD90" s="19">
        <f>ROUND(SUM(BD87:BD89),5)</f>
        <v>0</v>
      </c>
      <c r="BE90" s="18"/>
      <c r="BF90" s="19">
        <f>ROUND(SUM(BF87:BF89),5)</f>
        <v>0</v>
      </c>
      <c r="BG90" s="18"/>
      <c r="BH90" s="19">
        <f>ROUND(SUM(BH87:BH89),5)</f>
        <v>500</v>
      </c>
      <c r="BI90" s="18"/>
      <c r="BJ90" s="19">
        <f>ROUND(SUM(BJ87:BJ89),5)</f>
        <v>3820</v>
      </c>
      <c r="BK90" s="18"/>
      <c r="BL90" s="19">
        <f>ROUND(SUM(BL87:BL89),5)</f>
        <v>0</v>
      </c>
      <c r="BM90" s="18"/>
      <c r="BN90" s="19">
        <f>ROUND(SUM(BN87:BN89),5)</f>
        <v>0</v>
      </c>
      <c r="BO90" s="18"/>
      <c r="BP90" s="19">
        <f>ROUND(SUM(BP87:BP89),5)</f>
        <v>0</v>
      </c>
      <c r="BQ90" s="18"/>
      <c r="BR90" s="19">
        <f>ROUND(SUM(BR87:BR89),5)</f>
        <v>0</v>
      </c>
      <c r="BS90" s="18"/>
      <c r="BT90" s="19">
        <f>ROUND(SUM(BT87:BT89),5)</f>
        <v>0</v>
      </c>
      <c r="BU90" s="18"/>
      <c r="BV90" s="19">
        <f>ROUND(SUM(BV87:BV89),5)</f>
        <v>0</v>
      </c>
      <c r="BW90" s="18"/>
      <c r="BX90" s="19">
        <f>ROUND(SUM(BX87:BX89),5)</f>
        <v>1000</v>
      </c>
      <c r="BY90" s="18"/>
      <c r="BZ90" s="19">
        <f>ROUND(SUM(BZ87:BZ89),5)</f>
        <v>0</v>
      </c>
      <c r="CA90" s="18"/>
      <c r="CB90" s="19">
        <f>ROUND(SUM(CB87:CB89),5)</f>
        <v>0</v>
      </c>
      <c r="CC90" s="18"/>
      <c r="CD90" s="19">
        <f>ROUND(SUM(CD87:CD89),5)</f>
        <v>0</v>
      </c>
      <c r="CE90" s="18"/>
      <c r="CF90" s="19">
        <f>ROUND(SUM(CF87:CF89),5)</f>
        <v>0</v>
      </c>
      <c r="CG90" s="18"/>
      <c r="CH90" s="19">
        <f>ROUND(SUM(CH87:CH89),5)</f>
        <v>0</v>
      </c>
      <c r="CI90" s="18"/>
      <c r="CJ90" s="19">
        <f>ROUND(SUM(CJ87:CJ89),5)</f>
        <v>990</v>
      </c>
      <c r="CK90" s="18"/>
      <c r="CL90" s="19">
        <f>ROUND(SUM(CL87:CL89),5)</f>
        <v>0</v>
      </c>
      <c r="CM90" s="18"/>
      <c r="CN90" s="19">
        <f t="shared" si="3"/>
        <v>8510</v>
      </c>
    </row>
    <row r="91" spans="1:92" x14ac:dyDescent="0.3">
      <c r="A91" s="16"/>
      <c r="B91" s="16"/>
      <c r="C91" s="16"/>
      <c r="D91" s="16"/>
      <c r="E91" s="16"/>
      <c r="F91" s="16" t="s">
        <v>38</v>
      </c>
      <c r="G91" s="16"/>
      <c r="H91" s="19">
        <v>58.95</v>
      </c>
      <c r="I91" s="18"/>
      <c r="J91" s="19">
        <v>3558.95</v>
      </c>
      <c r="K91" s="18"/>
      <c r="L91" s="19">
        <v>58.95</v>
      </c>
      <c r="M91" s="18"/>
      <c r="N91" s="19">
        <v>58.95</v>
      </c>
      <c r="O91" s="18"/>
      <c r="P91" s="19">
        <v>58.95</v>
      </c>
      <c r="Q91" s="18"/>
      <c r="R91" s="19">
        <v>58.95</v>
      </c>
      <c r="S91" s="18"/>
      <c r="T91" s="19">
        <v>62.98</v>
      </c>
      <c r="U91" s="18"/>
      <c r="V91" s="19">
        <v>62.98</v>
      </c>
      <c r="W91" s="18"/>
      <c r="X91" s="19">
        <v>62.98</v>
      </c>
      <c r="Y91" s="18"/>
      <c r="Z91" s="19">
        <v>62.98</v>
      </c>
      <c r="AA91" s="18"/>
      <c r="AB91" s="19">
        <v>62.98</v>
      </c>
      <c r="AC91" s="18"/>
      <c r="AD91" s="19">
        <v>0</v>
      </c>
      <c r="AE91" s="18"/>
      <c r="AF91" s="19">
        <v>125.96</v>
      </c>
      <c r="AG91" s="18"/>
      <c r="AH91" s="19">
        <v>62.98</v>
      </c>
      <c r="AI91" s="18"/>
      <c r="AJ91" s="19">
        <v>62.98</v>
      </c>
      <c r="AK91" s="18"/>
      <c r="AL91" s="19">
        <v>62.98</v>
      </c>
      <c r="AM91" s="18"/>
      <c r="AN91" s="19">
        <v>62.98</v>
      </c>
      <c r="AO91" s="18"/>
      <c r="AP91" s="19">
        <v>62.98</v>
      </c>
      <c r="AQ91" s="18"/>
      <c r="AR91" s="19">
        <v>62.98</v>
      </c>
      <c r="AS91" s="18"/>
      <c r="AT91" s="19">
        <v>62.98</v>
      </c>
      <c r="AU91" s="18"/>
      <c r="AV91" s="19">
        <v>62.98</v>
      </c>
      <c r="AW91" s="18"/>
      <c r="AX91" s="19">
        <v>62.98</v>
      </c>
      <c r="AY91" s="18"/>
      <c r="AZ91" s="19">
        <v>62.98</v>
      </c>
      <c r="BA91" s="18"/>
      <c r="BB91" s="19">
        <v>62.98</v>
      </c>
      <c r="BC91" s="18"/>
      <c r="BD91" s="19">
        <v>62.98</v>
      </c>
      <c r="BE91" s="18"/>
      <c r="BF91" s="19">
        <v>62.98</v>
      </c>
      <c r="BG91" s="18"/>
      <c r="BH91" s="19">
        <v>62.98</v>
      </c>
      <c r="BI91" s="18"/>
      <c r="BJ91" s="19">
        <v>62.98</v>
      </c>
      <c r="BK91" s="18"/>
      <c r="BL91" s="19">
        <v>62.98</v>
      </c>
      <c r="BM91" s="18"/>
      <c r="BN91" s="19">
        <v>62.98</v>
      </c>
      <c r="BO91" s="18"/>
      <c r="BP91" s="19">
        <v>62.98</v>
      </c>
      <c r="BQ91" s="18"/>
      <c r="BR91" s="19">
        <v>62.98</v>
      </c>
      <c r="BS91" s="18"/>
      <c r="BT91" s="19">
        <v>62.98</v>
      </c>
      <c r="BU91" s="18"/>
      <c r="BV91" s="19">
        <v>62.98</v>
      </c>
      <c r="BW91" s="18"/>
      <c r="BX91" s="19">
        <v>62.98</v>
      </c>
      <c r="BY91" s="18"/>
      <c r="BZ91" s="19">
        <v>62.98</v>
      </c>
      <c r="CA91" s="18"/>
      <c r="CB91" s="19">
        <v>62.98</v>
      </c>
      <c r="CC91" s="18"/>
      <c r="CD91" s="19">
        <v>16062.98</v>
      </c>
      <c r="CE91" s="18"/>
      <c r="CF91" s="19">
        <v>62.98</v>
      </c>
      <c r="CG91" s="18"/>
      <c r="CH91" s="19">
        <v>62.98</v>
      </c>
      <c r="CI91" s="18"/>
      <c r="CJ91" s="19">
        <v>62.98</v>
      </c>
      <c r="CK91" s="18"/>
      <c r="CL91" s="19">
        <v>0</v>
      </c>
      <c r="CM91" s="18"/>
      <c r="CN91" s="19">
        <f t="shared" si="3"/>
        <v>22058</v>
      </c>
    </row>
    <row r="92" spans="1:92" ht="15" thickBot="1" x14ac:dyDescent="0.35">
      <c r="A92" s="16"/>
      <c r="B92" s="16"/>
      <c r="C92" s="16"/>
      <c r="D92" s="16"/>
      <c r="E92" s="16"/>
      <c r="F92" s="16" t="s">
        <v>37</v>
      </c>
      <c r="G92" s="16"/>
      <c r="H92" s="20">
        <v>0</v>
      </c>
      <c r="I92" s="18"/>
      <c r="J92" s="20">
        <v>0</v>
      </c>
      <c r="K92" s="18"/>
      <c r="L92" s="20">
        <v>0</v>
      </c>
      <c r="M92" s="18"/>
      <c r="N92" s="20">
        <v>390</v>
      </c>
      <c r="O92" s="18"/>
      <c r="P92" s="20">
        <v>3100</v>
      </c>
      <c r="Q92" s="18"/>
      <c r="R92" s="20">
        <v>2500</v>
      </c>
      <c r="S92" s="18"/>
      <c r="T92" s="20">
        <v>0</v>
      </c>
      <c r="U92" s="18"/>
      <c r="V92" s="20">
        <v>0</v>
      </c>
      <c r="W92" s="18"/>
      <c r="X92" s="20">
        <v>0</v>
      </c>
      <c r="Y92" s="18"/>
      <c r="Z92" s="20">
        <v>0</v>
      </c>
      <c r="AA92" s="18"/>
      <c r="AB92" s="20">
        <v>2750</v>
      </c>
      <c r="AC92" s="18"/>
      <c r="AD92" s="20">
        <v>0</v>
      </c>
      <c r="AE92" s="18"/>
      <c r="AF92" s="20">
        <v>3000</v>
      </c>
      <c r="AG92" s="18"/>
      <c r="AH92" s="20">
        <v>2739.99</v>
      </c>
      <c r="AI92" s="18"/>
      <c r="AJ92" s="20">
        <v>0</v>
      </c>
      <c r="AK92" s="18"/>
      <c r="AL92" s="20">
        <v>0</v>
      </c>
      <c r="AM92" s="18"/>
      <c r="AN92" s="20">
        <v>0</v>
      </c>
      <c r="AO92" s="18"/>
      <c r="AP92" s="20">
        <v>2797</v>
      </c>
      <c r="AQ92" s="18"/>
      <c r="AR92" s="20">
        <v>3838</v>
      </c>
      <c r="AS92" s="18"/>
      <c r="AT92" s="20">
        <v>2448</v>
      </c>
      <c r="AU92" s="18"/>
      <c r="AV92" s="20">
        <v>0</v>
      </c>
      <c r="AW92" s="18"/>
      <c r="AX92" s="20">
        <v>0</v>
      </c>
      <c r="AY92" s="18"/>
      <c r="AZ92" s="20">
        <v>0</v>
      </c>
      <c r="BA92" s="18"/>
      <c r="BB92" s="20">
        <v>243.32</v>
      </c>
      <c r="BC92" s="18"/>
      <c r="BD92" s="20">
        <v>24834.59</v>
      </c>
      <c r="BE92" s="18"/>
      <c r="BF92" s="20">
        <v>239.99</v>
      </c>
      <c r="BG92" s="18"/>
      <c r="BH92" s="20">
        <v>0</v>
      </c>
      <c r="BI92" s="18"/>
      <c r="BJ92" s="20">
        <v>0</v>
      </c>
      <c r="BK92" s="18"/>
      <c r="BL92" s="20">
        <v>0</v>
      </c>
      <c r="BM92" s="18"/>
      <c r="BN92" s="20">
        <v>99</v>
      </c>
      <c r="BO92" s="18"/>
      <c r="BP92" s="20">
        <v>5000</v>
      </c>
      <c r="BQ92" s="18"/>
      <c r="BR92" s="20">
        <v>6800</v>
      </c>
      <c r="BS92" s="18"/>
      <c r="BT92" s="20">
        <v>0</v>
      </c>
      <c r="BU92" s="18"/>
      <c r="BV92" s="20">
        <v>0</v>
      </c>
      <c r="BW92" s="18"/>
      <c r="BX92" s="20">
        <v>0</v>
      </c>
      <c r="BY92" s="18"/>
      <c r="BZ92" s="20">
        <v>281.97000000000003</v>
      </c>
      <c r="CA92" s="18"/>
      <c r="CB92" s="20">
        <v>281.97000000000003</v>
      </c>
      <c r="CC92" s="18"/>
      <c r="CD92" s="20">
        <v>521.96</v>
      </c>
      <c r="CE92" s="18"/>
      <c r="CF92" s="20">
        <v>281.97000000000003</v>
      </c>
      <c r="CG92" s="18"/>
      <c r="CH92" s="20">
        <v>6727.5</v>
      </c>
      <c r="CI92" s="18"/>
      <c r="CJ92" s="20">
        <v>3150</v>
      </c>
      <c r="CK92" s="18"/>
      <c r="CL92" s="20">
        <v>900</v>
      </c>
      <c r="CM92" s="18"/>
      <c r="CN92" s="20">
        <f t="shared" si="3"/>
        <v>72925.259999999995</v>
      </c>
    </row>
    <row r="93" spans="1:92" x14ac:dyDescent="0.3">
      <c r="A93" s="16"/>
      <c r="B93" s="16"/>
      <c r="C93" s="16"/>
      <c r="D93" s="16"/>
      <c r="E93" s="16" t="s">
        <v>36</v>
      </c>
      <c r="F93" s="16"/>
      <c r="G93" s="16"/>
      <c r="H93" s="19">
        <f>ROUND(SUM(H85:H86)+SUM(H90:H92),5)</f>
        <v>58.95</v>
      </c>
      <c r="I93" s="18"/>
      <c r="J93" s="19">
        <f>ROUND(SUM(J85:J86)+SUM(J90:J92),5)</f>
        <v>3908.95</v>
      </c>
      <c r="K93" s="18"/>
      <c r="L93" s="19">
        <f>ROUND(SUM(L85:L86)+SUM(L90:L92),5)</f>
        <v>58.95</v>
      </c>
      <c r="M93" s="18"/>
      <c r="N93" s="19">
        <f>ROUND(SUM(N85:N86)+SUM(N90:N92),5)</f>
        <v>448.95</v>
      </c>
      <c r="O93" s="18"/>
      <c r="P93" s="19">
        <f>ROUND(SUM(P85:P86)+SUM(P90:P92),5)</f>
        <v>3428.95</v>
      </c>
      <c r="Q93" s="18"/>
      <c r="R93" s="19">
        <f>ROUND(SUM(R85:R86)+SUM(R90:R92),5)</f>
        <v>2558.9499999999998</v>
      </c>
      <c r="S93" s="18"/>
      <c r="T93" s="19">
        <f>ROUND(SUM(T85:T86)+SUM(T90:T92),5)</f>
        <v>8162.98</v>
      </c>
      <c r="U93" s="18"/>
      <c r="V93" s="19">
        <f>ROUND(SUM(V85:V86)+SUM(V90:V92),5)</f>
        <v>232.98</v>
      </c>
      <c r="W93" s="18"/>
      <c r="X93" s="19">
        <f>ROUND(SUM(X85:X86)+SUM(X90:X92),5)</f>
        <v>62.98</v>
      </c>
      <c r="Y93" s="18"/>
      <c r="Z93" s="19">
        <f>ROUND(SUM(Z85:Z86)+SUM(Z90:Z92),5)</f>
        <v>62.98</v>
      </c>
      <c r="AA93" s="18"/>
      <c r="AB93" s="19">
        <f>ROUND(SUM(AB85:AB86)+SUM(AB90:AB92),5)</f>
        <v>2812.98</v>
      </c>
      <c r="AC93" s="18"/>
      <c r="AD93" s="19">
        <f>ROUND(SUM(AD85:AD86)+SUM(AD90:AD92),5)</f>
        <v>-1325</v>
      </c>
      <c r="AE93" s="18"/>
      <c r="AF93" s="19">
        <f>ROUND(SUM(AF85:AF86)+SUM(AF90:AF92),5)</f>
        <v>3375.96</v>
      </c>
      <c r="AG93" s="18"/>
      <c r="AH93" s="19">
        <f>ROUND(SUM(AH85:AH86)+SUM(AH90:AH92),5)</f>
        <v>4075.47</v>
      </c>
      <c r="AI93" s="18"/>
      <c r="AJ93" s="19">
        <f>ROUND(SUM(AJ85:AJ86)+SUM(AJ90:AJ92),5)</f>
        <v>62.98</v>
      </c>
      <c r="AK93" s="18"/>
      <c r="AL93" s="19">
        <f>ROUND(SUM(AL85:AL86)+SUM(AL90:AL92),5)</f>
        <v>62.98</v>
      </c>
      <c r="AM93" s="18"/>
      <c r="AN93" s="19">
        <f>ROUND(SUM(AN85:AN86)+SUM(AN90:AN92),5)</f>
        <v>62.98</v>
      </c>
      <c r="AO93" s="18"/>
      <c r="AP93" s="19">
        <f>ROUND(SUM(AP85:AP86)+SUM(AP90:AP92),5)</f>
        <v>3059.98</v>
      </c>
      <c r="AQ93" s="18"/>
      <c r="AR93" s="19">
        <f>ROUND(SUM(AR85:AR86)+SUM(AR90:AR92),5)</f>
        <v>3900.98</v>
      </c>
      <c r="AS93" s="18"/>
      <c r="AT93" s="19">
        <f>ROUND(SUM(AT85:AT86)+SUM(AT90:AT92),5)</f>
        <v>4738.49</v>
      </c>
      <c r="AU93" s="18"/>
      <c r="AV93" s="19">
        <f>ROUND(SUM(AV85:AV86)+SUM(AV90:AV92),5)</f>
        <v>5937.98</v>
      </c>
      <c r="AW93" s="18"/>
      <c r="AX93" s="19">
        <f>ROUND(SUM(AX85:AX86)+SUM(AX90:AX92),5)</f>
        <v>62.98</v>
      </c>
      <c r="AY93" s="18"/>
      <c r="AZ93" s="19">
        <f>ROUND(SUM(AZ85:AZ86)+SUM(AZ90:AZ92),5)</f>
        <v>62.98</v>
      </c>
      <c r="BA93" s="18"/>
      <c r="BB93" s="19">
        <f>ROUND(SUM(BB85:BB86)+SUM(BB90:BB92),5)</f>
        <v>1456.3</v>
      </c>
      <c r="BC93" s="18"/>
      <c r="BD93" s="19">
        <f>ROUND(SUM(BD85:BD86)+SUM(BD90:BD92),5)</f>
        <v>25267.57</v>
      </c>
      <c r="BE93" s="18"/>
      <c r="BF93" s="19">
        <f>ROUND(SUM(BF85:BF86)+SUM(BF90:BF92),5)</f>
        <v>302.97000000000003</v>
      </c>
      <c r="BG93" s="18"/>
      <c r="BH93" s="19">
        <f>ROUND(SUM(BH85:BH86)+SUM(BH90:BH92),5)</f>
        <v>562.98</v>
      </c>
      <c r="BI93" s="18"/>
      <c r="BJ93" s="19">
        <f>ROUND(SUM(BJ85:BJ86)+SUM(BJ90:BJ92),5)</f>
        <v>4984.82</v>
      </c>
      <c r="BK93" s="18"/>
      <c r="BL93" s="19">
        <f>ROUND(SUM(BL85:BL86)+SUM(BL90:BL92),5)</f>
        <v>62.98</v>
      </c>
      <c r="BM93" s="18"/>
      <c r="BN93" s="19">
        <f>ROUND(SUM(BN85:BN86)+SUM(BN90:BN92),5)</f>
        <v>336.98</v>
      </c>
      <c r="BO93" s="18"/>
      <c r="BP93" s="19">
        <f>ROUND(SUM(BP85:BP86)+SUM(BP90:BP92),5)</f>
        <v>5062.9799999999996</v>
      </c>
      <c r="BQ93" s="18"/>
      <c r="BR93" s="19">
        <f>ROUND(SUM(BR85:BR86)+SUM(BR90:BR92),5)</f>
        <v>6862.98</v>
      </c>
      <c r="BS93" s="18"/>
      <c r="BT93" s="19">
        <f>ROUND(SUM(BT85:BT86)+SUM(BT90:BT92),5)</f>
        <v>4987.9799999999996</v>
      </c>
      <c r="BU93" s="18"/>
      <c r="BV93" s="19">
        <f>ROUND(SUM(BV85:BV86)+SUM(BV90:BV92),5)</f>
        <v>62.98</v>
      </c>
      <c r="BW93" s="18"/>
      <c r="BX93" s="19">
        <f>ROUND(SUM(BX85:BX86)+SUM(BX90:BX92),5)</f>
        <v>1914.56</v>
      </c>
      <c r="BY93" s="18"/>
      <c r="BZ93" s="19">
        <f>ROUND(SUM(BZ85:BZ86)+SUM(BZ90:BZ92),5)</f>
        <v>-1405.05</v>
      </c>
      <c r="CA93" s="18"/>
      <c r="CB93" s="19">
        <f>ROUND(SUM(CB85:CB86)+SUM(CB90:CB92),5)</f>
        <v>344.95</v>
      </c>
      <c r="CC93" s="18"/>
      <c r="CD93" s="19">
        <f>ROUND(SUM(CD85:CD86)+SUM(CD90:CD92),5)</f>
        <v>17084.939999999999</v>
      </c>
      <c r="CE93" s="18"/>
      <c r="CF93" s="19">
        <f>ROUND(SUM(CF85:CF86)+SUM(CF90:CF92),5)</f>
        <v>344.95</v>
      </c>
      <c r="CG93" s="18"/>
      <c r="CH93" s="19">
        <f>ROUND(SUM(CH85:CH86)+SUM(CH90:CH92),5)</f>
        <v>7430.31</v>
      </c>
      <c r="CI93" s="18"/>
      <c r="CJ93" s="19">
        <f>ROUND(SUM(CJ85:CJ86)+SUM(CJ90:CJ92),5)</f>
        <v>4202.9799999999996</v>
      </c>
      <c r="CK93" s="18"/>
      <c r="CL93" s="19">
        <f>ROUND(SUM(CL85:CL86)+SUM(CL90:CL92),5)</f>
        <v>900</v>
      </c>
      <c r="CM93" s="18"/>
      <c r="CN93" s="19">
        <f t="shared" si="3"/>
        <v>126646.52</v>
      </c>
    </row>
    <row r="94" spans="1:92" x14ac:dyDescent="0.3">
      <c r="A94" s="16"/>
      <c r="B94" s="16"/>
      <c r="C94" s="16"/>
      <c r="D94" s="16"/>
      <c r="E94" s="16" t="s">
        <v>35</v>
      </c>
      <c r="F94" s="16"/>
      <c r="G94" s="16"/>
      <c r="H94" s="19">
        <v>0</v>
      </c>
      <c r="I94" s="18"/>
      <c r="J94" s="19">
        <v>55.3</v>
      </c>
      <c r="K94" s="18"/>
      <c r="L94" s="19">
        <v>0</v>
      </c>
      <c r="M94" s="18"/>
      <c r="N94" s="19">
        <v>0</v>
      </c>
      <c r="O94" s="18"/>
      <c r="P94" s="19">
        <v>0</v>
      </c>
      <c r="Q94" s="18"/>
      <c r="R94" s="19">
        <v>0</v>
      </c>
      <c r="S94" s="18"/>
      <c r="T94" s="19">
        <v>0</v>
      </c>
      <c r="U94" s="18"/>
      <c r="V94" s="19">
        <v>0</v>
      </c>
      <c r="W94" s="18"/>
      <c r="X94" s="19">
        <v>500</v>
      </c>
      <c r="Y94" s="18"/>
      <c r="Z94" s="19">
        <v>0</v>
      </c>
      <c r="AA94" s="18"/>
      <c r="AB94" s="19">
        <v>37.6</v>
      </c>
      <c r="AC94" s="18"/>
      <c r="AD94" s="19">
        <v>600</v>
      </c>
      <c r="AE94" s="18"/>
      <c r="AF94" s="19">
        <v>1000</v>
      </c>
      <c r="AG94" s="18"/>
      <c r="AH94" s="19">
        <v>0</v>
      </c>
      <c r="AI94" s="18"/>
      <c r="AJ94" s="19">
        <v>0</v>
      </c>
      <c r="AK94" s="18"/>
      <c r="AL94" s="19">
        <v>0</v>
      </c>
      <c r="AM94" s="18"/>
      <c r="AN94" s="19">
        <v>0</v>
      </c>
      <c r="AO94" s="18"/>
      <c r="AP94" s="19">
        <v>0</v>
      </c>
      <c r="AQ94" s="18"/>
      <c r="AR94" s="19">
        <v>0</v>
      </c>
      <c r="AS94" s="18"/>
      <c r="AT94" s="19">
        <v>0</v>
      </c>
      <c r="AU94" s="18"/>
      <c r="AV94" s="19">
        <v>0</v>
      </c>
      <c r="AW94" s="18"/>
      <c r="AX94" s="19">
        <v>67.7</v>
      </c>
      <c r="AY94" s="18"/>
      <c r="AZ94" s="19">
        <v>0</v>
      </c>
      <c r="BA94" s="18"/>
      <c r="BB94" s="19">
        <v>15.99</v>
      </c>
      <c r="BC94" s="18"/>
      <c r="BD94" s="19">
        <v>0</v>
      </c>
      <c r="BE94" s="18"/>
      <c r="BF94" s="19">
        <v>48.35</v>
      </c>
      <c r="BG94" s="18"/>
      <c r="BH94" s="19">
        <v>0</v>
      </c>
      <c r="BI94" s="18"/>
      <c r="BJ94" s="19">
        <v>0</v>
      </c>
      <c r="BK94" s="18"/>
      <c r="BL94" s="19">
        <v>0</v>
      </c>
      <c r="BM94" s="18"/>
      <c r="BN94" s="19">
        <v>0</v>
      </c>
      <c r="BO94" s="18"/>
      <c r="BP94" s="19">
        <v>7.48</v>
      </c>
      <c r="BQ94" s="18"/>
      <c r="BR94" s="19">
        <v>0</v>
      </c>
      <c r="BS94" s="18"/>
      <c r="BT94" s="19">
        <v>0</v>
      </c>
      <c r="BU94" s="18"/>
      <c r="BV94" s="19">
        <v>20.420000000000002</v>
      </c>
      <c r="BW94" s="18"/>
      <c r="BX94" s="19">
        <v>32.25</v>
      </c>
      <c r="BY94" s="18"/>
      <c r="BZ94" s="19">
        <v>37.6</v>
      </c>
      <c r="CA94" s="18"/>
      <c r="CB94" s="19">
        <v>76.930000000000007</v>
      </c>
      <c r="CC94" s="18"/>
      <c r="CD94" s="19">
        <v>0</v>
      </c>
      <c r="CE94" s="18"/>
      <c r="CF94" s="19">
        <v>0</v>
      </c>
      <c r="CG94" s="18"/>
      <c r="CH94" s="19">
        <v>0</v>
      </c>
      <c r="CI94" s="18"/>
      <c r="CJ94" s="19">
        <v>73.44</v>
      </c>
      <c r="CK94" s="18"/>
      <c r="CL94" s="19">
        <v>0</v>
      </c>
      <c r="CM94" s="18"/>
      <c r="CN94" s="19">
        <f t="shared" si="3"/>
        <v>2573.06</v>
      </c>
    </row>
    <row r="95" spans="1:92" x14ac:dyDescent="0.3">
      <c r="A95" s="16"/>
      <c r="B95" s="16"/>
      <c r="C95" s="16"/>
      <c r="D95" s="16"/>
      <c r="E95" s="16" t="s">
        <v>34</v>
      </c>
      <c r="F95" s="16"/>
      <c r="G95" s="16"/>
      <c r="H95" s="19"/>
      <c r="I95" s="18"/>
      <c r="J95" s="19"/>
      <c r="K95" s="18"/>
      <c r="L95" s="19"/>
      <c r="M95" s="18"/>
      <c r="N95" s="19"/>
      <c r="O95" s="18"/>
      <c r="P95" s="19"/>
      <c r="Q95" s="18"/>
      <c r="R95" s="19"/>
      <c r="S95" s="18"/>
      <c r="T95" s="19"/>
      <c r="U95" s="18"/>
      <c r="V95" s="19"/>
      <c r="W95" s="18"/>
      <c r="X95" s="19"/>
      <c r="Y95" s="18"/>
      <c r="Z95" s="19"/>
      <c r="AA95" s="18"/>
      <c r="AB95" s="19"/>
      <c r="AC95" s="18"/>
      <c r="AD95" s="19"/>
      <c r="AE95" s="18"/>
      <c r="AF95" s="19"/>
      <c r="AG95" s="18"/>
      <c r="AH95" s="19"/>
      <c r="AI95" s="18"/>
      <c r="AJ95" s="19"/>
      <c r="AK95" s="18"/>
      <c r="AL95" s="19"/>
      <c r="AM95" s="18"/>
      <c r="AN95" s="19"/>
      <c r="AO95" s="18"/>
      <c r="AP95" s="19"/>
      <c r="AQ95" s="18"/>
      <c r="AR95" s="19"/>
      <c r="AS95" s="18"/>
      <c r="AT95" s="19"/>
      <c r="AU95" s="18"/>
      <c r="AV95" s="19"/>
      <c r="AW95" s="18"/>
      <c r="AX95" s="19"/>
      <c r="AY95" s="18"/>
      <c r="AZ95" s="19"/>
      <c r="BA95" s="18"/>
      <c r="BB95" s="19"/>
      <c r="BC95" s="18"/>
      <c r="BD95" s="19"/>
      <c r="BE95" s="18"/>
      <c r="BF95" s="19"/>
      <c r="BG95" s="18"/>
      <c r="BH95" s="19"/>
      <c r="BI95" s="18"/>
      <c r="BJ95" s="19"/>
      <c r="BK95" s="18"/>
      <c r="BL95" s="19"/>
      <c r="BM95" s="18"/>
      <c r="BN95" s="19"/>
      <c r="BO95" s="18"/>
      <c r="BP95" s="19"/>
      <c r="BQ95" s="18"/>
      <c r="BR95" s="19"/>
      <c r="BS95" s="18"/>
      <c r="BT95" s="19"/>
      <c r="BU95" s="18"/>
      <c r="BV95" s="19"/>
      <c r="BW95" s="18"/>
      <c r="BX95" s="19"/>
      <c r="BY95" s="18"/>
      <c r="BZ95" s="19"/>
      <c r="CA95" s="18"/>
      <c r="CB95" s="19"/>
      <c r="CC95" s="18"/>
      <c r="CD95" s="19"/>
      <c r="CE95" s="18"/>
      <c r="CF95" s="19"/>
      <c r="CG95" s="18"/>
      <c r="CH95" s="19"/>
      <c r="CI95" s="18"/>
      <c r="CJ95" s="19"/>
      <c r="CK95" s="18"/>
      <c r="CL95" s="19"/>
      <c r="CM95" s="18"/>
      <c r="CN95" s="19"/>
    </row>
    <row r="96" spans="1:92" x14ac:dyDescent="0.3">
      <c r="A96" s="16"/>
      <c r="B96" s="16"/>
      <c r="C96" s="16"/>
      <c r="D96" s="16"/>
      <c r="E96" s="16"/>
      <c r="F96" s="16" t="s">
        <v>33</v>
      </c>
      <c r="G96" s="16"/>
      <c r="H96" s="19">
        <v>100</v>
      </c>
      <c r="I96" s="18"/>
      <c r="J96" s="19">
        <v>0</v>
      </c>
      <c r="K96" s="18"/>
      <c r="L96" s="19">
        <v>339.61</v>
      </c>
      <c r="M96" s="18"/>
      <c r="N96" s="19">
        <v>274.26</v>
      </c>
      <c r="O96" s="18"/>
      <c r="P96" s="19">
        <v>274.38</v>
      </c>
      <c r="Q96" s="18"/>
      <c r="R96" s="19">
        <v>274.38</v>
      </c>
      <c r="S96" s="18"/>
      <c r="T96" s="19">
        <v>0</v>
      </c>
      <c r="U96" s="18"/>
      <c r="V96" s="19">
        <v>274.32</v>
      </c>
      <c r="W96" s="18"/>
      <c r="X96" s="19">
        <v>279.77999999999997</v>
      </c>
      <c r="Y96" s="18"/>
      <c r="Z96" s="19">
        <v>279.5</v>
      </c>
      <c r="AA96" s="18"/>
      <c r="AB96" s="19">
        <v>279.17</v>
      </c>
      <c r="AC96" s="18"/>
      <c r="AD96" s="19">
        <v>358.19</v>
      </c>
      <c r="AE96" s="18"/>
      <c r="AF96" s="19">
        <v>143.01</v>
      </c>
      <c r="AG96" s="18"/>
      <c r="AH96" s="19">
        <v>643.37</v>
      </c>
      <c r="AI96" s="18"/>
      <c r="AJ96" s="19">
        <v>266.33</v>
      </c>
      <c r="AK96" s="18"/>
      <c r="AL96" s="19">
        <v>295.33</v>
      </c>
      <c r="AM96" s="18"/>
      <c r="AN96" s="19">
        <v>305.77</v>
      </c>
      <c r="AO96" s="18"/>
      <c r="AP96" s="19">
        <v>286.42</v>
      </c>
      <c r="AQ96" s="18"/>
      <c r="AR96" s="19">
        <v>286.42</v>
      </c>
      <c r="AS96" s="18"/>
      <c r="AT96" s="19">
        <v>299.16000000000003</v>
      </c>
      <c r="AU96" s="18"/>
      <c r="AV96" s="19">
        <v>329.26</v>
      </c>
      <c r="AW96" s="18"/>
      <c r="AX96" s="19">
        <v>711.87</v>
      </c>
      <c r="AY96" s="18"/>
      <c r="AZ96" s="19">
        <v>436.69</v>
      </c>
      <c r="BA96" s="18"/>
      <c r="BB96" s="19">
        <v>334.78</v>
      </c>
      <c r="BC96" s="18"/>
      <c r="BD96" s="19">
        <v>334.12</v>
      </c>
      <c r="BE96" s="18"/>
      <c r="BF96" s="19">
        <v>358.28</v>
      </c>
      <c r="BG96" s="18"/>
      <c r="BH96" s="19">
        <v>336</v>
      </c>
      <c r="BI96" s="18"/>
      <c r="BJ96" s="19">
        <v>346.79</v>
      </c>
      <c r="BK96" s="18"/>
      <c r="BL96" s="19">
        <v>365.96</v>
      </c>
      <c r="BM96" s="18"/>
      <c r="BN96" s="19">
        <v>338.29</v>
      </c>
      <c r="BO96" s="18"/>
      <c r="BP96" s="19">
        <v>391.49</v>
      </c>
      <c r="BQ96" s="18"/>
      <c r="BR96" s="19">
        <v>1288.2</v>
      </c>
      <c r="BS96" s="18"/>
      <c r="BT96" s="19">
        <v>439.17</v>
      </c>
      <c r="BU96" s="18"/>
      <c r="BV96" s="19">
        <v>50.81</v>
      </c>
      <c r="BW96" s="18"/>
      <c r="BX96" s="19">
        <v>364.86</v>
      </c>
      <c r="BY96" s="18"/>
      <c r="BZ96" s="19">
        <v>356.46</v>
      </c>
      <c r="CA96" s="18"/>
      <c r="CB96" s="19">
        <v>229</v>
      </c>
      <c r="CC96" s="18"/>
      <c r="CD96" s="19">
        <v>517.4</v>
      </c>
      <c r="CE96" s="18"/>
      <c r="CF96" s="19">
        <v>372.9</v>
      </c>
      <c r="CG96" s="18"/>
      <c r="CH96" s="19">
        <v>372.9</v>
      </c>
      <c r="CI96" s="18"/>
      <c r="CJ96" s="19">
        <v>372.74</v>
      </c>
      <c r="CK96" s="18"/>
      <c r="CL96" s="19">
        <v>0</v>
      </c>
      <c r="CM96" s="18"/>
      <c r="CN96" s="19">
        <f t="shared" ref="CN96:CN104" si="4">ROUND(SUM(H96:CL96),5)</f>
        <v>13907.37</v>
      </c>
    </row>
    <row r="97" spans="1:92" x14ac:dyDescent="0.3">
      <c r="A97" s="16"/>
      <c r="B97" s="16"/>
      <c r="C97" s="16"/>
      <c r="D97" s="16"/>
      <c r="E97" s="16"/>
      <c r="F97" s="16" t="s">
        <v>32</v>
      </c>
      <c r="G97" s="16"/>
      <c r="H97" s="19">
        <v>70</v>
      </c>
      <c r="I97" s="18"/>
      <c r="J97" s="19">
        <v>60</v>
      </c>
      <c r="K97" s="18"/>
      <c r="L97" s="19">
        <v>60</v>
      </c>
      <c r="M97" s="18"/>
      <c r="N97" s="19">
        <v>90</v>
      </c>
      <c r="O97" s="18"/>
      <c r="P97" s="19">
        <v>60</v>
      </c>
      <c r="Q97" s="18"/>
      <c r="R97" s="19">
        <v>60</v>
      </c>
      <c r="S97" s="18"/>
      <c r="T97" s="19">
        <v>60</v>
      </c>
      <c r="U97" s="18"/>
      <c r="V97" s="19">
        <v>40</v>
      </c>
      <c r="W97" s="18"/>
      <c r="X97" s="19">
        <v>30</v>
      </c>
      <c r="Y97" s="18"/>
      <c r="Z97" s="19">
        <v>60</v>
      </c>
      <c r="AA97" s="18"/>
      <c r="AB97" s="19">
        <v>40</v>
      </c>
      <c r="AC97" s="18"/>
      <c r="AD97" s="19">
        <v>40</v>
      </c>
      <c r="AE97" s="18"/>
      <c r="AF97" s="19">
        <v>40</v>
      </c>
      <c r="AG97" s="18"/>
      <c r="AH97" s="19">
        <v>50</v>
      </c>
      <c r="AI97" s="18"/>
      <c r="AJ97" s="19">
        <v>90</v>
      </c>
      <c r="AK97" s="18"/>
      <c r="AL97" s="19">
        <v>60</v>
      </c>
      <c r="AM97" s="18"/>
      <c r="AN97" s="19">
        <v>60</v>
      </c>
      <c r="AO97" s="18"/>
      <c r="AP97" s="19">
        <v>40</v>
      </c>
      <c r="AQ97" s="18"/>
      <c r="AR97" s="19">
        <v>40</v>
      </c>
      <c r="AS97" s="18"/>
      <c r="AT97" s="19">
        <v>40</v>
      </c>
      <c r="AU97" s="18"/>
      <c r="AV97" s="19">
        <v>90</v>
      </c>
      <c r="AW97" s="18"/>
      <c r="AX97" s="19">
        <v>100</v>
      </c>
      <c r="AY97" s="18"/>
      <c r="AZ97" s="19">
        <v>80</v>
      </c>
      <c r="BA97" s="18"/>
      <c r="BB97" s="19">
        <v>80</v>
      </c>
      <c r="BC97" s="18"/>
      <c r="BD97" s="19">
        <v>70</v>
      </c>
      <c r="BE97" s="18"/>
      <c r="BF97" s="19">
        <v>60</v>
      </c>
      <c r="BG97" s="18"/>
      <c r="BH97" s="19">
        <v>120</v>
      </c>
      <c r="BI97" s="18"/>
      <c r="BJ97" s="19">
        <v>80</v>
      </c>
      <c r="BK97" s="18"/>
      <c r="BL97" s="19">
        <v>70</v>
      </c>
      <c r="BM97" s="18"/>
      <c r="BN97" s="19">
        <v>60</v>
      </c>
      <c r="BO97" s="18"/>
      <c r="BP97" s="19">
        <v>60</v>
      </c>
      <c r="BQ97" s="18"/>
      <c r="BR97" s="19">
        <v>80</v>
      </c>
      <c r="BS97" s="18"/>
      <c r="BT97" s="19">
        <v>120</v>
      </c>
      <c r="BU97" s="18"/>
      <c r="BV97" s="19">
        <v>80</v>
      </c>
      <c r="BW97" s="18"/>
      <c r="BX97" s="19">
        <v>60</v>
      </c>
      <c r="BY97" s="18"/>
      <c r="BZ97" s="19">
        <v>60</v>
      </c>
      <c r="CA97" s="18"/>
      <c r="CB97" s="19">
        <v>60</v>
      </c>
      <c r="CC97" s="18"/>
      <c r="CD97" s="19">
        <v>60</v>
      </c>
      <c r="CE97" s="18"/>
      <c r="CF97" s="19">
        <v>60</v>
      </c>
      <c r="CG97" s="18"/>
      <c r="CH97" s="19">
        <v>60</v>
      </c>
      <c r="CI97" s="18"/>
      <c r="CJ97" s="19">
        <v>60</v>
      </c>
      <c r="CK97" s="18"/>
      <c r="CL97" s="19">
        <v>0</v>
      </c>
      <c r="CM97" s="18"/>
      <c r="CN97" s="19">
        <f t="shared" si="4"/>
        <v>2660</v>
      </c>
    </row>
    <row r="98" spans="1:92" x14ac:dyDescent="0.3">
      <c r="A98" s="16"/>
      <c r="B98" s="16"/>
      <c r="C98" s="16"/>
      <c r="D98" s="16"/>
      <c r="E98" s="16"/>
      <c r="F98" s="16" t="s">
        <v>31</v>
      </c>
      <c r="G98" s="16"/>
      <c r="H98" s="19">
        <v>0</v>
      </c>
      <c r="I98" s="18"/>
      <c r="J98" s="19">
        <v>0</v>
      </c>
      <c r="K98" s="18"/>
      <c r="L98" s="19">
        <v>0</v>
      </c>
      <c r="M98" s="18"/>
      <c r="N98" s="19">
        <v>0</v>
      </c>
      <c r="O98" s="18"/>
      <c r="P98" s="19">
        <v>0</v>
      </c>
      <c r="Q98" s="18"/>
      <c r="R98" s="19">
        <v>237.61</v>
      </c>
      <c r="S98" s="18"/>
      <c r="T98" s="19">
        <v>0</v>
      </c>
      <c r="U98" s="18"/>
      <c r="V98" s="19">
        <v>0</v>
      </c>
      <c r="W98" s="18"/>
      <c r="X98" s="19">
        <v>0</v>
      </c>
      <c r="Y98" s="18"/>
      <c r="Z98" s="19">
        <v>0</v>
      </c>
      <c r="AA98" s="18"/>
      <c r="AB98" s="19">
        <v>0</v>
      </c>
      <c r="AC98" s="18"/>
      <c r="AD98" s="19">
        <v>0</v>
      </c>
      <c r="AE98" s="18"/>
      <c r="AF98" s="19">
        <v>0</v>
      </c>
      <c r="AG98" s="18"/>
      <c r="AH98" s="19">
        <v>0</v>
      </c>
      <c r="AI98" s="18"/>
      <c r="AJ98" s="19">
        <v>247.56</v>
      </c>
      <c r="AK98" s="18"/>
      <c r="AL98" s="19">
        <v>247.56</v>
      </c>
      <c r="AM98" s="18"/>
      <c r="AN98" s="19">
        <v>247.56</v>
      </c>
      <c r="AO98" s="18"/>
      <c r="AP98" s="19">
        <v>258.24</v>
      </c>
      <c r="AQ98" s="18"/>
      <c r="AR98" s="19">
        <v>245.53</v>
      </c>
      <c r="AS98" s="18"/>
      <c r="AT98" s="19">
        <v>264.52999999999997</v>
      </c>
      <c r="AU98" s="18"/>
      <c r="AV98" s="19">
        <v>0</v>
      </c>
      <c r="AW98" s="18"/>
      <c r="AX98" s="19">
        <v>252.55</v>
      </c>
      <c r="AY98" s="18"/>
      <c r="AZ98" s="19">
        <v>0</v>
      </c>
      <c r="BA98" s="18"/>
      <c r="BB98" s="19">
        <v>0</v>
      </c>
      <c r="BC98" s="18"/>
      <c r="BD98" s="19">
        <v>0</v>
      </c>
      <c r="BE98" s="18"/>
      <c r="BF98" s="19">
        <v>0</v>
      </c>
      <c r="BG98" s="18"/>
      <c r="BH98" s="19">
        <v>0</v>
      </c>
      <c r="BI98" s="18"/>
      <c r="BJ98" s="19">
        <v>0</v>
      </c>
      <c r="BK98" s="18"/>
      <c r="BL98" s="19">
        <v>0</v>
      </c>
      <c r="BM98" s="18"/>
      <c r="BN98" s="19">
        <v>254.56</v>
      </c>
      <c r="BO98" s="18"/>
      <c r="BP98" s="19">
        <v>254.56</v>
      </c>
      <c r="BQ98" s="18"/>
      <c r="BR98" s="19">
        <v>255.56</v>
      </c>
      <c r="BS98" s="18"/>
      <c r="BT98" s="19">
        <v>0</v>
      </c>
      <c r="BU98" s="18"/>
      <c r="BV98" s="19">
        <v>255.56</v>
      </c>
      <c r="BW98" s="18"/>
      <c r="BX98" s="19">
        <v>268.56</v>
      </c>
      <c r="BY98" s="18"/>
      <c r="BZ98" s="19">
        <v>0</v>
      </c>
      <c r="CA98" s="18"/>
      <c r="CB98" s="19">
        <v>0</v>
      </c>
      <c r="CC98" s="18"/>
      <c r="CD98" s="19">
        <v>268.56</v>
      </c>
      <c r="CE98" s="18"/>
      <c r="CF98" s="19">
        <v>268.56</v>
      </c>
      <c r="CG98" s="18"/>
      <c r="CH98" s="19">
        <v>268.56</v>
      </c>
      <c r="CI98" s="18"/>
      <c r="CJ98" s="19">
        <v>268.56</v>
      </c>
      <c r="CK98" s="18"/>
      <c r="CL98" s="19">
        <v>0</v>
      </c>
      <c r="CM98" s="18"/>
      <c r="CN98" s="19">
        <f t="shared" si="4"/>
        <v>4364.18</v>
      </c>
    </row>
    <row r="99" spans="1:92" ht="15" thickBot="1" x14ac:dyDescent="0.35">
      <c r="A99" s="16"/>
      <c r="B99" s="16"/>
      <c r="C99" s="16"/>
      <c r="D99" s="16"/>
      <c r="E99" s="16"/>
      <c r="F99" s="16" t="s">
        <v>30</v>
      </c>
      <c r="G99" s="16"/>
      <c r="H99" s="20">
        <v>472.32</v>
      </c>
      <c r="I99" s="18"/>
      <c r="J99" s="20">
        <v>474.12</v>
      </c>
      <c r="K99" s="18"/>
      <c r="L99" s="20">
        <v>223.58</v>
      </c>
      <c r="M99" s="18"/>
      <c r="N99" s="20">
        <v>224.06</v>
      </c>
      <c r="O99" s="18"/>
      <c r="P99" s="20">
        <v>224.39</v>
      </c>
      <c r="Q99" s="18"/>
      <c r="R99" s="20">
        <v>224.39</v>
      </c>
      <c r="S99" s="18"/>
      <c r="T99" s="20">
        <v>492.49</v>
      </c>
      <c r="U99" s="18"/>
      <c r="V99" s="20">
        <v>217.78</v>
      </c>
      <c r="W99" s="18"/>
      <c r="X99" s="20">
        <v>217.78</v>
      </c>
      <c r="Y99" s="18"/>
      <c r="Z99" s="20">
        <v>217.08</v>
      </c>
      <c r="AA99" s="18"/>
      <c r="AB99" s="20">
        <v>0</v>
      </c>
      <c r="AC99" s="18"/>
      <c r="AD99" s="20">
        <v>241.39</v>
      </c>
      <c r="AE99" s="18"/>
      <c r="AF99" s="20">
        <v>117</v>
      </c>
      <c r="AG99" s="18"/>
      <c r="AH99" s="20">
        <v>117</v>
      </c>
      <c r="AI99" s="18"/>
      <c r="AJ99" s="20">
        <v>895.23</v>
      </c>
      <c r="AK99" s="18"/>
      <c r="AL99" s="20">
        <v>0</v>
      </c>
      <c r="AM99" s="18"/>
      <c r="AN99" s="20">
        <v>0</v>
      </c>
      <c r="AO99" s="18"/>
      <c r="AP99" s="20">
        <v>0</v>
      </c>
      <c r="AQ99" s="18"/>
      <c r="AR99" s="20">
        <v>0</v>
      </c>
      <c r="AS99" s="18"/>
      <c r="AT99" s="20">
        <v>0</v>
      </c>
      <c r="AU99" s="18"/>
      <c r="AV99" s="20">
        <v>118.37</v>
      </c>
      <c r="AW99" s="18"/>
      <c r="AX99" s="20">
        <v>0</v>
      </c>
      <c r="AY99" s="18"/>
      <c r="AZ99" s="20">
        <v>0</v>
      </c>
      <c r="BA99" s="18"/>
      <c r="BB99" s="20">
        <v>0</v>
      </c>
      <c r="BC99" s="18"/>
      <c r="BD99" s="20">
        <v>0</v>
      </c>
      <c r="BE99" s="18"/>
      <c r="BF99" s="20">
        <v>0</v>
      </c>
      <c r="BG99" s="18"/>
      <c r="BH99" s="20">
        <v>0</v>
      </c>
      <c r="BI99" s="18"/>
      <c r="BJ99" s="20">
        <v>0</v>
      </c>
      <c r="BK99" s="18"/>
      <c r="BL99" s="20">
        <v>0</v>
      </c>
      <c r="BM99" s="18"/>
      <c r="BN99" s="20">
        <v>0</v>
      </c>
      <c r="BO99" s="18"/>
      <c r="BP99" s="20">
        <v>0</v>
      </c>
      <c r="BQ99" s="18"/>
      <c r="BR99" s="20">
        <v>0</v>
      </c>
      <c r="BS99" s="18"/>
      <c r="BT99" s="20">
        <v>0</v>
      </c>
      <c r="BU99" s="18"/>
      <c r="BV99" s="20">
        <v>0</v>
      </c>
      <c r="BW99" s="18"/>
      <c r="BX99" s="20">
        <v>0</v>
      </c>
      <c r="BY99" s="18"/>
      <c r="BZ99" s="20">
        <v>0</v>
      </c>
      <c r="CA99" s="18"/>
      <c r="CB99" s="20">
        <v>0</v>
      </c>
      <c r="CC99" s="18"/>
      <c r="CD99" s="20">
        <v>0</v>
      </c>
      <c r="CE99" s="18"/>
      <c r="CF99" s="20">
        <v>0</v>
      </c>
      <c r="CG99" s="18"/>
      <c r="CH99" s="20">
        <v>116.56</v>
      </c>
      <c r="CI99" s="18"/>
      <c r="CJ99" s="20">
        <v>0</v>
      </c>
      <c r="CK99" s="18"/>
      <c r="CL99" s="20">
        <v>0</v>
      </c>
      <c r="CM99" s="18"/>
      <c r="CN99" s="20">
        <f t="shared" si="4"/>
        <v>4593.54</v>
      </c>
    </row>
    <row r="100" spans="1:92" x14ac:dyDescent="0.3">
      <c r="A100" s="16"/>
      <c r="B100" s="16"/>
      <c r="C100" s="16"/>
      <c r="D100" s="16"/>
      <c r="E100" s="16" t="s">
        <v>29</v>
      </c>
      <c r="F100" s="16"/>
      <c r="G100" s="16"/>
      <c r="H100" s="19">
        <f>ROUND(SUM(H95:H99),5)</f>
        <v>642.32000000000005</v>
      </c>
      <c r="I100" s="18"/>
      <c r="J100" s="19">
        <f>ROUND(SUM(J95:J99),5)</f>
        <v>534.12</v>
      </c>
      <c r="K100" s="18"/>
      <c r="L100" s="19">
        <f>ROUND(SUM(L95:L99),5)</f>
        <v>623.19000000000005</v>
      </c>
      <c r="M100" s="18"/>
      <c r="N100" s="19">
        <f>ROUND(SUM(N95:N99),5)</f>
        <v>588.32000000000005</v>
      </c>
      <c r="O100" s="18"/>
      <c r="P100" s="19">
        <f>ROUND(SUM(P95:P99),5)</f>
        <v>558.77</v>
      </c>
      <c r="Q100" s="18"/>
      <c r="R100" s="19">
        <f>ROUND(SUM(R95:R99),5)</f>
        <v>796.38</v>
      </c>
      <c r="S100" s="18"/>
      <c r="T100" s="19">
        <f>ROUND(SUM(T95:T99),5)</f>
        <v>552.49</v>
      </c>
      <c r="U100" s="18"/>
      <c r="V100" s="19">
        <f>ROUND(SUM(V95:V99),5)</f>
        <v>532.1</v>
      </c>
      <c r="W100" s="18"/>
      <c r="X100" s="19">
        <f>ROUND(SUM(X95:X99),5)</f>
        <v>527.55999999999995</v>
      </c>
      <c r="Y100" s="18"/>
      <c r="Z100" s="19">
        <f>ROUND(SUM(Z95:Z99),5)</f>
        <v>556.58000000000004</v>
      </c>
      <c r="AA100" s="18"/>
      <c r="AB100" s="19">
        <f>ROUND(SUM(AB95:AB99),5)</f>
        <v>319.17</v>
      </c>
      <c r="AC100" s="18"/>
      <c r="AD100" s="19">
        <f>ROUND(SUM(AD95:AD99),5)</f>
        <v>639.58000000000004</v>
      </c>
      <c r="AE100" s="18"/>
      <c r="AF100" s="19">
        <f>ROUND(SUM(AF95:AF99),5)</f>
        <v>300.01</v>
      </c>
      <c r="AG100" s="18"/>
      <c r="AH100" s="19">
        <f>ROUND(SUM(AH95:AH99),5)</f>
        <v>810.37</v>
      </c>
      <c r="AI100" s="18"/>
      <c r="AJ100" s="19">
        <f>ROUND(SUM(AJ95:AJ99),5)</f>
        <v>1499.12</v>
      </c>
      <c r="AK100" s="18"/>
      <c r="AL100" s="19">
        <f>ROUND(SUM(AL95:AL99),5)</f>
        <v>602.89</v>
      </c>
      <c r="AM100" s="18"/>
      <c r="AN100" s="19">
        <f>ROUND(SUM(AN95:AN99),5)</f>
        <v>613.33000000000004</v>
      </c>
      <c r="AO100" s="18"/>
      <c r="AP100" s="19">
        <f>ROUND(SUM(AP95:AP99),5)</f>
        <v>584.66</v>
      </c>
      <c r="AQ100" s="18"/>
      <c r="AR100" s="19">
        <f>ROUND(SUM(AR95:AR99),5)</f>
        <v>571.95000000000005</v>
      </c>
      <c r="AS100" s="18"/>
      <c r="AT100" s="19">
        <f>ROUND(SUM(AT95:AT99),5)</f>
        <v>603.69000000000005</v>
      </c>
      <c r="AU100" s="18"/>
      <c r="AV100" s="19">
        <f>ROUND(SUM(AV95:AV99),5)</f>
        <v>537.63</v>
      </c>
      <c r="AW100" s="18"/>
      <c r="AX100" s="19">
        <f>ROUND(SUM(AX95:AX99),5)</f>
        <v>1064.42</v>
      </c>
      <c r="AY100" s="18"/>
      <c r="AZ100" s="19">
        <f>ROUND(SUM(AZ95:AZ99),5)</f>
        <v>516.69000000000005</v>
      </c>
      <c r="BA100" s="18"/>
      <c r="BB100" s="19">
        <f>ROUND(SUM(BB95:BB99),5)</f>
        <v>414.78</v>
      </c>
      <c r="BC100" s="18"/>
      <c r="BD100" s="19">
        <f>ROUND(SUM(BD95:BD99),5)</f>
        <v>404.12</v>
      </c>
      <c r="BE100" s="18"/>
      <c r="BF100" s="19">
        <f>ROUND(SUM(BF95:BF99),5)</f>
        <v>418.28</v>
      </c>
      <c r="BG100" s="18"/>
      <c r="BH100" s="19">
        <f>ROUND(SUM(BH95:BH99),5)</f>
        <v>456</v>
      </c>
      <c r="BI100" s="18"/>
      <c r="BJ100" s="19">
        <f>ROUND(SUM(BJ95:BJ99),5)</f>
        <v>426.79</v>
      </c>
      <c r="BK100" s="18"/>
      <c r="BL100" s="19">
        <f>ROUND(SUM(BL95:BL99),5)</f>
        <v>435.96</v>
      </c>
      <c r="BM100" s="18"/>
      <c r="BN100" s="19">
        <f>ROUND(SUM(BN95:BN99),5)</f>
        <v>652.85</v>
      </c>
      <c r="BO100" s="18"/>
      <c r="BP100" s="19">
        <f>ROUND(SUM(BP95:BP99),5)</f>
        <v>706.05</v>
      </c>
      <c r="BQ100" s="18"/>
      <c r="BR100" s="19">
        <f>ROUND(SUM(BR95:BR99),5)</f>
        <v>1623.76</v>
      </c>
      <c r="BS100" s="18"/>
      <c r="BT100" s="19">
        <f>ROUND(SUM(BT95:BT99),5)</f>
        <v>559.16999999999996</v>
      </c>
      <c r="BU100" s="18"/>
      <c r="BV100" s="19">
        <f>ROUND(SUM(BV95:BV99),5)</f>
        <v>386.37</v>
      </c>
      <c r="BW100" s="18"/>
      <c r="BX100" s="19">
        <f>ROUND(SUM(BX95:BX99),5)</f>
        <v>693.42</v>
      </c>
      <c r="BY100" s="18"/>
      <c r="BZ100" s="19">
        <f>ROUND(SUM(BZ95:BZ99),5)</f>
        <v>416.46</v>
      </c>
      <c r="CA100" s="18"/>
      <c r="CB100" s="19">
        <f>ROUND(SUM(CB95:CB99),5)</f>
        <v>289</v>
      </c>
      <c r="CC100" s="18"/>
      <c r="CD100" s="19">
        <f>ROUND(SUM(CD95:CD99),5)</f>
        <v>845.96</v>
      </c>
      <c r="CE100" s="18"/>
      <c r="CF100" s="19">
        <f>ROUND(SUM(CF95:CF99),5)</f>
        <v>701.46</v>
      </c>
      <c r="CG100" s="18"/>
      <c r="CH100" s="19">
        <f>ROUND(SUM(CH95:CH99),5)</f>
        <v>818.02</v>
      </c>
      <c r="CI100" s="18"/>
      <c r="CJ100" s="19">
        <f>ROUND(SUM(CJ95:CJ99),5)</f>
        <v>701.3</v>
      </c>
      <c r="CK100" s="18"/>
      <c r="CL100" s="19">
        <f>ROUND(SUM(CL95:CL99),5)</f>
        <v>0</v>
      </c>
      <c r="CM100" s="18"/>
      <c r="CN100" s="19">
        <f t="shared" si="4"/>
        <v>25525.09</v>
      </c>
    </row>
    <row r="101" spans="1:92" x14ac:dyDescent="0.3">
      <c r="A101" s="16"/>
      <c r="B101" s="16"/>
      <c r="C101" s="16"/>
      <c r="D101" s="16"/>
      <c r="E101" s="16" t="s">
        <v>28</v>
      </c>
      <c r="F101" s="16"/>
      <c r="G101" s="16"/>
      <c r="H101" s="19">
        <v>0</v>
      </c>
      <c r="I101" s="18"/>
      <c r="J101" s="19">
        <v>0</v>
      </c>
      <c r="K101" s="18"/>
      <c r="L101" s="19">
        <v>0</v>
      </c>
      <c r="M101" s="18"/>
      <c r="N101" s="19">
        <v>0</v>
      </c>
      <c r="O101" s="18"/>
      <c r="P101" s="19">
        <v>80.25</v>
      </c>
      <c r="Q101" s="18"/>
      <c r="R101" s="19">
        <v>-80.25</v>
      </c>
      <c r="S101" s="18"/>
      <c r="T101" s="19">
        <v>0</v>
      </c>
      <c r="U101" s="18"/>
      <c r="V101" s="19">
        <v>0</v>
      </c>
      <c r="W101" s="18"/>
      <c r="X101" s="19">
        <v>0</v>
      </c>
      <c r="Y101" s="18"/>
      <c r="Z101" s="19">
        <v>0</v>
      </c>
      <c r="AA101" s="18"/>
      <c r="AB101" s="19">
        <v>0</v>
      </c>
      <c r="AC101" s="18"/>
      <c r="AD101" s="19">
        <v>0</v>
      </c>
      <c r="AE101" s="18"/>
      <c r="AF101" s="19">
        <v>0</v>
      </c>
      <c r="AG101" s="18"/>
      <c r="AH101" s="19">
        <v>0</v>
      </c>
      <c r="AI101" s="18"/>
      <c r="AJ101" s="19">
        <v>0</v>
      </c>
      <c r="AK101" s="18"/>
      <c r="AL101" s="19">
        <v>0</v>
      </c>
      <c r="AM101" s="18"/>
      <c r="AN101" s="19">
        <v>0</v>
      </c>
      <c r="AO101" s="18"/>
      <c r="AP101" s="19">
        <v>0</v>
      </c>
      <c r="AQ101" s="18"/>
      <c r="AR101" s="19">
        <v>0</v>
      </c>
      <c r="AS101" s="18"/>
      <c r="AT101" s="19">
        <v>0</v>
      </c>
      <c r="AU101" s="18"/>
      <c r="AV101" s="19">
        <v>0</v>
      </c>
      <c r="AW101" s="18"/>
      <c r="AX101" s="19">
        <v>75</v>
      </c>
      <c r="AY101" s="18"/>
      <c r="AZ101" s="19">
        <v>0</v>
      </c>
      <c r="BA101" s="18"/>
      <c r="BB101" s="19">
        <v>0</v>
      </c>
      <c r="BC101" s="18"/>
      <c r="BD101" s="19">
        <v>0</v>
      </c>
      <c r="BE101" s="18"/>
      <c r="BF101" s="19">
        <v>0</v>
      </c>
      <c r="BG101" s="18"/>
      <c r="BH101" s="19">
        <v>40</v>
      </c>
      <c r="BI101" s="18"/>
      <c r="BJ101" s="19">
        <v>0</v>
      </c>
      <c r="BK101" s="18"/>
      <c r="BL101" s="19">
        <v>0</v>
      </c>
      <c r="BM101" s="18"/>
      <c r="BN101" s="19">
        <v>0</v>
      </c>
      <c r="BO101" s="18"/>
      <c r="BP101" s="19">
        <v>0</v>
      </c>
      <c r="BQ101" s="18"/>
      <c r="BR101" s="19">
        <v>75</v>
      </c>
      <c r="BS101" s="18"/>
      <c r="BT101" s="19">
        <v>0</v>
      </c>
      <c r="BU101" s="18"/>
      <c r="BV101" s="19">
        <v>80.25</v>
      </c>
      <c r="BW101" s="18"/>
      <c r="BX101" s="19">
        <v>0</v>
      </c>
      <c r="BY101" s="18"/>
      <c r="BZ101" s="19">
        <v>0</v>
      </c>
      <c r="CA101" s="18"/>
      <c r="CB101" s="19">
        <v>0</v>
      </c>
      <c r="CC101" s="18"/>
      <c r="CD101" s="19">
        <v>0</v>
      </c>
      <c r="CE101" s="18"/>
      <c r="CF101" s="19">
        <v>0</v>
      </c>
      <c r="CG101" s="18"/>
      <c r="CH101" s="19">
        <v>0</v>
      </c>
      <c r="CI101" s="18"/>
      <c r="CJ101" s="19">
        <v>0</v>
      </c>
      <c r="CK101" s="18"/>
      <c r="CL101" s="19">
        <v>0</v>
      </c>
      <c r="CM101" s="18"/>
      <c r="CN101" s="19">
        <f t="shared" si="4"/>
        <v>270.25</v>
      </c>
    </row>
    <row r="102" spans="1:92" x14ac:dyDescent="0.3">
      <c r="A102" s="16"/>
      <c r="B102" s="16"/>
      <c r="C102" s="16"/>
      <c r="D102" s="16"/>
      <c r="E102" s="16" t="s">
        <v>27</v>
      </c>
      <c r="F102" s="16"/>
      <c r="G102" s="16"/>
      <c r="H102" s="19">
        <v>0</v>
      </c>
      <c r="I102" s="18"/>
      <c r="J102" s="19">
        <v>156.79</v>
      </c>
      <c r="K102" s="18"/>
      <c r="L102" s="19">
        <v>20</v>
      </c>
      <c r="M102" s="18"/>
      <c r="N102" s="19">
        <v>0</v>
      </c>
      <c r="O102" s="18"/>
      <c r="P102" s="19">
        <v>161.22999999999999</v>
      </c>
      <c r="Q102" s="18"/>
      <c r="R102" s="19">
        <v>0</v>
      </c>
      <c r="S102" s="18"/>
      <c r="T102" s="19">
        <v>0</v>
      </c>
      <c r="U102" s="18"/>
      <c r="V102" s="19">
        <v>0</v>
      </c>
      <c r="W102" s="18"/>
      <c r="X102" s="19">
        <v>74</v>
      </c>
      <c r="Y102" s="18"/>
      <c r="Z102" s="19">
        <v>0</v>
      </c>
      <c r="AA102" s="18"/>
      <c r="AB102" s="19">
        <v>0</v>
      </c>
      <c r="AC102" s="18"/>
      <c r="AD102" s="19">
        <v>0</v>
      </c>
      <c r="AE102" s="18"/>
      <c r="AF102" s="19">
        <v>0</v>
      </c>
      <c r="AG102" s="18"/>
      <c r="AH102" s="19">
        <v>0</v>
      </c>
      <c r="AI102" s="18"/>
      <c r="AJ102" s="19">
        <v>0</v>
      </c>
      <c r="AK102" s="18"/>
      <c r="AL102" s="19">
        <v>0</v>
      </c>
      <c r="AM102" s="18"/>
      <c r="AN102" s="19">
        <v>0</v>
      </c>
      <c r="AO102" s="18"/>
      <c r="AP102" s="19">
        <v>0</v>
      </c>
      <c r="AQ102" s="18"/>
      <c r="AR102" s="19">
        <v>70.650000000000006</v>
      </c>
      <c r="AS102" s="18"/>
      <c r="AT102" s="19">
        <v>0</v>
      </c>
      <c r="AU102" s="18"/>
      <c r="AV102" s="19">
        <v>131.1</v>
      </c>
      <c r="AW102" s="18"/>
      <c r="AX102" s="19">
        <v>0</v>
      </c>
      <c r="AY102" s="18"/>
      <c r="AZ102" s="19">
        <v>0</v>
      </c>
      <c r="BA102" s="18"/>
      <c r="BB102" s="19">
        <v>151.71</v>
      </c>
      <c r="BC102" s="18"/>
      <c r="BD102" s="19">
        <v>0</v>
      </c>
      <c r="BE102" s="18"/>
      <c r="BF102" s="19">
        <v>0</v>
      </c>
      <c r="BG102" s="18"/>
      <c r="BH102" s="19">
        <v>170.04</v>
      </c>
      <c r="BI102" s="18"/>
      <c r="BJ102" s="19">
        <v>0</v>
      </c>
      <c r="BK102" s="18"/>
      <c r="BL102" s="19">
        <v>0</v>
      </c>
      <c r="BM102" s="18"/>
      <c r="BN102" s="19">
        <v>170.52</v>
      </c>
      <c r="BO102" s="18"/>
      <c r="BP102" s="19">
        <v>0</v>
      </c>
      <c r="BQ102" s="18"/>
      <c r="BR102" s="19">
        <v>0</v>
      </c>
      <c r="BS102" s="18"/>
      <c r="BT102" s="19">
        <v>206.7</v>
      </c>
      <c r="BU102" s="18"/>
      <c r="BV102" s="19">
        <v>0</v>
      </c>
      <c r="BW102" s="18"/>
      <c r="BX102" s="19">
        <v>0</v>
      </c>
      <c r="BY102" s="18"/>
      <c r="BZ102" s="19">
        <v>196.74</v>
      </c>
      <c r="CA102" s="18"/>
      <c r="CB102" s="19">
        <v>0</v>
      </c>
      <c r="CC102" s="18"/>
      <c r="CD102" s="19">
        <v>0</v>
      </c>
      <c r="CE102" s="18"/>
      <c r="CF102" s="19">
        <v>199.39</v>
      </c>
      <c r="CG102" s="18"/>
      <c r="CH102" s="19">
        <v>0</v>
      </c>
      <c r="CI102" s="18"/>
      <c r="CJ102" s="19">
        <v>0</v>
      </c>
      <c r="CK102" s="18"/>
      <c r="CL102" s="19">
        <v>198.09</v>
      </c>
      <c r="CM102" s="18"/>
      <c r="CN102" s="19">
        <f t="shared" si="4"/>
        <v>1906.96</v>
      </c>
    </row>
    <row r="103" spans="1:92" x14ac:dyDescent="0.3">
      <c r="A103" s="16"/>
      <c r="B103" s="16"/>
      <c r="C103" s="16"/>
      <c r="D103" s="16"/>
      <c r="E103" s="16" t="s">
        <v>26</v>
      </c>
      <c r="F103" s="16"/>
      <c r="G103" s="16"/>
      <c r="H103" s="19">
        <v>0</v>
      </c>
      <c r="I103" s="18"/>
      <c r="J103" s="19">
        <v>215.2</v>
      </c>
      <c r="K103" s="18"/>
      <c r="L103" s="19">
        <v>12.59</v>
      </c>
      <c r="M103" s="18"/>
      <c r="N103" s="19">
        <v>45.19</v>
      </c>
      <c r="O103" s="18"/>
      <c r="P103" s="19">
        <v>18.29</v>
      </c>
      <c r="Q103" s="18"/>
      <c r="R103" s="19">
        <v>0</v>
      </c>
      <c r="S103" s="18"/>
      <c r="T103" s="19">
        <v>108.81</v>
      </c>
      <c r="U103" s="18"/>
      <c r="V103" s="19">
        <v>0</v>
      </c>
      <c r="W103" s="18"/>
      <c r="X103" s="19">
        <v>0</v>
      </c>
      <c r="Y103" s="18"/>
      <c r="Z103" s="19">
        <v>0</v>
      </c>
      <c r="AA103" s="18"/>
      <c r="AB103" s="19">
        <v>0</v>
      </c>
      <c r="AC103" s="18"/>
      <c r="AD103" s="19">
        <v>0</v>
      </c>
      <c r="AE103" s="18"/>
      <c r="AF103" s="19">
        <v>0</v>
      </c>
      <c r="AG103" s="18"/>
      <c r="AH103" s="19">
        <v>0</v>
      </c>
      <c r="AI103" s="18"/>
      <c r="AJ103" s="19">
        <v>47.5</v>
      </c>
      <c r="AK103" s="18"/>
      <c r="AL103" s="19">
        <v>90.54</v>
      </c>
      <c r="AM103" s="18"/>
      <c r="AN103" s="19">
        <v>0</v>
      </c>
      <c r="AO103" s="18"/>
      <c r="AP103" s="19">
        <v>87.02</v>
      </c>
      <c r="AQ103" s="18"/>
      <c r="AR103" s="19">
        <v>273.45999999999998</v>
      </c>
      <c r="AS103" s="18"/>
      <c r="AT103" s="19">
        <v>639.88</v>
      </c>
      <c r="AU103" s="18"/>
      <c r="AV103" s="19">
        <v>59.83</v>
      </c>
      <c r="AW103" s="18"/>
      <c r="AX103" s="19">
        <v>0</v>
      </c>
      <c r="AY103" s="18"/>
      <c r="AZ103" s="19">
        <v>0</v>
      </c>
      <c r="BA103" s="18"/>
      <c r="BB103" s="19">
        <v>0</v>
      </c>
      <c r="BC103" s="18"/>
      <c r="BD103" s="19">
        <v>0</v>
      </c>
      <c r="BE103" s="18"/>
      <c r="BF103" s="19">
        <v>294.77999999999997</v>
      </c>
      <c r="BG103" s="18"/>
      <c r="BH103" s="19">
        <v>17</v>
      </c>
      <c r="BI103" s="18"/>
      <c r="BJ103" s="19">
        <v>0</v>
      </c>
      <c r="BK103" s="18"/>
      <c r="BL103" s="19">
        <v>49.5</v>
      </c>
      <c r="BM103" s="18"/>
      <c r="BN103" s="19">
        <v>213.06</v>
      </c>
      <c r="BO103" s="18"/>
      <c r="BP103" s="19">
        <v>218.53</v>
      </c>
      <c r="BQ103" s="18"/>
      <c r="BR103" s="19">
        <v>71.5</v>
      </c>
      <c r="BS103" s="18"/>
      <c r="BT103" s="19">
        <v>0</v>
      </c>
      <c r="BU103" s="18"/>
      <c r="BV103" s="19">
        <v>0</v>
      </c>
      <c r="BW103" s="18"/>
      <c r="BX103" s="19">
        <v>0</v>
      </c>
      <c r="BY103" s="18"/>
      <c r="BZ103" s="19">
        <v>0</v>
      </c>
      <c r="CA103" s="18"/>
      <c r="CB103" s="19">
        <v>0</v>
      </c>
      <c r="CC103" s="18"/>
      <c r="CD103" s="19">
        <v>0</v>
      </c>
      <c r="CE103" s="18"/>
      <c r="CF103" s="19">
        <v>0</v>
      </c>
      <c r="CG103" s="18"/>
      <c r="CH103" s="19">
        <v>0</v>
      </c>
      <c r="CI103" s="18"/>
      <c r="CJ103" s="19">
        <v>55.4</v>
      </c>
      <c r="CK103" s="18"/>
      <c r="CL103" s="19">
        <v>0</v>
      </c>
      <c r="CM103" s="18"/>
      <c r="CN103" s="19">
        <f t="shared" si="4"/>
        <v>2518.08</v>
      </c>
    </row>
    <row r="104" spans="1:92" x14ac:dyDescent="0.3">
      <c r="A104" s="16"/>
      <c r="B104" s="16"/>
      <c r="C104" s="16"/>
      <c r="D104" s="16"/>
      <c r="E104" s="16" t="s">
        <v>25</v>
      </c>
      <c r="F104" s="16"/>
      <c r="G104" s="16"/>
      <c r="H104" s="19">
        <v>92.73</v>
      </c>
      <c r="I104" s="18"/>
      <c r="J104" s="19">
        <v>136.72999999999999</v>
      </c>
      <c r="K104" s="18"/>
      <c r="L104" s="19">
        <v>157.72999999999999</v>
      </c>
      <c r="M104" s="18"/>
      <c r="N104" s="19">
        <v>85.44</v>
      </c>
      <c r="O104" s="18"/>
      <c r="P104" s="19">
        <v>96.21</v>
      </c>
      <c r="Q104" s="18"/>
      <c r="R104" s="19">
        <v>83.75</v>
      </c>
      <c r="S104" s="18"/>
      <c r="T104" s="19">
        <v>214.46</v>
      </c>
      <c r="U104" s="18"/>
      <c r="V104" s="19">
        <v>225.93</v>
      </c>
      <c r="W104" s="18"/>
      <c r="X104" s="19">
        <v>272.69</v>
      </c>
      <c r="Y104" s="18"/>
      <c r="Z104" s="19">
        <v>392.94</v>
      </c>
      <c r="AA104" s="18"/>
      <c r="AB104" s="19">
        <v>203.75</v>
      </c>
      <c r="AC104" s="18"/>
      <c r="AD104" s="19">
        <v>155</v>
      </c>
      <c r="AE104" s="18"/>
      <c r="AF104" s="19">
        <v>201.48</v>
      </c>
      <c r="AG104" s="18"/>
      <c r="AH104" s="19">
        <v>196.65</v>
      </c>
      <c r="AI104" s="18"/>
      <c r="AJ104" s="19">
        <v>380.52</v>
      </c>
      <c r="AK104" s="18"/>
      <c r="AL104" s="19">
        <v>228.25</v>
      </c>
      <c r="AM104" s="18"/>
      <c r="AN104" s="19">
        <v>314.68</v>
      </c>
      <c r="AO104" s="18"/>
      <c r="AP104" s="19">
        <v>266.18</v>
      </c>
      <c r="AQ104" s="18"/>
      <c r="AR104" s="19">
        <v>619.79999999999995</v>
      </c>
      <c r="AS104" s="18"/>
      <c r="AT104" s="19">
        <v>471.14</v>
      </c>
      <c r="AU104" s="18"/>
      <c r="AV104" s="19">
        <v>402.06</v>
      </c>
      <c r="AW104" s="18"/>
      <c r="AX104" s="19">
        <v>480.29</v>
      </c>
      <c r="AY104" s="18"/>
      <c r="AZ104" s="19">
        <v>481.39</v>
      </c>
      <c r="BA104" s="18"/>
      <c r="BB104" s="19">
        <v>237.04</v>
      </c>
      <c r="BC104" s="18"/>
      <c r="BD104" s="19">
        <v>121.2</v>
      </c>
      <c r="BE104" s="18"/>
      <c r="BF104" s="19">
        <v>224.22</v>
      </c>
      <c r="BG104" s="18"/>
      <c r="BH104" s="19">
        <v>115.01</v>
      </c>
      <c r="BI104" s="18"/>
      <c r="BJ104" s="19">
        <v>191.95</v>
      </c>
      <c r="BK104" s="18"/>
      <c r="BL104" s="19">
        <v>93.5</v>
      </c>
      <c r="BM104" s="18"/>
      <c r="BN104" s="19">
        <v>221.12</v>
      </c>
      <c r="BO104" s="18"/>
      <c r="BP104" s="19">
        <v>319.29000000000002</v>
      </c>
      <c r="BQ104" s="18"/>
      <c r="BR104" s="19">
        <v>327.47000000000003</v>
      </c>
      <c r="BS104" s="18"/>
      <c r="BT104" s="19">
        <v>474.99</v>
      </c>
      <c r="BU104" s="18"/>
      <c r="BV104" s="19">
        <v>466.71</v>
      </c>
      <c r="BW104" s="18"/>
      <c r="BX104" s="19">
        <v>295.13</v>
      </c>
      <c r="BY104" s="18"/>
      <c r="BZ104" s="19">
        <v>367.33</v>
      </c>
      <c r="CA104" s="18"/>
      <c r="CB104" s="19">
        <v>343.29</v>
      </c>
      <c r="CC104" s="18"/>
      <c r="CD104" s="19">
        <v>241.73</v>
      </c>
      <c r="CE104" s="18"/>
      <c r="CF104" s="19">
        <v>332.65</v>
      </c>
      <c r="CG104" s="18"/>
      <c r="CH104" s="19">
        <v>330.22</v>
      </c>
      <c r="CI104" s="18"/>
      <c r="CJ104" s="19">
        <v>92.89</v>
      </c>
      <c r="CK104" s="18"/>
      <c r="CL104" s="19">
        <v>181</v>
      </c>
      <c r="CM104" s="18"/>
      <c r="CN104" s="19">
        <f t="shared" si="4"/>
        <v>11136.54</v>
      </c>
    </row>
    <row r="105" spans="1:92" x14ac:dyDescent="0.3">
      <c r="A105" s="16"/>
      <c r="B105" s="16"/>
      <c r="C105" s="16"/>
      <c r="D105" s="16"/>
      <c r="E105" s="16" t="s">
        <v>24</v>
      </c>
      <c r="F105" s="16"/>
      <c r="G105" s="16"/>
      <c r="H105" s="19"/>
      <c r="I105" s="18"/>
      <c r="J105" s="19"/>
      <c r="K105" s="18"/>
      <c r="L105" s="19"/>
      <c r="M105" s="18"/>
      <c r="N105" s="19"/>
      <c r="O105" s="18"/>
      <c r="P105" s="19"/>
      <c r="Q105" s="18"/>
      <c r="R105" s="19"/>
      <c r="S105" s="18"/>
      <c r="T105" s="19"/>
      <c r="U105" s="18"/>
      <c r="V105" s="19"/>
      <c r="W105" s="18"/>
      <c r="X105" s="19"/>
      <c r="Y105" s="18"/>
      <c r="Z105" s="19"/>
      <c r="AA105" s="18"/>
      <c r="AB105" s="19"/>
      <c r="AC105" s="18"/>
      <c r="AD105" s="19"/>
      <c r="AE105" s="18"/>
      <c r="AF105" s="19"/>
      <c r="AG105" s="18"/>
      <c r="AH105" s="19"/>
      <c r="AI105" s="18"/>
      <c r="AJ105" s="19"/>
      <c r="AK105" s="18"/>
      <c r="AL105" s="19"/>
      <c r="AM105" s="18"/>
      <c r="AN105" s="19"/>
      <c r="AO105" s="18"/>
      <c r="AP105" s="19"/>
      <c r="AQ105" s="18"/>
      <c r="AR105" s="19"/>
      <c r="AS105" s="18"/>
      <c r="AT105" s="19"/>
      <c r="AU105" s="18"/>
      <c r="AV105" s="19"/>
      <c r="AW105" s="18"/>
      <c r="AX105" s="19"/>
      <c r="AY105" s="18"/>
      <c r="AZ105" s="19"/>
      <c r="BA105" s="18"/>
      <c r="BB105" s="19"/>
      <c r="BC105" s="18"/>
      <c r="BD105" s="19"/>
      <c r="BE105" s="18"/>
      <c r="BF105" s="19"/>
      <c r="BG105" s="18"/>
      <c r="BH105" s="19"/>
      <c r="BI105" s="18"/>
      <c r="BJ105" s="19"/>
      <c r="BK105" s="18"/>
      <c r="BL105" s="19"/>
      <c r="BM105" s="18"/>
      <c r="BN105" s="19"/>
      <c r="BO105" s="18"/>
      <c r="BP105" s="19"/>
      <c r="BQ105" s="18"/>
      <c r="BR105" s="19"/>
      <c r="BS105" s="18"/>
      <c r="BT105" s="19"/>
      <c r="BU105" s="18"/>
      <c r="BV105" s="19"/>
      <c r="BW105" s="18"/>
      <c r="BX105" s="19"/>
      <c r="BY105" s="18"/>
      <c r="BZ105" s="19"/>
      <c r="CA105" s="18"/>
      <c r="CB105" s="19"/>
      <c r="CC105" s="18"/>
      <c r="CD105" s="19"/>
      <c r="CE105" s="18"/>
      <c r="CF105" s="19"/>
      <c r="CG105" s="18"/>
      <c r="CH105" s="19"/>
      <c r="CI105" s="18"/>
      <c r="CJ105" s="19"/>
      <c r="CK105" s="18"/>
      <c r="CL105" s="19"/>
      <c r="CM105" s="18"/>
      <c r="CN105" s="19"/>
    </row>
    <row r="106" spans="1:92" x14ac:dyDescent="0.3">
      <c r="A106" s="16"/>
      <c r="B106" s="16"/>
      <c r="C106" s="16"/>
      <c r="D106" s="16"/>
      <c r="E106" s="16"/>
      <c r="F106" s="16" t="s">
        <v>23</v>
      </c>
      <c r="G106" s="16"/>
      <c r="H106" s="19">
        <v>0</v>
      </c>
      <c r="I106" s="18"/>
      <c r="J106" s="19">
        <v>25</v>
      </c>
      <c r="K106" s="18"/>
      <c r="L106" s="19">
        <v>0</v>
      </c>
      <c r="M106" s="18"/>
      <c r="N106" s="19">
        <v>66</v>
      </c>
      <c r="O106" s="18"/>
      <c r="P106" s="19">
        <v>168</v>
      </c>
      <c r="Q106" s="18"/>
      <c r="R106" s="19">
        <v>0</v>
      </c>
      <c r="S106" s="18"/>
      <c r="T106" s="19">
        <v>0</v>
      </c>
      <c r="U106" s="18"/>
      <c r="V106" s="19">
        <v>7</v>
      </c>
      <c r="W106" s="18"/>
      <c r="X106" s="19">
        <v>0</v>
      </c>
      <c r="Y106" s="18"/>
      <c r="Z106" s="19">
        <v>0</v>
      </c>
      <c r="AA106" s="18"/>
      <c r="AB106" s="19">
        <v>0</v>
      </c>
      <c r="AC106" s="18"/>
      <c r="AD106" s="19">
        <v>0</v>
      </c>
      <c r="AE106" s="18"/>
      <c r="AF106" s="19">
        <v>0</v>
      </c>
      <c r="AG106" s="18"/>
      <c r="AH106" s="19">
        <v>0</v>
      </c>
      <c r="AI106" s="18"/>
      <c r="AJ106" s="19">
        <v>0</v>
      </c>
      <c r="AK106" s="18"/>
      <c r="AL106" s="19">
        <v>0</v>
      </c>
      <c r="AM106" s="18"/>
      <c r="AN106" s="19">
        <v>0</v>
      </c>
      <c r="AO106" s="18"/>
      <c r="AP106" s="19">
        <v>0</v>
      </c>
      <c r="AQ106" s="18"/>
      <c r="AR106" s="19">
        <v>0</v>
      </c>
      <c r="AS106" s="18"/>
      <c r="AT106" s="19">
        <v>0</v>
      </c>
      <c r="AU106" s="18"/>
      <c r="AV106" s="19">
        <v>0</v>
      </c>
      <c r="AW106" s="18"/>
      <c r="AX106" s="19">
        <v>3</v>
      </c>
      <c r="AY106" s="18"/>
      <c r="AZ106" s="19">
        <v>0</v>
      </c>
      <c r="BA106" s="18"/>
      <c r="BB106" s="19">
        <v>0</v>
      </c>
      <c r="BC106" s="18"/>
      <c r="BD106" s="19">
        <v>20</v>
      </c>
      <c r="BE106" s="18"/>
      <c r="BF106" s="19">
        <v>0</v>
      </c>
      <c r="BG106" s="18"/>
      <c r="BH106" s="19">
        <v>0</v>
      </c>
      <c r="BI106" s="18"/>
      <c r="BJ106" s="19">
        <v>0</v>
      </c>
      <c r="BK106" s="18"/>
      <c r="BL106" s="19">
        <v>20.48</v>
      </c>
      <c r="BM106" s="18"/>
      <c r="BN106" s="19">
        <v>0</v>
      </c>
      <c r="BO106" s="18"/>
      <c r="BP106" s="19">
        <v>0</v>
      </c>
      <c r="BQ106" s="18"/>
      <c r="BR106" s="19">
        <v>126.66</v>
      </c>
      <c r="BS106" s="18"/>
      <c r="BT106" s="19">
        <v>0</v>
      </c>
      <c r="BU106" s="18"/>
      <c r="BV106" s="19">
        <v>0</v>
      </c>
      <c r="BW106" s="18"/>
      <c r="BX106" s="19">
        <v>0</v>
      </c>
      <c r="BY106" s="18"/>
      <c r="BZ106" s="19">
        <v>0</v>
      </c>
      <c r="CA106" s="18"/>
      <c r="CB106" s="19">
        <v>25</v>
      </c>
      <c r="CC106" s="18"/>
      <c r="CD106" s="19">
        <v>0</v>
      </c>
      <c r="CE106" s="18"/>
      <c r="CF106" s="19">
        <v>0</v>
      </c>
      <c r="CG106" s="18"/>
      <c r="CH106" s="19">
        <v>0</v>
      </c>
      <c r="CI106" s="18"/>
      <c r="CJ106" s="19">
        <v>0</v>
      </c>
      <c r="CK106" s="18"/>
      <c r="CL106" s="19">
        <v>35</v>
      </c>
      <c r="CM106" s="18"/>
      <c r="CN106" s="19">
        <f t="shared" ref="CN106:CN114" si="5">ROUND(SUM(H106:CL106),5)</f>
        <v>496.14</v>
      </c>
    </row>
    <row r="107" spans="1:92" x14ac:dyDescent="0.3">
      <c r="A107" s="16"/>
      <c r="B107" s="16"/>
      <c r="C107" s="16"/>
      <c r="D107" s="16"/>
      <c r="E107" s="16"/>
      <c r="F107" s="16" t="s">
        <v>22</v>
      </c>
      <c r="G107" s="16"/>
      <c r="H107" s="19">
        <v>0</v>
      </c>
      <c r="I107" s="18"/>
      <c r="J107" s="19">
        <v>0</v>
      </c>
      <c r="K107" s="18"/>
      <c r="L107" s="19">
        <v>0</v>
      </c>
      <c r="M107" s="18"/>
      <c r="N107" s="19">
        <v>0</v>
      </c>
      <c r="O107" s="18"/>
      <c r="P107" s="19">
        <v>0</v>
      </c>
      <c r="Q107" s="18"/>
      <c r="R107" s="19">
        <v>30.75</v>
      </c>
      <c r="S107" s="18"/>
      <c r="T107" s="19">
        <v>0</v>
      </c>
      <c r="U107" s="18"/>
      <c r="V107" s="19">
        <v>0</v>
      </c>
      <c r="W107" s="18"/>
      <c r="X107" s="19">
        <v>0</v>
      </c>
      <c r="Y107" s="18"/>
      <c r="Z107" s="19">
        <v>0</v>
      </c>
      <c r="AA107" s="18"/>
      <c r="AB107" s="19">
        <v>29</v>
      </c>
      <c r="AC107" s="18"/>
      <c r="AD107" s="19">
        <v>0</v>
      </c>
      <c r="AE107" s="18"/>
      <c r="AF107" s="19">
        <v>0</v>
      </c>
      <c r="AG107" s="18"/>
      <c r="AH107" s="19">
        <v>0</v>
      </c>
      <c r="AI107" s="18"/>
      <c r="AJ107" s="19">
        <v>0</v>
      </c>
      <c r="AK107" s="18"/>
      <c r="AL107" s="19">
        <v>0</v>
      </c>
      <c r="AM107" s="18"/>
      <c r="AN107" s="19">
        <v>0</v>
      </c>
      <c r="AO107" s="18"/>
      <c r="AP107" s="19">
        <v>0</v>
      </c>
      <c r="AQ107" s="18"/>
      <c r="AR107" s="19">
        <v>0</v>
      </c>
      <c r="AS107" s="18"/>
      <c r="AT107" s="19">
        <v>0</v>
      </c>
      <c r="AU107" s="18"/>
      <c r="AV107" s="19">
        <v>0</v>
      </c>
      <c r="AW107" s="18"/>
      <c r="AX107" s="19">
        <v>0</v>
      </c>
      <c r="AY107" s="18"/>
      <c r="AZ107" s="19">
        <v>0</v>
      </c>
      <c r="BA107" s="18"/>
      <c r="BB107" s="19">
        <v>0</v>
      </c>
      <c r="BC107" s="18"/>
      <c r="BD107" s="19">
        <v>0</v>
      </c>
      <c r="BE107" s="18"/>
      <c r="BF107" s="19">
        <v>0</v>
      </c>
      <c r="BG107" s="18"/>
      <c r="BH107" s="19">
        <v>0</v>
      </c>
      <c r="BI107" s="18"/>
      <c r="BJ107" s="19">
        <v>34.4</v>
      </c>
      <c r="BK107" s="18"/>
      <c r="BL107" s="19">
        <v>0</v>
      </c>
      <c r="BM107" s="18"/>
      <c r="BN107" s="19">
        <v>12.8</v>
      </c>
      <c r="BO107" s="18"/>
      <c r="BP107" s="19">
        <v>13</v>
      </c>
      <c r="BQ107" s="18"/>
      <c r="BR107" s="19">
        <v>0</v>
      </c>
      <c r="BS107" s="18"/>
      <c r="BT107" s="19">
        <v>0</v>
      </c>
      <c r="BU107" s="18"/>
      <c r="BV107" s="19">
        <v>0</v>
      </c>
      <c r="BW107" s="18"/>
      <c r="BX107" s="19">
        <v>14.72</v>
      </c>
      <c r="BY107" s="18"/>
      <c r="BZ107" s="19">
        <v>0</v>
      </c>
      <c r="CA107" s="18"/>
      <c r="CB107" s="19">
        <v>0</v>
      </c>
      <c r="CC107" s="18"/>
      <c r="CD107" s="19">
        <v>0</v>
      </c>
      <c r="CE107" s="18"/>
      <c r="CF107" s="19">
        <v>50.95</v>
      </c>
      <c r="CG107" s="18"/>
      <c r="CH107" s="19">
        <v>0</v>
      </c>
      <c r="CI107" s="18"/>
      <c r="CJ107" s="19">
        <v>0</v>
      </c>
      <c r="CK107" s="18"/>
      <c r="CL107" s="19">
        <v>0</v>
      </c>
      <c r="CM107" s="18"/>
      <c r="CN107" s="19">
        <f t="shared" si="5"/>
        <v>185.62</v>
      </c>
    </row>
    <row r="108" spans="1:92" x14ac:dyDescent="0.3">
      <c r="A108" s="16"/>
      <c r="B108" s="16"/>
      <c r="C108" s="16"/>
      <c r="D108" s="16"/>
      <c r="E108" s="16"/>
      <c r="F108" s="16" t="s">
        <v>21</v>
      </c>
      <c r="G108" s="16"/>
      <c r="H108" s="19">
        <v>131.34</v>
      </c>
      <c r="I108" s="18"/>
      <c r="J108" s="19">
        <v>207.61</v>
      </c>
      <c r="K108" s="18"/>
      <c r="L108" s="19">
        <v>387.84</v>
      </c>
      <c r="M108" s="18"/>
      <c r="N108" s="19">
        <v>444.82</v>
      </c>
      <c r="O108" s="18"/>
      <c r="P108" s="19">
        <v>0</v>
      </c>
      <c r="Q108" s="18"/>
      <c r="R108" s="19">
        <v>0</v>
      </c>
      <c r="S108" s="18"/>
      <c r="T108" s="19">
        <v>0</v>
      </c>
      <c r="U108" s="18"/>
      <c r="V108" s="19">
        <v>168.48</v>
      </c>
      <c r="W108" s="18"/>
      <c r="X108" s="19">
        <v>151.09</v>
      </c>
      <c r="Y108" s="18"/>
      <c r="Z108" s="19">
        <v>0</v>
      </c>
      <c r="AA108" s="18"/>
      <c r="AB108" s="19">
        <v>0</v>
      </c>
      <c r="AC108" s="18"/>
      <c r="AD108" s="19">
        <v>0</v>
      </c>
      <c r="AE108" s="18"/>
      <c r="AF108" s="19">
        <v>401.89</v>
      </c>
      <c r="AG108" s="18"/>
      <c r="AH108" s="19">
        <v>348.17</v>
      </c>
      <c r="AI108" s="18"/>
      <c r="AJ108" s="19">
        <v>0</v>
      </c>
      <c r="AK108" s="18"/>
      <c r="AL108" s="19">
        <v>344.39</v>
      </c>
      <c r="AM108" s="18"/>
      <c r="AN108" s="19">
        <v>8.73</v>
      </c>
      <c r="AO108" s="18"/>
      <c r="AP108" s="19">
        <v>0</v>
      </c>
      <c r="AQ108" s="18"/>
      <c r="AR108" s="19">
        <v>0</v>
      </c>
      <c r="AS108" s="18"/>
      <c r="AT108" s="19">
        <v>0</v>
      </c>
      <c r="AU108" s="18"/>
      <c r="AV108" s="19">
        <v>114.18</v>
      </c>
      <c r="AW108" s="18"/>
      <c r="AX108" s="19">
        <v>1103.8499999999999</v>
      </c>
      <c r="AY108" s="18"/>
      <c r="AZ108" s="19">
        <v>0</v>
      </c>
      <c r="BA108" s="18"/>
      <c r="BB108" s="19">
        <v>0</v>
      </c>
      <c r="BC108" s="18"/>
      <c r="BD108" s="19">
        <v>388.87</v>
      </c>
      <c r="BE108" s="18"/>
      <c r="BF108" s="19">
        <v>0</v>
      </c>
      <c r="BG108" s="18"/>
      <c r="BH108" s="19">
        <v>0</v>
      </c>
      <c r="BI108" s="18"/>
      <c r="BJ108" s="19">
        <v>647.24</v>
      </c>
      <c r="BK108" s="18"/>
      <c r="BL108" s="19">
        <v>0</v>
      </c>
      <c r="BM108" s="18"/>
      <c r="BN108" s="19">
        <v>0</v>
      </c>
      <c r="BO108" s="18"/>
      <c r="BP108" s="19">
        <v>0</v>
      </c>
      <c r="BQ108" s="18"/>
      <c r="BR108" s="19">
        <v>0</v>
      </c>
      <c r="BS108" s="18"/>
      <c r="BT108" s="19">
        <v>407.99</v>
      </c>
      <c r="BU108" s="18"/>
      <c r="BV108" s="19">
        <v>846.15</v>
      </c>
      <c r="BW108" s="18"/>
      <c r="BX108" s="19">
        <v>0</v>
      </c>
      <c r="BY108" s="18"/>
      <c r="BZ108" s="19">
        <v>0</v>
      </c>
      <c r="CA108" s="18"/>
      <c r="CB108" s="19">
        <v>437.35</v>
      </c>
      <c r="CC108" s="18"/>
      <c r="CD108" s="19">
        <v>44.05</v>
      </c>
      <c r="CE108" s="18"/>
      <c r="CF108" s="19">
        <v>0</v>
      </c>
      <c r="CG108" s="18"/>
      <c r="CH108" s="19">
        <v>219.45</v>
      </c>
      <c r="CI108" s="18"/>
      <c r="CJ108" s="19">
        <v>252.5</v>
      </c>
      <c r="CK108" s="18"/>
      <c r="CL108" s="19">
        <v>0</v>
      </c>
      <c r="CM108" s="18"/>
      <c r="CN108" s="19">
        <f t="shared" si="5"/>
        <v>7055.99</v>
      </c>
    </row>
    <row r="109" spans="1:92" x14ac:dyDescent="0.3">
      <c r="A109" s="16"/>
      <c r="B109" s="16"/>
      <c r="C109" s="16"/>
      <c r="D109" s="16"/>
      <c r="E109" s="16"/>
      <c r="F109" s="16" t="s">
        <v>20</v>
      </c>
      <c r="G109" s="16"/>
      <c r="H109" s="19">
        <v>304.26</v>
      </c>
      <c r="I109" s="18"/>
      <c r="J109" s="19">
        <v>353.53</v>
      </c>
      <c r="K109" s="18"/>
      <c r="L109" s="19">
        <v>240.37</v>
      </c>
      <c r="M109" s="18"/>
      <c r="N109" s="19">
        <v>208.66</v>
      </c>
      <c r="O109" s="18"/>
      <c r="P109" s="19">
        <v>2168.65</v>
      </c>
      <c r="Q109" s="18"/>
      <c r="R109" s="19">
        <v>184.92</v>
      </c>
      <c r="S109" s="18"/>
      <c r="T109" s="19">
        <v>233.55</v>
      </c>
      <c r="U109" s="18"/>
      <c r="V109" s="19">
        <v>226.68</v>
      </c>
      <c r="W109" s="18"/>
      <c r="X109" s="19">
        <v>245.08</v>
      </c>
      <c r="Y109" s="18"/>
      <c r="Z109" s="19">
        <v>718.18</v>
      </c>
      <c r="AA109" s="18"/>
      <c r="AB109" s="19">
        <v>177.79</v>
      </c>
      <c r="AC109" s="18"/>
      <c r="AD109" s="19">
        <v>330.82</v>
      </c>
      <c r="AE109" s="18"/>
      <c r="AF109" s="19">
        <v>224.53</v>
      </c>
      <c r="AG109" s="18"/>
      <c r="AH109" s="19">
        <v>114.06</v>
      </c>
      <c r="AI109" s="18"/>
      <c r="AJ109" s="19">
        <v>324.73</v>
      </c>
      <c r="AK109" s="18"/>
      <c r="AL109" s="19">
        <v>49</v>
      </c>
      <c r="AM109" s="18"/>
      <c r="AN109" s="19">
        <v>263.54000000000002</v>
      </c>
      <c r="AO109" s="18"/>
      <c r="AP109" s="19">
        <v>2929.45</v>
      </c>
      <c r="AQ109" s="18"/>
      <c r="AR109" s="19">
        <v>116.43</v>
      </c>
      <c r="AS109" s="18"/>
      <c r="AT109" s="19">
        <v>771.37</v>
      </c>
      <c r="AU109" s="18"/>
      <c r="AV109" s="19">
        <v>240</v>
      </c>
      <c r="AW109" s="18"/>
      <c r="AX109" s="19">
        <v>243.02</v>
      </c>
      <c r="AY109" s="18"/>
      <c r="AZ109" s="19">
        <v>149.34</v>
      </c>
      <c r="BA109" s="18"/>
      <c r="BB109" s="19">
        <v>859.35</v>
      </c>
      <c r="BC109" s="18"/>
      <c r="BD109" s="19">
        <v>304.02</v>
      </c>
      <c r="BE109" s="18"/>
      <c r="BF109" s="19">
        <v>416.01</v>
      </c>
      <c r="BG109" s="18"/>
      <c r="BH109" s="19">
        <v>525.53</v>
      </c>
      <c r="BI109" s="18"/>
      <c r="BJ109" s="19">
        <v>371.76</v>
      </c>
      <c r="BK109" s="18"/>
      <c r="BL109" s="19">
        <v>1267.1500000000001</v>
      </c>
      <c r="BM109" s="18"/>
      <c r="BN109" s="19">
        <v>132.85</v>
      </c>
      <c r="BO109" s="18"/>
      <c r="BP109" s="19">
        <v>417.66</v>
      </c>
      <c r="BQ109" s="18"/>
      <c r="BR109" s="19">
        <v>904.4</v>
      </c>
      <c r="BS109" s="18"/>
      <c r="BT109" s="19">
        <v>3687.67</v>
      </c>
      <c r="BU109" s="18"/>
      <c r="BV109" s="19">
        <v>3637.66</v>
      </c>
      <c r="BW109" s="18"/>
      <c r="BX109" s="19">
        <v>67.25</v>
      </c>
      <c r="BY109" s="18"/>
      <c r="BZ109" s="19">
        <v>158.59</v>
      </c>
      <c r="CA109" s="18"/>
      <c r="CB109" s="19">
        <v>239.82</v>
      </c>
      <c r="CC109" s="18"/>
      <c r="CD109" s="19">
        <v>927.79</v>
      </c>
      <c r="CE109" s="18"/>
      <c r="CF109" s="19">
        <v>396.72</v>
      </c>
      <c r="CG109" s="18"/>
      <c r="CH109" s="19">
        <v>565.17999999999995</v>
      </c>
      <c r="CI109" s="18"/>
      <c r="CJ109" s="19">
        <v>71.47</v>
      </c>
      <c r="CK109" s="18"/>
      <c r="CL109" s="19">
        <v>0</v>
      </c>
      <c r="CM109" s="18"/>
      <c r="CN109" s="19">
        <f t="shared" si="5"/>
        <v>25768.84</v>
      </c>
    </row>
    <row r="110" spans="1:92" x14ac:dyDescent="0.3">
      <c r="A110" s="16"/>
      <c r="B110" s="16"/>
      <c r="C110" s="16"/>
      <c r="D110" s="16"/>
      <c r="E110" s="16"/>
      <c r="F110" s="16" t="s">
        <v>19</v>
      </c>
      <c r="G110" s="16"/>
      <c r="H110" s="19">
        <v>0</v>
      </c>
      <c r="I110" s="18"/>
      <c r="J110" s="19">
        <v>0</v>
      </c>
      <c r="K110" s="18"/>
      <c r="L110" s="19">
        <v>111.54</v>
      </c>
      <c r="M110" s="18"/>
      <c r="N110" s="19">
        <v>0</v>
      </c>
      <c r="O110" s="18"/>
      <c r="P110" s="19">
        <v>0</v>
      </c>
      <c r="Q110" s="18"/>
      <c r="R110" s="19">
        <v>0</v>
      </c>
      <c r="S110" s="18"/>
      <c r="T110" s="19">
        <v>0</v>
      </c>
      <c r="U110" s="18"/>
      <c r="V110" s="19">
        <v>0</v>
      </c>
      <c r="W110" s="18"/>
      <c r="X110" s="19">
        <v>0</v>
      </c>
      <c r="Y110" s="18"/>
      <c r="Z110" s="19">
        <v>0</v>
      </c>
      <c r="AA110" s="18"/>
      <c r="AB110" s="19">
        <v>0</v>
      </c>
      <c r="AC110" s="18"/>
      <c r="AD110" s="19">
        <v>0</v>
      </c>
      <c r="AE110" s="18"/>
      <c r="AF110" s="19">
        <v>0</v>
      </c>
      <c r="AG110" s="18"/>
      <c r="AH110" s="19">
        <v>0</v>
      </c>
      <c r="AI110" s="18"/>
      <c r="AJ110" s="19">
        <v>0</v>
      </c>
      <c r="AK110" s="18"/>
      <c r="AL110" s="19">
        <v>0</v>
      </c>
      <c r="AM110" s="18"/>
      <c r="AN110" s="19">
        <v>0</v>
      </c>
      <c r="AO110" s="18"/>
      <c r="AP110" s="19">
        <v>0</v>
      </c>
      <c r="AQ110" s="18"/>
      <c r="AR110" s="19">
        <v>0</v>
      </c>
      <c r="AS110" s="18"/>
      <c r="AT110" s="19">
        <v>0</v>
      </c>
      <c r="AU110" s="18"/>
      <c r="AV110" s="19">
        <v>0</v>
      </c>
      <c r="AW110" s="18"/>
      <c r="AX110" s="19">
        <v>0</v>
      </c>
      <c r="AY110" s="18"/>
      <c r="AZ110" s="19">
        <v>0</v>
      </c>
      <c r="BA110" s="18"/>
      <c r="BB110" s="19">
        <v>0</v>
      </c>
      <c r="BC110" s="18"/>
      <c r="BD110" s="19">
        <v>0</v>
      </c>
      <c r="BE110" s="18"/>
      <c r="BF110" s="19">
        <v>0</v>
      </c>
      <c r="BG110" s="18"/>
      <c r="BH110" s="19">
        <v>0</v>
      </c>
      <c r="BI110" s="18"/>
      <c r="BJ110" s="19">
        <v>0</v>
      </c>
      <c r="BK110" s="18"/>
      <c r="BL110" s="19">
        <v>0</v>
      </c>
      <c r="BM110" s="18"/>
      <c r="BN110" s="19">
        <v>0</v>
      </c>
      <c r="BO110" s="18"/>
      <c r="BP110" s="19">
        <v>0</v>
      </c>
      <c r="BQ110" s="18"/>
      <c r="BR110" s="19">
        <v>0</v>
      </c>
      <c r="BS110" s="18"/>
      <c r="BT110" s="19">
        <v>0</v>
      </c>
      <c r="BU110" s="18"/>
      <c r="BV110" s="19">
        <v>0</v>
      </c>
      <c r="BW110" s="18"/>
      <c r="BX110" s="19">
        <v>0</v>
      </c>
      <c r="BY110" s="18"/>
      <c r="BZ110" s="19">
        <v>0</v>
      </c>
      <c r="CA110" s="18"/>
      <c r="CB110" s="19">
        <v>0</v>
      </c>
      <c r="CC110" s="18"/>
      <c r="CD110" s="19">
        <v>0</v>
      </c>
      <c r="CE110" s="18"/>
      <c r="CF110" s="19">
        <v>0</v>
      </c>
      <c r="CG110" s="18"/>
      <c r="CH110" s="19">
        <v>0</v>
      </c>
      <c r="CI110" s="18"/>
      <c r="CJ110" s="19">
        <v>0</v>
      </c>
      <c r="CK110" s="18"/>
      <c r="CL110" s="19">
        <v>0</v>
      </c>
      <c r="CM110" s="18"/>
      <c r="CN110" s="19">
        <f t="shared" si="5"/>
        <v>111.54</v>
      </c>
    </row>
    <row r="111" spans="1:92" ht="15" thickBot="1" x14ac:dyDescent="0.35">
      <c r="A111" s="16"/>
      <c r="B111" s="16"/>
      <c r="C111" s="16"/>
      <c r="D111" s="16"/>
      <c r="E111" s="16"/>
      <c r="F111" s="16" t="s">
        <v>18</v>
      </c>
      <c r="G111" s="16"/>
      <c r="H111" s="19">
        <v>0</v>
      </c>
      <c r="I111" s="18"/>
      <c r="J111" s="19">
        <v>0</v>
      </c>
      <c r="K111" s="18"/>
      <c r="L111" s="19">
        <v>247.51</v>
      </c>
      <c r="M111" s="18"/>
      <c r="N111" s="19">
        <v>0</v>
      </c>
      <c r="O111" s="18"/>
      <c r="P111" s="19">
        <v>124.82</v>
      </c>
      <c r="Q111" s="18"/>
      <c r="R111" s="19">
        <v>0</v>
      </c>
      <c r="S111" s="18"/>
      <c r="T111" s="19">
        <v>945.28</v>
      </c>
      <c r="U111" s="18"/>
      <c r="V111" s="19">
        <v>0</v>
      </c>
      <c r="W111" s="18"/>
      <c r="X111" s="19">
        <v>134.09</v>
      </c>
      <c r="Y111" s="18"/>
      <c r="Z111" s="19">
        <v>0</v>
      </c>
      <c r="AA111" s="18"/>
      <c r="AB111" s="19">
        <v>147.33000000000001</v>
      </c>
      <c r="AC111" s="18"/>
      <c r="AD111" s="19">
        <v>0</v>
      </c>
      <c r="AE111" s="18"/>
      <c r="AF111" s="19">
        <v>348.78</v>
      </c>
      <c r="AG111" s="18"/>
      <c r="AH111" s="19">
        <v>75</v>
      </c>
      <c r="AI111" s="18"/>
      <c r="AJ111" s="19">
        <v>271.77999999999997</v>
      </c>
      <c r="AK111" s="18"/>
      <c r="AL111" s="19">
        <v>25</v>
      </c>
      <c r="AM111" s="18"/>
      <c r="AN111" s="19">
        <v>55.41</v>
      </c>
      <c r="AO111" s="18"/>
      <c r="AP111" s="19">
        <v>0</v>
      </c>
      <c r="AQ111" s="18"/>
      <c r="AR111" s="19">
        <v>0</v>
      </c>
      <c r="AS111" s="18"/>
      <c r="AT111" s="19">
        <v>0</v>
      </c>
      <c r="AU111" s="18"/>
      <c r="AV111" s="19">
        <v>-24.52</v>
      </c>
      <c r="AW111" s="18"/>
      <c r="AX111" s="19">
        <v>1262.3599999999999</v>
      </c>
      <c r="AY111" s="18"/>
      <c r="AZ111" s="19">
        <v>2135.7600000000002</v>
      </c>
      <c r="BA111" s="18"/>
      <c r="BB111" s="19">
        <v>535.82000000000005</v>
      </c>
      <c r="BC111" s="18"/>
      <c r="BD111" s="19">
        <v>59.65</v>
      </c>
      <c r="BE111" s="18"/>
      <c r="BF111" s="19">
        <v>0</v>
      </c>
      <c r="BG111" s="18"/>
      <c r="BH111" s="19">
        <v>49.07</v>
      </c>
      <c r="BI111" s="18"/>
      <c r="BJ111" s="19">
        <v>-30.93</v>
      </c>
      <c r="BK111" s="18"/>
      <c r="BL111" s="19">
        <v>0</v>
      </c>
      <c r="BM111" s="18"/>
      <c r="BN111" s="19">
        <v>0</v>
      </c>
      <c r="BO111" s="18"/>
      <c r="BP111" s="19">
        <v>0</v>
      </c>
      <c r="BQ111" s="18"/>
      <c r="BR111" s="19">
        <v>1047.1600000000001</v>
      </c>
      <c r="BS111" s="18"/>
      <c r="BT111" s="19">
        <v>3641.38</v>
      </c>
      <c r="BU111" s="18"/>
      <c r="BV111" s="19">
        <v>-1623.79</v>
      </c>
      <c r="BW111" s="18"/>
      <c r="BX111" s="19">
        <v>0</v>
      </c>
      <c r="BY111" s="18"/>
      <c r="BZ111" s="19">
        <v>0</v>
      </c>
      <c r="CA111" s="18"/>
      <c r="CB111" s="19">
        <v>866.27</v>
      </c>
      <c r="CC111" s="18"/>
      <c r="CD111" s="19">
        <v>0</v>
      </c>
      <c r="CE111" s="18"/>
      <c r="CF111" s="19">
        <v>0</v>
      </c>
      <c r="CG111" s="18"/>
      <c r="CH111" s="19">
        <v>0</v>
      </c>
      <c r="CI111" s="18"/>
      <c r="CJ111" s="19">
        <v>9.58</v>
      </c>
      <c r="CK111" s="18"/>
      <c r="CL111" s="19">
        <v>0</v>
      </c>
      <c r="CM111" s="18"/>
      <c r="CN111" s="19">
        <f t="shared" si="5"/>
        <v>10302.81</v>
      </c>
    </row>
    <row r="112" spans="1:92" ht="15" thickBot="1" x14ac:dyDescent="0.35">
      <c r="A112" s="16"/>
      <c r="B112" s="16"/>
      <c r="C112" s="16"/>
      <c r="D112" s="16"/>
      <c r="E112" s="16" t="s">
        <v>17</v>
      </c>
      <c r="F112" s="16"/>
      <c r="G112" s="16"/>
      <c r="H112" s="17">
        <f>ROUND(SUM(H105:H111),5)</f>
        <v>435.6</v>
      </c>
      <c r="I112" s="18"/>
      <c r="J112" s="17">
        <f>ROUND(SUM(J105:J111),5)</f>
        <v>586.14</v>
      </c>
      <c r="K112" s="18"/>
      <c r="L112" s="17">
        <f>ROUND(SUM(L105:L111),5)</f>
        <v>987.26</v>
      </c>
      <c r="M112" s="18"/>
      <c r="N112" s="17">
        <f>ROUND(SUM(N105:N111),5)</f>
        <v>719.48</v>
      </c>
      <c r="O112" s="18"/>
      <c r="P112" s="17">
        <f>ROUND(SUM(P105:P111),5)</f>
        <v>2461.4699999999998</v>
      </c>
      <c r="Q112" s="18"/>
      <c r="R112" s="17">
        <f>ROUND(SUM(R105:R111),5)</f>
        <v>215.67</v>
      </c>
      <c r="S112" s="18"/>
      <c r="T112" s="17">
        <f>ROUND(SUM(T105:T111),5)</f>
        <v>1178.83</v>
      </c>
      <c r="U112" s="18"/>
      <c r="V112" s="17">
        <f>ROUND(SUM(V105:V111),5)</f>
        <v>402.16</v>
      </c>
      <c r="W112" s="18"/>
      <c r="X112" s="17">
        <f>ROUND(SUM(X105:X111),5)</f>
        <v>530.26</v>
      </c>
      <c r="Y112" s="18"/>
      <c r="Z112" s="17">
        <f>ROUND(SUM(Z105:Z111),5)</f>
        <v>718.18</v>
      </c>
      <c r="AA112" s="18"/>
      <c r="AB112" s="17">
        <f>ROUND(SUM(AB105:AB111),5)</f>
        <v>354.12</v>
      </c>
      <c r="AC112" s="18"/>
      <c r="AD112" s="17">
        <f>ROUND(SUM(AD105:AD111),5)</f>
        <v>330.82</v>
      </c>
      <c r="AE112" s="18"/>
      <c r="AF112" s="17">
        <f>ROUND(SUM(AF105:AF111),5)</f>
        <v>975.2</v>
      </c>
      <c r="AG112" s="18"/>
      <c r="AH112" s="17">
        <f>ROUND(SUM(AH105:AH111),5)</f>
        <v>537.23</v>
      </c>
      <c r="AI112" s="18"/>
      <c r="AJ112" s="17">
        <f>ROUND(SUM(AJ105:AJ111),5)</f>
        <v>596.51</v>
      </c>
      <c r="AK112" s="18"/>
      <c r="AL112" s="17">
        <f>ROUND(SUM(AL105:AL111),5)</f>
        <v>418.39</v>
      </c>
      <c r="AM112" s="18"/>
      <c r="AN112" s="17">
        <f>ROUND(SUM(AN105:AN111),5)</f>
        <v>327.68</v>
      </c>
      <c r="AO112" s="18"/>
      <c r="AP112" s="17">
        <f>ROUND(SUM(AP105:AP111),5)</f>
        <v>2929.45</v>
      </c>
      <c r="AQ112" s="18"/>
      <c r="AR112" s="17">
        <f>ROUND(SUM(AR105:AR111),5)</f>
        <v>116.43</v>
      </c>
      <c r="AS112" s="18"/>
      <c r="AT112" s="17">
        <f>ROUND(SUM(AT105:AT111),5)</f>
        <v>771.37</v>
      </c>
      <c r="AU112" s="18"/>
      <c r="AV112" s="17">
        <f>ROUND(SUM(AV105:AV111),5)</f>
        <v>329.66</v>
      </c>
      <c r="AW112" s="18"/>
      <c r="AX112" s="17">
        <f>ROUND(SUM(AX105:AX111),5)</f>
        <v>2612.23</v>
      </c>
      <c r="AY112" s="18"/>
      <c r="AZ112" s="17">
        <f>ROUND(SUM(AZ105:AZ111),5)</f>
        <v>2285.1</v>
      </c>
      <c r="BA112" s="18"/>
      <c r="BB112" s="17">
        <f>ROUND(SUM(BB105:BB111),5)</f>
        <v>1395.17</v>
      </c>
      <c r="BC112" s="18"/>
      <c r="BD112" s="17">
        <f>ROUND(SUM(BD105:BD111),5)</f>
        <v>772.54</v>
      </c>
      <c r="BE112" s="18"/>
      <c r="BF112" s="17">
        <f>ROUND(SUM(BF105:BF111),5)</f>
        <v>416.01</v>
      </c>
      <c r="BG112" s="18"/>
      <c r="BH112" s="17">
        <f>ROUND(SUM(BH105:BH111),5)</f>
        <v>574.6</v>
      </c>
      <c r="BI112" s="18"/>
      <c r="BJ112" s="17">
        <f>ROUND(SUM(BJ105:BJ111),5)</f>
        <v>1022.47</v>
      </c>
      <c r="BK112" s="18"/>
      <c r="BL112" s="17">
        <f>ROUND(SUM(BL105:BL111),5)</f>
        <v>1287.6300000000001</v>
      </c>
      <c r="BM112" s="18"/>
      <c r="BN112" s="17">
        <f>ROUND(SUM(BN105:BN111),5)</f>
        <v>145.65</v>
      </c>
      <c r="BO112" s="18"/>
      <c r="BP112" s="17">
        <f>ROUND(SUM(BP105:BP111),5)</f>
        <v>430.66</v>
      </c>
      <c r="BQ112" s="18"/>
      <c r="BR112" s="17">
        <f>ROUND(SUM(BR105:BR111),5)</f>
        <v>2078.2199999999998</v>
      </c>
      <c r="BS112" s="18"/>
      <c r="BT112" s="17">
        <f>ROUND(SUM(BT105:BT111),5)</f>
        <v>7737.04</v>
      </c>
      <c r="BU112" s="18"/>
      <c r="BV112" s="17">
        <f>ROUND(SUM(BV105:BV111),5)</f>
        <v>2860.02</v>
      </c>
      <c r="BW112" s="18"/>
      <c r="BX112" s="17">
        <f>ROUND(SUM(BX105:BX111),5)</f>
        <v>81.97</v>
      </c>
      <c r="BY112" s="18"/>
      <c r="BZ112" s="17">
        <f>ROUND(SUM(BZ105:BZ111),5)</f>
        <v>158.59</v>
      </c>
      <c r="CA112" s="18"/>
      <c r="CB112" s="17">
        <f>ROUND(SUM(CB105:CB111),5)</f>
        <v>1568.44</v>
      </c>
      <c r="CC112" s="18"/>
      <c r="CD112" s="17">
        <f>ROUND(SUM(CD105:CD111),5)</f>
        <v>971.84</v>
      </c>
      <c r="CE112" s="18"/>
      <c r="CF112" s="17">
        <f>ROUND(SUM(CF105:CF111),5)</f>
        <v>447.67</v>
      </c>
      <c r="CG112" s="18"/>
      <c r="CH112" s="17">
        <f>ROUND(SUM(CH105:CH111),5)</f>
        <v>784.63</v>
      </c>
      <c r="CI112" s="18"/>
      <c r="CJ112" s="17">
        <f>ROUND(SUM(CJ105:CJ111),5)</f>
        <v>333.55</v>
      </c>
      <c r="CK112" s="18"/>
      <c r="CL112" s="17">
        <f>ROUND(SUM(CL105:CL111),5)</f>
        <v>35</v>
      </c>
      <c r="CM112" s="18"/>
      <c r="CN112" s="17">
        <f t="shared" si="5"/>
        <v>43920.94</v>
      </c>
    </row>
    <row r="113" spans="1:92" ht="15" thickBot="1" x14ac:dyDescent="0.35">
      <c r="A113" s="16"/>
      <c r="B113" s="16"/>
      <c r="C113" s="16"/>
      <c r="D113" s="16" t="s">
        <v>16</v>
      </c>
      <c r="E113" s="16"/>
      <c r="F113" s="16"/>
      <c r="G113" s="16"/>
      <c r="H113" s="21">
        <f>ROUND(SUM(H14:H28)+SUM(H32:H33)+H37+SUM(H46:H47)+SUM(H52:H53)+SUM(H58:H59)+H63+H67+SUM(H82:H84)+SUM(H93:H94)+SUM(H100:H104)+H112,5)</f>
        <v>49252.23</v>
      </c>
      <c r="I113" s="18"/>
      <c r="J113" s="21">
        <f>ROUND(SUM(J14:J28)+SUM(J32:J33)+J37+SUM(J46:J47)+SUM(J52:J53)+SUM(J58:J59)+J63+J67+SUM(J82:J84)+SUM(J93:J94)+SUM(J100:J104)+J112,5)</f>
        <v>64066.99</v>
      </c>
      <c r="K113" s="18"/>
      <c r="L113" s="21">
        <f>ROUND(SUM(L14:L28)+SUM(L32:L33)+L37+SUM(L46:L47)+SUM(L52:L53)+SUM(L58:L59)+L63+L67+SUM(L82:L84)+SUM(L93:L94)+SUM(L100:L104)+L112,5)</f>
        <v>62110.15</v>
      </c>
      <c r="M113" s="18"/>
      <c r="N113" s="21">
        <f>ROUND(SUM(N14:N28)+SUM(N32:N33)+N37+SUM(N46:N47)+SUM(N52:N53)+SUM(N58:N59)+N63+N67+SUM(N82:N84)+SUM(N93:N94)+SUM(N100:N104)+N112,5)</f>
        <v>84367.88</v>
      </c>
      <c r="O113" s="18"/>
      <c r="P113" s="21">
        <f>ROUND(SUM(P14:P28)+SUM(P32:P33)+P37+SUM(P46:P47)+SUM(P52:P53)+SUM(P58:P59)+P63+P67+SUM(P82:P84)+SUM(P93:P94)+SUM(P100:P104)+P112,5)</f>
        <v>66746.490000000005</v>
      </c>
      <c r="Q113" s="18"/>
      <c r="R113" s="21">
        <f>ROUND(SUM(R14:R28)+SUM(R32:R33)+R37+SUM(R46:R47)+SUM(R52:R53)+SUM(R58:R59)+R63+R67+SUM(R82:R84)+SUM(R93:R94)+SUM(R100:R104)+R112,5)</f>
        <v>61118.75</v>
      </c>
      <c r="S113" s="18"/>
      <c r="T113" s="21">
        <f>ROUND(SUM(T14:T28)+SUM(T32:T33)+T37+SUM(T46:T47)+SUM(T52:T53)+SUM(T58:T59)+T63+T67+SUM(T82:T84)+SUM(T93:T94)+SUM(T100:T104)+T112,5)</f>
        <v>88217.63</v>
      </c>
      <c r="U113" s="18"/>
      <c r="V113" s="21">
        <f>ROUND(SUM(V14:V28)+SUM(V32:V33)+V37+SUM(V46:V47)+SUM(V52:V53)+SUM(V58:V59)+V63+V67+SUM(V82:V84)+SUM(V93:V94)+SUM(V100:V104)+V112,5)</f>
        <v>71543.509999999995</v>
      </c>
      <c r="W113" s="18"/>
      <c r="X113" s="21">
        <f>ROUND(SUM(X14:X28)+SUM(X32:X33)+X37+SUM(X46:X47)+SUM(X52:X53)+SUM(X58:X59)+X63+X67+SUM(X82:X84)+SUM(X93:X94)+SUM(X100:X104)+X112,5)</f>
        <v>65389.84</v>
      </c>
      <c r="Y113" s="18"/>
      <c r="Z113" s="21">
        <f>ROUND(SUM(Z14:Z28)+SUM(Z32:Z33)+Z37+SUM(Z46:Z47)+SUM(Z52:Z53)+SUM(Z58:Z59)+Z63+Z67+SUM(Z82:Z84)+SUM(Z93:Z94)+SUM(Z100:Z104)+Z112,5)</f>
        <v>95861.64</v>
      </c>
      <c r="AA113" s="18"/>
      <c r="AB113" s="21">
        <f>ROUND(SUM(AB14:AB28)+SUM(AB32:AB33)+AB37+SUM(AB46:AB47)+SUM(AB52:AB53)+SUM(AB58:AB59)+AB63+AB67+SUM(AB82:AB84)+SUM(AB93:AB94)+SUM(AB100:AB104)+AB112,5)</f>
        <v>73799.02</v>
      </c>
      <c r="AC113" s="18"/>
      <c r="AD113" s="21">
        <f>ROUND(SUM(AD14:AD28)+SUM(AD32:AD33)+AD37+SUM(AD46:AD47)+SUM(AD52:AD53)+SUM(AD58:AD59)+AD63+AD67+SUM(AD82:AD84)+SUM(AD93:AD94)+SUM(AD100:AD104)+AD112,5)</f>
        <v>102693.96</v>
      </c>
      <c r="AE113" s="18"/>
      <c r="AF113" s="21">
        <f>ROUND(SUM(AF14:AF28)+SUM(AF32:AF33)+AF37+SUM(AF46:AF47)+SUM(AF52:AF53)+SUM(AF58:AF59)+AF63+AF67+SUM(AF82:AF84)+SUM(AF93:AF94)+SUM(AF100:AF104)+AF112,5)</f>
        <v>79545.259999999995</v>
      </c>
      <c r="AG113" s="18"/>
      <c r="AH113" s="21">
        <f>ROUND(SUM(AH14:AH28)+SUM(AH32:AH33)+AH37+SUM(AH46:AH47)+SUM(AH52:AH53)+SUM(AH58:AH59)+AH63+AH67+SUM(AH82:AH84)+SUM(AH93:AH94)+SUM(AH100:AH104)+AH112,5)</f>
        <v>71001.61</v>
      </c>
      <c r="AI113" s="18"/>
      <c r="AJ113" s="21">
        <f>ROUND(SUM(AJ14:AJ28)+SUM(AJ32:AJ33)+AJ37+SUM(AJ46:AJ47)+SUM(AJ52:AJ53)+SUM(AJ58:AJ59)+AJ63+AJ67+SUM(AJ82:AJ84)+SUM(AJ93:AJ94)+SUM(AJ100:AJ104)+AJ112,5)</f>
        <v>106074.62</v>
      </c>
      <c r="AK113" s="18"/>
      <c r="AL113" s="21">
        <f>ROUND(SUM(AL14:AL28)+SUM(AL32:AL33)+AL37+SUM(AL46:AL47)+SUM(AL52:AL53)+SUM(AL58:AL59)+AL63+AL67+SUM(AL82:AL84)+SUM(AL93:AL94)+SUM(AL100:AL104)+AL112,5)</f>
        <v>79167.320000000007</v>
      </c>
      <c r="AM113" s="18"/>
      <c r="AN113" s="21">
        <f>ROUND(SUM(AN14:AN28)+SUM(AN32:AN33)+AN37+SUM(AN46:AN47)+SUM(AN52:AN53)+SUM(AN58:AN59)+AN63+AN67+SUM(AN82:AN84)+SUM(AN93:AN94)+SUM(AN100:AN104)+AN112,5)</f>
        <v>71013.919999999998</v>
      </c>
      <c r="AO113" s="18"/>
      <c r="AP113" s="21">
        <f>ROUND(SUM(AP14:AP28)+SUM(AP32:AP33)+AP37+SUM(AP46:AP47)+SUM(AP52:AP53)+SUM(AP58:AP59)+AP63+AP67+SUM(AP82:AP84)+SUM(AP93:AP94)+SUM(AP100:AP104)+AP112,5)</f>
        <v>93974.86</v>
      </c>
      <c r="AQ113" s="18"/>
      <c r="AR113" s="21">
        <f>ROUND(SUM(AR14:AR28)+SUM(AR32:AR33)+AR37+SUM(AR46:AR47)+SUM(AR52:AR53)+SUM(AR58:AR59)+AR63+AR67+SUM(AR82:AR84)+SUM(AR93:AR94)+SUM(AR100:AR104)+AR112,5)</f>
        <v>87096.3</v>
      </c>
      <c r="AS113" s="18"/>
      <c r="AT113" s="21">
        <f>ROUND(SUM(AT14:AT28)+SUM(AT32:AT33)+AT37+SUM(AT46:AT47)+SUM(AT52:AT53)+SUM(AT58:AT59)+AT63+AT67+SUM(AT82:AT84)+SUM(AT93:AT94)+SUM(AT100:AT104)+AT112,5)</f>
        <v>89946.44</v>
      </c>
      <c r="AU113" s="18"/>
      <c r="AV113" s="21">
        <f>ROUND(SUM(AV14:AV28)+SUM(AV32:AV33)+AV37+SUM(AV46:AV47)+SUM(AV52:AV53)+SUM(AV58:AV59)+AV63+AV67+SUM(AV82:AV84)+SUM(AV93:AV94)+SUM(AV100:AV104)+AV112,5)</f>
        <v>102353.62</v>
      </c>
      <c r="AW113" s="18"/>
      <c r="AX113" s="21">
        <f>ROUND(SUM(AX14:AX28)+SUM(AX32:AX33)+AX37+SUM(AX46:AX47)+SUM(AX52:AX53)+SUM(AX58:AX59)+AX63+AX67+SUM(AX82:AX84)+SUM(AX93:AX94)+SUM(AX100:AX104)+AX112,5)</f>
        <v>91937.18</v>
      </c>
      <c r="AY113" s="18"/>
      <c r="AZ113" s="21">
        <f>ROUND(SUM(AZ14:AZ28)+SUM(AZ32:AZ33)+AZ37+SUM(AZ46:AZ47)+SUM(AZ52:AZ53)+SUM(AZ58:AZ59)+AZ63+AZ67+SUM(AZ82:AZ84)+SUM(AZ93:AZ94)+SUM(AZ100:AZ104)+AZ112,5)</f>
        <v>88243.92</v>
      </c>
      <c r="BA113" s="18"/>
      <c r="BB113" s="21">
        <f>ROUND(SUM(BB14:BB28)+SUM(BB32:BB33)+BB37+SUM(BB46:BB47)+SUM(BB52:BB53)+SUM(BB58:BB59)+BB63+BB67+SUM(BB82:BB84)+SUM(BB93:BB94)+SUM(BB100:BB104)+BB112,5)</f>
        <v>128434.47</v>
      </c>
      <c r="BC113" s="18"/>
      <c r="BD113" s="21">
        <f>ROUND(SUM(BD14:BD28)+SUM(BD32:BD33)+BD37+SUM(BD46:BD47)+SUM(BD52:BD53)+SUM(BD58:BD59)+BD63+BD67+SUM(BD82:BD84)+SUM(BD93:BD94)+SUM(BD100:BD104)+BD112,5)</f>
        <v>98280.1</v>
      </c>
      <c r="BE113" s="18"/>
      <c r="BF113" s="21">
        <f>ROUND(SUM(BF14:BF28)+SUM(BF32:BF33)+BF37+SUM(BF46:BF47)+SUM(BF52:BF53)+SUM(BF58:BF59)+BF63+BF67+SUM(BF82:BF84)+SUM(BF93:BF94)+SUM(BF100:BF104)+BF112,5)</f>
        <v>86366.99</v>
      </c>
      <c r="BG113" s="18"/>
      <c r="BH113" s="21">
        <f>ROUND(SUM(BH14:BH28)+SUM(BH32:BH33)+BH37+SUM(BH46:BH47)+SUM(BH52:BH53)+SUM(BH58:BH59)+BH63+BH67+SUM(BH82:BH84)+SUM(BH93:BH94)+SUM(BH100:BH104)+BH112,5)</f>
        <v>109307.25</v>
      </c>
      <c r="BI113" s="18"/>
      <c r="BJ113" s="21">
        <f>ROUND(SUM(BJ14:BJ28)+SUM(BJ32:BJ33)+BJ37+SUM(BJ46:BJ47)+SUM(BJ52:BJ53)+SUM(BJ58:BJ59)+BJ63+BJ67+SUM(BJ82:BJ84)+SUM(BJ93:BJ94)+SUM(BJ100:BJ104)+BJ112,5)</f>
        <v>82471.039999999994</v>
      </c>
      <c r="BK113" s="18"/>
      <c r="BL113" s="21">
        <f>ROUND(SUM(BL14:BL28)+SUM(BL32:BL33)+BL37+SUM(BL46:BL47)+SUM(BL52:BL53)+SUM(BL58:BL59)+BL63+BL67+SUM(BL82:BL84)+SUM(BL93:BL94)+SUM(BL100:BL104)+BL112,5)</f>
        <v>79264.23</v>
      </c>
      <c r="BM113" s="18"/>
      <c r="BN113" s="21">
        <f>ROUND(SUM(BN14:BN28)+SUM(BN32:BN33)+BN37+SUM(BN46:BN47)+SUM(BN52:BN53)+SUM(BN58:BN59)+BN63+BN67+SUM(BN82:BN84)+SUM(BN93:BN94)+SUM(BN100:BN104)+BN112,5)</f>
        <v>70770.539999999994</v>
      </c>
      <c r="BO113" s="18"/>
      <c r="BP113" s="21">
        <f>ROUND(SUM(BP14:BP28)+SUM(BP32:BP33)+BP37+SUM(BP46:BP47)+SUM(BP52:BP53)+SUM(BP58:BP59)+BP63+BP67+SUM(BP82:BP84)+SUM(BP93:BP94)+SUM(BP100:BP104)+BP112,5)</f>
        <v>85999.24</v>
      </c>
      <c r="BQ113" s="18"/>
      <c r="BR113" s="21">
        <f>ROUND(SUM(BR14:BR28)+SUM(BR32:BR33)+BR37+SUM(BR46:BR47)+SUM(BR52:BR53)+SUM(BR58:BR59)+BR63+BR67+SUM(BR82:BR84)+SUM(BR93:BR94)+SUM(BR100:BR104)+BR112,5)</f>
        <v>96538.36</v>
      </c>
      <c r="BS113" s="18"/>
      <c r="BT113" s="21">
        <f>ROUND(SUM(BT14:BT28)+SUM(BT32:BT33)+BT37+SUM(BT46:BT47)+SUM(BT52:BT53)+SUM(BT58:BT59)+BT63+BT67+SUM(BT82:BT84)+SUM(BT93:BT94)+SUM(BT100:BT104)+BT112,5)</f>
        <v>123151.05</v>
      </c>
      <c r="BU113" s="18"/>
      <c r="BV113" s="21">
        <f>ROUND(SUM(BV14:BV28)+SUM(BV32:BV33)+BV37+SUM(BV46:BV47)+SUM(BV52:BV53)+SUM(BV58:BV59)+BV63+BV67+SUM(BV82:BV84)+SUM(BV93:BV94)+SUM(BV100:BV104)+BV112,5)</f>
        <v>78466.899999999994</v>
      </c>
      <c r="BW113" s="18"/>
      <c r="BX113" s="21">
        <f>ROUND(SUM(BX14:BX28)+SUM(BX32:BX33)+BX37+SUM(BX46:BX47)+SUM(BX52:BX53)+SUM(BX58:BX59)+BX63+BX67+SUM(BX82:BX84)+SUM(BX93:BX94)+SUM(BX100:BX104)+BX112,5)</f>
        <v>85941.29</v>
      </c>
      <c r="BY113" s="18"/>
      <c r="BZ113" s="21">
        <f>ROUND(SUM(BZ14:BZ28)+SUM(BZ32:BZ33)+BZ37+SUM(BZ46:BZ47)+SUM(BZ52:BZ53)+SUM(BZ58:BZ59)+BZ63+BZ67+SUM(BZ82:BZ84)+SUM(BZ93:BZ94)+SUM(BZ100:BZ104)+BZ112,5)</f>
        <v>105802.93</v>
      </c>
      <c r="CA113" s="18"/>
      <c r="CB113" s="21">
        <f>ROUND(SUM(CB14:CB28)+SUM(CB32:CB33)+CB37+SUM(CB46:CB47)+SUM(CB52:CB53)+SUM(CB58:CB59)+CB63+CB67+SUM(CB82:CB84)+SUM(CB93:CB94)+SUM(CB100:CB104)+CB112,5)</f>
        <v>75343.149999999994</v>
      </c>
      <c r="CC113" s="18"/>
      <c r="CD113" s="21">
        <f>ROUND(SUM(CD14:CD28)+SUM(CD32:CD33)+CD37+SUM(CD46:CD47)+SUM(CD52:CD53)+SUM(CD58:CD59)+CD63+CD67+SUM(CD82:CD84)+SUM(CD93:CD94)+SUM(CD100:CD104)+CD112,5)</f>
        <v>100362.27</v>
      </c>
      <c r="CE113" s="18"/>
      <c r="CF113" s="21">
        <f>ROUND(SUM(CF14:CF28)+SUM(CF32:CF33)+CF37+SUM(CF46:CF47)+SUM(CF52:CF53)+SUM(CF58:CF59)+CF63+CF67+SUM(CF82:CF84)+SUM(CF93:CF94)+SUM(CF100:CF104)+CF112,5)</f>
        <v>85871.41</v>
      </c>
      <c r="CG113" s="18"/>
      <c r="CH113" s="21">
        <f>ROUND(SUM(CH14:CH28)+SUM(CH32:CH33)+CH37+SUM(CH46:CH47)+SUM(CH52:CH53)+SUM(CH58:CH59)+CH63+CH67+SUM(CH82:CH84)+SUM(CH93:CH94)+SUM(CH100:CH104)+CH112,5)</f>
        <v>85574.83</v>
      </c>
      <c r="CI113" s="18"/>
      <c r="CJ113" s="21">
        <f>ROUND(SUM(CJ14:CJ28)+SUM(CJ32:CJ33)+CJ37+SUM(CJ46:CJ47)+SUM(CJ52:CJ53)+SUM(CJ58:CJ59)+CJ63+CJ67+SUM(CJ82:CJ84)+SUM(CJ93:CJ94)+SUM(CJ100:CJ104)+CJ112,5)</f>
        <v>76444.600000000006</v>
      </c>
      <c r="CK113" s="18"/>
      <c r="CL113" s="21">
        <f>ROUND(SUM(CL14:CL28)+SUM(CL32:CL33)+CL37+SUM(CL46:CL47)+SUM(CL52:CL53)+SUM(CL58:CL59)+CL63+CL67+SUM(CL82:CL84)+SUM(CL93:CL94)+SUM(CL100:CL104)+CL112,5)</f>
        <v>13225.25</v>
      </c>
      <c r="CM113" s="18"/>
      <c r="CN113" s="21">
        <f t="shared" si="5"/>
        <v>3513139.04</v>
      </c>
    </row>
    <row r="114" spans="1:92" x14ac:dyDescent="0.3">
      <c r="A114" s="16"/>
      <c r="B114" s="16" t="s">
        <v>15</v>
      </c>
      <c r="C114" s="16"/>
      <c r="D114" s="16"/>
      <c r="E114" s="16"/>
      <c r="F114" s="16"/>
      <c r="G114" s="16"/>
      <c r="H114" s="19">
        <f>ROUND(H2+H13-H113,5)</f>
        <v>51038.44</v>
      </c>
      <c r="I114" s="18"/>
      <c r="J114" s="19">
        <f>ROUND(J2+J13-J113,5)</f>
        <v>-25502.5</v>
      </c>
      <c r="K114" s="18"/>
      <c r="L114" s="19">
        <f>ROUND(L2+L13-L113,5)</f>
        <v>405.13</v>
      </c>
      <c r="M114" s="18"/>
      <c r="N114" s="19">
        <f>ROUND(N2+N13-N113,5)</f>
        <v>-44234.47</v>
      </c>
      <c r="O114" s="18"/>
      <c r="P114" s="19">
        <f>ROUND(P2+P13-P113,5)</f>
        <v>34788.769999999997</v>
      </c>
      <c r="Q114" s="18"/>
      <c r="R114" s="19">
        <f>ROUND(R2+R13-R113,5)</f>
        <v>39684.81</v>
      </c>
      <c r="S114" s="18"/>
      <c r="T114" s="19">
        <f>ROUND(T2+T13-T113,5)</f>
        <v>29115.1</v>
      </c>
      <c r="U114" s="18"/>
      <c r="V114" s="19">
        <f>ROUND(V2+V13-V113,5)</f>
        <v>60739.89</v>
      </c>
      <c r="W114" s="18"/>
      <c r="X114" s="19">
        <f>ROUND(X2+X13-X113,5)</f>
        <v>2028.99</v>
      </c>
      <c r="Y114" s="18"/>
      <c r="Z114" s="19">
        <f>ROUND(Z2+Z13-Z113,5)</f>
        <v>32925.050000000003</v>
      </c>
      <c r="AA114" s="18"/>
      <c r="AB114" s="19">
        <f>ROUND(AB2+AB13-AB113,5)</f>
        <v>32732.63</v>
      </c>
      <c r="AC114" s="18"/>
      <c r="AD114" s="19">
        <f>ROUND(AD2+AD13-AD113,5)</f>
        <v>73768.92</v>
      </c>
      <c r="AE114" s="18"/>
      <c r="AF114" s="19">
        <f>ROUND(AF2+AF13-AF113,5)</f>
        <v>-30632.47</v>
      </c>
      <c r="AG114" s="18"/>
      <c r="AH114" s="19">
        <f>ROUND(AH2+AH13-AH113,5)</f>
        <v>21851.89</v>
      </c>
      <c r="AI114" s="18"/>
      <c r="AJ114" s="19">
        <f>ROUND(AJ2+AJ13-AJ113,5)</f>
        <v>-34713.379999999997</v>
      </c>
      <c r="AK114" s="18"/>
      <c r="AL114" s="19">
        <f>ROUND(AL2+AL13-AL113,5)</f>
        <v>21936.02</v>
      </c>
      <c r="AM114" s="18"/>
      <c r="AN114" s="19">
        <f>ROUND(AN2+AN13-AN113,5)</f>
        <v>45493.2</v>
      </c>
      <c r="AO114" s="18"/>
      <c r="AP114" s="19">
        <f>ROUND(AP2+AP13-AP113,5)</f>
        <v>166680.53</v>
      </c>
      <c r="AQ114" s="18"/>
      <c r="AR114" s="19">
        <f>ROUND(AR2+AR13-AR113,5)</f>
        <v>-106362.68</v>
      </c>
      <c r="AS114" s="18"/>
      <c r="AT114" s="19">
        <f>ROUND(AT2+AT13-AT113,5)</f>
        <v>210182.66</v>
      </c>
      <c r="AU114" s="18"/>
      <c r="AV114" s="19">
        <f>ROUND(AV2+AV13-AV113,5)</f>
        <v>-13190.18</v>
      </c>
      <c r="AW114" s="18"/>
      <c r="AX114" s="19">
        <f>ROUND(AX2+AX13-AX113,5)</f>
        <v>-22543.14</v>
      </c>
      <c r="AY114" s="18"/>
      <c r="AZ114" s="19">
        <f>ROUND(AZ2+AZ13-AZ113,5)</f>
        <v>-54427.360000000001</v>
      </c>
      <c r="BA114" s="18"/>
      <c r="BB114" s="19">
        <f>ROUND(BB2+BB13-BB113,5)</f>
        <v>154594.59</v>
      </c>
      <c r="BC114" s="18"/>
      <c r="BD114" s="19">
        <f>ROUND(BD2+BD13-BD113,5)</f>
        <v>8632.69</v>
      </c>
      <c r="BE114" s="18"/>
      <c r="BF114" s="19">
        <f>ROUND(BF2+BF13-BF113,5)</f>
        <v>-23329.46</v>
      </c>
      <c r="BG114" s="18"/>
      <c r="BH114" s="19">
        <f>ROUND(BH2+BH13-BH113,5)</f>
        <v>11430.31</v>
      </c>
      <c r="BI114" s="18"/>
      <c r="BJ114" s="19">
        <f>ROUND(BJ2+BJ13-BJ113,5)</f>
        <v>54704.13</v>
      </c>
      <c r="BK114" s="18"/>
      <c r="BL114" s="19">
        <f>ROUND(BL2+BL13-BL113,5)</f>
        <v>35377.29</v>
      </c>
      <c r="BM114" s="18"/>
      <c r="BN114" s="19">
        <f>ROUND(BN2+BN13-BN113,5)</f>
        <v>34894.53</v>
      </c>
      <c r="BO114" s="18"/>
      <c r="BP114" s="19">
        <f>ROUND(BP2+BP13-BP113,5)</f>
        <v>-17280.669999999998</v>
      </c>
      <c r="BQ114" s="18"/>
      <c r="BR114" s="19">
        <f>ROUND(BR2+BR13-BR113,5)</f>
        <v>115970.24000000001</v>
      </c>
      <c r="BS114" s="18"/>
      <c r="BT114" s="19">
        <f>ROUND(BT2+BT13-BT113,5)</f>
        <v>44561.11</v>
      </c>
      <c r="BU114" s="18"/>
      <c r="BV114" s="19">
        <f>ROUND(BV2+BV13-BV113,5)</f>
        <v>3765.47</v>
      </c>
      <c r="BW114" s="18"/>
      <c r="BX114" s="19">
        <f>ROUND(BX2+BX13-BX113,5)</f>
        <v>18967.61</v>
      </c>
      <c r="BY114" s="18"/>
      <c r="BZ114" s="19">
        <f>ROUND(BZ2+BZ13-BZ113,5)</f>
        <v>126821.19</v>
      </c>
      <c r="CA114" s="18"/>
      <c r="CB114" s="19">
        <f>ROUND(CB2+CB13-CB113,5)</f>
        <v>-1140.08</v>
      </c>
      <c r="CC114" s="18"/>
      <c r="CD114" s="19">
        <f>ROUND(CD2+CD13-CD113,5)</f>
        <v>9285.98</v>
      </c>
      <c r="CE114" s="18"/>
      <c r="CF114" s="19">
        <f>ROUND(CF2+CF13-CF113,5)</f>
        <v>35681.620000000003</v>
      </c>
      <c r="CG114" s="18"/>
      <c r="CH114" s="19">
        <f>ROUND(CH2+CH13-CH113,5)</f>
        <v>-19897.47</v>
      </c>
      <c r="CI114" s="18"/>
      <c r="CJ114" s="19">
        <f>ROUND(CJ2+CJ13-CJ113,5)</f>
        <v>125642.3</v>
      </c>
      <c r="CK114" s="18"/>
      <c r="CL114" s="19">
        <f>ROUND(CL2+CL13-CL113,5)</f>
        <v>128613.65</v>
      </c>
      <c r="CM114" s="18"/>
      <c r="CN114" s="19">
        <f t="shared" si="5"/>
        <v>1339060.8799999999</v>
      </c>
    </row>
    <row r="115" spans="1:92" x14ac:dyDescent="0.3">
      <c r="A115" s="16"/>
      <c r="B115" s="16" t="s">
        <v>14</v>
      </c>
      <c r="C115" s="16"/>
      <c r="D115" s="16"/>
      <c r="E115" s="16"/>
      <c r="F115" s="16"/>
      <c r="G115" s="16"/>
      <c r="H115" s="19"/>
      <c r="I115" s="18"/>
      <c r="J115" s="19"/>
      <c r="K115" s="18"/>
      <c r="L115" s="19"/>
      <c r="M115" s="18"/>
      <c r="N115" s="19"/>
      <c r="O115" s="18"/>
      <c r="P115" s="19"/>
      <c r="Q115" s="18"/>
      <c r="R115" s="19"/>
      <c r="S115" s="18"/>
      <c r="T115" s="19"/>
      <c r="U115" s="18"/>
      <c r="V115" s="19"/>
      <c r="W115" s="18"/>
      <c r="X115" s="19"/>
      <c r="Y115" s="18"/>
      <c r="Z115" s="19"/>
      <c r="AA115" s="18"/>
      <c r="AB115" s="19"/>
      <c r="AC115" s="18"/>
      <c r="AD115" s="19"/>
      <c r="AE115" s="18"/>
      <c r="AF115" s="19"/>
      <c r="AG115" s="18"/>
      <c r="AH115" s="19"/>
      <c r="AI115" s="18"/>
      <c r="AJ115" s="19"/>
      <c r="AK115" s="18"/>
      <c r="AL115" s="19"/>
      <c r="AM115" s="18"/>
      <c r="AN115" s="19"/>
      <c r="AO115" s="18"/>
      <c r="AP115" s="19"/>
      <c r="AQ115" s="18"/>
      <c r="AR115" s="19"/>
      <c r="AS115" s="18"/>
      <c r="AT115" s="19"/>
      <c r="AU115" s="18"/>
      <c r="AV115" s="19"/>
      <c r="AW115" s="18"/>
      <c r="AX115" s="19"/>
      <c r="AY115" s="18"/>
      <c r="AZ115" s="19"/>
      <c r="BA115" s="18"/>
      <c r="BB115" s="19"/>
      <c r="BC115" s="18"/>
      <c r="BD115" s="19"/>
      <c r="BE115" s="18"/>
      <c r="BF115" s="19"/>
      <c r="BG115" s="18"/>
      <c r="BH115" s="19"/>
      <c r="BI115" s="18"/>
      <c r="BJ115" s="19"/>
      <c r="BK115" s="18"/>
      <c r="BL115" s="19"/>
      <c r="BM115" s="18"/>
      <c r="BN115" s="19"/>
      <c r="BO115" s="18"/>
      <c r="BP115" s="19"/>
      <c r="BQ115" s="18"/>
      <c r="BR115" s="19"/>
      <c r="BS115" s="18"/>
      <c r="BT115" s="19"/>
      <c r="BU115" s="18"/>
      <c r="BV115" s="19"/>
      <c r="BW115" s="18"/>
      <c r="BX115" s="19"/>
      <c r="BY115" s="18"/>
      <c r="BZ115" s="19"/>
      <c r="CA115" s="18"/>
      <c r="CB115" s="19"/>
      <c r="CC115" s="18"/>
      <c r="CD115" s="19"/>
      <c r="CE115" s="18"/>
      <c r="CF115" s="19"/>
      <c r="CG115" s="18"/>
      <c r="CH115" s="19"/>
      <c r="CI115" s="18"/>
      <c r="CJ115" s="19"/>
      <c r="CK115" s="18"/>
      <c r="CL115" s="19"/>
      <c r="CM115" s="18"/>
      <c r="CN115" s="19"/>
    </row>
    <row r="116" spans="1:92" x14ac:dyDescent="0.3">
      <c r="A116" s="16"/>
      <c r="B116" s="16"/>
      <c r="C116" s="16" t="s">
        <v>11</v>
      </c>
      <c r="D116" s="16"/>
      <c r="E116" s="16"/>
      <c r="F116" s="16"/>
      <c r="G116" s="16"/>
      <c r="H116" s="19"/>
      <c r="I116" s="18"/>
      <c r="J116" s="19"/>
      <c r="K116" s="18"/>
      <c r="L116" s="19"/>
      <c r="M116" s="18"/>
      <c r="N116" s="19"/>
      <c r="O116" s="18"/>
      <c r="P116" s="19"/>
      <c r="Q116" s="18"/>
      <c r="R116" s="19"/>
      <c r="S116" s="18"/>
      <c r="T116" s="19"/>
      <c r="U116" s="18"/>
      <c r="V116" s="19"/>
      <c r="W116" s="18"/>
      <c r="X116" s="19"/>
      <c r="Y116" s="18"/>
      <c r="Z116" s="19"/>
      <c r="AA116" s="18"/>
      <c r="AB116" s="19"/>
      <c r="AC116" s="18"/>
      <c r="AD116" s="19"/>
      <c r="AE116" s="18"/>
      <c r="AF116" s="19"/>
      <c r="AG116" s="18"/>
      <c r="AH116" s="19"/>
      <c r="AI116" s="18"/>
      <c r="AJ116" s="19"/>
      <c r="AK116" s="18"/>
      <c r="AL116" s="19"/>
      <c r="AM116" s="18"/>
      <c r="AN116" s="19"/>
      <c r="AO116" s="18"/>
      <c r="AP116" s="19"/>
      <c r="AQ116" s="18"/>
      <c r="AR116" s="19"/>
      <c r="AS116" s="18"/>
      <c r="AT116" s="19"/>
      <c r="AU116" s="18"/>
      <c r="AV116" s="19"/>
      <c r="AW116" s="18"/>
      <c r="AX116" s="19"/>
      <c r="AY116" s="18"/>
      <c r="AZ116" s="19"/>
      <c r="BA116" s="18"/>
      <c r="BB116" s="19"/>
      <c r="BC116" s="18"/>
      <c r="BD116" s="19"/>
      <c r="BE116" s="18"/>
      <c r="BF116" s="19"/>
      <c r="BG116" s="18"/>
      <c r="BH116" s="19"/>
      <c r="BI116" s="18"/>
      <c r="BJ116" s="19"/>
      <c r="BK116" s="18"/>
      <c r="BL116" s="19"/>
      <c r="BM116" s="18"/>
      <c r="BN116" s="19"/>
      <c r="BO116" s="18"/>
      <c r="BP116" s="19"/>
      <c r="BQ116" s="18"/>
      <c r="BR116" s="19"/>
      <c r="BS116" s="18"/>
      <c r="BT116" s="19"/>
      <c r="BU116" s="18"/>
      <c r="BV116" s="19"/>
      <c r="BW116" s="18"/>
      <c r="BX116" s="19"/>
      <c r="BY116" s="18"/>
      <c r="BZ116" s="19"/>
      <c r="CA116" s="18"/>
      <c r="CB116" s="19"/>
      <c r="CC116" s="18"/>
      <c r="CD116" s="19"/>
      <c r="CE116" s="18"/>
      <c r="CF116" s="19"/>
      <c r="CG116" s="18"/>
      <c r="CH116" s="19"/>
      <c r="CI116" s="18"/>
      <c r="CJ116" s="19"/>
      <c r="CK116" s="18"/>
      <c r="CL116" s="19"/>
      <c r="CM116" s="18"/>
      <c r="CN116" s="19"/>
    </row>
    <row r="117" spans="1:92" x14ac:dyDescent="0.3">
      <c r="A117" s="16"/>
      <c r="B117" s="16"/>
      <c r="C117" s="16"/>
      <c r="D117" s="16" t="s">
        <v>13</v>
      </c>
      <c r="E117" s="16"/>
      <c r="F117" s="16"/>
      <c r="G117" s="16"/>
      <c r="H117" s="19">
        <v>0</v>
      </c>
      <c r="I117" s="18"/>
      <c r="J117" s="19">
        <v>0</v>
      </c>
      <c r="K117" s="18"/>
      <c r="L117" s="19">
        <v>0</v>
      </c>
      <c r="M117" s="18"/>
      <c r="N117" s="19">
        <v>0</v>
      </c>
      <c r="O117" s="18"/>
      <c r="P117" s="19">
        <v>0</v>
      </c>
      <c r="Q117" s="18"/>
      <c r="R117" s="19">
        <v>0</v>
      </c>
      <c r="S117" s="18"/>
      <c r="T117" s="19">
        <v>0</v>
      </c>
      <c r="U117" s="18"/>
      <c r="V117" s="19">
        <v>0</v>
      </c>
      <c r="W117" s="18"/>
      <c r="X117" s="19">
        <v>0</v>
      </c>
      <c r="Y117" s="18"/>
      <c r="Z117" s="19">
        <v>0</v>
      </c>
      <c r="AA117" s="18"/>
      <c r="AB117" s="19">
        <v>110300</v>
      </c>
      <c r="AC117" s="18"/>
      <c r="AD117" s="19">
        <v>0</v>
      </c>
      <c r="AE117" s="18"/>
      <c r="AF117" s="19">
        <v>0</v>
      </c>
      <c r="AG117" s="18"/>
      <c r="AH117" s="19">
        <v>0</v>
      </c>
      <c r="AI117" s="18"/>
      <c r="AJ117" s="19">
        <v>0</v>
      </c>
      <c r="AK117" s="18"/>
      <c r="AL117" s="19">
        <v>0</v>
      </c>
      <c r="AM117" s="18"/>
      <c r="AN117" s="19">
        <v>0</v>
      </c>
      <c r="AO117" s="18"/>
      <c r="AP117" s="19">
        <v>0</v>
      </c>
      <c r="AQ117" s="18"/>
      <c r="AR117" s="19">
        <v>0</v>
      </c>
      <c r="AS117" s="18"/>
      <c r="AT117" s="19">
        <v>0</v>
      </c>
      <c r="AU117" s="18"/>
      <c r="AV117" s="19">
        <v>0</v>
      </c>
      <c r="AW117" s="18"/>
      <c r="AX117" s="19">
        <v>0</v>
      </c>
      <c r="AY117" s="18"/>
      <c r="AZ117" s="19">
        <v>0</v>
      </c>
      <c r="BA117" s="18"/>
      <c r="BB117" s="19">
        <v>0</v>
      </c>
      <c r="BC117" s="18"/>
      <c r="BD117" s="19">
        <v>0</v>
      </c>
      <c r="BE117" s="18"/>
      <c r="BF117" s="19">
        <v>0</v>
      </c>
      <c r="BG117" s="18"/>
      <c r="BH117" s="19">
        <v>0</v>
      </c>
      <c r="BI117" s="18"/>
      <c r="BJ117" s="19">
        <v>0</v>
      </c>
      <c r="BK117" s="18"/>
      <c r="BL117" s="19">
        <v>0</v>
      </c>
      <c r="BM117" s="18"/>
      <c r="BN117" s="19">
        <v>0</v>
      </c>
      <c r="BO117" s="18"/>
      <c r="BP117" s="19">
        <v>0</v>
      </c>
      <c r="BQ117" s="18"/>
      <c r="BR117" s="19">
        <v>0</v>
      </c>
      <c r="BS117" s="18"/>
      <c r="BT117" s="19">
        <v>0</v>
      </c>
      <c r="BU117" s="18"/>
      <c r="BV117" s="19">
        <v>0</v>
      </c>
      <c r="BW117" s="18"/>
      <c r="BX117" s="19">
        <v>0</v>
      </c>
      <c r="BY117" s="18"/>
      <c r="BZ117" s="19">
        <v>0</v>
      </c>
      <c r="CA117" s="18"/>
      <c r="CB117" s="19">
        <v>0</v>
      </c>
      <c r="CC117" s="18"/>
      <c r="CD117" s="19">
        <v>0</v>
      </c>
      <c r="CE117" s="18"/>
      <c r="CF117" s="19">
        <v>0</v>
      </c>
      <c r="CG117" s="18"/>
      <c r="CH117" s="19">
        <v>0</v>
      </c>
      <c r="CI117" s="18"/>
      <c r="CJ117" s="19">
        <v>0</v>
      </c>
      <c r="CK117" s="18"/>
      <c r="CL117" s="19">
        <v>0</v>
      </c>
      <c r="CM117" s="18"/>
      <c r="CN117" s="19">
        <f>ROUND(SUM(H117:CL117),5)</f>
        <v>110300</v>
      </c>
    </row>
    <row r="118" spans="1:92" x14ac:dyDescent="0.3">
      <c r="A118" s="16"/>
      <c r="B118" s="16"/>
      <c r="C118" s="16"/>
      <c r="D118" s="16" t="s">
        <v>12</v>
      </c>
      <c r="E118" s="16"/>
      <c r="F118" s="16"/>
      <c r="G118" s="16"/>
      <c r="H118" s="19">
        <v>0</v>
      </c>
      <c r="I118" s="18"/>
      <c r="J118" s="19">
        <v>0</v>
      </c>
      <c r="K118" s="18"/>
      <c r="L118" s="19">
        <v>0</v>
      </c>
      <c r="M118" s="18"/>
      <c r="N118" s="19">
        <v>0</v>
      </c>
      <c r="O118" s="18"/>
      <c r="P118" s="19">
        <v>0</v>
      </c>
      <c r="Q118" s="18"/>
      <c r="R118" s="19">
        <v>0</v>
      </c>
      <c r="S118" s="18"/>
      <c r="T118" s="19">
        <v>0</v>
      </c>
      <c r="U118" s="18"/>
      <c r="V118" s="19">
        <v>0</v>
      </c>
      <c r="W118" s="18"/>
      <c r="X118" s="19">
        <v>0</v>
      </c>
      <c r="Y118" s="18"/>
      <c r="Z118" s="19">
        <v>0</v>
      </c>
      <c r="AA118" s="18"/>
      <c r="AB118" s="19">
        <v>0</v>
      </c>
      <c r="AC118" s="18"/>
      <c r="AD118" s="19">
        <v>27500</v>
      </c>
      <c r="AE118" s="18"/>
      <c r="AF118" s="19">
        <v>0</v>
      </c>
      <c r="AG118" s="18"/>
      <c r="AH118" s="19">
        <v>0</v>
      </c>
      <c r="AI118" s="18"/>
      <c r="AJ118" s="19">
        <v>0</v>
      </c>
      <c r="AK118" s="18"/>
      <c r="AL118" s="19">
        <v>0</v>
      </c>
      <c r="AM118" s="18"/>
      <c r="AN118" s="19">
        <v>0</v>
      </c>
      <c r="AO118" s="18"/>
      <c r="AP118" s="19">
        <v>0</v>
      </c>
      <c r="AQ118" s="18"/>
      <c r="AR118" s="19">
        <v>0</v>
      </c>
      <c r="AS118" s="18"/>
      <c r="AT118" s="19">
        <v>0</v>
      </c>
      <c r="AU118" s="18"/>
      <c r="AV118" s="19">
        <v>0</v>
      </c>
      <c r="AW118" s="18"/>
      <c r="AX118" s="19">
        <v>0</v>
      </c>
      <c r="AY118" s="18"/>
      <c r="AZ118" s="19">
        <v>0</v>
      </c>
      <c r="BA118" s="18"/>
      <c r="BB118" s="19">
        <v>0</v>
      </c>
      <c r="BC118" s="18"/>
      <c r="BD118" s="19">
        <v>0</v>
      </c>
      <c r="BE118" s="18"/>
      <c r="BF118" s="19">
        <v>0</v>
      </c>
      <c r="BG118" s="18"/>
      <c r="BH118" s="19">
        <v>0</v>
      </c>
      <c r="BI118" s="18"/>
      <c r="BJ118" s="19">
        <v>0</v>
      </c>
      <c r="BK118" s="18"/>
      <c r="BL118" s="19">
        <v>0</v>
      </c>
      <c r="BM118" s="18"/>
      <c r="BN118" s="19">
        <v>0</v>
      </c>
      <c r="BO118" s="18"/>
      <c r="BP118" s="19">
        <v>0</v>
      </c>
      <c r="BQ118" s="18"/>
      <c r="BR118" s="19">
        <v>0</v>
      </c>
      <c r="BS118" s="18"/>
      <c r="BT118" s="19">
        <v>0</v>
      </c>
      <c r="BU118" s="18"/>
      <c r="BV118" s="19">
        <v>0</v>
      </c>
      <c r="BW118" s="18"/>
      <c r="BX118" s="19">
        <v>0</v>
      </c>
      <c r="BY118" s="18"/>
      <c r="BZ118" s="19">
        <v>0</v>
      </c>
      <c r="CA118" s="18"/>
      <c r="CB118" s="19">
        <v>0</v>
      </c>
      <c r="CC118" s="18"/>
      <c r="CD118" s="19">
        <v>0</v>
      </c>
      <c r="CE118" s="18"/>
      <c r="CF118" s="19">
        <v>0</v>
      </c>
      <c r="CG118" s="18"/>
      <c r="CH118" s="19">
        <v>0</v>
      </c>
      <c r="CI118" s="18"/>
      <c r="CJ118" s="19">
        <v>0</v>
      </c>
      <c r="CK118" s="18"/>
      <c r="CL118" s="19">
        <v>200</v>
      </c>
      <c r="CM118" s="18"/>
      <c r="CN118" s="19">
        <f>ROUND(SUM(H118:CL118),5)</f>
        <v>27700</v>
      </c>
    </row>
    <row r="119" spans="1:92" ht="15" thickBot="1" x14ac:dyDescent="0.35">
      <c r="A119" s="16"/>
      <c r="B119" s="16"/>
      <c r="C119" s="16"/>
      <c r="D119" s="16" t="s">
        <v>11</v>
      </c>
      <c r="E119" s="16"/>
      <c r="F119" s="16"/>
      <c r="G119" s="16"/>
      <c r="H119" s="20">
        <v>-79.16</v>
      </c>
      <c r="I119" s="18"/>
      <c r="J119" s="20">
        <v>0</v>
      </c>
      <c r="K119" s="18"/>
      <c r="L119" s="20">
        <v>0</v>
      </c>
      <c r="M119" s="18"/>
      <c r="N119" s="20">
        <v>0</v>
      </c>
      <c r="O119" s="18"/>
      <c r="P119" s="20">
        <v>0</v>
      </c>
      <c r="Q119" s="18"/>
      <c r="R119" s="20">
        <v>97.22</v>
      </c>
      <c r="S119" s="18"/>
      <c r="T119" s="20">
        <v>0</v>
      </c>
      <c r="U119" s="18"/>
      <c r="V119" s="20">
        <v>0</v>
      </c>
      <c r="W119" s="18"/>
      <c r="X119" s="20">
        <v>0</v>
      </c>
      <c r="Y119" s="18"/>
      <c r="Z119" s="20">
        <v>0</v>
      </c>
      <c r="AA119" s="18"/>
      <c r="AB119" s="20">
        <v>0</v>
      </c>
      <c r="AC119" s="18"/>
      <c r="AD119" s="20">
        <v>5281.12</v>
      </c>
      <c r="AE119" s="18"/>
      <c r="AF119" s="20">
        <v>0</v>
      </c>
      <c r="AG119" s="18"/>
      <c r="AH119" s="20">
        <v>0</v>
      </c>
      <c r="AI119" s="18"/>
      <c r="AJ119" s="20">
        <v>0</v>
      </c>
      <c r="AK119" s="18"/>
      <c r="AL119" s="20">
        <v>0</v>
      </c>
      <c r="AM119" s="18"/>
      <c r="AN119" s="20">
        <v>0</v>
      </c>
      <c r="AO119" s="18"/>
      <c r="AP119" s="20">
        <v>0</v>
      </c>
      <c r="AQ119" s="18"/>
      <c r="AR119" s="20">
        <v>0</v>
      </c>
      <c r="AS119" s="18"/>
      <c r="AT119" s="20">
        <v>0</v>
      </c>
      <c r="AU119" s="18"/>
      <c r="AV119" s="20">
        <v>0</v>
      </c>
      <c r="AW119" s="18"/>
      <c r="AX119" s="20">
        <v>0</v>
      </c>
      <c r="AY119" s="18"/>
      <c r="AZ119" s="20">
        <v>0</v>
      </c>
      <c r="BA119" s="18"/>
      <c r="BB119" s="20">
        <v>0</v>
      </c>
      <c r="BC119" s="18"/>
      <c r="BD119" s="20">
        <v>0</v>
      </c>
      <c r="BE119" s="18"/>
      <c r="BF119" s="20">
        <v>0</v>
      </c>
      <c r="BG119" s="18"/>
      <c r="BH119" s="20">
        <v>0</v>
      </c>
      <c r="BI119" s="18"/>
      <c r="BJ119" s="20">
        <v>0</v>
      </c>
      <c r="BK119" s="18"/>
      <c r="BL119" s="20">
        <v>0</v>
      </c>
      <c r="BM119" s="18"/>
      <c r="BN119" s="20">
        <v>0</v>
      </c>
      <c r="BO119" s="18"/>
      <c r="BP119" s="20">
        <v>0</v>
      </c>
      <c r="BQ119" s="18"/>
      <c r="BR119" s="20">
        <v>0</v>
      </c>
      <c r="BS119" s="18"/>
      <c r="BT119" s="20">
        <v>0</v>
      </c>
      <c r="BU119" s="18"/>
      <c r="BV119" s="20">
        <v>0</v>
      </c>
      <c r="BW119" s="18"/>
      <c r="BX119" s="20">
        <v>0</v>
      </c>
      <c r="BY119" s="18"/>
      <c r="BZ119" s="20">
        <v>0</v>
      </c>
      <c r="CA119" s="18"/>
      <c r="CB119" s="20">
        <v>0</v>
      </c>
      <c r="CC119" s="18"/>
      <c r="CD119" s="20">
        <v>0</v>
      </c>
      <c r="CE119" s="18"/>
      <c r="CF119" s="20">
        <v>0</v>
      </c>
      <c r="CG119" s="18"/>
      <c r="CH119" s="20">
        <v>0</v>
      </c>
      <c r="CI119" s="18"/>
      <c r="CJ119" s="20">
        <v>0</v>
      </c>
      <c r="CK119" s="18"/>
      <c r="CL119" s="20">
        <v>0</v>
      </c>
      <c r="CM119" s="18"/>
      <c r="CN119" s="20">
        <f>ROUND(SUM(H119:CL119),5)</f>
        <v>5299.18</v>
      </c>
    </row>
    <row r="120" spans="1:92" x14ac:dyDescent="0.3">
      <c r="A120" s="16"/>
      <c r="B120" s="16"/>
      <c r="C120" s="16" t="s">
        <v>10</v>
      </c>
      <c r="D120" s="16"/>
      <c r="E120" s="16"/>
      <c r="F120" s="16"/>
      <c r="G120" s="16"/>
      <c r="H120" s="19">
        <f>ROUND(SUM(H116:H119),5)</f>
        <v>-79.16</v>
      </c>
      <c r="I120" s="18"/>
      <c r="J120" s="19">
        <f>ROUND(SUM(J116:J119),5)</f>
        <v>0</v>
      </c>
      <c r="K120" s="18"/>
      <c r="L120" s="19">
        <f>ROUND(SUM(L116:L119),5)</f>
        <v>0</v>
      </c>
      <c r="M120" s="18"/>
      <c r="N120" s="19">
        <f>ROUND(SUM(N116:N119),5)</f>
        <v>0</v>
      </c>
      <c r="O120" s="18"/>
      <c r="P120" s="19">
        <f>ROUND(SUM(P116:P119),5)</f>
        <v>0</v>
      </c>
      <c r="Q120" s="18"/>
      <c r="R120" s="19">
        <f>ROUND(SUM(R116:R119),5)</f>
        <v>97.22</v>
      </c>
      <c r="S120" s="18"/>
      <c r="T120" s="19">
        <f>ROUND(SUM(T116:T119),5)</f>
        <v>0</v>
      </c>
      <c r="U120" s="18"/>
      <c r="V120" s="19">
        <f>ROUND(SUM(V116:V119),5)</f>
        <v>0</v>
      </c>
      <c r="W120" s="18"/>
      <c r="X120" s="19">
        <f>ROUND(SUM(X116:X119),5)</f>
        <v>0</v>
      </c>
      <c r="Y120" s="18"/>
      <c r="Z120" s="19">
        <f>ROUND(SUM(Z116:Z119),5)</f>
        <v>0</v>
      </c>
      <c r="AA120" s="18"/>
      <c r="AB120" s="19">
        <f>ROUND(SUM(AB116:AB119),5)</f>
        <v>110300</v>
      </c>
      <c r="AC120" s="18"/>
      <c r="AD120" s="19">
        <f>ROUND(SUM(AD116:AD119),5)</f>
        <v>32781.120000000003</v>
      </c>
      <c r="AE120" s="18"/>
      <c r="AF120" s="19">
        <f>ROUND(SUM(AF116:AF119),5)</f>
        <v>0</v>
      </c>
      <c r="AG120" s="18"/>
      <c r="AH120" s="19">
        <f>ROUND(SUM(AH116:AH119),5)</f>
        <v>0</v>
      </c>
      <c r="AI120" s="18"/>
      <c r="AJ120" s="19">
        <f>ROUND(SUM(AJ116:AJ119),5)</f>
        <v>0</v>
      </c>
      <c r="AK120" s="18"/>
      <c r="AL120" s="19">
        <f>ROUND(SUM(AL116:AL119),5)</f>
        <v>0</v>
      </c>
      <c r="AM120" s="18"/>
      <c r="AN120" s="19">
        <f>ROUND(SUM(AN116:AN119),5)</f>
        <v>0</v>
      </c>
      <c r="AO120" s="18"/>
      <c r="AP120" s="19">
        <f>ROUND(SUM(AP116:AP119),5)</f>
        <v>0</v>
      </c>
      <c r="AQ120" s="18"/>
      <c r="AR120" s="19">
        <f>ROUND(SUM(AR116:AR119),5)</f>
        <v>0</v>
      </c>
      <c r="AS120" s="18"/>
      <c r="AT120" s="19">
        <f>ROUND(SUM(AT116:AT119),5)</f>
        <v>0</v>
      </c>
      <c r="AU120" s="18"/>
      <c r="AV120" s="19">
        <f>ROUND(SUM(AV116:AV119),5)</f>
        <v>0</v>
      </c>
      <c r="AW120" s="18"/>
      <c r="AX120" s="19">
        <f>ROUND(SUM(AX116:AX119),5)</f>
        <v>0</v>
      </c>
      <c r="AY120" s="18"/>
      <c r="AZ120" s="19">
        <f>ROUND(SUM(AZ116:AZ119),5)</f>
        <v>0</v>
      </c>
      <c r="BA120" s="18"/>
      <c r="BB120" s="19">
        <f>ROUND(SUM(BB116:BB119),5)</f>
        <v>0</v>
      </c>
      <c r="BC120" s="18"/>
      <c r="BD120" s="19">
        <f>ROUND(SUM(BD116:BD119),5)</f>
        <v>0</v>
      </c>
      <c r="BE120" s="18"/>
      <c r="BF120" s="19">
        <f>ROUND(SUM(BF116:BF119),5)</f>
        <v>0</v>
      </c>
      <c r="BG120" s="18"/>
      <c r="BH120" s="19">
        <f>ROUND(SUM(BH116:BH119),5)</f>
        <v>0</v>
      </c>
      <c r="BI120" s="18"/>
      <c r="BJ120" s="19">
        <f>ROUND(SUM(BJ116:BJ119),5)</f>
        <v>0</v>
      </c>
      <c r="BK120" s="18"/>
      <c r="BL120" s="19">
        <f>ROUND(SUM(BL116:BL119),5)</f>
        <v>0</v>
      </c>
      <c r="BM120" s="18"/>
      <c r="BN120" s="19">
        <f>ROUND(SUM(BN116:BN119),5)</f>
        <v>0</v>
      </c>
      <c r="BO120" s="18"/>
      <c r="BP120" s="19">
        <f>ROUND(SUM(BP116:BP119),5)</f>
        <v>0</v>
      </c>
      <c r="BQ120" s="18"/>
      <c r="BR120" s="19">
        <f>ROUND(SUM(BR116:BR119),5)</f>
        <v>0</v>
      </c>
      <c r="BS120" s="18"/>
      <c r="BT120" s="19">
        <f>ROUND(SUM(BT116:BT119),5)</f>
        <v>0</v>
      </c>
      <c r="BU120" s="18"/>
      <c r="BV120" s="19">
        <f>ROUND(SUM(BV116:BV119),5)</f>
        <v>0</v>
      </c>
      <c r="BW120" s="18"/>
      <c r="BX120" s="19">
        <f>ROUND(SUM(BX116:BX119),5)</f>
        <v>0</v>
      </c>
      <c r="BY120" s="18"/>
      <c r="BZ120" s="19">
        <f>ROUND(SUM(BZ116:BZ119),5)</f>
        <v>0</v>
      </c>
      <c r="CA120" s="18"/>
      <c r="CB120" s="19">
        <f>ROUND(SUM(CB116:CB119),5)</f>
        <v>0</v>
      </c>
      <c r="CC120" s="18"/>
      <c r="CD120" s="19">
        <f>ROUND(SUM(CD116:CD119),5)</f>
        <v>0</v>
      </c>
      <c r="CE120" s="18"/>
      <c r="CF120" s="19">
        <f>ROUND(SUM(CF116:CF119),5)</f>
        <v>0</v>
      </c>
      <c r="CG120" s="18"/>
      <c r="CH120" s="19">
        <f>ROUND(SUM(CH116:CH119),5)</f>
        <v>0</v>
      </c>
      <c r="CI120" s="18"/>
      <c r="CJ120" s="19">
        <f>ROUND(SUM(CJ116:CJ119),5)</f>
        <v>0</v>
      </c>
      <c r="CK120" s="18"/>
      <c r="CL120" s="19">
        <f>ROUND(SUM(CL116:CL119),5)</f>
        <v>200</v>
      </c>
      <c r="CM120" s="18"/>
      <c r="CN120" s="19">
        <f>ROUND(SUM(H120:CL120),5)</f>
        <v>143299.18</v>
      </c>
    </row>
    <row r="121" spans="1:92" x14ac:dyDescent="0.3">
      <c r="A121" s="16"/>
      <c r="B121" s="16"/>
      <c r="C121" s="16" t="s">
        <v>9</v>
      </c>
      <c r="D121" s="16"/>
      <c r="E121" s="16"/>
      <c r="F121" s="16"/>
      <c r="G121" s="16"/>
      <c r="H121" s="19"/>
      <c r="I121" s="18"/>
      <c r="J121" s="19"/>
      <c r="K121" s="18"/>
      <c r="L121" s="19"/>
      <c r="M121" s="18"/>
      <c r="N121" s="19"/>
      <c r="O121" s="18"/>
      <c r="P121" s="19"/>
      <c r="Q121" s="18"/>
      <c r="R121" s="19"/>
      <c r="S121" s="18"/>
      <c r="T121" s="19"/>
      <c r="U121" s="18"/>
      <c r="V121" s="19"/>
      <c r="W121" s="18"/>
      <c r="X121" s="19"/>
      <c r="Y121" s="18"/>
      <c r="Z121" s="19"/>
      <c r="AA121" s="18"/>
      <c r="AB121" s="19"/>
      <c r="AC121" s="18"/>
      <c r="AD121" s="19"/>
      <c r="AE121" s="18"/>
      <c r="AF121" s="19"/>
      <c r="AG121" s="18"/>
      <c r="AH121" s="19"/>
      <c r="AI121" s="18"/>
      <c r="AJ121" s="19"/>
      <c r="AK121" s="18"/>
      <c r="AL121" s="19"/>
      <c r="AM121" s="18"/>
      <c r="AN121" s="19"/>
      <c r="AO121" s="18"/>
      <c r="AP121" s="19"/>
      <c r="AQ121" s="18"/>
      <c r="AR121" s="19"/>
      <c r="AS121" s="18"/>
      <c r="AT121" s="19"/>
      <c r="AU121" s="18"/>
      <c r="AV121" s="19"/>
      <c r="AW121" s="18"/>
      <c r="AX121" s="19"/>
      <c r="AY121" s="18"/>
      <c r="AZ121" s="19"/>
      <c r="BA121" s="18"/>
      <c r="BB121" s="19"/>
      <c r="BC121" s="18"/>
      <c r="BD121" s="19"/>
      <c r="BE121" s="18"/>
      <c r="BF121" s="19"/>
      <c r="BG121" s="18"/>
      <c r="BH121" s="19"/>
      <c r="BI121" s="18"/>
      <c r="BJ121" s="19"/>
      <c r="BK121" s="18"/>
      <c r="BL121" s="19"/>
      <c r="BM121" s="18"/>
      <c r="BN121" s="19"/>
      <c r="BO121" s="18"/>
      <c r="BP121" s="19"/>
      <c r="BQ121" s="18"/>
      <c r="BR121" s="19"/>
      <c r="BS121" s="18"/>
      <c r="BT121" s="19"/>
      <c r="BU121" s="18"/>
      <c r="BV121" s="19"/>
      <c r="BW121" s="18"/>
      <c r="BX121" s="19"/>
      <c r="BY121" s="18"/>
      <c r="BZ121" s="19"/>
      <c r="CA121" s="18"/>
      <c r="CB121" s="19"/>
      <c r="CC121" s="18"/>
      <c r="CD121" s="19"/>
      <c r="CE121" s="18"/>
      <c r="CF121" s="19"/>
      <c r="CG121" s="18"/>
      <c r="CH121" s="19"/>
      <c r="CI121" s="18"/>
      <c r="CJ121" s="19"/>
      <c r="CK121" s="18"/>
      <c r="CL121" s="19"/>
      <c r="CM121" s="18"/>
      <c r="CN121" s="19"/>
    </row>
    <row r="122" spans="1:92" ht="15" thickBot="1" x14ac:dyDescent="0.35">
      <c r="A122" s="16"/>
      <c r="B122" s="16"/>
      <c r="C122" s="16"/>
      <c r="D122" s="16" t="s">
        <v>8</v>
      </c>
      <c r="E122" s="16"/>
      <c r="F122" s="16"/>
      <c r="G122" s="16"/>
      <c r="H122" s="19">
        <v>0</v>
      </c>
      <c r="I122" s="18"/>
      <c r="J122" s="19">
        <v>0</v>
      </c>
      <c r="K122" s="18"/>
      <c r="L122" s="19">
        <v>0</v>
      </c>
      <c r="M122" s="18"/>
      <c r="N122" s="19">
        <v>0</v>
      </c>
      <c r="O122" s="18"/>
      <c r="P122" s="19">
        <v>0</v>
      </c>
      <c r="Q122" s="18"/>
      <c r="R122" s="19">
        <v>0</v>
      </c>
      <c r="S122" s="18"/>
      <c r="T122" s="19">
        <v>0</v>
      </c>
      <c r="U122" s="18"/>
      <c r="V122" s="19">
        <v>0</v>
      </c>
      <c r="W122" s="18"/>
      <c r="X122" s="19">
        <v>0</v>
      </c>
      <c r="Y122" s="18"/>
      <c r="Z122" s="19">
        <v>0</v>
      </c>
      <c r="AA122" s="18"/>
      <c r="AB122" s="19">
        <v>0</v>
      </c>
      <c r="AC122" s="18"/>
      <c r="AD122" s="19">
        <v>245.15</v>
      </c>
      <c r="AE122" s="18"/>
      <c r="AF122" s="19">
        <v>-245.15</v>
      </c>
      <c r="AG122" s="18"/>
      <c r="AH122" s="19">
        <v>0</v>
      </c>
      <c r="AI122" s="18"/>
      <c r="AJ122" s="19">
        <v>0</v>
      </c>
      <c r="AK122" s="18"/>
      <c r="AL122" s="19">
        <v>0</v>
      </c>
      <c r="AM122" s="18"/>
      <c r="AN122" s="19">
        <v>0</v>
      </c>
      <c r="AO122" s="18"/>
      <c r="AP122" s="19">
        <v>0</v>
      </c>
      <c r="AQ122" s="18"/>
      <c r="AR122" s="19">
        <v>0</v>
      </c>
      <c r="AS122" s="18"/>
      <c r="AT122" s="19">
        <v>0</v>
      </c>
      <c r="AU122" s="18"/>
      <c r="AV122" s="19">
        <v>0</v>
      </c>
      <c r="AW122" s="18"/>
      <c r="AX122" s="19">
        <v>0</v>
      </c>
      <c r="AY122" s="18"/>
      <c r="AZ122" s="19">
        <v>0</v>
      </c>
      <c r="BA122" s="18"/>
      <c r="BB122" s="19">
        <v>810</v>
      </c>
      <c r="BC122" s="18"/>
      <c r="BD122" s="19">
        <v>0</v>
      </c>
      <c r="BE122" s="18"/>
      <c r="BF122" s="19">
        <v>0</v>
      </c>
      <c r="BG122" s="18"/>
      <c r="BH122" s="19">
        <v>0</v>
      </c>
      <c r="BI122" s="18"/>
      <c r="BJ122" s="19">
        <v>0</v>
      </c>
      <c r="BK122" s="18"/>
      <c r="BL122" s="19">
        <v>0</v>
      </c>
      <c r="BM122" s="18"/>
      <c r="BN122" s="19">
        <v>0</v>
      </c>
      <c r="BO122" s="18"/>
      <c r="BP122" s="19">
        <v>0</v>
      </c>
      <c r="BQ122" s="18"/>
      <c r="BR122" s="19">
        <v>0</v>
      </c>
      <c r="BS122" s="18"/>
      <c r="BT122" s="19">
        <v>0</v>
      </c>
      <c r="BU122" s="18"/>
      <c r="BV122" s="19">
        <v>0</v>
      </c>
      <c r="BW122" s="18"/>
      <c r="BX122" s="19">
        <v>0</v>
      </c>
      <c r="BY122" s="18"/>
      <c r="BZ122" s="19">
        <v>0</v>
      </c>
      <c r="CA122" s="18"/>
      <c r="CB122" s="19">
        <v>0</v>
      </c>
      <c r="CC122" s="18"/>
      <c r="CD122" s="19">
        <v>0</v>
      </c>
      <c r="CE122" s="18"/>
      <c r="CF122" s="19">
        <v>0</v>
      </c>
      <c r="CG122" s="18"/>
      <c r="CH122" s="19">
        <v>0</v>
      </c>
      <c r="CI122" s="18"/>
      <c r="CJ122" s="19">
        <v>0</v>
      </c>
      <c r="CK122" s="18"/>
      <c r="CL122" s="19">
        <v>0</v>
      </c>
      <c r="CM122" s="18"/>
      <c r="CN122" s="19">
        <f>ROUND(SUM(H122:CL122),5)</f>
        <v>810</v>
      </c>
    </row>
    <row r="123" spans="1:92" ht="15" thickBot="1" x14ac:dyDescent="0.35">
      <c r="A123" s="16"/>
      <c r="B123" s="16"/>
      <c r="C123" s="16" t="s">
        <v>7</v>
      </c>
      <c r="D123" s="16"/>
      <c r="E123" s="16"/>
      <c r="F123" s="16"/>
      <c r="G123" s="16"/>
      <c r="H123" s="17">
        <f>ROUND(SUM(H121:H122),5)</f>
        <v>0</v>
      </c>
      <c r="I123" s="18"/>
      <c r="J123" s="17">
        <f>ROUND(SUM(J121:J122),5)</f>
        <v>0</v>
      </c>
      <c r="K123" s="18"/>
      <c r="L123" s="17">
        <f>ROUND(SUM(L121:L122),5)</f>
        <v>0</v>
      </c>
      <c r="M123" s="18"/>
      <c r="N123" s="17">
        <f>ROUND(SUM(N121:N122),5)</f>
        <v>0</v>
      </c>
      <c r="O123" s="18"/>
      <c r="P123" s="17">
        <f>ROUND(SUM(P121:P122),5)</f>
        <v>0</v>
      </c>
      <c r="Q123" s="18"/>
      <c r="R123" s="17">
        <f>ROUND(SUM(R121:R122),5)</f>
        <v>0</v>
      </c>
      <c r="S123" s="18"/>
      <c r="T123" s="17">
        <f>ROUND(SUM(T121:T122),5)</f>
        <v>0</v>
      </c>
      <c r="U123" s="18"/>
      <c r="V123" s="17">
        <f>ROUND(SUM(V121:V122),5)</f>
        <v>0</v>
      </c>
      <c r="W123" s="18"/>
      <c r="X123" s="17">
        <f>ROUND(SUM(X121:X122),5)</f>
        <v>0</v>
      </c>
      <c r="Y123" s="18"/>
      <c r="Z123" s="17">
        <f>ROUND(SUM(Z121:Z122),5)</f>
        <v>0</v>
      </c>
      <c r="AA123" s="18"/>
      <c r="AB123" s="17">
        <f>ROUND(SUM(AB121:AB122),5)</f>
        <v>0</v>
      </c>
      <c r="AC123" s="18"/>
      <c r="AD123" s="17">
        <f>ROUND(SUM(AD121:AD122),5)</f>
        <v>245.15</v>
      </c>
      <c r="AE123" s="18"/>
      <c r="AF123" s="17">
        <f>ROUND(SUM(AF121:AF122),5)</f>
        <v>-245.15</v>
      </c>
      <c r="AG123" s="18"/>
      <c r="AH123" s="17">
        <f>ROUND(SUM(AH121:AH122),5)</f>
        <v>0</v>
      </c>
      <c r="AI123" s="18"/>
      <c r="AJ123" s="17">
        <f>ROUND(SUM(AJ121:AJ122),5)</f>
        <v>0</v>
      </c>
      <c r="AK123" s="18"/>
      <c r="AL123" s="17">
        <f>ROUND(SUM(AL121:AL122),5)</f>
        <v>0</v>
      </c>
      <c r="AM123" s="18"/>
      <c r="AN123" s="17">
        <f>ROUND(SUM(AN121:AN122),5)</f>
        <v>0</v>
      </c>
      <c r="AO123" s="18"/>
      <c r="AP123" s="17">
        <f>ROUND(SUM(AP121:AP122),5)</f>
        <v>0</v>
      </c>
      <c r="AQ123" s="18"/>
      <c r="AR123" s="17">
        <f>ROUND(SUM(AR121:AR122),5)</f>
        <v>0</v>
      </c>
      <c r="AS123" s="18"/>
      <c r="AT123" s="17">
        <f>ROUND(SUM(AT121:AT122),5)</f>
        <v>0</v>
      </c>
      <c r="AU123" s="18"/>
      <c r="AV123" s="17">
        <f>ROUND(SUM(AV121:AV122),5)</f>
        <v>0</v>
      </c>
      <c r="AW123" s="18"/>
      <c r="AX123" s="17">
        <f>ROUND(SUM(AX121:AX122),5)</f>
        <v>0</v>
      </c>
      <c r="AY123" s="18"/>
      <c r="AZ123" s="17">
        <f>ROUND(SUM(AZ121:AZ122),5)</f>
        <v>0</v>
      </c>
      <c r="BA123" s="18"/>
      <c r="BB123" s="17">
        <f>ROUND(SUM(BB121:BB122),5)</f>
        <v>810</v>
      </c>
      <c r="BC123" s="18"/>
      <c r="BD123" s="17">
        <f>ROUND(SUM(BD121:BD122),5)</f>
        <v>0</v>
      </c>
      <c r="BE123" s="18"/>
      <c r="BF123" s="17">
        <f>ROUND(SUM(BF121:BF122),5)</f>
        <v>0</v>
      </c>
      <c r="BG123" s="18"/>
      <c r="BH123" s="17">
        <f>ROUND(SUM(BH121:BH122),5)</f>
        <v>0</v>
      </c>
      <c r="BI123" s="18"/>
      <c r="BJ123" s="17">
        <f>ROUND(SUM(BJ121:BJ122),5)</f>
        <v>0</v>
      </c>
      <c r="BK123" s="18"/>
      <c r="BL123" s="17">
        <f>ROUND(SUM(BL121:BL122),5)</f>
        <v>0</v>
      </c>
      <c r="BM123" s="18"/>
      <c r="BN123" s="17">
        <f>ROUND(SUM(BN121:BN122),5)</f>
        <v>0</v>
      </c>
      <c r="BO123" s="18"/>
      <c r="BP123" s="17">
        <f>ROUND(SUM(BP121:BP122),5)</f>
        <v>0</v>
      </c>
      <c r="BQ123" s="18"/>
      <c r="BR123" s="17">
        <f>ROUND(SUM(BR121:BR122),5)</f>
        <v>0</v>
      </c>
      <c r="BS123" s="18"/>
      <c r="BT123" s="17">
        <f>ROUND(SUM(BT121:BT122),5)</f>
        <v>0</v>
      </c>
      <c r="BU123" s="18"/>
      <c r="BV123" s="17">
        <f>ROUND(SUM(BV121:BV122),5)</f>
        <v>0</v>
      </c>
      <c r="BW123" s="18"/>
      <c r="BX123" s="17">
        <f>ROUND(SUM(BX121:BX122),5)</f>
        <v>0</v>
      </c>
      <c r="BY123" s="18"/>
      <c r="BZ123" s="17">
        <f>ROUND(SUM(BZ121:BZ122),5)</f>
        <v>0</v>
      </c>
      <c r="CA123" s="18"/>
      <c r="CB123" s="17">
        <f>ROUND(SUM(CB121:CB122),5)</f>
        <v>0</v>
      </c>
      <c r="CC123" s="18"/>
      <c r="CD123" s="17">
        <f>ROUND(SUM(CD121:CD122),5)</f>
        <v>0</v>
      </c>
      <c r="CE123" s="18"/>
      <c r="CF123" s="17">
        <f>ROUND(SUM(CF121:CF122),5)</f>
        <v>0</v>
      </c>
      <c r="CG123" s="18"/>
      <c r="CH123" s="17">
        <f>ROUND(SUM(CH121:CH122),5)</f>
        <v>0</v>
      </c>
      <c r="CI123" s="18"/>
      <c r="CJ123" s="17">
        <f>ROUND(SUM(CJ121:CJ122),5)</f>
        <v>0</v>
      </c>
      <c r="CK123" s="18"/>
      <c r="CL123" s="17">
        <f>ROUND(SUM(CL121:CL122),5)</f>
        <v>0</v>
      </c>
      <c r="CM123" s="18"/>
      <c r="CN123" s="17">
        <f>ROUND(SUM(H123:CL123),5)</f>
        <v>810</v>
      </c>
    </row>
    <row r="124" spans="1:92" ht="15" thickBot="1" x14ac:dyDescent="0.35">
      <c r="A124" s="16"/>
      <c r="B124" s="16" t="s">
        <v>6</v>
      </c>
      <c r="C124" s="16"/>
      <c r="D124" s="16"/>
      <c r="E124" s="16"/>
      <c r="F124" s="16"/>
      <c r="G124" s="16"/>
      <c r="H124" s="17">
        <f>ROUND(H115+H120-H123,5)</f>
        <v>-79.16</v>
      </c>
      <c r="I124" s="18"/>
      <c r="J124" s="17">
        <f>ROUND(J115+J120-J123,5)</f>
        <v>0</v>
      </c>
      <c r="K124" s="18"/>
      <c r="L124" s="17">
        <f>ROUND(L115+L120-L123,5)</f>
        <v>0</v>
      </c>
      <c r="M124" s="18"/>
      <c r="N124" s="17">
        <f>ROUND(N115+N120-N123,5)</f>
        <v>0</v>
      </c>
      <c r="O124" s="18"/>
      <c r="P124" s="17">
        <f>ROUND(P115+P120-P123,5)</f>
        <v>0</v>
      </c>
      <c r="Q124" s="18"/>
      <c r="R124" s="17">
        <f>ROUND(R115+R120-R123,5)</f>
        <v>97.22</v>
      </c>
      <c r="S124" s="18"/>
      <c r="T124" s="17">
        <f>ROUND(T115+T120-T123,5)</f>
        <v>0</v>
      </c>
      <c r="U124" s="18"/>
      <c r="V124" s="17">
        <f>ROUND(V115+V120-V123,5)</f>
        <v>0</v>
      </c>
      <c r="W124" s="18"/>
      <c r="X124" s="17">
        <f>ROUND(X115+X120-X123,5)</f>
        <v>0</v>
      </c>
      <c r="Y124" s="18"/>
      <c r="Z124" s="17">
        <f>ROUND(Z115+Z120-Z123,5)</f>
        <v>0</v>
      </c>
      <c r="AA124" s="18"/>
      <c r="AB124" s="17">
        <f>ROUND(AB115+AB120-AB123,5)</f>
        <v>110300</v>
      </c>
      <c r="AC124" s="18"/>
      <c r="AD124" s="17">
        <f>ROUND(AD115+AD120-AD123,5)</f>
        <v>32535.97</v>
      </c>
      <c r="AE124" s="18"/>
      <c r="AF124" s="17">
        <f>ROUND(AF115+AF120-AF123,5)</f>
        <v>245.15</v>
      </c>
      <c r="AG124" s="18"/>
      <c r="AH124" s="17">
        <f>ROUND(AH115+AH120-AH123,5)</f>
        <v>0</v>
      </c>
      <c r="AI124" s="18"/>
      <c r="AJ124" s="17">
        <f>ROUND(AJ115+AJ120-AJ123,5)</f>
        <v>0</v>
      </c>
      <c r="AK124" s="18"/>
      <c r="AL124" s="17">
        <f>ROUND(AL115+AL120-AL123,5)</f>
        <v>0</v>
      </c>
      <c r="AM124" s="18"/>
      <c r="AN124" s="17">
        <f>ROUND(AN115+AN120-AN123,5)</f>
        <v>0</v>
      </c>
      <c r="AO124" s="18"/>
      <c r="AP124" s="17">
        <f>ROUND(AP115+AP120-AP123,5)</f>
        <v>0</v>
      </c>
      <c r="AQ124" s="18"/>
      <c r="AR124" s="17">
        <f>ROUND(AR115+AR120-AR123,5)</f>
        <v>0</v>
      </c>
      <c r="AS124" s="18"/>
      <c r="AT124" s="17">
        <f>ROUND(AT115+AT120-AT123,5)</f>
        <v>0</v>
      </c>
      <c r="AU124" s="18"/>
      <c r="AV124" s="17">
        <f>ROUND(AV115+AV120-AV123,5)</f>
        <v>0</v>
      </c>
      <c r="AW124" s="18"/>
      <c r="AX124" s="17">
        <f>ROUND(AX115+AX120-AX123,5)</f>
        <v>0</v>
      </c>
      <c r="AY124" s="18"/>
      <c r="AZ124" s="17">
        <f>ROUND(AZ115+AZ120-AZ123,5)</f>
        <v>0</v>
      </c>
      <c r="BA124" s="18"/>
      <c r="BB124" s="17">
        <f>ROUND(BB115+BB120-BB123,5)</f>
        <v>-810</v>
      </c>
      <c r="BC124" s="18"/>
      <c r="BD124" s="17">
        <f>ROUND(BD115+BD120-BD123,5)</f>
        <v>0</v>
      </c>
      <c r="BE124" s="18"/>
      <c r="BF124" s="17">
        <f>ROUND(BF115+BF120-BF123,5)</f>
        <v>0</v>
      </c>
      <c r="BG124" s="18"/>
      <c r="BH124" s="17">
        <f>ROUND(BH115+BH120-BH123,5)</f>
        <v>0</v>
      </c>
      <c r="BI124" s="18"/>
      <c r="BJ124" s="17">
        <f>ROUND(BJ115+BJ120-BJ123,5)</f>
        <v>0</v>
      </c>
      <c r="BK124" s="18"/>
      <c r="BL124" s="17">
        <f>ROUND(BL115+BL120-BL123,5)</f>
        <v>0</v>
      </c>
      <c r="BM124" s="18"/>
      <c r="BN124" s="17">
        <f>ROUND(BN115+BN120-BN123,5)</f>
        <v>0</v>
      </c>
      <c r="BO124" s="18"/>
      <c r="BP124" s="17">
        <f>ROUND(BP115+BP120-BP123,5)</f>
        <v>0</v>
      </c>
      <c r="BQ124" s="18"/>
      <c r="BR124" s="17">
        <f>ROUND(BR115+BR120-BR123,5)</f>
        <v>0</v>
      </c>
      <c r="BS124" s="18"/>
      <c r="BT124" s="17">
        <f>ROUND(BT115+BT120-BT123,5)</f>
        <v>0</v>
      </c>
      <c r="BU124" s="18"/>
      <c r="BV124" s="17">
        <f>ROUND(BV115+BV120-BV123,5)</f>
        <v>0</v>
      </c>
      <c r="BW124" s="18"/>
      <c r="BX124" s="17">
        <f>ROUND(BX115+BX120-BX123,5)</f>
        <v>0</v>
      </c>
      <c r="BY124" s="18"/>
      <c r="BZ124" s="17">
        <f>ROUND(BZ115+BZ120-BZ123,5)</f>
        <v>0</v>
      </c>
      <c r="CA124" s="18"/>
      <c r="CB124" s="17">
        <f>ROUND(CB115+CB120-CB123,5)</f>
        <v>0</v>
      </c>
      <c r="CC124" s="18"/>
      <c r="CD124" s="17">
        <f>ROUND(CD115+CD120-CD123,5)</f>
        <v>0</v>
      </c>
      <c r="CE124" s="18"/>
      <c r="CF124" s="17">
        <f>ROUND(CF115+CF120-CF123,5)</f>
        <v>0</v>
      </c>
      <c r="CG124" s="18"/>
      <c r="CH124" s="17">
        <f>ROUND(CH115+CH120-CH123,5)</f>
        <v>0</v>
      </c>
      <c r="CI124" s="18"/>
      <c r="CJ124" s="17">
        <f>ROUND(CJ115+CJ120-CJ123,5)</f>
        <v>0</v>
      </c>
      <c r="CK124" s="18"/>
      <c r="CL124" s="17">
        <f>ROUND(CL115+CL120-CL123,5)</f>
        <v>200</v>
      </c>
      <c r="CM124" s="18"/>
      <c r="CN124" s="17">
        <f>ROUND(SUM(H124:CL124),5)</f>
        <v>142489.18</v>
      </c>
    </row>
    <row r="125" spans="1:92" s="14" customFormat="1" ht="10.8" thickBot="1" x14ac:dyDescent="0.25">
      <c r="A125" s="16" t="s">
        <v>5</v>
      </c>
      <c r="B125" s="16"/>
      <c r="C125" s="16"/>
      <c r="D125" s="16"/>
      <c r="E125" s="16"/>
      <c r="F125" s="16"/>
      <c r="G125" s="16"/>
      <c r="H125" s="15">
        <f>ROUND(H114+H124,5)</f>
        <v>50959.28</v>
      </c>
      <c r="I125" s="16"/>
      <c r="J125" s="15">
        <f>ROUND(J114+J124,5)</f>
        <v>-25502.5</v>
      </c>
      <c r="K125" s="16"/>
      <c r="L125" s="15">
        <f>ROUND(L114+L124,5)</f>
        <v>405.13</v>
      </c>
      <c r="M125" s="16"/>
      <c r="N125" s="15">
        <f>ROUND(N114+N124,5)</f>
        <v>-44234.47</v>
      </c>
      <c r="O125" s="16"/>
      <c r="P125" s="15">
        <f>ROUND(P114+P124,5)</f>
        <v>34788.769999999997</v>
      </c>
      <c r="Q125" s="16"/>
      <c r="R125" s="15">
        <f>ROUND(R114+R124,5)</f>
        <v>39782.03</v>
      </c>
      <c r="S125" s="16"/>
      <c r="T125" s="15">
        <f>ROUND(T114+T124,5)</f>
        <v>29115.1</v>
      </c>
      <c r="U125" s="16"/>
      <c r="V125" s="15">
        <f>ROUND(V114+V124,5)</f>
        <v>60739.89</v>
      </c>
      <c r="W125" s="16"/>
      <c r="X125" s="15">
        <f>ROUND(X114+X124,5)</f>
        <v>2028.99</v>
      </c>
      <c r="Y125" s="16"/>
      <c r="Z125" s="15">
        <f>ROUND(Z114+Z124,5)</f>
        <v>32925.050000000003</v>
      </c>
      <c r="AA125" s="16"/>
      <c r="AB125" s="15">
        <f>ROUND(AB114+AB124,5)</f>
        <v>143032.63</v>
      </c>
      <c r="AC125" s="16"/>
      <c r="AD125" s="15">
        <f>ROUND(AD114+AD124,5)</f>
        <v>106304.89</v>
      </c>
      <c r="AE125" s="16"/>
      <c r="AF125" s="15">
        <f>ROUND(AF114+AF124,5)</f>
        <v>-30387.32</v>
      </c>
      <c r="AG125" s="16"/>
      <c r="AH125" s="15">
        <f>ROUND(AH114+AH124,5)</f>
        <v>21851.89</v>
      </c>
      <c r="AI125" s="16"/>
      <c r="AJ125" s="15">
        <f>ROUND(AJ114+AJ124,5)</f>
        <v>-34713.379999999997</v>
      </c>
      <c r="AK125" s="16"/>
      <c r="AL125" s="15">
        <f>ROUND(AL114+AL124,5)</f>
        <v>21936.02</v>
      </c>
      <c r="AM125" s="16"/>
      <c r="AN125" s="15">
        <f>ROUND(AN114+AN124,5)</f>
        <v>45493.2</v>
      </c>
      <c r="AO125" s="16"/>
      <c r="AP125" s="15">
        <f>ROUND(AP114+AP124,5)</f>
        <v>166680.53</v>
      </c>
      <c r="AQ125" s="16"/>
      <c r="AR125" s="15">
        <f>ROUND(AR114+AR124,5)</f>
        <v>-106362.68</v>
      </c>
      <c r="AS125" s="16"/>
      <c r="AT125" s="15">
        <f>ROUND(AT114+AT124,5)</f>
        <v>210182.66</v>
      </c>
      <c r="AU125" s="16"/>
      <c r="AV125" s="15">
        <f>ROUND(AV114+AV124,5)</f>
        <v>-13190.18</v>
      </c>
      <c r="AW125" s="16"/>
      <c r="AX125" s="15">
        <f>ROUND(AX114+AX124,5)</f>
        <v>-22543.14</v>
      </c>
      <c r="AY125" s="16"/>
      <c r="AZ125" s="15">
        <f>ROUND(AZ114+AZ124,5)</f>
        <v>-54427.360000000001</v>
      </c>
      <c r="BA125" s="16"/>
      <c r="BB125" s="15">
        <f>ROUND(BB114+BB124,5)</f>
        <v>153784.59</v>
      </c>
      <c r="BC125" s="16"/>
      <c r="BD125" s="15">
        <f>ROUND(BD114+BD124,5)</f>
        <v>8632.69</v>
      </c>
      <c r="BE125" s="16"/>
      <c r="BF125" s="15">
        <f>ROUND(BF114+BF124,5)</f>
        <v>-23329.46</v>
      </c>
      <c r="BG125" s="16"/>
      <c r="BH125" s="15">
        <f>ROUND(BH114+BH124,5)</f>
        <v>11430.31</v>
      </c>
      <c r="BI125" s="16"/>
      <c r="BJ125" s="15">
        <f>ROUND(BJ114+BJ124,5)</f>
        <v>54704.13</v>
      </c>
      <c r="BK125" s="16"/>
      <c r="BL125" s="15">
        <f>ROUND(BL114+BL124,5)</f>
        <v>35377.29</v>
      </c>
      <c r="BM125" s="16"/>
      <c r="BN125" s="15">
        <f>ROUND(BN114+BN124,5)</f>
        <v>34894.53</v>
      </c>
      <c r="BO125" s="16"/>
      <c r="BP125" s="15">
        <f>ROUND(BP114+BP124,5)</f>
        <v>-17280.669999999998</v>
      </c>
      <c r="BQ125" s="16"/>
      <c r="BR125" s="15">
        <f>ROUND(BR114+BR124,5)</f>
        <v>115970.24000000001</v>
      </c>
      <c r="BS125" s="16"/>
      <c r="BT125" s="15">
        <f>ROUND(BT114+BT124,5)</f>
        <v>44561.11</v>
      </c>
      <c r="BU125" s="16"/>
      <c r="BV125" s="15">
        <f>ROUND(BV114+BV124,5)</f>
        <v>3765.47</v>
      </c>
      <c r="BW125" s="16"/>
      <c r="BX125" s="15">
        <f>ROUND(BX114+BX124,5)</f>
        <v>18967.61</v>
      </c>
      <c r="BY125" s="16"/>
      <c r="BZ125" s="15">
        <f>ROUND(BZ114+BZ124,5)</f>
        <v>126821.19</v>
      </c>
      <c r="CA125" s="16"/>
      <c r="CB125" s="15">
        <f>ROUND(CB114+CB124,5)</f>
        <v>-1140.08</v>
      </c>
      <c r="CC125" s="16"/>
      <c r="CD125" s="15">
        <f>ROUND(CD114+CD124,5)</f>
        <v>9285.98</v>
      </c>
      <c r="CE125" s="16"/>
      <c r="CF125" s="15">
        <f>ROUND(CF114+CF124,5)</f>
        <v>35681.620000000003</v>
      </c>
      <c r="CG125" s="16"/>
      <c r="CH125" s="15">
        <f>ROUND(CH114+CH124,5)</f>
        <v>-19897.47</v>
      </c>
      <c r="CI125" s="16"/>
      <c r="CJ125" s="15">
        <f>ROUND(CJ114+CJ124,5)</f>
        <v>125642.3</v>
      </c>
      <c r="CK125" s="16"/>
      <c r="CL125" s="15">
        <f>ROUND(CL114+CL124,5)</f>
        <v>128813.65</v>
      </c>
      <c r="CM125" s="16"/>
      <c r="CN125" s="15">
        <f>ROUND(SUM(H125:CL125),5)</f>
        <v>1481550.06</v>
      </c>
    </row>
    <row r="126" spans="1:92" ht="15" thickTop="1" x14ac:dyDescent="0.3"/>
  </sheetData>
  <pageMargins left="0.7" right="0.7" top="0.75" bottom="0.75" header="0.1" footer="0.3"/>
  <pageSetup orientation="portrait" r:id="rId1"/>
  <headerFooter>
    <oddHeader>&amp;L&amp;"Arial,Bold"&amp;8 4:27 PM
&amp;"Arial,Bold"&amp;8 07/02/24
&amp;"Arial,Bold"&amp;8 Accrual Basis&amp;C&amp;"Arial,Bold"&amp;12 Lakeside Mechanical Service, Inc.
&amp;"Arial,Bold"&amp;14 Profit &amp;&amp; Loss
&amp;"Arial,Bold"&amp;10 January 2021 through June 2024</oddHeader>
    <oddFooter>&amp;R&amp;"Arial,Bold"&amp;8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26A83-0616-4D12-9608-8624FD7F88BB}">
  <dimension ref="A1:Q109"/>
  <sheetViews>
    <sheetView workbookViewId="0">
      <selection activeCell="A4" sqref="A3:Q4"/>
    </sheetView>
  </sheetViews>
  <sheetFormatPr defaultRowHeight="14.4" x14ac:dyDescent="0.3"/>
  <cols>
    <col min="1" max="1" width="49.88671875" style="26" customWidth="1"/>
    <col min="2" max="2" width="10.33203125" style="26" customWidth="1"/>
    <col min="3" max="4" width="10.44140625" style="26" bestFit="1" customWidth="1"/>
    <col min="5" max="5" width="12" style="26" customWidth="1"/>
    <col min="6" max="6" width="11.109375" style="26" customWidth="1"/>
    <col min="7" max="16" width="10.33203125" style="26" customWidth="1"/>
    <col min="17" max="17" width="11.109375" style="26" customWidth="1"/>
    <col min="18" max="16384" width="8.88671875" style="26"/>
  </cols>
  <sheetData>
    <row r="1" spans="1:17" ht="17.399999999999999" x14ac:dyDescent="0.3">
      <c r="A1" s="43" t="s">
        <v>232</v>
      </c>
      <c r="B1" s="43"/>
      <c r="C1" s="43"/>
      <c r="D1" s="43"/>
      <c r="E1" s="42"/>
      <c r="F1" s="42"/>
      <c r="G1" s="42"/>
      <c r="H1" s="42"/>
      <c r="I1" s="42"/>
      <c r="J1" s="42"/>
      <c r="K1" s="42"/>
      <c r="L1" s="42"/>
      <c r="M1" s="42"/>
      <c r="N1" s="42"/>
      <c r="O1" s="42"/>
      <c r="P1" s="42"/>
      <c r="Q1" s="42"/>
    </row>
    <row r="2" spans="1:17" ht="17.399999999999999" x14ac:dyDescent="0.3">
      <c r="A2" s="43" t="s">
        <v>231</v>
      </c>
      <c r="B2" s="43"/>
      <c r="C2" s="43"/>
      <c r="D2" s="43"/>
      <c r="E2" s="42"/>
      <c r="F2" s="42"/>
      <c r="G2" s="42"/>
      <c r="H2" s="42"/>
      <c r="I2" s="42"/>
      <c r="J2" s="42"/>
      <c r="K2" s="42"/>
      <c r="L2" s="42"/>
      <c r="M2" s="42"/>
      <c r="N2" s="42"/>
      <c r="O2" s="42"/>
      <c r="P2" s="42"/>
      <c r="Q2" s="42"/>
    </row>
    <row r="3" spans="1:17" x14ac:dyDescent="0.3">
      <c r="A3" s="44" t="s">
        <v>230</v>
      </c>
      <c r="B3" s="44"/>
      <c r="C3" s="44"/>
      <c r="D3" s="44"/>
      <c r="E3" s="42"/>
      <c r="F3" s="42"/>
      <c r="G3" s="42"/>
      <c r="H3" s="42"/>
      <c r="I3" s="42"/>
      <c r="J3" s="42"/>
      <c r="K3" s="42"/>
      <c r="L3" s="42"/>
      <c r="M3" s="42"/>
      <c r="N3" s="42"/>
      <c r="O3" s="42"/>
      <c r="P3" s="42"/>
      <c r="Q3" s="42"/>
    </row>
    <row r="4" spans="1:17" x14ac:dyDescent="0.3">
      <c r="A4" s="35" t="s">
        <v>242</v>
      </c>
    </row>
    <row r="5" spans="1:17" x14ac:dyDescent="0.3">
      <c r="A5" s="31"/>
      <c r="B5" s="34">
        <v>44926</v>
      </c>
      <c r="C5" s="34">
        <v>45291</v>
      </c>
      <c r="D5" s="34">
        <v>45657</v>
      </c>
      <c r="E5" s="34">
        <v>45962</v>
      </c>
      <c r="F5" s="34">
        <v>45992</v>
      </c>
      <c r="G5" s="34">
        <v>46023</v>
      </c>
      <c r="H5" s="34">
        <v>46054</v>
      </c>
      <c r="I5" s="34">
        <v>46082</v>
      </c>
      <c r="J5" s="34">
        <v>46113</v>
      </c>
      <c r="K5" s="34">
        <v>46143</v>
      </c>
      <c r="L5" s="34">
        <v>46174</v>
      </c>
      <c r="M5" s="34">
        <v>46204</v>
      </c>
      <c r="N5" s="34">
        <v>46235</v>
      </c>
      <c r="O5" s="34">
        <v>46266</v>
      </c>
      <c r="P5" s="34">
        <v>46296</v>
      </c>
      <c r="Q5" s="34">
        <v>46327</v>
      </c>
    </row>
    <row r="6" spans="1:17" x14ac:dyDescent="0.3">
      <c r="A6" s="28" t="s">
        <v>229</v>
      </c>
      <c r="B6" s="27"/>
      <c r="C6" s="27"/>
      <c r="D6" s="27"/>
      <c r="E6" s="27"/>
      <c r="F6" s="27"/>
      <c r="G6" s="27"/>
      <c r="H6" s="27"/>
      <c r="I6" s="27"/>
      <c r="J6" s="27"/>
      <c r="K6" s="27"/>
      <c r="L6" s="27"/>
      <c r="M6" s="27"/>
      <c r="N6" s="27"/>
      <c r="O6" s="27"/>
      <c r="P6" s="27"/>
      <c r="Q6" s="27"/>
    </row>
    <row r="7" spans="1:17" x14ac:dyDescent="0.3">
      <c r="A7" s="28" t="s">
        <v>228</v>
      </c>
      <c r="B7" s="27"/>
      <c r="C7" s="27"/>
      <c r="D7" s="27"/>
      <c r="E7" s="27"/>
      <c r="F7" s="27"/>
      <c r="G7" s="27"/>
      <c r="H7" s="27"/>
      <c r="I7" s="27"/>
      <c r="J7" s="27"/>
      <c r="K7" s="27"/>
      <c r="L7" s="27"/>
      <c r="M7" s="27"/>
      <c r="N7" s="27"/>
      <c r="O7" s="27"/>
      <c r="P7" s="27"/>
      <c r="Q7" s="27"/>
    </row>
    <row r="8" spans="1:17" x14ac:dyDescent="0.3">
      <c r="A8" s="28" t="s">
        <v>227</v>
      </c>
      <c r="B8" s="27"/>
      <c r="C8" s="27"/>
      <c r="D8" s="27"/>
      <c r="E8" s="27"/>
      <c r="F8" s="27"/>
      <c r="G8" s="27"/>
      <c r="H8" s="27"/>
      <c r="I8" s="27"/>
      <c r="J8" s="27"/>
      <c r="K8" s="27"/>
      <c r="L8" s="27"/>
      <c r="M8" s="27"/>
      <c r="N8" s="27"/>
      <c r="O8" s="27"/>
      <c r="P8" s="27"/>
      <c r="Q8" s="27"/>
    </row>
    <row r="9" spans="1:17" x14ac:dyDescent="0.3">
      <c r="A9" s="28" t="s">
        <v>226</v>
      </c>
      <c r="B9" s="30">
        <f>15145.61</f>
        <v>15145.61</v>
      </c>
      <c r="C9" s="30">
        <v>14734.13</v>
      </c>
      <c r="D9" s="30">
        <v>43753.73</v>
      </c>
      <c r="E9" s="30">
        <f>88602.92</f>
        <v>88602.92</v>
      </c>
      <c r="F9" s="30">
        <f>38259.38</f>
        <v>38259.379999999997</v>
      </c>
      <c r="G9" s="30">
        <f>14734.13</f>
        <v>14734.13</v>
      </c>
      <c r="H9" s="30">
        <f>43753.73</f>
        <v>43753.73</v>
      </c>
      <c r="I9" s="30">
        <f>15145.61</f>
        <v>15145.61</v>
      </c>
      <c r="J9" s="30">
        <f>65840.06</f>
        <v>65840.06</v>
      </c>
      <c r="K9" s="30">
        <f>70536.22</f>
        <v>70536.22</v>
      </c>
      <c r="L9" s="30">
        <f>68877.34</f>
        <v>68877.34</v>
      </c>
      <c r="M9" s="30">
        <f>43425.88</f>
        <v>43425.88</v>
      </c>
      <c r="N9" s="30">
        <f>15692.52</f>
        <v>15692.52</v>
      </c>
      <c r="O9" s="30">
        <f>133019.84</f>
        <v>133019.84</v>
      </c>
      <c r="P9" s="30">
        <f>7434.72</f>
        <v>7434.72</v>
      </c>
      <c r="Q9" s="30">
        <f>56312.16</f>
        <v>56312.160000000003</v>
      </c>
    </row>
    <row r="10" spans="1:17" x14ac:dyDescent="0.3">
      <c r="A10" s="28" t="s">
        <v>225</v>
      </c>
      <c r="B10" s="30">
        <f>161.04</f>
        <v>161.04</v>
      </c>
      <c r="C10" s="30">
        <v>7.34</v>
      </c>
      <c r="D10" s="30">
        <v>127.04</v>
      </c>
      <c r="E10" s="30">
        <f>148454.58</f>
        <v>148454.57999999999</v>
      </c>
      <c r="F10" s="30">
        <f>49935.04</f>
        <v>49935.040000000001</v>
      </c>
      <c r="G10" s="30">
        <f>7.34</f>
        <v>7.34</v>
      </c>
      <c r="H10" s="30">
        <f>127.04</f>
        <v>127.04</v>
      </c>
      <c r="I10" s="30">
        <f>161.04</f>
        <v>161.04</v>
      </c>
      <c r="J10" s="30">
        <f>155.51</f>
        <v>155.51</v>
      </c>
      <c r="K10" s="30">
        <f>10095.12</f>
        <v>10095.120000000001</v>
      </c>
      <c r="L10" s="30">
        <f>1543.59</f>
        <v>1543.59</v>
      </c>
      <c r="M10" s="30">
        <f>166.26</f>
        <v>166.26</v>
      </c>
      <c r="N10" s="30">
        <f>89.78</f>
        <v>89.78</v>
      </c>
      <c r="O10" s="30">
        <f>3578.88</f>
        <v>3578.88</v>
      </c>
      <c r="P10" s="30">
        <f>104138.04</f>
        <v>104138.04</v>
      </c>
      <c r="Q10" s="30">
        <f>984.65</f>
        <v>984.65</v>
      </c>
    </row>
    <row r="11" spans="1:17" x14ac:dyDescent="0.3">
      <c r="A11" s="28" t="s">
        <v>224</v>
      </c>
      <c r="B11" s="30">
        <f>191262.48</f>
        <v>191262.48</v>
      </c>
      <c r="C11" s="30">
        <v>170304.64000000001</v>
      </c>
      <c r="D11" s="30">
        <v>150752.81</v>
      </c>
      <c r="E11" s="30">
        <f>75398.62</f>
        <v>75398.62</v>
      </c>
      <c r="F11" s="30">
        <f>150742.81</f>
        <v>150742.81</v>
      </c>
      <c r="G11" s="30">
        <f>170304.64</f>
        <v>170304.64000000001</v>
      </c>
      <c r="H11" s="30">
        <f>150752.81</f>
        <v>150752.81</v>
      </c>
      <c r="I11" s="30">
        <f>191262.48</f>
        <v>191262.48</v>
      </c>
      <c r="J11" s="30">
        <f>115073.68</f>
        <v>115073.68</v>
      </c>
      <c r="K11" s="30">
        <f>5071.58</f>
        <v>5071.58</v>
      </c>
      <c r="L11" s="30">
        <f>5092.03</f>
        <v>5092.03</v>
      </c>
      <c r="M11" s="30">
        <f>86.7</f>
        <v>86.7</v>
      </c>
      <c r="N11" s="30">
        <f>5080.41</f>
        <v>5080.41</v>
      </c>
      <c r="O11" s="30">
        <f>566.99</f>
        <v>566.99</v>
      </c>
      <c r="P11" s="30">
        <f>1568.49</f>
        <v>1568.49</v>
      </c>
      <c r="Q11" s="30">
        <f>1555.32</f>
        <v>1555.32</v>
      </c>
    </row>
    <row r="12" spans="1:17" x14ac:dyDescent="0.3">
      <c r="A12" s="28" t="s">
        <v>223</v>
      </c>
      <c r="B12" s="29">
        <f t="shared" ref="B12" si="0">((B9)+(B10))+(B11)</f>
        <v>206569.13</v>
      </c>
      <c r="C12" s="29">
        <v>185046.11000000002</v>
      </c>
      <c r="D12" s="29">
        <v>194633.58000000002</v>
      </c>
      <c r="E12" s="29">
        <f t="shared" ref="E12:Q12" si="1">((E9)+(E10))+(E11)</f>
        <v>312456.12</v>
      </c>
      <c r="F12" s="29">
        <f t="shared" si="1"/>
        <v>238937.22999999998</v>
      </c>
      <c r="G12" s="29">
        <f t="shared" si="1"/>
        <v>185046.11000000002</v>
      </c>
      <c r="H12" s="29">
        <f t="shared" si="1"/>
        <v>194633.58000000002</v>
      </c>
      <c r="I12" s="29">
        <f t="shared" si="1"/>
        <v>206569.13</v>
      </c>
      <c r="J12" s="29">
        <f t="shared" si="1"/>
        <v>181069.25</v>
      </c>
      <c r="K12" s="29">
        <f t="shared" si="1"/>
        <v>85702.92</v>
      </c>
      <c r="L12" s="29">
        <f t="shared" si="1"/>
        <v>75512.959999999992</v>
      </c>
      <c r="M12" s="29">
        <f t="shared" si="1"/>
        <v>43678.84</v>
      </c>
      <c r="N12" s="29">
        <f t="shared" si="1"/>
        <v>20862.71</v>
      </c>
      <c r="O12" s="29">
        <f t="shared" si="1"/>
        <v>137165.71</v>
      </c>
      <c r="P12" s="29">
        <f t="shared" si="1"/>
        <v>113141.25</v>
      </c>
      <c r="Q12" s="29">
        <f t="shared" si="1"/>
        <v>58852.130000000005</v>
      </c>
    </row>
    <row r="13" spans="1:17" x14ac:dyDescent="0.3">
      <c r="A13" s="28" t="s">
        <v>222</v>
      </c>
      <c r="B13" s="27"/>
      <c r="C13" s="27"/>
      <c r="D13" s="27"/>
      <c r="E13" s="27"/>
      <c r="F13" s="27"/>
      <c r="G13" s="27"/>
      <c r="H13" s="27"/>
      <c r="I13" s="27"/>
      <c r="J13" s="27"/>
      <c r="K13" s="27"/>
      <c r="L13" s="27"/>
      <c r="M13" s="27"/>
      <c r="N13" s="27"/>
      <c r="O13" s="27"/>
      <c r="P13" s="27"/>
      <c r="Q13" s="27"/>
    </row>
    <row r="14" spans="1:17" x14ac:dyDescent="0.3">
      <c r="A14" s="28" t="s">
        <v>221</v>
      </c>
      <c r="B14" s="30">
        <f>277250.96</f>
        <v>277250.96000000002</v>
      </c>
      <c r="C14" s="30">
        <v>374399.65</v>
      </c>
      <c r="D14" s="30">
        <v>325635.88</v>
      </c>
      <c r="E14" s="30">
        <f>437185.62</f>
        <v>437185.62</v>
      </c>
      <c r="F14" s="30">
        <f>323045.07</f>
        <v>323045.07</v>
      </c>
      <c r="G14" s="30">
        <f>374399.65</f>
        <v>374399.65</v>
      </c>
      <c r="H14" s="30">
        <f>325635.88</f>
        <v>325635.88</v>
      </c>
      <c r="I14" s="30">
        <f>277250.96</f>
        <v>277250.96000000002</v>
      </c>
      <c r="J14" s="30">
        <f>231642.39</f>
        <v>231642.39</v>
      </c>
      <c r="K14" s="30">
        <f>224828.45</f>
        <v>224828.45</v>
      </c>
      <c r="L14" s="30">
        <f>195033.55</f>
        <v>195033.55</v>
      </c>
      <c r="M14" s="30">
        <f>262747.2</f>
        <v>262747.2</v>
      </c>
      <c r="N14" s="30">
        <f>314912.28</f>
        <v>314912.28000000003</v>
      </c>
      <c r="O14" s="30">
        <f>243151.84</f>
        <v>243151.84</v>
      </c>
      <c r="P14" s="30">
        <f>247425.44</f>
        <v>247425.44</v>
      </c>
      <c r="Q14" s="30">
        <f>259728.06</f>
        <v>259728.06</v>
      </c>
    </row>
    <row r="15" spans="1:17" x14ac:dyDescent="0.3">
      <c r="A15" s="28" t="s">
        <v>220</v>
      </c>
      <c r="B15" s="29">
        <f t="shared" ref="B15" si="2">B14</f>
        <v>277250.96000000002</v>
      </c>
      <c r="C15" s="29">
        <v>374399.65</v>
      </c>
      <c r="D15" s="29">
        <v>325635.88</v>
      </c>
      <c r="E15" s="29">
        <f t="shared" ref="E15:Q15" si="3">E14</f>
        <v>437185.62</v>
      </c>
      <c r="F15" s="29">
        <f t="shared" si="3"/>
        <v>323045.07</v>
      </c>
      <c r="G15" s="29">
        <f t="shared" si="3"/>
        <v>374399.65</v>
      </c>
      <c r="H15" s="29">
        <f t="shared" si="3"/>
        <v>325635.88</v>
      </c>
      <c r="I15" s="29">
        <f t="shared" si="3"/>
        <v>277250.96000000002</v>
      </c>
      <c r="J15" s="29">
        <f t="shared" si="3"/>
        <v>231642.39</v>
      </c>
      <c r="K15" s="29">
        <f t="shared" si="3"/>
        <v>224828.45</v>
      </c>
      <c r="L15" s="29">
        <f t="shared" si="3"/>
        <v>195033.55</v>
      </c>
      <c r="M15" s="29">
        <f t="shared" si="3"/>
        <v>262747.2</v>
      </c>
      <c r="N15" s="29">
        <f t="shared" si="3"/>
        <v>314912.28000000003</v>
      </c>
      <c r="O15" s="29">
        <f t="shared" si="3"/>
        <v>243151.84</v>
      </c>
      <c r="P15" s="29">
        <f t="shared" si="3"/>
        <v>247425.44</v>
      </c>
      <c r="Q15" s="29">
        <f t="shared" si="3"/>
        <v>259728.06</v>
      </c>
    </row>
    <row r="16" spans="1:17" x14ac:dyDescent="0.3">
      <c r="A16" s="28" t="s">
        <v>219</v>
      </c>
      <c r="B16" s="27"/>
      <c r="C16" s="27"/>
      <c r="D16" s="27"/>
      <c r="E16" s="27"/>
      <c r="F16" s="27"/>
      <c r="G16" s="27"/>
      <c r="H16" s="27"/>
      <c r="I16" s="27"/>
      <c r="J16" s="27"/>
      <c r="K16" s="27"/>
      <c r="L16" s="27"/>
      <c r="M16" s="27"/>
      <c r="N16" s="27"/>
      <c r="O16" s="27"/>
      <c r="P16" s="27"/>
      <c r="Q16" s="27"/>
    </row>
    <row r="17" spans="1:17" x14ac:dyDescent="0.3">
      <c r="A17" s="28" t="s">
        <v>218</v>
      </c>
      <c r="B17" s="30" t="str">
        <f t="shared" ref="B17:B23" si="4">A17</f>
        <v xml:space="preserve">         11200 Loans To Officers</v>
      </c>
      <c r="C17" s="30">
        <v>0</v>
      </c>
      <c r="D17" s="30">
        <v>0</v>
      </c>
      <c r="E17" s="30">
        <f>86056.46</f>
        <v>86056.46</v>
      </c>
      <c r="F17" s="30">
        <f>0</f>
        <v>0</v>
      </c>
      <c r="G17" s="30">
        <f t="shared" ref="G17:Q17" si="5">F17</f>
        <v>0</v>
      </c>
      <c r="H17" s="30">
        <f t="shared" si="5"/>
        <v>0</v>
      </c>
      <c r="I17" s="30">
        <f t="shared" si="5"/>
        <v>0</v>
      </c>
      <c r="J17" s="30">
        <f t="shared" si="5"/>
        <v>0</v>
      </c>
      <c r="K17" s="30">
        <f t="shared" si="5"/>
        <v>0</v>
      </c>
      <c r="L17" s="30">
        <f t="shared" si="5"/>
        <v>0</v>
      </c>
      <c r="M17" s="30">
        <f t="shared" si="5"/>
        <v>0</v>
      </c>
      <c r="N17" s="30">
        <f t="shared" si="5"/>
        <v>0</v>
      </c>
      <c r="O17" s="30">
        <f t="shared" si="5"/>
        <v>0</v>
      </c>
      <c r="P17" s="30">
        <f t="shared" si="5"/>
        <v>0</v>
      </c>
      <c r="Q17" s="30">
        <f t="shared" si="5"/>
        <v>0</v>
      </c>
    </row>
    <row r="18" spans="1:17" x14ac:dyDescent="0.3">
      <c r="A18" s="28" t="s">
        <v>217</v>
      </c>
      <c r="B18" s="30" t="str">
        <f t="shared" si="4"/>
        <v xml:space="preserve">         11201 Loans To Officers</v>
      </c>
      <c r="C18" s="30">
        <v>0</v>
      </c>
      <c r="D18" s="30">
        <v>0</v>
      </c>
      <c r="E18" s="30">
        <f>71800</f>
        <v>71800</v>
      </c>
      <c r="F18" s="30">
        <f>0</f>
        <v>0</v>
      </c>
      <c r="G18" s="30">
        <f t="shared" ref="G18:Q18" si="6">F18</f>
        <v>0</v>
      </c>
      <c r="H18" s="30">
        <f t="shared" si="6"/>
        <v>0</v>
      </c>
      <c r="I18" s="30">
        <f t="shared" si="6"/>
        <v>0</v>
      </c>
      <c r="J18" s="30">
        <f t="shared" si="6"/>
        <v>0</v>
      </c>
      <c r="K18" s="30">
        <f t="shared" si="6"/>
        <v>0</v>
      </c>
      <c r="L18" s="30">
        <f t="shared" si="6"/>
        <v>0</v>
      </c>
      <c r="M18" s="30">
        <f t="shared" si="6"/>
        <v>0</v>
      </c>
      <c r="N18" s="30">
        <f t="shared" si="6"/>
        <v>0</v>
      </c>
      <c r="O18" s="30">
        <f t="shared" si="6"/>
        <v>0</v>
      </c>
      <c r="P18" s="30">
        <f t="shared" si="6"/>
        <v>0</v>
      </c>
      <c r="Q18" s="30">
        <f t="shared" si="6"/>
        <v>0</v>
      </c>
    </row>
    <row r="19" spans="1:17" x14ac:dyDescent="0.3">
      <c r="A19" s="28" t="s">
        <v>216</v>
      </c>
      <c r="B19" s="30" t="str">
        <f t="shared" si="4"/>
        <v xml:space="preserve">         11202 loan to officers</v>
      </c>
      <c r="C19" s="30">
        <v>0</v>
      </c>
      <c r="D19" s="30">
        <v>0</v>
      </c>
      <c r="E19" s="30">
        <f>-5833</f>
        <v>-5833</v>
      </c>
      <c r="F19" s="30">
        <f>0</f>
        <v>0</v>
      </c>
      <c r="G19" s="30">
        <f t="shared" ref="G19:L23" si="7">F19</f>
        <v>0</v>
      </c>
      <c r="H19" s="30">
        <f t="shared" si="7"/>
        <v>0</v>
      </c>
      <c r="I19" s="30">
        <f t="shared" si="7"/>
        <v>0</v>
      </c>
      <c r="J19" s="30">
        <f t="shared" si="7"/>
        <v>0</v>
      </c>
      <c r="K19" s="30">
        <f t="shared" si="7"/>
        <v>0</v>
      </c>
      <c r="L19" s="30">
        <f t="shared" si="7"/>
        <v>0</v>
      </c>
      <c r="M19" s="30">
        <f>50000</f>
        <v>50000</v>
      </c>
      <c r="N19" s="30">
        <f t="shared" ref="N19:Q20" si="8">M19</f>
        <v>50000</v>
      </c>
      <c r="O19" s="30">
        <f t="shared" si="8"/>
        <v>50000</v>
      </c>
      <c r="P19" s="30">
        <f t="shared" si="8"/>
        <v>50000</v>
      </c>
      <c r="Q19" s="30">
        <f t="shared" si="8"/>
        <v>50000</v>
      </c>
    </row>
    <row r="20" spans="1:17" x14ac:dyDescent="0.3">
      <c r="A20" s="28" t="s">
        <v>215</v>
      </c>
      <c r="B20" s="30" t="str">
        <f t="shared" si="4"/>
        <v xml:space="preserve">         11300 Due from Factoring</v>
      </c>
      <c r="C20" s="30">
        <v>0</v>
      </c>
      <c r="D20" s="30">
        <v>0</v>
      </c>
      <c r="E20" s="30">
        <f>12894.99</f>
        <v>12894.99</v>
      </c>
      <c r="F20" s="30">
        <f>0</f>
        <v>0</v>
      </c>
      <c r="G20" s="30">
        <f t="shared" si="7"/>
        <v>0</v>
      </c>
      <c r="H20" s="30">
        <f t="shared" si="7"/>
        <v>0</v>
      </c>
      <c r="I20" s="30">
        <f t="shared" si="7"/>
        <v>0</v>
      </c>
      <c r="J20" s="30">
        <f t="shared" si="7"/>
        <v>0</v>
      </c>
      <c r="K20" s="30">
        <f t="shared" si="7"/>
        <v>0</v>
      </c>
      <c r="L20" s="30">
        <f t="shared" si="7"/>
        <v>0</v>
      </c>
      <c r="M20" s="30">
        <f>L20</f>
        <v>0</v>
      </c>
      <c r="N20" s="30">
        <f t="shared" si="8"/>
        <v>0</v>
      </c>
      <c r="O20" s="30">
        <f t="shared" si="8"/>
        <v>0</v>
      </c>
      <c r="P20" s="30">
        <f t="shared" si="8"/>
        <v>0</v>
      </c>
      <c r="Q20" s="30">
        <f t="shared" si="8"/>
        <v>0</v>
      </c>
    </row>
    <row r="21" spans="1:17" x14ac:dyDescent="0.3">
      <c r="A21" s="28" t="s">
        <v>214</v>
      </c>
      <c r="B21" s="30" t="str">
        <f t="shared" si="4"/>
        <v xml:space="preserve">         14100 Prepaid Expenses</v>
      </c>
      <c r="C21" s="30">
        <v>0</v>
      </c>
      <c r="D21" s="30">
        <v>0</v>
      </c>
      <c r="E21" s="30">
        <f>0</f>
        <v>0</v>
      </c>
      <c r="F21" s="30">
        <f>E21</f>
        <v>0</v>
      </c>
      <c r="G21" s="30">
        <f t="shared" si="7"/>
        <v>0</v>
      </c>
      <c r="H21" s="30">
        <f t="shared" si="7"/>
        <v>0</v>
      </c>
      <c r="I21" s="30">
        <f t="shared" si="7"/>
        <v>0</v>
      </c>
      <c r="J21" s="30">
        <f t="shared" si="7"/>
        <v>0</v>
      </c>
      <c r="K21" s="30">
        <f t="shared" si="7"/>
        <v>0</v>
      </c>
      <c r="L21" s="30">
        <f t="shared" si="7"/>
        <v>0</v>
      </c>
      <c r="M21" s="30">
        <f>L21</f>
        <v>0</v>
      </c>
      <c r="N21" s="30">
        <f>M21</f>
        <v>0</v>
      </c>
      <c r="O21" s="30">
        <f>N21</f>
        <v>0</v>
      </c>
      <c r="P21" s="30">
        <f>O21</f>
        <v>0</v>
      </c>
      <c r="Q21" s="30">
        <f>-8868.42</f>
        <v>-8868.42</v>
      </c>
    </row>
    <row r="22" spans="1:17" x14ac:dyDescent="0.3">
      <c r="A22" s="28" t="s">
        <v>213</v>
      </c>
      <c r="B22" s="30" t="str">
        <f t="shared" si="4"/>
        <v xml:space="preserve">            14110 Recruiting Tools</v>
      </c>
      <c r="C22" s="30">
        <v>0</v>
      </c>
      <c r="D22" s="30">
        <v>0</v>
      </c>
      <c r="E22" s="27"/>
      <c r="F22" s="30">
        <f>E22</f>
        <v>0</v>
      </c>
      <c r="G22" s="30">
        <f t="shared" si="7"/>
        <v>0</v>
      </c>
      <c r="H22" s="30">
        <f t="shared" si="7"/>
        <v>0</v>
      </c>
      <c r="I22" s="30">
        <f t="shared" si="7"/>
        <v>0</v>
      </c>
      <c r="J22" s="30">
        <f t="shared" si="7"/>
        <v>0</v>
      </c>
      <c r="K22" s="30">
        <f t="shared" si="7"/>
        <v>0</v>
      </c>
      <c r="L22" s="30">
        <f t="shared" si="7"/>
        <v>0</v>
      </c>
      <c r="M22" s="30">
        <f>L22</f>
        <v>0</v>
      </c>
      <c r="N22" s="30">
        <f>M22</f>
        <v>0</v>
      </c>
      <c r="O22" s="30">
        <f>N22</f>
        <v>0</v>
      </c>
      <c r="P22" s="30">
        <f>9516.67</f>
        <v>9516.67</v>
      </c>
      <c r="Q22" s="30">
        <f>4758.34</f>
        <v>4758.34</v>
      </c>
    </row>
    <row r="23" spans="1:17" x14ac:dyDescent="0.3">
      <c r="A23" s="28" t="s">
        <v>212</v>
      </c>
      <c r="B23" s="30" t="str">
        <f t="shared" si="4"/>
        <v xml:space="preserve">            14120 Carta</v>
      </c>
      <c r="C23" s="30">
        <v>0</v>
      </c>
      <c r="D23" s="30">
        <v>0</v>
      </c>
      <c r="E23" s="27"/>
      <c r="F23" s="30">
        <f>E23</f>
        <v>0</v>
      </c>
      <c r="G23" s="30">
        <f t="shared" si="7"/>
        <v>0</v>
      </c>
      <c r="H23" s="30">
        <f t="shared" si="7"/>
        <v>0</v>
      </c>
      <c r="I23" s="30">
        <f t="shared" si="7"/>
        <v>0</v>
      </c>
      <c r="J23" s="30">
        <f t="shared" si="7"/>
        <v>0</v>
      </c>
      <c r="K23" s="30">
        <f t="shared" si="7"/>
        <v>0</v>
      </c>
      <c r="L23" s="30">
        <f t="shared" si="7"/>
        <v>0</v>
      </c>
      <c r="M23" s="30">
        <f>L23</f>
        <v>0</v>
      </c>
      <c r="N23" s="30">
        <f>M23</f>
        <v>0</v>
      </c>
      <c r="O23" s="30">
        <f>N23</f>
        <v>0</v>
      </c>
      <c r="P23" s="30">
        <f>3810.98</f>
        <v>3810.98</v>
      </c>
      <c r="Q23" s="30">
        <f>P23</f>
        <v>3810.98</v>
      </c>
    </row>
    <row r="24" spans="1:17" x14ac:dyDescent="0.3">
      <c r="A24" s="28" t="s">
        <v>211</v>
      </c>
      <c r="B24" s="29" t="e">
        <f t="shared" ref="B24" si="9">((B21)+(B22))+(B23)</f>
        <v>#VALUE!</v>
      </c>
      <c r="C24" s="29">
        <v>0</v>
      </c>
      <c r="D24" s="29">
        <v>0</v>
      </c>
      <c r="E24" s="29">
        <f t="shared" ref="E24:Q24" si="10">((E21)+(E22))+(E23)</f>
        <v>0</v>
      </c>
      <c r="F24" s="29">
        <f t="shared" si="10"/>
        <v>0</v>
      </c>
      <c r="G24" s="29">
        <f t="shared" si="10"/>
        <v>0</v>
      </c>
      <c r="H24" s="29">
        <f t="shared" si="10"/>
        <v>0</v>
      </c>
      <c r="I24" s="29">
        <f t="shared" si="10"/>
        <v>0</v>
      </c>
      <c r="J24" s="29">
        <f t="shared" si="10"/>
        <v>0</v>
      </c>
      <c r="K24" s="29">
        <f t="shared" si="10"/>
        <v>0</v>
      </c>
      <c r="L24" s="29">
        <f t="shared" si="10"/>
        <v>0</v>
      </c>
      <c r="M24" s="29">
        <f t="shared" si="10"/>
        <v>0</v>
      </c>
      <c r="N24" s="29">
        <f t="shared" si="10"/>
        <v>0</v>
      </c>
      <c r="O24" s="29">
        <f t="shared" si="10"/>
        <v>0</v>
      </c>
      <c r="P24" s="29">
        <f t="shared" si="10"/>
        <v>13327.65</v>
      </c>
      <c r="Q24" s="29">
        <f t="shared" si="10"/>
        <v>-299.09999999999991</v>
      </c>
    </row>
    <row r="25" spans="1:17" x14ac:dyDescent="0.3">
      <c r="A25" s="28" t="s">
        <v>210</v>
      </c>
      <c r="B25" s="30" t="str">
        <f t="shared" ref="B25:B30" si="11">A25</f>
        <v xml:space="preserve">         14200 Security Deposits</v>
      </c>
      <c r="C25" s="30">
        <v>0</v>
      </c>
      <c r="D25" s="30">
        <v>0</v>
      </c>
      <c r="E25" s="30">
        <f>4650</f>
        <v>4650</v>
      </c>
      <c r="F25" s="30">
        <f>0</f>
        <v>0</v>
      </c>
      <c r="G25" s="30">
        <f t="shared" ref="G25:Q25" si="12">F25</f>
        <v>0</v>
      </c>
      <c r="H25" s="30">
        <f t="shared" si="12"/>
        <v>0</v>
      </c>
      <c r="I25" s="30">
        <f t="shared" si="12"/>
        <v>0</v>
      </c>
      <c r="J25" s="30">
        <f t="shared" si="12"/>
        <v>0</v>
      </c>
      <c r="K25" s="30">
        <f t="shared" si="12"/>
        <v>0</v>
      </c>
      <c r="L25" s="30">
        <f t="shared" si="12"/>
        <v>0</v>
      </c>
      <c r="M25" s="30">
        <f t="shared" si="12"/>
        <v>0</v>
      </c>
      <c r="N25" s="30">
        <f t="shared" si="12"/>
        <v>0</v>
      </c>
      <c r="O25" s="30">
        <f t="shared" si="12"/>
        <v>0</v>
      </c>
      <c r="P25" s="30">
        <f t="shared" si="12"/>
        <v>0</v>
      </c>
      <c r="Q25" s="30">
        <f t="shared" si="12"/>
        <v>0</v>
      </c>
    </row>
    <row r="26" spans="1:17" x14ac:dyDescent="0.3">
      <c r="A26" s="28" t="s">
        <v>209</v>
      </c>
      <c r="B26" s="30" t="str">
        <f t="shared" si="11"/>
        <v xml:space="preserve">         14400 Employee Advances</v>
      </c>
      <c r="C26" s="30">
        <v>0</v>
      </c>
      <c r="D26" s="30">
        <v>0</v>
      </c>
      <c r="E26" s="30">
        <f>9959.42</f>
        <v>9959.42</v>
      </c>
      <c r="F26" s="30">
        <f>0</f>
        <v>0</v>
      </c>
      <c r="G26" s="30">
        <f t="shared" ref="G26:Q26" si="13">F26</f>
        <v>0</v>
      </c>
      <c r="H26" s="30">
        <f t="shared" si="13"/>
        <v>0</v>
      </c>
      <c r="I26" s="30">
        <f t="shared" si="13"/>
        <v>0</v>
      </c>
      <c r="J26" s="30">
        <f t="shared" si="13"/>
        <v>0</v>
      </c>
      <c r="K26" s="30">
        <f t="shared" si="13"/>
        <v>0</v>
      </c>
      <c r="L26" s="30">
        <f t="shared" si="13"/>
        <v>0</v>
      </c>
      <c r="M26" s="30">
        <f t="shared" si="13"/>
        <v>0</v>
      </c>
      <c r="N26" s="30">
        <f t="shared" si="13"/>
        <v>0</v>
      </c>
      <c r="O26" s="30">
        <f t="shared" si="13"/>
        <v>0</v>
      </c>
      <c r="P26" s="30">
        <f t="shared" si="13"/>
        <v>0</v>
      </c>
      <c r="Q26" s="30">
        <f t="shared" si="13"/>
        <v>0</v>
      </c>
    </row>
    <row r="27" spans="1:17" x14ac:dyDescent="0.3">
      <c r="A27" s="28" t="s">
        <v>208</v>
      </c>
      <c r="B27" s="30" t="str">
        <f t="shared" si="11"/>
        <v xml:space="preserve">         14500 Payroll Refunds</v>
      </c>
      <c r="C27" s="30">
        <v>0</v>
      </c>
      <c r="D27" s="30">
        <v>0</v>
      </c>
      <c r="E27" s="30">
        <f>-39.88</f>
        <v>-39.880000000000003</v>
      </c>
      <c r="F27" s="30">
        <f>0</f>
        <v>0</v>
      </c>
      <c r="G27" s="30">
        <f t="shared" ref="G27:Q27" si="14">F27</f>
        <v>0</v>
      </c>
      <c r="H27" s="30">
        <f t="shared" si="14"/>
        <v>0</v>
      </c>
      <c r="I27" s="30">
        <f t="shared" si="14"/>
        <v>0</v>
      </c>
      <c r="J27" s="30">
        <f t="shared" si="14"/>
        <v>0</v>
      </c>
      <c r="K27" s="30">
        <f t="shared" si="14"/>
        <v>0</v>
      </c>
      <c r="L27" s="30">
        <f t="shared" si="14"/>
        <v>0</v>
      </c>
      <c r="M27" s="30">
        <f t="shared" si="14"/>
        <v>0</v>
      </c>
      <c r="N27" s="30">
        <f t="shared" si="14"/>
        <v>0</v>
      </c>
      <c r="O27" s="30">
        <f t="shared" si="14"/>
        <v>0</v>
      </c>
      <c r="P27" s="30">
        <f t="shared" si="14"/>
        <v>0</v>
      </c>
      <c r="Q27" s="30">
        <f t="shared" si="14"/>
        <v>0</v>
      </c>
    </row>
    <row r="28" spans="1:17" x14ac:dyDescent="0.3">
      <c r="A28" s="28" t="s">
        <v>207</v>
      </c>
      <c r="B28" s="30" t="str">
        <f t="shared" si="11"/>
        <v xml:space="preserve">         14550 401K Overpayment</v>
      </c>
      <c r="C28" s="30">
        <v>0</v>
      </c>
      <c r="D28" s="30">
        <v>0</v>
      </c>
      <c r="E28" s="30">
        <f>5477.31</f>
        <v>5477.31</v>
      </c>
      <c r="F28" s="30">
        <f>0</f>
        <v>0</v>
      </c>
      <c r="G28" s="30">
        <f t="shared" ref="G28:Q28" si="15">F28</f>
        <v>0</v>
      </c>
      <c r="H28" s="30">
        <f t="shared" si="15"/>
        <v>0</v>
      </c>
      <c r="I28" s="30">
        <f t="shared" si="15"/>
        <v>0</v>
      </c>
      <c r="J28" s="30">
        <f t="shared" si="15"/>
        <v>0</v>
      </c>
      <c r="K28" s="30">
        <f t="shared" si="15"/>
        <v>0</v>
      </c>
      <c r="L28" s="30">
        <f t="shared" si="15"/>
        <v>0</v>
      </c>
      <c r="M28" s="30">
        <f t="shared" si="15"/>
        <v>0</v>
      </c>
      <c r="N28" s="30">
        <f t="shared" si="15"/>
        <v>0</v>
      </c>
      <c r="O28" s="30">
        <f t="shared" si="15"/>
        <v>0</v>
      </c>
      <c r="P28" s="30">
        <f t="shared" si="15"/>
        <v>0</v>
      </c>
      <c r="Q28" s="30">
        <f t="shared" si="15"/>
        <v>0</v>
      </c>
    </row>
    <row r="29" spans="1:17" x14ac:dyDescent="0.3">
      <c r="A29" s="28" t="s">
        <v>206</v>
      </c>
      <c r="B29" s="30" t="str">
        <f t="shared" si="11"/>
        <v xml:space="preserve">         14600 Uncategorized Asset</v>
      </c>
      <c r="C29" s="30">
        <v>0</v>
      </c>
      <c r="D29" s="30">
        <v>0</v>
      </c>
      <c r="E29" s="30">
        <f>0</f>
        <v>0</v>
      </c>
      <c r="F29" s="30">
        <f>E29</f>
        <v>0</v>
      </c>
      <c r="G29" s="30">
        <f t="shared" ref="G29:Q29" si="16">F29</f>
        <v>0</v>
      </c>
      <c r="H29" s="30">
        <f t="shared" si="16"/>
        <v>0</v>
      </c>
      <c r="I29" s="30">
        <f t="shared" si="16"/>
        <v>0</v>
      </c>
      <c r="J29" s="30">
        <f t="shared" si="16"/>
        <v>0</v>
      </c>
      <c r="K29" s="30">
        <f t="shared" si="16"/>
        <v>0</v>
      </c>
      <c r="L29" s="30">
        <f t="shared" si="16"/>
        <v>0</v>
      </c>
      <c r="M29" s="30">
        <f t="shared" si="16"/>
        <v>0</v>
      </c>
      <c r="N29" s="30">
        <f t="shared" si="16"/>
        <v>0</v>
      </c>
      <c r="O29" s="30">
        <f t="shared" si="16"/>
        <v>0</v>
      </c>
      <c r="P29" s="30">
        <f t="shared" si="16"/>
        <v>0</v>
      </c>
      <c r="Q29" s="30">
        <f t="shared" si="16"/>
        <v>0</v>
      </c>
    </row>
    <row r="30" spans="1:17" x14ac:dyDescent="0.3">
      <c r="A30" s="28" t="s">
        <v>205</v>
      </c>
      <c r="B30" s="30" t="str">
        <f t="shared" si="11"/>
        <v xml:space="preserve">         14700 Undeposited Funds</v>
      </c>
      <c r="C30" s="30">
        <v>0</v>
      </c>
      <c r="D30" s="30">
        <v>0</v>
      </c>
      <c r="E30" s="30">
        <f>0</f>
        <v>0</v>
      </c>
      <c r="F30" s="30">
        <f>E30</f>
        <v>0</v>
      </c>
      <c r="G30" s="30">
        <f t="shared" ref="G30:Q30" si="17">F30</f>
        <v>0</v>
      </c>
      <c r="H30" s="30">
        <f t="shared" si="17"/>
        <v>0</v>
      </c>
      <c r="I30" s="30">
        <f t="shared" si="17"/>
        <v>0</v>
      </c>
      <c r="J30" s="30">
        <f t="shared" si="17"/>
        <v>0</v>
      </c>
      <c r="K30" s="30">
        <f t="shared" si="17"/>
        <v>0</v>
      </c>
      <c r="L30" s="30">
        <f t="shared" si="17"/>
        <v>0</v>
      </c>
      <c r="M30" s="30">
        <f t="shared" si="17"/>
        <v>0</v>
      </c>
      <c r="N30" s="30">
        <f t="shared" si="17"/>
        <v>0</v>
      </c>
      <c r="O30" s="30">
        <f t="shared" si="17"/>
        <v>0</v>
      </c>
      <c r="P30" s="30">
        <f t="shared" si="17"/>
        <v>0</v>
      </c>
      <c r="Q30" s="30">
        <f t="shared" si="17"/>
        <v>0</v>
      </c>
    </row>
    <row r="31" spans="1:17" x14ac:dyDescent="0.3">
      <c r="A31" s="28" t="s">
        <v>204</v>
      </c>
      <c r="B31" s="30">
        <f>22549.5</f>
        <v>22549.5</v>
      </c>
      <c r="C31" s="30">
        <v>12649.61</v>
      </c>
      <c r="D31" s="30">
        <v>20416.61</v>
      </c>
      <c r="E31" s="30">
        <f>14071.4</f>
        <v>14071.4</v>
      </c>
      <c r="F31" s="30">
        <f>0</f>
        <v>0</v>
      </c>
      <c r="G31" s="30">
        <f>12649.61</f>
        <v>12649.61</v>
      </c>
      <c r="H31" s="30">
        <f>20416.61</f>
        <v>20416.61</v>
      </c>
      <c r="I31" s="30">
        <f>22549.5</f>
        <v>22549.5</v>
      </c>
      <c r="J31" s="30">
        <f>20416.61</f>
        <v>20416.61</v>
      </c>
      <c r="K31" s="30">
        <f>24514.89</f>
        <v>24514.89</v>
      </c>
      <c r="L31" s="30">
        <f>38339.83</f>
        <v>38339.83</v>
      </c>
      <c r="M31" s="30">
        <f>23213.81</f>
        <v>23213.81</v>
      </c>
      <c r="N31" s="30">
        <f>34573.82</f>
        <v>34573.82</v>
      </c>
      <c r="O31" s="30">
        <f>20416.61</f>
        <v>20416.61</v>
      </c>
      <c r="P31" s="30">
        <f>55850.29</f>
        <v>55850.29</v>
      </c>
      <c r="Q31" s="30">
        <f>56964.34</f>
        <v>56964.34</v>
      </c>
    </row>
    <row r="32" spans="1:17" x14ac:dyDescent="0.3">
      <c r="A32" s="28" t="s">
        <v>203</v>
      </c>
      <c r="B32" s="29" t="e">
        <f t="shared" ref="B32" si="18">(((((((((((B17)+(B18))+(B19))+(B20))+(B24))+(B25))+(B26))+(B27))+(B28))+(B29))+(B30))+(B31)</f>
        <v>#VALUE!</v>
      </c>
      <c r="C32" s="29">
        <v>12649.61</v>
      </c>
      <c r="D32" s="29">
        <v>20416.61</v>
      </c>
      <c r="E32" s="29">
        <f t="shared" ref="E32:Q32" si="19">(((((((((((E17)+(E18))+(E19))+(E20))+(E24))+(E25))+(E26))+(E27))+(E28))+(E29))+(E30))+(E31)</f>
        <v>199036.7</v>
      </c>
      <c r="F32" s="29">
        <f t="shared" si="19"/>
        <v>0</v>
      </c>
      <c r="G32" s="29">
        <f t="shared" si="19"/>
        <v>12649.61</v>
      </c>
      <c r="H32" s="29">
        <f t="shared" si="19"/>
        <v>20416.61</v>
      </c>
      <c r="I32" s="29">
        <f t="shared" si="19"/>
        <v>22549.5</v>
      </c>
      <c r="J32" s="29">
        <f t="shared" si="19"/>
        <v>20416.61</v>
      </c>
      <c r="K32" s="29">
        <f t="shared" si="19"/>
        <v>24514.89</v>
      </c>
      <c r="L32" s="29">
        <f t="shared" si="19"/>
        <v>38339.83</v>
      </c>
      <c r="M32" s="29">
        <f t="shared" si="19"/>
        <v>73213.81</v>
      </c>
      <c r="N32" s="29">
        <f t="shared" si="19"/>
        <v>84573.82</v>
      </c>
      <c r="O32" s="29">
        <f t="shared" si="19"/>
        <v>70416.61</v>
      </c>
      <c r="P32" s="29">
        <f t="shared" si="19"/>
        <v>119177.94</v>
      </c>
      <c r="Q32" s="29">
        <f t="shared" si="19"/>
        <v>106665.23999999999</v>
      </c>
    </row>
    <row r="33" spans="1:17" x14ac:dyDescent="0.3">
      <c r="A33" s="28" t="s">
        <v>202</v>
      </c>
      <c r="B33" s="29" t="e">
        <f t="shared" ref="B33" si="20">((B12)+(B15))+(B32)</f>
        <v>#VALUE!</v>
      </c>
      <c r="C33" s="29">
        <v>572095.37</v>
      </c>
      <c r="D33" s="29">
        <v>540686.07000000007</v>
      </c>
      <c r="E33" s="29">
        <f t="shared" ref="E33:Q33" si="21">((E12)+(E15))+(E32)</f>
        <v>948678.44</v>
      </c>
      <c r="F33" s="29">
        <f t="shared" si="21"/>
        <v>561982.30000000005</v>
      </c>
      <c r="G33" s="29">
        <f t="shared" si="21"/>
        <v>572095.37</v>
      </c>
      <c r="H33" s="29">
        <f t="shared" si="21"/>
        <v>540686.07000000007</v>
      </c>
      <c r="I33" s="29">
        <f t="shared" si="21"/>
        <v>506369.59</v>
      </c>
      <c r="J33" s="29">
        <f t="shared" si="21"/>
        <v>433128.25</v>
      </c>
      <c r="K33" s="29">
        <f t="shared" si="21"/>
        <v>335046.26</v>
      </c>
      <c r="L33" s="29">
        <f t="shared" si="21"/>
        <v>308886.34000000003</v>
      </c>
      <c r="M33" s="29">
        <f t="shared" si="21"/>
        <v>379639.85000000003</v>
      </c>
      <c r="N33" s="29">
        <f t="shared" si="21"/>
        <v>420348.81000000006</v>
      </c>
      <c r="O33" s="29">
        <f t="shared" si="21"/>
        <v>450734.16</v>
      </c>
      <c r="P33" s="29">
        <f t="shared" si="21"/>
        <v>479744.63</v>
      </c>
      <c r="Q33" s="29">
        <f t="shared" si="21"/>
        <v>425245.43</v>
      </c>
    </row>
    <row r="34" spans="1:17" x14ac:dyDescent="0.3">
      <c r="A34" s="28" t="s">
        <v>201</v>
      </c>
      <c r="B34" s="27"/>
      <c r="C34" s="27"/>
      <c r="D34" s="27"/>
      <c r="E34" s="27"/>
      <c r="F34" s="27"/>
      <c r="G34" s="27"/>
      <c r="H34" s="27"/>
      <c r="I34" s="27"/>
      <c r="J34" s="27"/>
      <c r="K34" s="27"/>
      <c r="L34" s="27"/>
      <c r="M34" s="27"/>
      <c r="N34" s="27"/>
      <c r="O34" s="27"/>
      <c r="P34" s="27"/>
      <c r="Q34" s="27"/>
    </row>
    <row r="35" spans="1:17" x14ac:dyDescent="0.3">
      <c r="A35" s="28" t="s">
        <v>200</v>
      </c>
      <c r="B35" s="30" t="str">
        <f t="shared" ref="B35:B39" si="22">A35</f>
        <v xml:space="preserve">      15400 Vehicles</v>
      </c>
      <c r="C35" s="30">
        <v>115809.42</v>
      </c>
      <c r="D35" s="30">
        <v>115809.42</v>
      </c>
      <c r="E35" s="30">
        <f>115809.42</f>
        <v>115809.42</v>
      </c>
      <c r="F35" s="30">
        <f t="shared" ref="F35:N35" si="23">E35</f>
        <v>115809.42</v>
      </c>
      <c r="G35" s="30">
        <f t="shared" si="23"/>
        <v>115809.42</v>
      </c>
      <c r="H35" s="30">
        <f t="shared" si="23"/>
        <v>115809.42</v>
      </c>
      <c r="I35" s="30">
        <f t="shared" si="23"/>
        <v>115809.42</v>
      </c>
      <c r="J35" s="30">
        <f t="shared" si="23"/>
        <v>115809.42</v>
      </c>
      <c r="K35" s="30">
        <f t="shared" si="23"/>
        <v>115809.42</v>
      </c>
      <c r="L35" s="30">
        <f t="shared" si="23"/>
        <v>115809.42</v>
      </c>
      <c r="M35" s="30">
        <f t="shared" si="23"/>
        <v>115809.42</v>
      </c>
      <c r="N35" s="30">
        <f t="shared" si="23"/>
        <v>115809.42</v>
      </c>
      <c r="O35" s="30">
        <f>65471.98</f>
        <v>65471.98</v>
      </c>
      <c r="P35" s="30">
        <f t="shared" ref="P35:Q39" si="24">O35</f>
        <v>65471.98</v>
      </c>
      <c r="Q35" s="30">
        <f t="shared" si="24"/>
        <v>65471.98</v>
      </c>
    </row>
    <row r="36" spans="1:17" x14ac:dyDescent="0.3">
      <c r="A36" s="28" t="s">
        <v>199</v>
      </c>
      <c r="B36" s="30" t="str">
        <f t="shared" si="22"/>
        <v xml:space="preserve">      15600 Computer Software-Purchased</v>
      </c>
      <c r="C36" s="30">
        <v>3827.19</v>
      </c>
      <c r="D36" s="30">
        <v>3827.19</v>
      </c>
      <c r="E36" s="30">
        <f>3827.19</f>
        <v>3827.19</v>
      </c>
      <c r="F36" s="30">
        <f t="shared" ref="F36:N36" si="25">E36</f>
        <v>3827.19</v>
      </c>
      <c r="G36" s="30">
        <f t="shared" si="25"/>
        <v>3827.19</v>
      </c>
      <c r="H36" s="30">
        <f t="shared" si="25"/>
        <v>3827.19</v>
      </c>
      <c r="I36" s="30">
        <f t="shared" si="25"/>
        <v>3827.19</v>
      </c>
      <c r="J36" s="30">
        <f t="shared" si="25"/>
        <v>3827.19</v>
      </c>
      <c r="K36" s="30">
        <f t="shared" si="25"/>
        <v>3827.19</v>
      </c>
      <c r="L36" s="30">
        <f t="shared" si="25"/>
        <v>3827.19</v>
      </c>
      <c r="M36" s="30">
        <f t="shared" si="25"/>
        <v>3827.19</v>
      </c>
      <c r="N36" s="30">
        <f t="shared" si="25"/>
        <v>3827.19</v>
      </c>
      <c r="O36" s="30">
        <f>N36</f>
        <v>3827.19</v>
      </c>
      <c r="P36" s="30">
        <f t="shared" si="24"/>
        <v>3827.19</v>
      </c>
      <c r="Q36" s="30">
        <f t="shared" si="24"/>
        <v>3827.19</v>
      </c>
    </row>
    <row r="37" spans="1:17" x14ac:dyDescent="0.3">
      <c r="A37" s="28" t="s">
        <v>198</v>
      </c>
      <c r="B37" s="30" t="str">
        <f t="shared" si="22"/>
        <v xml:space="preserve">      15750 Construction in Process</v>
      </c>
      <c r="C37" s="30">
        <v>0</v>
      </c>
      <c r="D37" s="30">
        <v>0</v>
      </c>
      <c r="E37" s="30">
        <f>89525</f>
        <v>89525</v>
      </c>
      <c r="F37" s="30">
        <f>0</f>
        <v>0</v>
      </c>
      <c r="G37" s="30">
        <f t="shared" ref="G37:N39" si="26">F37</f>
        <v>0</v>
      </c>
      <c r="H37" s="30">
        <f t="shared" si="26"/>
        <v>0</v>
      </c>
      <c r="I37" s="30">
        <f t="shared" si="26"/>
        <v>0</v>
      </c>
      <c r="J37" s="30">
        <f t="shared" si="26"/>
        <v>0</v>
      </c>
      <c r="K37" s="30">
        <f t="shared" si="26"/>
        <v>0</v>
      </c>
      <c r="L37" s="30">
        <f t="shared" si="26"/>
        <v>0</v>
      </c>
      <c r="M37" s="30">
        <f t="shared" si="26"/>
        <v>0</v>
      </c>
      <c r="N37" s="30">
        <f t="shared" si="26"/>
        <v>0</v>
      </c>
      <c r="O37" s="30">
        <f>N37</f>
        <v>0</v>
      </c>
      <c r="P37" s="30">
        <f t="shared" si="24"/>
        <v>0</v>
      </c>
      <c r="Q37" s="30">
        <f t="shared" si="24"/>
        <v>0</v>
      </c>
    </row>
    <row r="38" spans="1:17" ht="42" x14ac:dyDescent="0.3">
      <c r="A38" s="28" t="s">
        <v>197</v>
      </c>
      <c r="B38" s="30" t="str">
        <f t="shared" si="22"/>
        <v xml:space="preserve">      16400 Accumulated Depreciation - Vehicles</v>
      </c>
      <c r="C38" s="30">
        <v>-115809.42</v>
      </c>
      <c r="D38" s="30">
        <v>-115809.42</v>
      </c>
      <c r="E38" s="30">
        <f>-115809.42</f>
        <v>-115809.42</v>
      </c>
      <c r="F38" s="30">
        <f>E38</f>
        <v>-115809.42</v>
      </c>
      <c r="G38" s="30">
        <f t="shared" si="26"/>
        <v>-115809.42</v>
      </c>
      <c r="H38" s="30">
        <f t="shared" si="26"/>
        <v>-115809.42</v>
      </c>
      <c r="I38" s="30">
        <f t="shared" si="26"/>
        <v>-115809.42</v>
      </c>
      <c r="J38" s="30">
        <f t="shared" si="26"/>
        <v>-115809.42</v>
      </c>
      <c r="K38" s="30">
        <f t="shared" si="26"/>
        <v>-115809.42</v>
      </c>
      <c r="L38" s="30">
        <f t="shared" si="26"/>
        <v>-115809.42</v>
      </c>
      <c r="M38" s="30">
        <f t="shared" si="26"/>
        <v>-115809.42</v>
      </c>
      <c r="N38" s="30">
        <f t="shared" si="26"/>
        <v>-115809.42</v>
      </c>
      <c r="O38" s="30">
        <f>-65471.98</f>
        <v>-65471.98</v>
      </c>
      <c r="P38" s="30">
        <f t="shared" si="24"/>
        <v>-65471.98</v>
      </c>
      <c r="Q38" s="30">
        <f t="shared" si="24"/>
        <v>-65471.98</v>
      </c>
    </row>
    <row r="39" spans="1:17" ht="52.2" x14ac:dyDescent="0.3">
      <c r="A39" s="28" t="s">
        <v>196</v>
      </c>
      <c r="B39" s="30" t="str">
        <f t="shared" si="22"/>
        <v xml:space="preserve">      16600 Accumulated Amortization - Software-Purchased</v>
      </c>
      <c r="C39" s="30">
        <v>-3827.19</v>
      </c>
      <c r="D39" s="30">
        <v>-3827.19</v>
      </c>
      <c r="E39" s="30">
        <f>-3827.19</f>
        <v>-3827.19</v>
      </c>
      <c r="F39" s="30">
        <f>E39</f>
        <v>-3827.19</v>
      </c>
      <c r="G39" s="30">
        <f t="shared" si="26"/>
        <v>-3827.19</v>
      </c>
      <c r="H39" s="30">
        <f t="shared" si="26"/>
        <v>-3827.19</v>
      </c>
      <c r="I39" s="30">
        <f t="shared" si="26"/>
        <v>-3827.19</v>
      </c>
      <c r="J39" s="30">
        <f t="shared" si="26"/>
        <v>-3827.19</v>
      </c>
      <c r="K39" s="30">
        <f t="shared" si="26"/>
        <v>-3827.19</v>
      </c>
      <c r="L39" s="30">
        <f t="shared" si="26"/>
        <v>-3827.19</v>
      </c>
      <c r="M39" s="30">
        <f t="shared" si="26"/>
        <v>-3827.19</v>
      </c>
      <c r="N39" s="30">
        <f t="shared" si="26"/>
        <v>-3827.19</v>
      </c>
      <c r="O39" s="30">
        <f>N39</f>
        <v>-3827.19</v>
      </c>
      <c r="P39" s="30">
        <f t="shared" si="24"/>
        <v>-3827.19</v>
      </c>
      <c r="Q39" s="30">
        <f t="shared" si="24"/>
        <v>-3827.19</v>
      </c>
    </row>
    <row r="40" spans="1:17" x14ac:dyDescent="0.3">
      <c r="A40" s="28" t="s">
        <v>195</v>
      </c>
      <c r="B40" s="29" t="e">
        <f t="shared" ref="B40" si="27">((((B35)+(B36))+(B37))+(B38))+(B39)</f>
        <v>#VALUE!</v>
      </c>
      <c r="C40" s="29">
        <v>0</v>
      </c>
      <c r="D40" s="29">
        <v>0</v>
      </c>
      <c r="E40" s="29">
        <f t="shared" ref="E40:Q40" si="28">((((E35)+(E36))+(E37))+(E38))+(E39)</f>
        <v>89524.999999999985</v>
      </c>
      <c r="F40" s="29">
        <f t="shared" si="28"/>
        <v>0</v>
      </c>
      <c r="G40" s="29">
        <f t="shared" si="28"/>
        <v>0</v>
      </c>
      <c r="H40" s="29">
        <f t="shared" si="28"/>
        <v>0</v>
      </c>
      <c r="I40" s="29">
        <f t="shared" si="28"/>
        <v>0</v>
      </c>
      <c r="J40" s="29">
        <f t="shared" si="28"/>
        <v>0</v>
      </c>
      <c r="K40" s="29">
        <f t="shared" si="28"/>
        <v>0</v>
      </c>
      <c r="L40" s="29">
        <f t="shared" si="28"/>
        <v>0</v>
      </c>
      <c r="M40" s="29">
        <f t="shared" si="28"/>
        <v>0</v>
      </c>
      <c r="N40" s="29">
        <f t="shared" si="28"/>
        <v>0</v>
      </c>
      <c r="O40" s="29">
        <f t="shared" si="28"/>
        <v>-5.0022208597511053E-12</v>
      </c>
      <c r="P40" s="29">
        <f t="shared" si="28"/>
        <v>-5.0022208597511053E-12</v>
      </c>
      <c r="Q40" s="29">
        <f t="shared" si="28"/>
        <v>-5.0022208597511053E-12</v>
      </c>
    </row>
    <row r="41" spans="1:17" x14ac:dyDescent="0.3">
      <c r="A41" s="28" t="s">
        <v>194</v>
      </c>
      <c r="B41" s="27"/>
      <c r="C41" s="27"/>
      <c r="D41" s="27"/>
      <c r="E41" s="27"/>
      <c r="F41" s="27"/>
      <c r="G41" s="27"/>
      <c r="H41" s="27"/>
      <c r="I41" s="27"/>
      <c r="J41" s="27"/>
      <c r="K41" s="27"/>
      <c r="L41" s="27"/>
      <c r="M41" s="27"/>
      <c r="N41" s="27"/>
      <c r="O41" s="27"/>
      <c r="P41" s="27"/>
      <c r="Q41" s="27"/>
    </row>
    <row r="42" spans="1:17" ht="42" x14ac:dyDescent="0.3">
      <c r="A42" s="28" t="s">
        <v>193</v>
      </c>
      <c r="B42" s="30" t="str">
        <f t="shared" ref="B42:B43" si="29">A42</f>
        <v xml:space="preserve">      19500 Software Development Costs</v>
      </c>
      <c r="C42" s="30">
        <v>147056</v>
      </c>
      <c r="D42" s="30">
        <v>147056</v>
      </c>
      <c r="E42" s="27"/>
      <c r="F42" s="30">
        <f>147056</f>
        <v>147056</v>
      </c>
      <c r="G42" s="30">
        <f t="shared" ref="G42:Q42" si="30">F42</f>
        <v>147056</v>
      </c>
      <c r="H42" s="30">
        <f t="shared" si="30"/>
        <v>147056</v>
      </c>
      <c r="I42" s="30">
        <f t="shared" si="30"/>
        <v>147056</v>
      </c>
      <c r="J42" s="30">
        <f t="shared" si="30"/>
        <v>147056</v>
      </c>
      <c r="K42" s="30">
        <f t="shared" si="30"/>
        <v>147056</v>
      </c>
      <c r="L42" s="30">
        <f t="shared" si="30"/>
        <v>147056</v>
      </c>
      <c r="M42" s="30">
        <f t="shared" si="30"/>
        <v>147056</v>
      </c>
      <c r="N42" s="30">
        <f t="shared" si="30"/>
        <v>147056</v>
      </c>
      <c r="O42" s="30">
        <f t="shared" si="30"/>
        <v>147056</v>
      </c>
      <c r="P42" s="30">
        <f t="shared" si="30"/>
        <v>147056</v>
      </c>
      <c r="Q42" s="30">
        <f t="shared" si="30"/>
        <v>147056</v>
      </c>
    </row>
    <row r="43" spans="1:17" ht="42" x14ac:dyDescent="0.3">
      <c r="A43" s="28" t="s">
        <v>192</v>
      </c>
      <c r="B43" s="30" t="str">
        <f t="shared" si="29"/>
        <v xml:space="preserve">         19501 Accumulated Amortization-Software</v>
      </c>
      <c r="C43" s="30">
        <v>-14706</v>
      </c>
      <c r="D43" s="30">
        <v>-14706</v>
      </c>
      <c r="E43" s="27"/>
      <c r="F43" s="30">
        <f>-14706</f>
        <v>-14706</v>
      </c>
      <c r="G43" s="30">
        <f t="shared" ref="G43:O43" si="31">F43</f>
        <v>-14706</v>
      </c>
      <c r="H43" s="30">
        <f t="shared" si="31"/>
        <v>-14706</v>
      </c>
      <c r="I43" s="30">
        <f t="shared" si="31"/>
        <v>-14706</v>
      </c>
      <c r="J43" s="30">
        <f t="shared" si="31"/>
        <v>-14706</v>
      </c>
      <c r="K43" s="30">
        <f t="shared" si="31"/>
        <v>-14706</v>
      </c>
      <c r="L43" s="30">
        <f t="shared" si="31"/>
        <v>-14706</v>
      </c>
      <c r="M43" s="30">
        <f t="shared" si="31"/>
        <v>-14706</v>
      </c>
      <c r="N43" s="30">
        <f t="shared" si="31"/>
        <v>-14706</v>
      </c>
      <c r="O43" s="30">
        <f t="shared" si="31"/>
        <v>-14706</v>
      </c>
      <c r="P43" s="30">
        <f>-36764</f>
        <v>-36764</v>
      </c>
      <c r="Q43" s="30">
        <f>P43</f>
        <v>-36764</v>
      </c>
    </row>
    <row r="44" spans="1:17" x14ac:dyDescent="0.3">
      <c r="A44" s="28" t="s">
        <v>191</v>
      </c>
      <c r="B44" s="29" t="e">
        <f t="shared" ref="B44" si="32">(B42)+(B43)</f>
        <v>#VALUE!</v>
      </c>
      <c r="C44" s="29">
        <v>132350</v>
      </c>
      <c r="D44" s="29">
        <v>132350</v>
      </c>
      <c r="E44" s="29">
        <f t="shared" ref="E44:Q44" si="33">(E42)+(E43)</f>
        <v>0</v>
      </c>
      <c r="F44" s="29">
        <f t="shared" si="33"/>
        <v>132350</v>
      </c>
      <c r="G44" s="29">
        <f t="shared" si="33"/>
        <v>132350</v>
      </c>
      <c r="H44" s="29">
        <f t="shared" si="33"/>
        <v>132350</v>
      </c>
      <c r="I44" s="29">
        <f t="shared" si="33"/>
        <v>132350</v>
      </c>
      <c r="J44" s="29">
        <f t="shared" si="33"/>
        <v>132350</v>
      </c>
      <c r="K44" s="29">
        <f t="shared" si="33"/>
        <v>132350</v>
      </c>
      <c r="L44" s="29">
        <f t="shared" si="33"/>
        <v>132350</v>
      </c>
      <c r="M44" s="29">
        <f t="shared" si="33"/>
        <v>132350</v>
      </c>
      <c r="N44" s="29">
        <f t="shared" si="33"/>
        <v>132350</v>
      </c>
      <c r="O44" s="29">
        <f t="shared" si="33"/>
        <v>132350</v>
      </c>
      <c r="P44" s="29">
        <f t="shared" si="33"/>
        <v>110292</v>
      </c>
      <c r="Q44" s="29">
        <f t="shared" si="33"/>
        <v>110292</v>
      </c>
    </row>
    <row r="45" spans="1:17" ht="42" x14ac:dyDescent="0.3">
      <c r="A45" s="28" t="s">
        <v>190</v>
      </c>
      <c r="B45" s="30" t="str">
        <f t="shared" ref="B45" si="34">A45</f>
        <v xml:space="preserve">      19800 Other Receivables - Long Term</v>
      </c>
      <c r="C45" s="30">
        <v>0</v>
      </c>
      <c r="D45" s="30">
        <v>0</v>
      </c>
      <c r="E45" s="30">
        <f>5835</f>
        <v>5835</v>
      </c>
      <c r="F45" s="30">
        <f>0</f>
        <v>0</v>
      </c>
      <c r="G45" s="30">
        <f t="shared" ref="G45:Q45" si="35">F45</f>
        <v>0</v>
      </c>
      <c r="H45" s="30">
        <f t="shared" si="35"/>
        <v>0</v>
      </c>
      <c r="I45" s="30">
        <f t="shared" si="35"/>
        <v>0</v>
      </c>
      <c r="J45" s="30">
        <f t="shared" si="35"/>
        <v>0</v>
      </c>
      <c r="K45" s="30">
        <f t="shared" si="35"/>
        <v>0</v>
      </c>
      <c r="L45" s="30">
        <f t="shared" si="35"/>
        <v>0</v>
      </c>
      <c r="M45" s="30">
        <f t="shared" si="35"/>
        <v>0</v>
      </c>
      <c r="N45" s="30">
        <f t="shared" si="35"/>
        <v>0</v>
      </c>
      <c r="O45" s="30">
        <f t="shared" si="35"/>
        <v>0</v>
      </c>
      <c r="P45" s="30">
        <f t="shared" si="35"/>
        <v>0</v>
      </c>
      <c r="Q45" s="30">
        <f t="shared" si="35"/>
        <v>0</v>
      </c>
    </row>
    <row r="46" spans="1:17" x14ac:dyDescent="0.3">
      <c r="A46" s="28" t="s">
        <v>189</v>
      </c>
      <c r="B46" s="29" t="e">
        <f t="shared" ref="B46" si="36">(B44)+(B45)</f>
        <v>#VALUE!</v>
      </c>
      <c r="C46" s="29">
        <v>132350</v>
      </c>
      <c r="D46" s="29">
        <v>132350</v>
      </c>
      <c r="E46" s="29">
        <f t="shared" ref="E46:Q46" si="37">(E44)+(E45)</f>
        <v>5835</v>
      </c>
      <c r="F46" s="29">
        <f t="shared" si="37"/>
        <v>132350</v>
      </c>
      <c r="G46" s="29">
        <f t="shared" si="37"/>
        <v>132350</v>
      </c>
      <c r="H46" s="29">
        <f t="shared" si="37"/>
        <v>132350</v>
      </c>
      <c r="I46" s="29">
        <f t="shared" si="37"/>
        <v>132350</v>
      </c>
      <c r="J46" s="29">
        <f t="shared" si="37"/>
        <v>132350</v>
      </c>
      <c r="K46" s="29">
        <f t="shared" si="37"/>
        <v>132350</v>
      </c>
      <c r="L46" s="29">
        <f t="shared" si="37"/>
        <v>132350</v>
      </c>
      <c r="M46" s="29">
        <f t="shared" si="37"/>
        <v>132350</v>
      </c>
      <c r="N46" s="29">
        <f t="shared" si="37"/>
        <v>132350</v>
      </c>
      <c r="O46" s="29">
        <f t="shared" si="37"/>
        <v>132350</v>
      </c>
      <c r="P46" s="29">
        <f t="shared" si="37"/>
        <v>110292</v>
      </c>
      <c r="Q46" s="29">
        <f t="shared" si="37"/>
        <v>110292</v>
      </c>
    </row>
    <row r="47" spans="1:17" x14ac:dyDescent="0.3">
      <c r="A47" s="28" t="s">
        <v>188</v>
      </c>
      <c r="B47" s="29" t="e">
        <f t="shared" ref="B47" si="38">((B33)+(B40))+(B46)</f>
        <v>#VALUE!</v>
      </c>
      <c r="C47" s="29">
        <v>704445.37</v>
      </c>
      <c r="D47" s="29">
        <v>673036.07000000007</v>
      </c>
      <c r="E47" s="29">
        <f t="shared" ref="E47:Q47" si="39">((E33)+(E40))+(E46)</f>
        <v>1044038.44</v>
      </c>
      <c r="F47" s="29">
        <f t="shared" si="39"/>
        <v>694332.3</v>
      </c>
      <c r="G47" s="29">
        <f t="shared" si="39"/>
        <v>704445.37</v>
      </c>
      <c r="H47" s="29">
        <f t="shared" si="39"/>
        <v>673036.07000000007</v>
      </c>
      <c r="I47" s="29">
        <f t="shared" si="39"/>
        <v>638719.59000000008</v>
      </c>
      <c r="J47" s="29">
        <f t="shared" si="39"/>
        <v>565478.25</v>
      </c>
      <c r="K47" s="29">
        <f t="shared" si="39"/>
        <v>467396.26</v>
      </c>
      <c r="L47" s="29">
        <f t="shared" si="39"/>
        <v>441236.34</v>
      </c>
      <c r="M47" s="29">
        <f t="shared" si="39"/>
        <v>511989.85000000003</v>
      </c>
      <c r="N47" s="29">
        <f t="shared" si="39"/>
        <v>552698.81000000006</v>
      </c>
      <c r="O47" s="29">
        <f t="shared" si="39"/>
        <v>583084.15999999992</v>
      </c>
      <c r="P47" s="29">
        <f t="shared" si="39"/>
        <v>590036.63</v>
      </c>
      <c r="Q47" s="29">
        <f t="shared" si="39"/>
        <v>535537.42999999993</v>
      </c>
    </row>
    <row r="48" spans="1:17" x14ac:dyDescent="0.3">
      <c r="A48" s="28" t="s">
        <v>187</v>
      </c>
      <c r="B48" s="27"/>
      <c r="C48" s="27"/>
      <c r="D48" s="27"/>
      <c r="E48" s="27"/>
      <c r="F48" s="27"/>
      <c r="G48" s="27"/>
      <c r="H48" s="27"/>
      <c r="I48" s="27"/>
      <c r="J48" s="27"/>
      <c r="K48" s="27"/>
      <c r="L48" s="27"/>
      <c r="M48" s="27"/>
      <c r="N48" s="27"/>
      <c r="O48" s="27"/>
      <c r="P48" s="27"/>
      <c r="Q48" s="27"/>
    </row>
    <row r="49" spans="1:17" x14ac:dyDescent="0.3">
      <c r="A49" s="28" t="s">
        <v>186</v>
      </c>
      <c r="B49" s="27"/>
      <c r="C49" s="27"/>
      <c r="D49" s="27"/>
      <c r="E49" s="27"/>
      <c r="F49" s="27"/>
      <c r="G49" s="27"/>
      <c r="H49" s="27"/>
      <c r="I49" s="27"/>
      <c r="J49" s="27"/>
      <c r="K49" s="27"/>
      <c r="L49" s="27"/>
      <c r="M49" s="27"/>
      <c r="N49" s="27"/>
      <c r="O49" s="27"/>
      <c r="P49" s="27"/>
      <c r="Q49" s="27"/>
    </row>
    <row r="50" spans="1:17" x14ac:dyDescent="0.3">
      <c r="A50" s="28" t="s">
        <v>185</v>
      </c>
      <c r="B50" s="27"/>
      <c r="C50" s="27"/>
      <c r="D50" s="27"/>
      <c r="E50" s="27"/>
      <c r="F50" s="27"/>
      <c r="G50" s="27"/>
      <c r="H50" s="27"/>
      <c r="I50" s="27"/>
      <c r="J50" s="27"/>
      <c r="K50" s="27"/>
      <c r="L50" s="27"/>
      <c r="M50" s="27"/>
      <c r="N50" s="27"/>
      <c r="O50" s="27"/>
      <c r="P50" s="27"/>
      <c r="Q50" s="27"/>
    </row>
    <row r="51" spans="1:17" x14ac:dyDescent="0.3">
      <c r="A51" s="28" t="s">
        <v>184</v>
      </c>
      <c r="B51" s="27"/>
      <c r="C51" s="27"/>
      <c r="D51" s="27"/>
      <c r="E51" s="27"/>
      <c r="F51" s="27"/>
      <c r="G51" s="27"/>
      <c r="H51" s="27"/>
      <c r="I51" s="27"/>
      <c r="J51" s="27"/>
      <c r="K51" s="27"/>
      <c r="L51" s="27"/>
      <c r="M51" s="27"/>
      <c r="N51" s="27"/>
      <c r="O51" s="27"/>
      <c r="P51" s="27"/>
      <c r="Q51" s="27"/>
    </row>
    <row r="52" spans="1:17" ht="31.8" x14ac:dyDescent="0.3">
      <c r="A52" s="28" t="s">
        <v>183</v>
      </c>
      <c r="B52" s="30" t="str">
        <f>A52</f>
        <v xml:space="preserve">            20100 Accounts Payable</v>
      </c>
      <c r="C52" s="30">
        <v>22190.22</v>
      </c>
      <c r="D52" s="30">
        <v>22190.22</v>
      </c>
      <c r="E52" s="30">
        <f>18240</f>
        <v>18240</v>
      </c>
      <c r="F52" s="30">
        <f>22190.22</f>
        <v>22190.22</v>
      </c>
      <c r="G52" s="30">
        <f>F52</f>
        <v>22190.22</v>
      </c>
      <c r="H52" s="30">
        <f>G52</f>
        <v>22190.22</v>
      </c>
      <c r="I52" s="30">
        <f>H52</f>
        <v>22190.22</v>
      </c>
      <c r="J52" s="30">
        <f>1174.96</f>
        <v>1174.96</v>
      </c>
      <c r="K52" s="30">
        <f t="shared" ref="K52:Q52" si="40">J52</f>
        <v>1174.96</v>
      </c>
      <c r="L52" s="30">
        <f t="shared" si="40"/>
        <v>1174.96</v>
      </c>
      <c r="M52" s="30">
        <f t="shared" si="40"/>
        <v>1174.96</v>
      </c>
      <c r="N52" s="30">
        <f t="shared" si="40"/>
        <v>1174.96</v>
      </c>
      <c r="O52" s="30">
        <f t="shared" si="40"/>
        <v>1174.96</v>
      </c>
      <c r="P52" s="30">
        <f t="shared" si="40"/>
        <v>1174.96</v>
      </c>
      <c r="Q52" s="30">
        <f t="shared" si="40"/>
        <v>1174.96</v>
      </c>
    </row>
    <row r="53" spans="1:17" ht="31.8" x14ac:dyDescent="0.3">
      <c r="A53" s="28" t="s">
        <v>182</v>
      </c>
      <c r="B53" s="29" t="str">
        <f t="shared" ref="B53" si="41">B52</f>
        <v xml:space="preserve">            20100 Accounts Payable</v>
      </c>
      <c r="C53" s="29">
        <v>22190.22</v>
      </c>
      <c r="D53" s="29">
        <v>22190.22</v>
      </c>
      <c r="E53" s="29">
        <f t="shared" ref="E53:Q53" si="42">E52</f>
        <v>18240</v>
      </c>
      <c r="F53" s="29">
        <f t="shared" si="42"/>
        <v>22190.22</v>
      </c>
      <c r="G53" s="29">
        <f t="shared" si="42"/>
        <v>22190.22</v>
      </c>
      <c r="H53" s="29">
        <f t="shared" si="42"/>
        <v>22190.22</v>
      </c>
      <c r="I53" s="29">
        <f t="shared" si="42"/>
        <v>22190.22</v>
      </c>
      <c r="J53" s="29">
        <f t="shared" si="42"/>
        <v>1174.96</v>
      </c>
      <c r="K53" s="29">
        <f t="shared" si="42"/>
        <v>1174.96</v>
      </c>
      <c r="L53" s="29">
        <f t="shared" si="42"/>
        <v>1174.96</v>
      </c>
      <c r="M53" s="29">
        <f t="shared" si="42"/>
        <v>1174.96</v>
      </c>
      <c r="N53" s="29">
        <f t="shared" si="42"/>
        <v>1174.96</v>
      </c>
      <c r="O53" s="29">
        <f t="shared" si="42"/>
        <v>1174.96</v>
      </c>
      <c r="P53" s="29">
        <f t="shared" si="42"/>
        <v>1174.96</v>
      </c>
      <c r="Q53" s="29">
        <f t="shared" si="42"/>
        <v>1174.96</v>
      </c>
    </row>
    <row r="54" spans="1:17" x14ac:dyDescent="0.3">
      <c r="A54" s="28" t="s">
        <v>181</v>
      </c>
      <c r="B54" s="27"/>
      <c r="C54" s="27"/>
      <c r="D54" s="27"/>
      <c r="E54" s="27"/>
      <c r="F54" s="27"/>
      <c r="G54" s="27"/>
      <c r="H54" s="27"/>
      <c r="I54" s="27"/>
      <c r="J54" s="27"/>
      <c r="K54" s="27"/>
      <c r="L54" s="27"/>
      <c r="M54" s="27"/>
      <c r="N54" s="27"/>
      <c r="O54" s="27"/>
      <c r="P54" s="27"/>
      <c r="Q54" s="27"/>
    </row>
    <row r="55" spans="1:17" ht="42" x14ac:dyDescent="0.3">
      <c r="A55" s="28" t="s">
        <v>180</v>
      </c>
      <c r="B55" s="30" t="str">
        <f t="shared" ref="B55" si="43">A55</f>
        <v xml:space="preserve">            21100 Accounts Payable - Credit Cards</v>
      </c>
      <c r="C55" s="30">
        <v>0</v>
      </c>
      <c r="D55" s="30">
        <v>0</v>
      </c>
      <c r="E55" s="30">
        <f>0</f>
        <v>0</v>
      </c>
      <c r="F55" s="30">
        <f t="shared" ref="F55:Q55" si="44">E55</f>
        <v>0</v>
      </c>
      <c r="G55" s="30">
        <f t="shared" si="44"/>
        <v>0</v>
      </c>
      <c r="H55" s="30">
        <f t="shared" si="44"/>
        <v>0</v>
      </c>
      <c r="I55" s="30">
        <f t="shared" si="44"/>
        <v>0</v>
      </c>
      <c r="J55" s="30">
        <f t="shared" si="44"/>
        <v>0</v>
      </c>
      <c r="K55" s="30">
        <f t="shared" si="44"/>
        <v>0</v>
      </c>
      <c r="L55" s="30">
        <f t="shared" si="44"/>
        <v>0</v>
      </c>
      <c r="M55" s="30">
        <f t="shared" si="44"/>
        <v>0</v>
      </c>
      <c r="N55" s="30">
        <f t="shared" si="44"/>
        <v>0</v>
      </c>
      <c r="O55" s="30">
        <f t="shared" si="44"/>
        <v>0</v>
      </c>
      <c r="P55" s="30">
        <f t="shared" si="44"/>
        <v>0</v>
      </c>
      <c r="Q55" s="30">
        <f t="shared" si="44"/>
        <v>0</v>
      </c>
    </row>
    <row r="56" spans="1:17" x14ac:dyDescent="0.3">
      <c r="A56" s="28" t="s">
        <v>179</v>
      </c>
      <c r="B56" s="30">
        <f>6134.84</f>
        <v>6134.84</v>
      </c>
      <c r="C56" s="30">
        <v>1460.51</v>
      </c>
      <c r="D56" s="30">
        <v>5519.49</v>
      </c>
      <c r="E56" s="30">
        <f>929.58</f>
        <v>929.58</v>
      </c>
      <c r="F56" s="30">
        <f>1080.39</f>
        <v>1080.3900000000001</v>
      </c>
      <c r="G56" s="30">
        <f>1460.51</f>
        <v>1460.51</v>
      </c>
      <c r="H56" s="30">
        <f>5519.49</f>
        <v>5519.49</v>
      </c>
      <c r="I56" s="30">
        <f>6134.84</f>
        <v>6134.84</v>
      </c>
      <c r="J56" s="30">
        <f>7723.55</f>
        <v>7723.55</v>
      </c>
      <c r="K56" s="30">
        <f>8425.21</f>
        <v>8425.2099999999991</v>
      </c>
      <c r="L56" s="30">
        <f>2185.6</f>
        <v>2185.6</v>
      </c>
      <c r="M56" s="30">
        <f>1026.84</f>
        <v>1026.8399999999999</v>
      </c>
      <c r="N56" s="30">
        <f>760.85</f>
        <v>760.85</v>
      </c>
      <c r="O56" s="30">
        <f>882.23</f>
        <v>882.23</v>
      </c>
      <c r="P56" s="30">
        <f>6457.91</f>
        <v>6457.91</v>
      </c>
      <c r="Q56" s="30">
        <f>6447.14</f>
        <v>6447.14</v>
      </c>
    </row>
    <row r="57" spans="1:17" x14ac:dyDescent="0.3">
      <c r="A57" s="28" t="s">
        <v>178</v>
      </c>
      <c r="B57" s="30">
        <f>42.98</f>
        <v>42.98</v>
      </c>
      <c r="C57" s="30">
        <v>42.98</v>
      </c>
      <c r="D57" s="30">
        <v>141.97999999999999</v>
      </c>
      <c r="E57" s="30">
        <f>39.98</f>
        <v>39.979999999999997</v>
      </c>
      <c r="F57" s="30">
        <f>42.98</f>
        <v>42.98</v>
      </c>
      <c r="G57" s="30">
        <f>42.98</f>
        <v>42.98</v>
      </c>
      <c r="H57" s="30">
        <f>141.98</f>
        <v>141.97999999999999</v>
      </c>
      <c r="I57" s="30">
        <f>42.98</f>
        <v>42.98</v>
      </c>
      <c r="J57" s="30">
        <f>42.98</f>
        <v>42.98</v>
      </c>
      <c r="K57" s="30">
        <f>42.98</f>
        <v>42.98</v>
      </c>
      <c r="L57" s="30">
        <f>42.98</f>
        <v>42.98</v>
      </c>
      <c r="M57" s="30">
        <f>240.16</f>
        <v>240.16</v>
      </c>
      <c r="N57" s="30">
        <f>316.33</f>
        <v>316.33</v>
      </c>
      <c r="O57" s="30">
        <f>126.98</f>
        <v>126.98</v>
      </c>
      <c r="P57" s="30">
        <f>42.98</f>
        <v>42.98</v>
      </c>
      <c r="Q57" s="30">
        <f>42.98</f>
        <v>42.98</v>
      </c>
    </row>
    <row r="58" spans="1:17" x14ac:dyDescent="0.3">
      <c r="A58" s="28" t="s">
        <v>177</v>
      </c>
      <c r="B58" s="30">
        <f>383.45</f>
        <v>383.45</v>
      </c>
      <c r="C58" s="30">
        <v>43.96</v>
      </c>
      <c r="D58" s="30">
        <v>133.94999999999999</v>
      </c>
      <c r="E58" s="30">
        <f>372.7</f>
        <v>372.7</v>
      </c>
      <c r="F58" s="30">
        <f>133.95</f>
        <v>133.94999999999999</v>
      </c>
      <c r="G58" s="30">
        <f>43.96</f>
        <v>43.96</v>
      </c>
      <c r="H58" s="30">
        <f>133.95</f>
        <v>133.94999999999999</v>
      </c>
      <c r="I58" s="30">
        <f>383.45</f>
        <v>383.45</v>
      </c>
      <c r="J58" s="30">
        <f>1268.03</f>
        <v>1268.03</v>
      </c>
      <c r="K58" s="30">
        <f>228.95</f>
        <v>228.95</v>
      </c>
      <c r="L58" s="30">
        <f>183.95</f>
        <v>183.95</v>
      </c>
      <c r="M58" s="30">
        <f>263.24</f>
        <v>263.24</v>
      </c>
      <c r="N58" s="30">
        <f>48.82</f>
        <v>48.82</v>
      </c>
      <c r="O58" s="30">
        <f>1022.5</f>
        <v>1022.5</v>
      </c>
      <c r="P58" s="30">
        <f>2782.64</f>
        <v>2782.64</v>
      </c>
      <c r="Q58" s="30">
        <f>2122.93</f>
        <v>2122.9299999999998</v>
      </c>
    </row>
    <row r="59" spans="1:17" x14ac:dyDescent="0.3">
      <c r="A59" s="28" t="s">
        <v>176</v>
      </c>
      <c r="B59" s="30">
        <f>9720.31</f>
        <v>9720.31</v>
      </c>
      <c r="C59" s="30">
        <v>8043.06</v>
      </c>
      <c r="D59" s="30">
        <v>13968.21</v>
      </c>
      <c r="E59" s="30">
        <f>9409.36</f>
        <v>9409.36</v>
      </c>
      <c r="F59" s="30">
        <f>14563.9</f>
        <v>14563.9</v>
      </c>
      <c r="G59" s="30">
        <f>8043.06</f>
        <v>8043.06</v>
      </c>
      <c r="H59" s="30">
        <f>13968.21</f>
        <v>13968.21</v>
      </c>
      <c r="I59" s="30">
        <f>9720.31</f>
        <v>9720.31</v>
      </c>
      <c r="J59" s="30">
        <f>38346.9</f>
        <v>38346.9</v>
      </c>
      <c r="K59" s="30">
        <f>20291.23</f>
        <v>20291.23</v>
      </c>
      <c r="L59" s="30">
        <f>7875.54</f>
        <v>7875.54</v>
      </c>
      <c r="M59" s="30">
        <f>23044.21</f>
        <v>23044.21</v>
      </c>
      <c r="N59" s="30">
        <f>10045.99</f>
        <v>10045.99</v>
      </c>
      <c r="O59" s="30">
        <f>7753.77</f>
        <v>7753.77</v>
      </c>
      <c r="P59" s="30">
        <f>11386.78</f>
        <v>11386.78</v>
      </c>
      <c r="Q59" s="30">
        <f>8392.75</f>
        <v>8392.75</v>
      </c>
    </row>
    <row r="60" spans="1:17" x14ac:dyDescent="0.3">
      <c r="A60" s="28" t="s">
        <v>175</v>
      </c>
      <c r="B60" s="30">
        <f>3185.33</f>
        <v>3185.33</v>
      </c>
      <c r="C60" s="30">
        <v>993.37</v>
      </c>
      <c r="D60" s="30">
        <v>360.96</v>
      </c>
      <c r="E60" s="30">
        <f>287.16</f>
        <v>287.16000000000003</v>
      </c>
      <c r="F60" s="30">
        <f>211.33</f>
        <v>211.33</v>
      </c>
      <c r="G60" s="30">
        <f>993.37</f>
        <v>993.37</v>
      </c>
      <c r="H60" s="30">
        <f>360.96</f>
        <v>360.96</v>
      </c>
      <c r="I60" s="30">
        <f>3185.33</f>
        <v>3185.33</v>
      </c>
      <c r="J60" s="30">
        <f>1788.06</f>
        <v>1788.06</v>
      </c>
      <c r="K60" s="30">
        <f>758.59</f>
        <v>758.59</v>
      </c>
      <c r="L60" s="30">
        <f>253.63</f>
        <v>253.63</v>
      </c>
      <c r="M60" s="30">
        <f>257.03</f>
        <v>257.02999999999997</v>
      </c>
      <c r="N60" s="30">
        <f>1043.75</f>
        <v>1043.75</v>
      </c>
      <c r="O60" s="30">
        <f>171.58</f>
        <v>171.58</v>
      </c>
      <c r="P60" s="30">
        <f>16743.15</f>
        <v>16743.150000000001</v>
      </c>
      <c r="Q60" s="30">
        <f>932.93</f>
        <v>932.93</v>
      </c>
    </row>
    <row r="61" spans="1:17" x14ac:dyDescent="0.3">
      <c r="A61" s="28" t="s">
        <v>174</v>
      </c>
      <c r="B61" s="29" t="e">
        <f t="shared" ref="B61" si="45">(((((B55)+(B56))+(B57))+(B58))+(B59))+(B60)</f>
        <v>#VALUE!</v>
      </c>
      <c r="C61" s="29">
        <v>10583.880000000001</v>
      </c>
      <c r="D61" s="29">
        <v>20124.589999999997</v>
      </c>
      <c r="E61" s="29">
        <f t="shared" ref="E61:Q61" si="46">(((((E55)+(E56))+(E57))+(E58))+(E59))+(E60)</f>
        <v>11038.78</v>
      </c>
      <c r="F61" s="29">
        <f t="shared" si="46"/>
        <v>16032.55</v>
      </c>
      <c r="G61" s="29">
        <f t="shared" si="46"/>
        <v>10583.880000000001</v>
      </c>
      <c r="H61" s="29">
        <f t="shared" si="46"/>
        <v>20124.589999999997</v>
      </c>
      <c r="I61" s="29">
        <f t="shared" si="46"/>
        <v>19466.909999999996</v>
      </c>
      <c r="J61" s="29">
        <f t="shared" si="46"/>
        <v>49169.52</v>
      </c>
      <c r="K61" s="29">
        <f t="shared" si="46"/>
        <v>29746.959999999999</v>
      </c>
      <c r="L61" s="29">
        <f t="shared" si="46"/>
        <v>10541.699999999999</v>
      </c>
      <c r="M61" s="29">
        <f t="shared" si="46"/>
        <v>24831.48</v>
      </c>
      <c r="N61" s="29">
        <f t="shared" si="46"/>
        <v>12215.74</v>
      </c>
      <c r="O61" s="29">
        <f t="shared" si="46"/>
        <v>9957.06</v>
      </c>
      <c r="P61" s="29">
        <f t="shared" si="46"/>
        <v>37413.46</v>
      </c>
      <c r="Q61" s="29">
        <f t="shared" si="46"/>
        <v>17938.73</v>
      </c>
    </row>
    <row r="62" spans="1:17" x14ac:dyDescent="0.3">
      <c r="A62" s="28" t="s">
        <v>173</v>
      </c>
      <c r="B62" s="27"/>
      <c r="C62" s="27"/>
      <c r="D62" s="27"/>
      <c r="E62" s="27"/>
      <c r="F62" s="27"/>
      <c r="G62" s="27"/>
      <c r="H62" s="27"/>
      <c r="I62" s="27"/>
      <c r="J62" s="27"/>
      <c r="K62" s="27"/>
      <c r="L62" s="27"/>
      <c r="M62" s="27"/>
      <c r="N62" s="27"/>
      <c r="O62" s="27"/>
      <c r="P62" s="27"/>
      <c r="Q62" s="27"/>
    </row>
    <row r="63" spans="1:17" x14ac:dyDescent="0.3">
      <c r="A63" s="28" t="s">
        <v>172</v>
      </c>
      <c r="B63" s="30">
        <f>154459.7</f>
        <v>154459.70000000001</v>
      </c>
      <c r="C63" s="30">
        <v>159480.35999999999</v>
      </c>
      <c r="D63" s="30">
        <v>177678.27</v>
      </c>
      <c r="E63" s="30">
        <f>137972.64</f>
        <v>137972.64000000001</v>
      </c>
      <c r="F63" s="30">
        <f>113046.42</f>
        <v>113046.42</v>
      </c>
      <c r="G63" s="30">
        <f>159480.36</f>
        <v>159480.35999999999</v>
      </c>
      <c r="H63" s="30">
        <f>177678.27</f>
        <v>177678.27</v>
      </c>
      <c r="I63" s="30">
        <f>154459.7</f>
        <v>154459.70000000001</v>
      </c>
      <c r="J63" s="30">
        <f>171480.56</f>
        <v>171480.56</v>
      </c>
      <c r="K63" s="30">
        <f>129815.18</f>
        <v>129815.18</v>
      </c>
      <c r="L63" s="30">
        <f>149797.84</f>
        <v>149797.84</v>
      </c>
      <c r="M63" s="30">
        <f>185941.62</f>
        <v>185941.62</v>
      </c>
      <c r="N63" s="30">
        <f>181943.52</f>
        <v>181943.52</v>
      </c>
      <c r="O63" s="30">
        <f>209123.68</f>
        <v>209123.68</v>
      </c>
      <c r="P63" s="30">
        <f>219965.92</f>
        <v>219965.92</v>
      </c>
      <c r="Q63" s="30">
        <f>158959.49</f>
        <v>158959.49</v>
      </c>
    </row>
    <row r="64" spans="1:17" ht="42" x14ac:dyDescent="0.3">
      <c r="A64" s="28" t="s">
        <v>171</v>
      </c>
      <c r="B64" s="30" t="str">
        <f t="shared" ref="B64" si="47">A64</f>
        <v xml:space="preserve">            23300 TX Unemployment Tax</v>
      </c>
      <c r="C64" s="30">
        <v>0</v>
      </c>
      <c r="D64" s="30">
        <v>0</v>
      </c>
      <c r="E64" s="30">
        <f>168.48</f>
        <v>168.48</v>
      </c>
      <c r="F64" s="30">
        <f>0</f>
        <v>0</v>
      </c>
      <c r="G64" s="30">
        <f t="shared" ref="G64:Q64" si="48">F64</f>
        <v>0</v>
      </c>
      <c r="H64" s="30">
        <f t="shared" si="48"/>
        <v>0</v>
      </c>
      <c r="I64" s="30">
        <f t="shared" si="48"/>
        <v>0</v>
      </c>
      <c r="J64" s="30">
        <f t="shared" si="48"/>
        <v>0</v>
      </c>
      <c r="K64" s="30">
        <f t="shared" si="48"/>
        <v>0</v>
      </c>
      <c r="L64" s="30">
        <f t="shared" si="48"/>
        <v>0</v>
      </c>
      <c r="M64" s="30">
        <f t="shared" si="48"/>
        <v>0</v>
      </c>
      <c r="N64" s="30">
        <f t="shared" si="48"/>
        <v>0</v>
      </c>
      <c r="O64" s="30">
        <f t="shared" si="48"/>
        <v>0</v>
      </c>
      <c r="P64" s="30">
        <f t="shared" si="48"/>
        <v>0</v>
      </c>
      <c r="Q64" s="30">
        <f t="shared" si="48"/>
        <v>0</v>
      </c>
    </row>
    <row r="65" spans="1:17" x14ac:dyDescent="0.3">
      <c r="A65" s="28" t="s">
        <v>170</v>
      </c>
      <c r="B65" s="30">
        <f>0</f>
        <v>0</v>
      </c>
      <c r="C65" s="30">
        <v>0</v>
      </c>
      <c r="D65" s="30">
        <v>0</v>
      </c>
      <c r="E65" s="30">
        <f>0</f>
        <v>0</v>
      </c>
      <c r="F65" s="30">
        <f>0</f>
        <v>0</v>
      </c>
      <c r="G65" s="30">
        <f>0</f>
        <v>0</v>
      </c>
      <c r="H65" s="30">
        <f>0</f>
        <v>0</v>
      </c>
      <c r="I65" s="30">
        <f>0</f>
        <v>0</v>
      </c>
      <c r="J65" s="30">
        <f>0</f>
        <v>0</v>
      </c>
      <c r="K65" s="30">
        <f>0</f>
        <v>0</v>
      </c>
      <c r="L65" s="30">
        <f>0</f>
        <v>0</v>
      </c>
      <c r="M65" s="30">
        <f>0</f>
        <v>0</v>
      </c>
      <c r="N65" s="30">
        <f>0</f>
        <v>0</v>
      </c>
      <c r="O65" s="30">
        <f>0</f>
        <v>0</v>
      </c>
      <c r="P65" s="30">
        <f>0</f>
        <v>0</v>
      </c>
      <c r="Q65" s="30">
        <f>0</f>
        <v>0</v>
      </c>
    </row>
    <row r="66" spans="1:17" ht="31.8" x14ac:dyDescent="0.3">
      <c r="A66" s="28" t="s">
        <v>169</v>
      </c>
      <c r="B66" s="30" t="str">
        <f t="shared" ref="B66:B75" si="49">A66</f>
        <v xml:space="preserve">            23410 Payroll Tax 941/944</v>
      </c>
      <c r="C66" s="30">
        <v>1497.41</v>
      </c>
      <c r="D66" s="30">
        <v>1497.41</v>
      </c>
      <c r="E66" s="30">
        <f>22.16</f>
        <v>22.16</v>
      </c>
      <c r="F66" s="30">
        <f>1497.41</f>
        <v>1497.41</v>
      </c>
      <c r="G66" s="30">
        <f t="shared" ref="G66:Q66" si="50">F66</f>
        <v>1497.41</v>
      </c>
      <c r="H66" s="30">
        <f t="shared" si="50"/>
        <v>1497.41</v>
      </c>
      <c r="I66" s="30">
        <f t="shared" si="50"/>
        <v>1497.41</v>
      </c>
      <c r="J66" s="30">
        <f t="shared" si="50"/>
        <v>1497.41</v>
      </c>
      <c r="K66" s="30">
        <f t="shared" si="50"/>
        <v>1497.41</v>
      </c>
      <c r="L66" s="30">
        <f t="shared" si="50"/>
        <v>1497.41</v>
      </c>
      <c r="M66" s="30">
        <f t="shared" si="50"/>
        <v>1497.41</v>
      </c>
      <c r="N66" s="30">
        <f t="shared" si="50"/>
        <v>1497.41</v>
      </c>
      <c r="O66" s="30">
        <f t="shared" si="50"/>
        <v>1497.41</v>
      </c>
      <c r="P66" s="30">
        <f t="shared" si="50"/>
        <v>1497.41</v>
      </c>
      <c r="Q66" s="30">
        <f t="shared" si="50"/>
        <v>1497.41</v>
      </c>
    </row>
    <row r="67" spans="1:17" ht="52.2" x14ac:dyDescent="0.3">
      <c r="A67" s="28" t="s">
        <v>168</v>
      </c>
      <c r="B67" s="30" t="str">
        <f t="shared" si="49"/>
        <v xml:space="preserve">            23411 Payroll Tax - Federal Unemployment</v>
      </c>
      <c r="C67" s="30">
        <v>0</v>
      </c>
      <c r="D67" s="30">
        <v>0</v>
      </c>
      <c r="E67" s="30">
        <f>584.68</f>
        <v>584.67999999999995</v>
      </c>
      <c r="F67" s="30">
        <f>0</f>
        <v>0</v>
      </c>
      <c r="G67" s="30">
        <f t="shared" ref="G67:Q67" si="51">F67</f>
        <v>0</v>
      </c>
      <c r="H67" s="30">
        <f t="shared" si="51"/>
        <v>0</v>
      </c>
      <c r="I67" s="30">
        <f t="shared" si="51"/>
        <v>0</v>
      </c>
      <c r="J67" s="30">
        <f t="shared" si="51"/>
        <v>0</v>
      </c>
      <c r="K67" s="30">
        <f t="shared" si="51"/>
        <v>0</v>
      </c>
      <c r="L67" s="30">
        <f t="shared" si="51"/>
        <v>0</v>
      </c>
      <c r="M67" s="30">
        <f t="shared" si="51"/>
        <v>0</v>
      </c>
      <c r="N67" s="30">
        <f t="shared" si="51"/>
        <v>0</v>
      </c>
      <c r="O67" s="30">
        <f t="shared" si="51"/>
        <v>0</v>
      </c>
      <c r="P67" s="30">
        <f t="shared" si="51"/>
        <v>0</v>
      </c>
      <c r="Q67" s="30">
        <f t="shared" si="51"/>
        <v>0</v>
      </c>
    </row>
    <row r="68" spans="1:17" ht="31.8" x14ac:dyDescent="0.3">
      <c r="A68" s="28" t="s">
        <v>167</v>
      </c>
      <c r="B68" s="30" t="str">
        <f t="shared" si="49"/>
        <v xml:space="preserve">            23412 Payroll Tax - PIT / SDI</v>
      </c>
      <c r="C68" s="30">
        <v>0</v>
      </c>
      <c r="D68" s="30">
        <v>0</v>
      </c>
      <c r="E68" s="30">
        <f>-2398.3</f>
        <v>-2398.3000000000002</v>
      </c>
      <c r="F68" s="30">
        <f>0</f>
        <v>0</v>
      </c>
      <c r="G68" s="30">
        <f t="shared" ref="G68:Q68" si="52">F68</f>
        <v>0</v>
      </c>
      <c r="H68" s="30">
        <f t="shared" si="52"/>
        <v>0</v>
      </c>
      <c r="I68" s="30">
        <f t="shared" si="52"/>
        <v>0</v>
      </c>
      <c r="J68" s="30">
        <f t="shared" si="52"/>
        <v>0</v>
      </c>
      <c r="K68" s="30">
        <f t="shared" si="52"/>
        <v>0</v>
      </c>
      <c r="L68" s="30">
        <f t="shared" si="52"/>
        <v>0</v>
      </c>
      <c r="M68" s="30">
        <f t="shared" si="52"/>
        <v>0</v>
      </c>
      <c r="N68" s="30">
        <f t="shared" si="52"/>
        <v>0</v>
      </c>
      <c r="O68" s="30">
        <f t="shared" si="52"/>
        <v>0</v>
      </c>
      <c r="P68" s="30">
        <f t="shared" si="52"/>
        <v>0</v>
      </c>
      <c r="Q68" s="30">
        <f t="shared" si="52"/>
        <v>0</v>
      </c>
    </row>
    <row r="69" spans="1:17" ht="31.8" x14ac:dyDescent="0.3">
      <c r="A69" s="28" t="s">
        <v>166</v>
      </c>
      <c r="B69" s="30" t="str">
        <f t="shared" si="49"/>
        <v xml:space="preserve">            23413 Payroll Tax - SUI/ETT</v>
      </c>
      <c r="C69" s="30">
        <v>0</v>
      </c>
      <c r="D69" s="30">
        <v>0</v>
      </c>
      <c r="E69" s="30">
        <f>149.97</f>
        <v>149.97</v>
      </c>
      <c r="F69" s="30">
        <f>0</f>
        <v>0</v>
      </c>
      <c r="G69" s="30">
        <f t="shared" ref="G69:Q69" si="53">F69</f>
        <v>0</v>
      </c>
      <c r="H69" s="30">
        <f t="shared" si="53"/>
        <v>0</v>
      </c>
      <c r="I69" s="30">
        <f t="shared" si="53"/>
        <v>0</v>
      </c>
      <c r="J69" s="30">
        <f t="shared" si="53"/>
        <v>0</v>
      </c>
      <c r="K69" s="30">
        <f t="shared" si="53"/>
        <v>0</v>
      </c>
      <c r="L69" s="30">
        <f t="shared" si="53"/>
        <v>0</v>
      </c>
      <c r="M69" s="30">
        <f t="shared" si="53"/>
        <v>0</v>
      </c>
      <c r="N69" s="30">
        <f t="shared" si="53"/>
        <v>0</v>
      </c>
      <c r="O69" s="30">
        <f t="shared" si="53"/>
        <v>0</v>
      </c>
      <c r="P69" s="30">
        <f t="shared" si="53"/>
        <v>0</v>
      </c>
      <c r="Q69" s="30">
        <f t="shared" si="53"/>
        <v>0</v>
      </c>
    </row>
    <row r="70" spans="1:17" ht="31.8" x14ac:dyDescent="0.3">
      <c r="A70" s="28" t="s">
        <v>165</v>
      </c>
      <c r="B70" s="30" t="str">
        <f t="shared" si="49"/>
        <v xml:space="preserve">            23414 OR Payroll Income Tax</v>
      </c>
      <c r="C70" s="30">
        <v>0</v>
      </c>
      <c r="D70" s="30">
        <v>0</v>
      </c>
      <c r="E70" s="30">
        <f>0</f>
        <v>0</v>
      </c>
      <c r="F70" s="30">
        <f>E70</f>
        <v>0</v>
      </c>
      <c r="G70" s="30">
        <f t="shared" ref="G70:Q70" si="54">F70</f>
        <v>0</v>
      </c>
      <c r="H70" s="30">
        <f t="shared" si="54"/>
        <v>0</v>
      </c>
      <c r="I70" s="30">
        <f t="shared" si="54"/>
        <v>0</v>
      </c>
      <c r="J70" s="30">
        <f t="shared" si="54"/>
        <v>0</v>
      </c>
      <c r="K70" s="30">
        <f t="shared" si="54"/>
        <v>0</v>
      </c>
      <c r="L70" s="30">
        <f t="shared" si="54"/>
        <v>0</v>
      </c>
      <c r="M70" s="30">
        <f t="shared" si="54"/>
        <v>0</v>
      </c>
      <c r="N70" s="30">
        <f t="shared" si="54"/>
        <v>0</v>
      </c>
      <c r="O70" s="30">
        <f t="shared" si="54"/>
        <v>0</v>
      </c>
      <c r="P70" s="30">
        <f t="shared" si="54"/>
        <v>0</v>
      </c>
      <c r="Q70" s="30">
        <f t="shared" si="54"/>
        <v>0</v>
      </c>
    </row>
    <row r="71" spans="1:17" ht="42" x14ac:dyDescent="0.3">
      <c r="A71" s="28" t="s">
        <v>164</v>
      </c>
      <c r="B71" s="30" t="str">
        <f t="shared" si="49"/>
        <v xml:space="preserve">            23415 OR Employment Tax</v>
      </c>
      <c r="C71" s="30">
        <v>0</v>
      </c>
      <c r="D71" s="30">
        <v>0</v>
      </c>
      <c r="E71" s="30">
        <f>0</f>
        <v>0</v>
      </c>
      <c r="F71" s="30">
        <f>E71</f>
        <v>0</v>
      </c>
      <c r="G71" s="30">
        <f t="shared" ref="G71:Q71" si="55">F71</f>
        <v>0</v>
      </c>
      <c r="H71" s="30">
        <f t="shared" si="55"/>
        <v>0</v>
      </c>
      <c r="I71" s="30">
        <f t="shared" si="55"/>
        <v>0</v>
      </c>
      <c r="J71" s="30">
        <f t="shared" si="55"/>
        <v>0</v>
      </c>
      <c r="K71" s="30">
        <f t="shared" si="55"/>
        <v>0</v>
      </c>
      <c r="L71" s="30">
        <f t="shared" si="55"/>
        <v>0</v>
      </c>
      <c r="M71" s="30">
        <f t="shared" si="55"/>
        <v>0</v>
      </c>
      <c r="N71" s="30">
        <f t="shared" si="55"/>
        <v>0</v>
      </c>
      <c r="O71" s="30">
        <f t="shared" si="55"/>
        <v>0</v>
      </c>
      <c r="P71" s="30">
        <f t="shared" si="55"/>
        <v>0</v>
      </c>
      <c r="Q71" s="30">
        <f t="shared" si="55"/>
        <v>0</v>
      </c>
    </row>
    <row r="72" spans="1:17" ht="31.8" x14ac:dyDescent="0.3">
      <c r="A72" s="28" t="s">
        <v>163</v>
      </c>
      <c r="B72" s="30" t="str">
        <f t="shared" si="49"/>
        <v xml:space="preserve">            23416 CO Payroll Income Tax</v>
      </c>
      <c r="C72" s="30">
        <v>0</v>
      </c>
      <c r="D72" s="30">
        <v>0</v>
      </c>
      <c r="E72" s="30">
        <f>0</f>
        <v>0</v>
      </c>
      <c r="F72" s="30">
        <f>E72</f>
        <v>0</v>
      </c>
      <c r="G72" s="30">
        <f t="shared" ref="G72:Q72" si="56">F72</f>
        <v>0</v>
      </c>
      <c r="H72" s="30">
        <f t="shared" si="56"/>
        <v>0</v>
      </c>
      <c r="I72" s="30">
        <f t="shared" si="56"/>
        <v>0</v>
      </c>
      <c r="J72" s="30">
        <f t="shared" si="56"/>
        <v>0</v>
      </c>
      <c r="K72" s="30">
        <f t="shared" si="56"/>
        <v>0</v>
      </c>
      <c r="L72" s="30">
        <f t="shared" si="56"/>
        <v>0</v>
      </c>
      <c r="M72" s="30">
        <f t="shared" si="56"/>
        <v>0</v>
      </c>
      <c r="N72" s="30">
        <f t="shared" si="56"/>
        <v>0</v>
      </c>
      <c r="O72" s="30">
        <f t="shared" si="56"/>
        <v>0</v>
      </c>
      <c r="P72" s="30">
        <f t="shared" si="56"/>
        <v>0</v>
      </c>
      <c r="Q72" s="30">
        <f t="shared" si="56"/>
        <v>0</v>
      </c>
    </row>
    <row r="73" spans="1:17" ht="42" x14ac:dyDescent="0.3">
      <c r="A73" s="28" t="s">
        <v>162</v>
      </c>
      <c r="B73" s="30" t="str">
        <f t="shared" si="49"/>
        <v xml:space="preserve">            23417 CO Employment Tax</v>
      </c>
      <c r="C73" s="30">
        <v>0</v>
      </c>
      <c r="D73" s="30">
        <v>0</v>
      </c>
      <c r="E73" s="30">
        <f>0</f>
        <v>0</v>
      </c>
      <c r="F73" s="30">
        <f>E73</f>
        <v>0</v>
      </c>
      <c r="G73" s="30">
        <f t="shared" ref="G73:Q73" si="57">F73</f>
        <v>0</v>
      </c>
      <c r="H73" s="30">
        <f t="shared" si="57"/>
        <v>0</v>
      </c>
      <c r="I73" s="30">
        <f t="shared" si="57"/>
        <v>0</v>
      </c>
      <c r="J73" s="30">
        <f t="shared" si="57"/>
        <v>0</v>
      </c>
      <c r="K73" s="30">
        <f t="shared" si="57"/>
        <v>0</v>
      </c>
      <c r="L73" s="30">
        <f t="shared" si="57"/>
        <v>0</v>
      </c>
      <c r="M73" s="30">
        <f t="shared" si="57"/>
        <v>0</v>
      </c>
      <c r="N73" s="30">
        <f t="shared" si="57"/>
        <v>0</v>
      </c>
      <c r="O73" s="30">
        <f t="shared" si="57"/>
        <v>0</v>
      </c>
      <c r="P73" s="30">
        <f t="shared" si="57"/>
        <v>0</v>
      </c>
      <c r="Q73" s="30">
        <f t="shared" si="57"/>
        <v>0</v>
      </c>
    </row>
    <row r="74" spans="1:17" ht="31.8" x14ac:dyDescent="0.3">
      <c r="A74" s="28" t="s">
        <v>161</v>
      </c>
      <c r="B74" s="30" t="str">
        <f t="shared" si="49"/>
        <v xml:space="preserve">            23418 UT Payroll Income Tax</v>
      </c>
      <c r="C74" s="30">
        <v>0</v>
      </c>
      <c r="D74" s="30">
        <v>0</v>
      </c>
      <c r="E74" s="30">
        <f>599.99</f>
        <v>599.99</v>
      </c>
      <c r="F74" s="30">
        <f>0</f>
        <v>0</v>
      </c>
      <c r="G74" s="30">
        <f t="shared" ref="G74:Q74" si="58">F74</f>
        <v>0</v>
      </c>
      <c r="H74" s="30">
        <f t="shared" si="58"/>
        <v>0</v>
      </c>
      <c r="I74" s="30">
        <f t="shared" si="58"/>
        <v>0</v>
      </c>
      <c r="J74" s="30">
        <f t="shared" si="58"/>
        <v>0</v>
      </c>
      <c r="K74" s="30">
        <f t="shared" si="58"/>
        <v>0</v>
      </c>
      <c r="L74" s="30">
        <f t="shared" si="58"/>
        <v>0</v>
      </c>
      <c r="M74" s="30">
        <f t="shared" si="58"/>
        <v>0</v>
      </c>
      <c r="N74" s="30">
        <f t="shared" si="58"/>
        <v>0</v>
      </c>
      <c r="O74" s="30">
        <f t="shared" si="58"/>
        <v>0</v>
      </c>
      <c r="P74" s="30">
        <f t="shared" si="58"/>
        <v>0</v>
      </c>
      <c r="Q74" s="30">
        <f t="shared" si="58"/>
        <v>0</v>
      </c>
    </row>
    <row r="75" spans="1:17" ht="42" x14ac:dyDescent="0.3">
      <c r="A75" s="28" t="s">
        <v>160</v>
      </c>
      <c r="B75" s="30" t="str">
        <f t="shared" si="49"/>
        <v xml:space="preserve">            23419 UT Unemployment Tax</v>
      </c>
      <c r="C75" s="30">
        <v>0</v>
      </c>
      <c r="D75" s="30">
        <v>0</v>
      </c>
      <c r="E75" s="30">
        <f>12.12</f>
        <v>12.12</v>
      </c>
      <c r="F75" s="30">
        <f>0</f>
        <v>0</v>
      </c>
      <c r="G75" s="30">
        <f t="shared" ref="G75:Q75" si="59">F75</f>
        <v>0</v>
      </c>
      <c r="H75" s="30">
        <f t="shared" si="59"/>
        <v>0</v>
      </c>
      <c r="I75" s="30">
        <f t="shared" si="59"/>
        <v>0</v>
      </c>
      <c r="J75" s="30">
        <f t="shared" si="59"/>
        <v>0</v>
      </c>
      <c r="K75" s="30">
        <f t="shared" si="59"/>
        <v>0</v>
      </c>
      <c r="L75" s="30">
        <f t="shared" si="59"/>
        <v>0</v>
      </c>
      <c r="M75" s="30">
        <f t="shared" si="59"/>
        <v>0</v>
      </c>
      <c r="N75" s="30">
        <f t="shared" si="59"/>
        <v>0</v>
      </c>
      <c r="O75" s="30">
        <f t="shared" si="59"/>
        <v>0</v>
      </c>
      <c r="P75" s="30">
        <f t="shared" si="59"/>
        <v>0</v>
      </c>
      <c r="Q75" s="30">
        <f t="shared" si="59"/>
        <v>0</v>
      </c>
    </row>
    <row r="76" spans="1:17" x14ac:dyDescent="0.3">
      <c r="A76" s="28" t="s">
        <v>159</v>
      </c>
      <c r="B76" s="30">
        <f>-31.16</f>
        <v>-31.16</v>
      </c>
      <c r="C76" s="30">
        <v>-47.88</v>
      </c>
      <c r="D76" s="30">
        <v>-39.520000000000003</v>
      </c>
      <c r="E76" s="30">
        <f>-12024.03</f>
        <v>-12024.03</v>
      </c>
      <c r="F76" s="30">
        <f>3052.88</f>
        <v>3052.88</v>
      </c>
      <c r="G76" s="30">
        <f>-47.88</f>
        <v>-47.88</v>
      </c>
      <c r="H76" s="30">
        <f>-39.52</f>
        <v>-39.520000000000003</v>
      </c>
      <c r="I76" s="30">
        <f>-31.16</f>
        <v>-31.16</v>
      </c>
      <c r="J76" s="30">
        <f>-22.8</f>
        <v>-22.8</v>
      </c>
      <c r="K76" s="30">
        <f>2655.55</f>
        <v>2655.55</v>
      </c>
      <c r="L76" s="30">
        <f>91.17</f>
        <v>91.17</v>
      </c>
      <c r="M76" s="30">
        <f>-2513.89</f>
        <v>-2513.89</v>
      </c>
      <c r="N76" s="30">
        <f>-2355.48</f>
        <v>-2355.48</v>
      </c>
      <c r="O76" s="30">
        <f>-2201.74</f>
        <v>-2201.7399999999998</v>
      </c>
      <c r="P76" s="30">
        <f>-2048</f>
        <v>-2048</v>
      </c>
      <c r="Q76" s="30">
        <f>6943.29</f>
        <v>6943.29</v>
      </c>
    </row>
    <row r="77" spans="1:17" ht="21.6" x14ac:dyDescent="0.3">
      <c r="A77" s="28" t="s">
        <v>158</v>
      </c>
      <c r="B77" s="30" t="str">
        <f t="shared" ref="B77:B85" si="60">A77</f>
        <v xml:space="preserve">            24000 Loan Payable</v>
      </c>
      <c r="C77" s="30">
        <v>0</v>
      </c>
      <c r="D77" s="30">
        <v>0</v>
      </c>
      <c r="E77" s="30">
        <f>0</f>
        <v>0</v>
      </c>
      <c r="F77" s="30">
        <f t="shared" ref="F77:Q77" si="61">E77</f>
        <v>0</v>
      </c>
      <c r="G77" s="30">
        <f t="shared" si="61"/>
        <v>0</v>
      </c>
      <c r="H77" s="30">
        <f t="shared" si="61"/>
        <v>0</v>
      </c>
      <c r="I77" s="30">
        <f t="shared" si="61"/>
        <v>0</v>
      </c>
      <c r="J77" s="30">
        <f t="shared" si="61"/>
        <v>0</v>
      </c>
      <c r="K77" s="30">
        <f t="shared" si="61"/>
        <v>0</v>
      </c>
      <c r="L77" s="30">
        <f t="shared" si="61"/>
        <v>0</v>
      </c>
      <c r="M77" s="30">
        <f t="shared" si="61"/>
        <v>0</v>
      </c>
      <c r="N77" s="30">
        <f t="shared" si="61"/>
        <v>0</v>
      </c>
      <c r="O77" s="30">
        <f t="shared" si="61"/>
        <v>0</v>
      </c>
      <c r="P77" s="30">
        <f t="shared" si="61"/>
        <v>0</v>
      </c>
      <c r="Q77" s="30">
        <f t="shared" si="61"/>
        <v>0</v>
      </c>
    </row>
    <row r="78" spans="1:17" ht="42" x14ac:dyDescent="0.3">
      <c r="A78" s="28" t="s">
        <v>157</v>
      </c>
      <c r="B78" s="30" t="str">
        <f t="shared" si="60"/>
        <v xml:space="preserve">            24001 ND Invoice Financing Loan Payable</v>
      </c>
      <c r="C78" s="30">
        <v>0</v>
      </c>
      <c r="D78" s="30">
        <v>0</v>
      </c>
      <c r="E78" s="30">
        <f>0</f>
        <v>0</v>
      </c>
      <c r="F78" s="30">
        <f t="shared" ref="F78:Q78" si="62">E78</f>
        <v>0</v>
      </c>
      <c r="G78" s="30">
        <f t="shared" si="62"/>
        <v>0</v>
      </c>
      <c r="H78" s="30">
        <f t="shared" si="62"/>
        <v>0</v>
      </c>
      <c r="I78" s="30">
        <f t="shared" si="62"/>
        <v>0</v>
      </c>
      <c r="J78" s="30">
        <f t="shared" si="62"/>
        <v>0</v>
      </c>
      <c r="K78" s="30">
        <f t="shared" si="62"/>
        <v>0</v>
      </c>
      <c r="L78" s="30">
        <f t="shared" si="62"/>
        <v>0</v>
      </c>
      <c r="M78" s="30">
        <f t="shared" si="62"/>
        <v>0</v>
      </c>
      <c r="N78" s="30">
        <f t="shared" si="62"/>
        <v>0</v>
      </c>
      <c r="O78" s="30">
        <f t="shared" si="62"/>
        <v>0</v>
      </c>
      <c r="P78" s="30">
        <f t="shared" si="62"/>
        <v>0</v>
      </c>
      <c r="Q78" s="30">
        <f t="shared" si="62"/>
        <v>0</v>
      </c>
    </row>
    <row r="79" spans="1:17" ht="31.8" x14ac:dyDescent="0.3">
      <c r="A79" s="28" t="s">
        <v>156</v>
      </c>
      <c r="B79" s="30" t="str">
        <f t="shared" si="60"/>
        <v xml:space="preserve">            25000 WA SUI Employer</v>
      </c>
      <c r="C79" s="30">
        <v>0</v>
      </c>
      <c r="D79" s="30">
        <v>0</v>
      </c>
      <c r="E79" s="30">
        <f>0</f>
        <v>0</v>
      </c>
      <c r="F79" s="30">
        <f t="shared" ref="F79:Q79" si="63">E79</f>
        <v>0</v>
      </c>
      <c r="G79" s="30">
        <f t="shared" si="63"/>
        <v>0</v>
      </c>
      <c r="H79" s="30">
        <f t="shared" si="63"/>
        <v>0</v>
      </c>
      <c r="I79" s="30">
        <f t="shared" si="63"/>
        <v>0</v>
      </c>
      <c r="J79" s="30">
        <f t="shared" si="63"/>
        <v>0</v>
      </c>
      <c r="K79" s="30">
        <f t="shared" si="63"/>
        <v>0</v>
      </c>
      <c r="L79" s="30">
        <f t="shared" si="63"/>
        <v>0</v>
      </c>
      <c r="M79" s="30">
        <f t="shared" si="63"/>
        <v>0</v>
      </c>
      <c r="N79" s="30">
        <f t="shared" si="63"/>
        <v>0</v>
      </c>
      <c r="O79" s="30">
        <f t="shared" si="63"/>
        <v>0</v>
      </c>
      <c r="P79" s="30">
        <f t="shared" si="63"/>
        <v>0</v>
      </c>
      <c r="Q79" s="30">
        <f t="shared" si="63"/>
        <v>0</v>
      </c>
    </row>
    <row r="80" spans="1:17" ht="31.8" x14ac:dyDescent="0.3">
      <c r="A80" s="28" t="s">
        <v>155</v>
      </c>
      <c r="B80" s="30" t="str">
        <f t="shared" si="60"/>
        <v xml:space="preserve">            25001 WA Workers Comp Payable</v>
      </c>
      <c r="C80" s="30">
        <v>0</v>
      </c>
      <c r="D80" s="30">
        <v>0</v>
      </c>
      <c r="E80" s="30">
        <f>0</f>
        <v>0</v>
      </c>
      <c r="F80" s="30">
        <f t="shared" ref="F80:Q80" si="64">E80</f>
        <v>0</v>
      </c>
      <c r="G80" s="30">
        <f t="shared" si="64"/>
        <v>0</v>
      </c>
      <c r="H80" s="30">
        <f t="shared" si="64"/>
        <v>0</v>
      </c>
      <c r="I80" s="30">
        <f t="shared" si="64"/>
        <v>0</v>
      </c>
      <c r="J80" s="30">
        <f t="shared" si="64"/>
        <v>0</v>
      </c>
      <c r="K80" s="30">
        <f t="shared" si="64"/>
        <v>0</v>
      </c>
      <c r="L80" s="30">
        <f t="shared" si="64"/>
        <v>0</v>
      </c>
      <c r="M80" s="30">
        <f t="shared" si="64"/>
        <v>0</v>
      </c>
      <c r="N80" s="30">
        <f t="shared" si="64"/>
        <v>0</v>
      </c>
      <c r="O80" s="30">
        <f t="shared" si="64"/>
        <v>0</v>
      </c>
      <c r="P80" s="30">
        <f t="shared" si="64"/>
        <v>0</v>
      </c>
      <c r="Q80" s="30">
        <f t="shared" si="64"/>
        <v>0</v>
      </c>
    </row>
    <row r="81" spans="1:17" ht="31.8" x14ac:dyDescent="0.3">
      <c r="A81" s="28" t="s">
        <v>154</v>
      </c>
      <c r="B81" s="30" t="str">
        <f t="shared" si="60"/>
        <v xml:space="preserve">            25010 NC Income Tax</v>
      </c>
      <c r="C81" s="30">
        <v>0</v>
      </c>
      <c r="D81" s="30">
        <v>0</v>
      </c>
      <c r="E81" s="30">
        <f>212</f>
        <v>212</v>
      </c>
      <c r="F81" s="30">
        <f>0</f>
        <v>0</v>
      </c>
      <c r="G81" s="30">
        <f t="shared" ref="G81:Q81" si="65">F81</f>
        <v>0</v>
      </c>
      <c r="H81" s="30">
        <f t="shared" si="65"/>
        <v>0</v>
      </c>
      <c r="I81" s="30">
        <f t="shared" si="65"/>
        <v>0</v>
      </c>
      <c r="J81" s="30">
        <f t="shared" si="65"/>
        <v>0</v>
      </c>
      <c r="K81" s="30">
        <f t="shared" si="65"/>
        <v>0</v>
      </c>
      <c r="L81" s="30">
        <f t="shared" si="65"/>
        <v>0</v>
      </c>
      <c r="M81" s="30">
        <f t="shared" si="65"/>
        <v>0</v>
      </c>
      <c r="N81" s="30">
        <f t="shared" si="65"/>
        <v>0</v>
      </c>
      <c r="O81" s="30">
        <f t="shared" si="65"/>
        <v>0</v>
      </c>
      <c r="P81" s="30">
        <f t="shared" si="65"/>
        <v>0</v>
      </c>
      <c r="Q81" s="30">
        <f t="shared" si="65"/>
        <v>0</v>
      </c>
    </row>
    <row r="82" spans="1:17" ht="42" x14ac:dyDescent="0.3">
      <c r="A82" s="28" t="s">
        <v>153</v>
      </c>
      <c r="B82" s="30" t="str">
        <f t="shared" si="60"/>
        <v xml:space="preserve">            25011 NC Unemployment Tax</v>
      </c>
      <c r="C82" s="30">
        <v>0</v>
      </c>
      <c r="D82" s="30">
        <v>0</v>
      </c>
      <c r="E82" s="30">
        <f>54.13</f>
        <v>54.13</v>
      </c>
      <c r="F82" s="30">
        <f>0</f>
        <v>0</v>
      </c>
      <c r="G82" s="30">
        <f t="shared" ref="G82:Q82" si="66">F82</f>
        <v>0</v>
      </c>
      <c r="H82" s="30">
        <f t="shared" si="66"/>
        <v>0</v>
      </c>
      <c r="I82" s="30">
        <f t="shared" si="66"/>
        <v>0</v>
      </c>
      <c r="J82" s="30">
        <f t="shared" si="66"/>
        <v>0</v>
      </c>
      <c r="K82" s="30">
        <f t="shared" si="66"/>
        <v>0</v>
      </c>
      <c r="L82" s="30">
        <f t="shared" si="66"/>
        <v>0</v>
      </c>
      <c r="M82" s="30">
        <f t="shared" si="66"/>
        <v>0</v>
      </c>
      <c r="N82" s="30">
        <f t="shared" si="66"/>
        <v>0</v>
      </c>
      <c r="O82" s="30">
        <f t="shared" si="66"/>
        <v>0</v>
      </c>
      <c r="P82" s="30">
        <f t="shared" si="66"/>
        <v>0</v>
      </c>
      <c r="Q82" s="30">
        <f t="shared" si="66"/>
        <v>0</v>
      </c>
    </row>
    <row r="83" spans="1:17" ht="21.6" x14ac:dyDescent="0.3">
      <c r="A83" s="28" t="s">
        <v>152</v>
      </c>
      <c r="B83" s="30" t="str">
        <f t="shared" si="60"/>
        <v xml:space="preserve">            Line of Credit</v>
      </c>
      <c r="C83" s="30">
        <v>0</v>
      </c>
      <c r="D83" s="30">
        <v>0</v>
      </c>
      <c r="E83" s="27"/>
      <c r="F83" s="30">
        <f t="shared" ref="F83:J85" si="67">E83</f>
        <v>0</v>
      </c>
      <c r="G83" s="30">
        <f t="shared" si="67"/>
        <v>0</v>
      </c>
      <c r="H83" s="30">
        <f t="shared" si="67"/>
        <v>0</v>
      </c>
      <c r="I83" s="30">
        <f t="shared" si="67"/>
        <v>0</v>
      </c>
      <c r="J83" s="30">
        <f t="shared" si="67"/>
        <v>0</v>
      </c>
      <c r="K83" s="30">
        <f>50356.16</f>
        <v>50356.160000000003</v>
      </c>
      <c r="L83" s="30">
        <f>49856.16</f>
        <v>49856.160000000003</v>
      </c>
      <c r="M83" s="30">
        <f>84502.54</f>
        <v>84502.54</v>
      </c>
      <c r="N83" s="30">
        <f>145483.24</f>
        <v>145483.24</v>
      </c>
      <c r="O83" s="30">
        <f>147483.24</f>
        <v>147483.24</v>
      </c>
      <c r="P83" s="30">
        <f>167483.24</f>
        <v>167483.24</v>
      </c>
      <c r="Q83" s="30">
        <f>206386.08</f>
        <v>206386.08</v>
      </c>
    </row>
    <row r="84" spans="1:17" ht="31.8" x14ac:dyDescent="0.3">
      <c r="A84" s="28" t="s">
        <v>151</v>
      </c>
      <c r="B84" s="30" t="str">
        <f t="shared" si="60"/>
        <v xml:space="preserve">            Line of Credit - AMEX</v>
      </c>
      <c r="C84" s="30">
        <v>0</v>
      </c>
      <c r="D84" s="30">
        <v>0</v>
      </c>
      <c r="E84" s="27"/>
      <c r="F84" s="30">
        <f t="shared" si="67"/>
        <v>0</v>
      </c>
      <c r="G84" s="30">
        <f t="shared" si="67"/>
        <v>0</v>
      </c>
      <c r="H84" s="30">
        <f t="shared" si="67"/>
        <v>0</v>
      </c>
      <c r="I84" s="30">
        <f t="shared" si="67"/>
        <v>0</v>
      </c>
      <c r="J84" s="30">
        <f t="shared" si="67"/>
        <v>0</v>
      </c>
      <c r="K84" s="30">
        <f>J84</f>
        <v>0</v>
      </c>
      <c r="L84" s="30">
        <f>50000</f>
        <v>50000</v>
      </c>
      <c r="M84" s="30">
        <f>L84</f>
        <v>50000</v>
      </c>
      <c r="N84" s="30">
        <f>41491.66</f>
        <v>41491.660000000003</v>
      </c>
      <c r="O84" s="30">
        <f>32983.32</f>
        <v>32983.32</v>
      </c>
      <c r="P84" s="30">
        <f>24474.98</f>
        <v>24474.98</v>
      </c>
      <c r="Q84" s="30">
        <f>65966.64</f>
        <v>65966.64</v>
      </c>
    </row>
    <row r="85" spans="1:17" ht="31.8" x14ac:dyDescent="0.3">
      <c r="A85" s="28" t="s">
        <v>150</v>
      </c>
      <c r="B85" s="30" t="str">
        <f t="shared" si="60"/>
        <v xml:space="preserve">            Payroll Corrections</v>
      </c>
      <c r="C85" s="30">
        <v>0</v>
      </c>
      <c r="D85" s="30">
        <v>0</v>
      </c>
      <c r="E85" s="30">
        <f>0</f>
        <v>0</v>
      </c>
      <c r="F85" s="30">
        <f t="shared" si="67"/>
        <v>0</v>
      </c>
      <c r="G85" s="30">
        <f t="shared" si="67"/>
        <v>0</v>
      </c>
      <c r="H85" s="30">
        <f t="shared" si="67"/>
        <v>0</v>
      </c>
      <c r="I85" s="30">
        <f t="shared" si="67"/>
        <v>0</v>
      </c>
      <c r="J85" s="30">
        <f t="shared" si="67"/>
        <v>0</v>
      </c>
      <c r="K85" s="30">
        <f>J85</f>
        <v>0</v>
      </c>
      <c r="L85" s="30">
        <f>K85</f>
        <v>0</v>
      </c>
      <c r="M85" s="30">
        <f>L85</f>
        <v>0</v>
      </c>
      <c r="N85" s="30">
        <f>M85</f>
        <v>0</v>
      </c>
      <c r="O85" s="30">
        <f>N85</f>
        <v>0</v>
      </c>
      <c r="P85" s="30">
        <f>O85</f>
        <v>0</v>
      </c>
      <c r="Q85" s="30">
        <f>P85</f>
        <v>0</v>
      </c>
    </row>
    <row r="86" spans="1:17" x14ac:dyDescent="0.3">
      <c r="A86" s="28" t="s">
        <v>149</v>
      </c>
      <c r="B86" s="29" t="e">
        <f t="shared" ref="B86" si="68">((((((((((((((((((((((B63)+(B64))+(B65))+(B66))+(B67))+(B68))+(B69))+(B70))+(B71))+(B72))+(B73))+(B74))+(B75))+(B76))+(B77))+(B78))+(B79))+(B80))+(B81))+(B82))+(B83))+(B84))+(B85)</f>
        <v>#VALUE!</v>
      </c>
      <c r="C86" s="29">
        <v>160929.88999999998</v>
      </c>
      <c r="D86" s="29">
        <v>179136.16</v>
      </c>
      <c r="E86" s="29">
        <f t="shared" ref="E86:Q86" si="69">((((((((((((((((((((((E63)+(E64))+(E65))+(E66))+(E67))+(E68))+(E69))+(E70))+(E71))+(E72))+(E73))+(E74))+(E75))+(E76))+(E77))+(E78))+(E79))+(E80))+(E81))+(E82))+(E83))+(E84))+(E85)</f>
        <v>125353.84000000003</v>
      </c>
      <c r="F86" s="29">
        <f t="shared" si="69"/>
        <v>117596.71</v>
      </c>
      <c r="G86" s="29">
        <f t="shared" si="69"/>
        <v>160929.88999999998</v>
      </c>
      <c r="H86" s="29">
        <f t="shared" si="69"/>
        <v>179136.16</v>
      </c>
      <c r="I86" s="29">
        <f t="shared" si="69"/>
        <v>155925.95000000001</v>
      </c>
      <c r="J86" s="29">
        <f t="shared" si="69"/>
        <v>172955.17</v>
      </c>
      <c r="K86" s="29">
        <f t="shared" si="69"/>
        <v>184324.3</v>
      </c>
      <c r="L86" s="29">
        <f t="shared" si="69"/>
        <v>251242.58000000002</v>
      </c>
      <c r="M86" s="29">
        <f t="shared" si="69"/>
        <v>319427.68</v>
      </c>
      <c r="N86" s="29">
        <f t="shared" si="69"/>
        <v>368060.35</v>
      </c>
      <c r="O86" s="29">
        <f t="shared" si="69"/>
        <v>388885.91</v>
      </c>
      <c r="P86" s="29">
        <f t="shared" si="69"/>
        <v>411373.55</v>
      </c>
      <c r="Q86" s="29">
        <f t="shared" si="69"/>
        <v>439752.91000000003</v>
      </c>
    </row>
    <row r="87" spans="1:17" x14ac:dyDescent="0.3">
      <c r="A87" s="28" t="s">
        <v>148</v>
      </c>
      <c r="B87" s="29" t="e">
        <f t="shared" ref="B87" si="70">((B53)+(B61))+(B86)</f>
        <v>#VALUE!</v>
      </c>
      <c r="C87" s="29">
        <v>193703.99</v>
      </c>
      <c r="D87" s="29">
        <v>221450.97</v>
      </c>
      <c r="E87" s="29">
        <f t="shared" ref="E87:Q87" si="71">((E53)+(E61))+(E86)</f>
        <v>154632.62000000002</v>
      </c>
      <c r="F87" s="29">
        <f t="shared" si="71"/>
        <v>155819.48000000001</v>
      </c>
      <c r="G87" s="29">
        <f t="shared" si="71"/>
        <v>193703.99</v>
      </c>
      <c r="H87" s="29">
        <f t="shared" si="71"/>
        <v>221450.97</v>
      </c>
      <c r="I87" s="29">
        <f t="shared" si="71"/>
        <v>197583.08000000002</v>
      </c>
      <c r="J87" s="29">
        <f t="shared" si="71"/>
        <v>223299.65000000002</v>
      </c>
      <c r="K87" s="29">
        <f t="shared" si="71"/>
        <v>215246.21999999997</v>
      </c>
      <c r="L87" s="29">
        <f t="shared" si="71"/>
        <v>262959.24</v>
      </c>
      <c r="M87" s="29">
        <f t="shared" si="71"/>
        <v>345434.12</v>
      </c>
      <c r="N87" s="29">
        <f t="shared" si="71"/>
        <v>381451.05</v>
      </c>
      <c r="O87" s="29">
        <f t="shared" si="71"/>
        <v>400017.93</v>
      </c>
      <c r="P87" s="29">
        <f t="shared" si="71"/>
        <v>449961.97</v>
      </c>
      <c r="Q87" s="29">
        <f t="shared" si="71"/>
        <v>458866.60000000003</v>
      </c>
    </row>
    <row r="88" spans="1:17" x14ac:dyDescent="0.3">
      <c r="A88" s="28" t="s">
        <v>147</v>
      </c>
      <c r="B88" s="27"/>
      <c r="C88" s="27"/>
      <c r="D88" s="27"/>
      <c r="E88" s="27"/>
      <c r="F88" s="27"/>
      <c r="G88" s="27"/>
      <c r="H88" s="27"/>
      <c r="I88" s="27"/>
      <c r="J88" s="27"/>
      <c r="K88" s="27"/>
      <c r="L88" s="27"/>
      <c r="M88" s="27"/>
      <c r="N88" s="27"/>
      <c r="O88" s="27"/>
      <c r="P88" s="27"/>
      <c r="Q88" s="27"/>
    </row>
    <row r="89" spans="1:17" x14ac:dyDescent="0.3">
      <c r="A89" s="28" t="s">
        <v>146</v>
      </c>
      <c r="B89" s="30">
        <f>11059.03</f>
        <v>11059.03</v>
      </c>
      <c r="C89" s="30">
        <v>14815.32</v>
      </c>
      <c r="D89" s="30">
        <v>12938.24</v>
      </c>
      <c r="E89" s="30">
        <f>18534.75</f>
        <v>18534.75</v>
      </c>
      <c r="F89" s="30">
        <f>16679.33</f>
        <v>16679.330000000002</v>
      </c>
      <c r="G89" s="30">
        <f>14815.32</f>
        <v>14815.32</v>
      </c>
      <c r="H89" s="30">
        <f>12938.24</f>
        <v>12938.24</v>
      </c>
      <c r="I89" s="30">
        <f>11059.03</f>
        <v>11059.03</v>
      </c>
      <c r="J89" s="30">
        <f>9171.09</f>
        <v>9171.09</v>
      </c>
      <c r="K89" s="30">
        <f>7274.37</f>
        <v>7274.37</v>
      </c>
      <c r="L89" s="30">
        <f>5371.88</f>
        <v>5371.88</v>
      </c>
      <c r="M89" s="30">
        <f>4480.29</f>
        <v>4480.29</v>
      </c>
      <c r="N89" s="30">
        <f>3586.55</f>
        <v>3586.55</v>
      </c>
      <c r="O89" s="30">
        <f>2690.65</f>
        <v>2690.65</v>
      </c>
      <c r="P89" s="30">
        <f>1792.58</f>
        <v>1792.58</v>
      </c>
      <c r="Q89" s="30">
        <f>892.34</f>
        <v>892.34</v>
      </c>
    </row>
    <row r="90" spans="1:17" x14ac:dyDescent="0.3">
      <c r="A90" s="28" t="s">
        <v>145</v>
      </c>
      <c r="B90" s="30">
        <f>147066.94</f>
        <v>147066.94</v>
      </c>
      <c r="C90" s="30">
        <v>147606.14000000001</v>
      </c>
      <c r="D90" s="30">
        <v>147336.95999999999</v>
      </c>
      <c r="E90" s="30">
        <f>148141.99</f>
        <v>148141.99</v>
      </c>
      <c r="F90" s="30">
        <f>147874.48</f>
        <v>147874.48000000001</v>
      </c>
      <c r="G90" s="30">
        <f>147606.14</f>
        <v>147606.14000000001</v>
      </c>
      <c r="H90" s="30">
        <f>147336.96</f>
        <v>147336.95999999999</v>
      </c>
      <c r="I90" s="30">
        <f>147066.94</f>
        <v>147066.94</v>
      </c>
      <c r="J90" s="30">
        <f>146796.07</f>
        <v>146796.07</v>
      </c>
      <c r="K90" s="30">
        <f>146524.35</f>
        <v>146524.35</v>
      </c>
      <c r="L90" s="30">
        <f>146251.79</f>
        <v>146251.79</v>
      </c>
      <c r="M90" s="30">
        <f>145978.37</f>
        <v>145978.37</v>
      </c>
      <c r="N90" s="30">
        <f>145704.1</f>
        <v>145704.1</v>
      </c>
      <c r="O90" s="30">
        <f>145428.97</f>
        <v>145428.97</v>
      </c>
      <c r="P90" s="30">
        <f>145152.98</f>
        <v>145152.98000000001</v>
      </c>
      <c r="Q90" s="30">
        <f>144876.13</f>
        <v>144876.13</v>
      </c>
    </row>
    <row r="91" spans="1:17" ht="21.6" x14ac:dyDescent="0.3">
      <c r="A91" s="28" t="s">
        <v>144</v>
      </c>
      <c r="B91" s="30" t="str">
        <f t="shared" ref="B91" si="72">A91</f>
        <v xml:space="preserve">         24007 PPP Loan</v>
      </c>
      <c r="C91" s="30">
        <v>0</v>
      </c>
      <c r="D91" s="30">
        <v>0</v>
      </c>
      <c r="E91" s="30">
        <f>0</f>
        <v>0</v>
      </c>
      <c r="F91" s="30">
        <f t="shared" ref="F91:Q91" si="73">E91</f>
        <v>0</v>
      </c>
      <c r="G91" s="30">
        <f t="shared" si="73"/>
        <v>0</v>
      </c>
      <c r="H91" s="30">
        <f t="shared" si="73"/>
        <v>0</v>
      </c>
      <c r="I91" s="30">
        <f t="shared" si="73"/>
        <v>0</v>
      </c>
      <c r="J91" s="30">
        <f t="shared" si="73"/>
        <v>0</v>
      </c>
      <c r="K91" s="30">
        <f t="shared" si="73"/>
        <v>0</v>
      </c>
      <c r="L91" s="30">
        <f t="shared" si="73"/>
        <v>0</v>
      </c>
      <c r="M91" s="30">
        <f t="shared" si="73"/>
        <v>0</v>
      </c>
      <c r="N91" s="30">
        <f t="shared" si="73"/>
        <v>0</v>
      </c>
      <c r="O91" s="30">
        <f t="shared" si="73"/>
        <v>0</v>
      </c>
      <c r="P91" s="30">
        <f t="shared" si="73"/>
        <v>0</v>
      </c>
      <c r="Q91" s="30">
        <f t="shared" si="73"/>
        <v>0</v>
      </c>
    </row>
    <row r="92" spans="1:17" x14ac:dyDescent="0.3">
      <c r="A92" s="28" t="s">
        <v>143</v>
      </c>
      <c r="B92" s="29" t="e">
        <f t="shared" ref="B92" si="74">((B89)+(B90))+(B91)</f>
        <v>#VALUE!</v>
      </c>
      <c r="C92" s="29">
        <v>162421.46000000002</v>
      </c>
      <c r="D92" s="29">
        <v>160275.19999999998</v>
      </c>
      <c r="E92" s="29">
        <f t="shared" ref="E92:Q92" si="75">((E89)+(E90))+(E91)</f>
        <v>166676.74</v>
      </c>
      <c r="F92" s="29">
        <f t="shared" si="75"/>
        <v>164553.81</v>
      </c>
      <c r="G92" s="29">
        <f t="shared" si="75"/>
        <v>162421.46000000002</v>
      </c>
      <c r="H92" s="29">
        <f t="shared" si="75"/>
        <v>160275.19999999998</v>
      </c>
      <c r="I92" s="29">
        <f t="shared" si="75"/>
        <v>158125.97</v>
      </c>
      <c r="J92" s="29">
        <f t="shared" si="75"/>
        <v>155967.16</v>
      </c>
      <c r="K92" s="29">
        <f t="shared" si="75"/>
        <v>153798.72</v>
      </c>
      <c r="L92" s="29">
        <f t="shared" si="75"/>
        <v>151623.67000000001</v>
      </c>
      <c r="M92" s="29">
        <f t="shared" si="75"/>
        <v>150458.66</v>
      </c>
      <c r="N92" s="29">
        <f t="shared" si="75"/>
        <v>149290.65</v>
      </c>
      <c r="O92" s="29">
        <f t="shared" si="75"/>
        <v>148119.62</v>
      </c>
      <c r="P92" s="29">
        <f t="shared" si="75"/>
        <v>146945.56</v>
      </c>
      <c r="Q92" s="29">
        <f t="shared" si="75"/>
        <v>145768.47</v>
      </c>
    </row>
    <row r="93" spans="1:17" x14ac:dyDescent="0.3">
      <c r="A93" s="28" t="s">
        <v>142</v>
      </c>
      <c r="B93" s="29" t="e">
        <f t="shared" ref="B93" si="76">(B87)+(B92)</f>
        <v>#VALUE!</v>
      </c>
      <c r="C93" s="29">
        <v>356125.45</v>
      </c>
      <c r="D93" s="29">
        <v>381726.17</v>
      </c>
      <c r="E93" s="29">
        <f t="shared" ref="E93:Q93" si="77">(E87)+(E92)</f>
        <v>321309.36</v>
      </c>
      <c r="F93" s="29">
        <f t="shared" si="77"/>
        <v>320373.29000000004</v>
      </c>
      <c r="G93" s="29">
        <f t="shared" si="77"/>
        <v>356125.45</v>
      </c>
      <c r="H93" s="29">
        <f t="shared" si="77"/>
        <v>381726.17</v>
      </c>
      <c r="I93" s="29">
        <f t="shared" si="77"/>
        <v>355709.05000000005</v>
      </c>
      <c r="J93" s="29">
        <f t="shared" si="77"/>
        <v>379266.81000000006</v>
      </c>
      <c r="K93" s="29">
        <f t="shared" si="77"/>
        <v>369044.93999999994</v>
      </c>
      <c r="L93" s="29">
        <f t="shared" si="77"/>
        <v>414582.91000000003</v>
      </c>
      <c r="M93" s="29">
        <f t="shared" si="77"/>
        <v>495892.78</v>
      </c>
      <c r="N93" s="29">
        <f t="shared" si="77"/>
        <v>530741.69999999995</v>
      </c>
      <c r="O93" s="29">
        <f t="shared" si="77"/>
        <v>548137.55000000005</v>
      </c>
      <c r="P93" s="29">
        <f t="shared" si="77"/>
        <v>596907.53</v>
      </c>
      <c r="Q93" s="29">
        <f t="shared" si="77"/>
        <v>604635.07000000007</v>
      </c>
    </row>
    <row r="94" spans="1:17" x14ac:dyDescent="0.3">
      <c r="A94" s="28" t="s">
        <v>141</v>
      </c>
      <c r="B94" s="27"/>
      <c r="C94" s="27"/>
      <c r="D94" s="27"/>
      <c r="E94" s="27"/>
      <c r="F94" s="27"/>
      <c r="G94" s="27"/>
      <c r="H94" s="27"/>
      <c r="I94" s="27"/>
      <c r="J94" s="27"/>
      <c r="K94" s="27"/>
      <c r="L94" s="27"/>
      <c r="M94" s="27"/>
      <c r="N94" s="27"/>
      <c r="O94" s="27"/>
      <c r="P94" s="27"/>
      <c r="Q94" s="27"/>
    </row>
    <row r="95" spans="1:17" ht="31.8" x14ac:dyDescent="0.3">
      <c r="A95" s="28" t="s">
        <v>140</v>
      </c>
      <c r="B95" s="30" t="str">
        <f t="shared" ref="B95:B102" si="78">A95</f>
        <v xml:space="preserve">      31000 Common Stock</v>
      </c>
      <c r="C95" s="30">
        <v>25220</v>
      </c>
      <c r="D95" s="30">
        <v>25220</v>
      </c>
      <c r="E95" s="27"/>
      <c r="F95" s="30">
        <f>25220</f>
        <v>25220</v>
      </c>
      <c r="G95" s="30">
        <f t="shared" ref="G95:Q95" si="79">F95</f>
        <v>25220</v>
      </c>
      <c r="H95" s="30">
        <f t="shared" si="79"/>
        <v>25220</v>
      </c>
      <c r="I95" s="30">
        <f t="shared" si="79"/>
        <v>25220</v>
      </c>
      <c r="J95" s="30">
        <f t="shared" si="79"/>
        <v>25220</v>
      </c>
      <c r="K95" s="30">
        <f t="shared" si="79"/>
        <v>25220</v>
      </c>
      <c r="L95" s="30">
        <f t="shared" si="79"/>
        <v>25220</v>
      </c>
      <c r="M95" s="30">
        <f t="shared" si="79"/>
        <v>25220</v>
      </c>
      <c r="N95" s="30">
        <f t="shared" si="79"/>
        <v>25220</v>
      </c>
      <c r="O95" s="30">
        <f t="shared" si="79"/>
        <v>25220</v>
      </c>
      <c r="P95" s="30">
        <f t="shared" si="79"/>
        <v>25220</v>
      </c>
      <c r="Q95" s="30">
        <f t="shared" si="79"/>
        <v>25220</v>
      </c>
    </row>
    <row r="96" spans="1:17" ht="21.6" x14ac:dyDescent="0.3">
      <c r="A96" s="28" t="s">
        <v>139</v>
      </c>
      <c r="B96" s="30" t="str">
        <f t="shared" si="78"/>
        <v xml:space="preserve">      33000 Owner Draw </v>
      </c>
      <c r="C96" s="30">
        <v>0</v>
      </c>
      <c r="D96" s="30">
        <v>0</v>
      </c>
      <c r="E96" s="30">
        <f>0</f>
        <v>0</v>
      </c>
      <c r="F96" s="30">
        <f>E96</f>
        <v>0</v>
      </c>
      <c r="G96" s="30">
        <f t="shared" ref="G96:Q96" si="80">F96</f>
        <v>0</v>
      </c>
      <c r="H96" s="30">
        <f t="shared" si="80"/>
        <v>0</v>
      </c>
      <c r="I96" s="30">
        <f t="shared" si="80"/>
        <v>0</v>
      </c>
      <c r="J96" s="30">
        <f t="shared" si="80"/>
        <v>0</v>
      </c>
      <c r="K96" s="30">
        <f t="shared" si="80"/>
        <v>0</v>
      </c>
      <c r="L96" s="30">
        <f t="shared" si="80"/>
        <v>0</v>
      </c>
      <c r="M96" s="30">
        <f t="shared" si="80"/>
        <v>0</v>
      </c>
      <c r="N96" s="30">
        <f t="shared" si="80"/>
        <v>0</v>
      </c>
      <c r="O96" s="30">
        <f t="shared" si="80"/>
        <v>0</v>
      </c>
      <c r="P96" s="30">
        <f t="shared" si="80"/>
        <v>0</v>
      </c>
      <c r="Q96" s="30">
        <f t="shared" si="80"/>
        <v>0</v>
      </c>
    </row>
    <row r="97" spans="1:17" ht="21.6" x14ac:dyDescent="0.3">
      <c r="A97" s="28" t="s">
        <v>138</v>
      </c>
      <c r="B97" s="30" t="str">
        <f t="shared" si="78"/>
        <v xml:space="preserve">      33500 Dividend</v>
      </c>
      <c r="C97" s="30">
        <v>-108158.5</v>
      </c>
      <c r="D97" s="30">
        <v>-108158.5</v>
      </c>
      <c r="E97" s="30">
        <f>-27000</f>
        <v>-27000</v>
      </c>
      <c r="F97" s="30">
        <f>-108158.5</f>
        <v>-108158.5</v>
      </c>
      <c r="G97" s="30">
        <f t="shared" ref="G97:Q97" si="81">F97</f>
        <v>-108158.5</v>
      </c>
      <c r="H97" s="30">
        <f t="shared" si="81"/>
        <v>-108158.5</v>
      </c>
      <c r="I97" s="30">
        <f t="shared" si="81"/>
        <v>-108158.5</v>
      </c>
      <c r="J97" s="30">
        <f t="shared" si="81"/>
        <v>-108158.5</v>
      </c>
      <c r="K97" s="30">
        <f t="shared" si="81"/>
        <v>-108158.5</v>
      </c>
      <c r="L97" s="30">
        <f t="shared" si="81"/>
        <v>-108158.5</v>
      </c>
      <c r="M97" s="30">
        <f t="shared" si="81"/>
        <v>-108158.5</v>
      </c>
      <c r="N97" s="30">
        <f t="shared" si="81"/>
        <v>-108158.5</v>
      </c>
      <c r="O97" s="30">
        <f t="shared" si="81"/>
        <v>-108158.5</v>
      </c>
      <c r="P97" s="30">
        <f t="shared" si="81"/>
        <v>-108158.5</v>
      </c>
      <c r="Q97" s="30">
        <f t="shared" si="81"/>
        <v>-108158.5</v>
      </c>
    </row>
    <row r="98" spans="1:17" ht="21.6" x14ac:dyDescent="0.3">
      <c r="A98" s="28" t="s">
        <v>137</v>
      </c>
      <c r="B98" s="30" t="str">
        <f t="shared" si="78"/>
        <v xml:space="preserve">      33501 Dividend</v>
      </c>
      <c r="C98" s="30">
        <v>-98753.41</v>
      </c>
      <c r="D98" s="30">
        <v>-98753.41</v>
      </c>
      <c r="E98" s="30">
        <f>-25778.45</f>
        <v>-25778.45</v>
      </c>
      <c r="F98" s="30">
        <f>-98753.41</f>
        <v>-98753.41</v>
      </c>
      <c r="G98" s="30">
        <f t="shared" ref="G98:Q98" si="82">F98</f>
        <v>-98753.41</v>
      </c>
      <c r="H98" s="30">
        <f t="shared" si="82"/>
        <v>-98753.41</v>
      </c>
      <c r="I98" s="30">
        <f t="shared" si="82"/>
        <v>-98753.41</v>
      </c>
      <c r="J98" s="30">
        <f t="shared" si="82"/>
        <v>-98753.41</v>
      </c>
      <c r="K98" s="30">
        <f t="shared" si="82"/>
        <v>-98753.41</v>
      </c>
      <c r="L98" s="30">
        <f t="shared" si="82"/>
        <v>-98753.41</v>
      </c>
      <c r="M98" s="30">
        <f t="shared" si="82"/>
        <v>-98753.41</v>
      </c>
      <c r="N98" s="30">
        <f t="shared" si="82"/>
        <v>-98753.41</v>
      </c>
      <c r="O98" s="30">
        <f t="shared" si="82"/>
        <v>-98753.41</v>
      </c>
      <c r="P98" s="30">
        <f t="shared" si="82"/>
        <v>-98753.41</v>
      </c>
      <c r="Q98" s="30">
        <f t="shared" si="82"/>
        <v>-98753.41</v>
      </c>
    </row>
    <row r="99" spans="1:17" ht="21.6" x14ac:dyDescent="0.3">
      <c r="A99" s="28" t="s">
        <v>136</v>
      </c>
      <c r="B99" s="30" t="str">
        <f t="shared" si="78"/>
        <v xml:space="preserve">      33502 Dividends</v>
      </c>
      <c r="C99" s="30">
        <v>-18810.169999999998</v>
      </c>
      <c r="D99" s="30">
        <v>-18810.169999999998</v>
      </c>
      <c r="E99" s="30">
        <f>-4800</f>
        <v>-4800</v>
      </c>
      <c r="F99" s="30">
        <f>-18810.17</f>
        <v>-18810.169999999998</v>
      </c>
      <c r="G99" s="30">
        <f t="shared" ref="G99:Q99" si="83">F99</f>
        <v>-18810.169999999998</v>
      </c>
      <c r="H99" s="30">
        <f t="shared" si="83"/>
        <v>-18810.169999999998</v>
      </c>
      <c r="I99" s="30">
        <f t="shared" si="83"/>
        <v>-18810.169999999998</v>
      </c>
      <c r="J99" s="30">
        <f t="shared" si="83"/>
        <v>-18810.169999999998</v>
      </c>
      <c r="K99" s="30">
        <f t="shared" si="83"/>
        <v>-18810.169999999998</v>
      </c>
      <c r="L99" s="30">
        <f t="shared" si="83"/>
        <v>-18810.169999999998</v>
      </c>
      <c r="M99" s="30">
        <f t="shared" si="83"/>
        <v>-18810.169999999998</v>
      </c>
      <c r="N99" s="30">
        <f t="shared" si="83"/>
        <v>-18810.169999999998</v>
      </c>
      <c r="O99" s="30">
        <f t="shared" si="83"/>
        <v>-18810.169999999998</v>
      </c>
      <c r="P99" s="30">
        <f t="shared" si="83"/>
        <v>-18810.169999999998</v>
      </c>
      <c r="Q99" s="30">
        <f t="shared" si="83"/>
        <v>-18810.169999999998</v>
      </c>
    </row>
    <row r="100" spans="1:17" ht="21.6" x14ac:dyDescent="0.3">
      <c r="A100" s="28" t="s">
        <v>135</v>
      </c>
      <c r="B100" s="30" t="str">
        <f t="shared" si="78"/>
        <v xml:space="preserve">      33503 Dividends</v>
      </c>
      <c r="C100" s="30">
        <v>-9405.09</v>
      </c>
      <c r="D100" s="30">
        <v>-9405.09</v>
      </c>
      <c r="E100" s="30">
        <f>-2400</f>
        <v>-2400</v>
      </c>
      <c r="F100" s="30">
        <f>-9405.09</f>
        <v>-9405.09</v>
      </c>
      <c r="G100" s="30">
        <f t="shared" ref="G100:Q100" si="84">F100</f>
        <v>-9405.09</v>
      </c>
      <c r="H100" s="30">
        <f t="shared" si="84"/>
        <v>-9405.09</v>
      </c>
      <c r="I100" s="30">
        <f t="shared" si="84"/>
        <v>-9405.09</v>
      </c>
      <c r="J100" s="30">
        <f t="shared" si="84"/>
        <v>-9405.09</v>
      </c>
      <c r="K100" s="30">
        <f t="shared" si="84"/>
        <v>-9405.09</v>
      </c>
      <c r="L100" s="30">
        <f t="shared" si="84"/>
        <v>-9405.09</v>
      </c>
      <c r="M100" s="30">
        <f t="shared" si="84"/>
        <v>-9405.09</v>
      </c>
      <c r="N100" s="30">
        <f t="shared" si="84"/>
        <v>-9405.09</v>
      </c>
      <c r="O100" s="30">
        <f t="shared" si="84"/>
        <v>-9405.09</v>
      </c>
      <c r="P100" s="30">
        <f t="shared" si="84"/>
        <v>-9405.09</v>
      </c>
      <c r="Q100" s="30">
        <f t="shared" si="84"/>
        <v>-9405.09</v>
      </c>
    </row>
    <row r="101" spans="1:17" ht="42" x14ac:dyDescent="0.3">
      <c r="A101" s="28" t="s">
        <v>134</v>
      </c>
      <c r="B101" s="30" t="str">
        <f t="shared" si="78"/>
        <v xml:space="preserve">      38000 Opening Balance Equity</v>
      </c>
      <c r="C101" s="30">
        <v>0</v>
      </c>
      <c r="D101" s="30">
        <v>0</v>
      </c>
      <c r="E101" s="30">
        <f>0</f>
        <v>0</v>
      </c>
      <c r="F101" s="30">
        <f>E101</f>
        <v>0</v>
      </c>
      <c r="G101" s="30">
        <f t="shared" ref="G101:Q101" si="85">F101</f>
        <v>0</v>
      </c>
      <c r="H101" s="30">
        <f t="shared" si="85"/>
        <v>0</v>
      </c>
      <c r="I101" s="30">
        <f t="shared" si="85"/>
        <v>0</v>
      </c>
      <c r="J101" s="30">
        <f t="shared" si="85"/>
        <v>0</v>
      </c>
      <c r="K101" s="30">
        <f t="shared" si="85"/>
        <v>0</v>
      </c>
      <c r="L101" s="30">
        <f t="shared" si="85"/>
        <v>0</v>
      </c>
      <c r="M101" s="30">
        <f t="shared" si="85"/>
        <v>0</v>
      </c>
      <c r="N101" s="30">
        <f t="shared" si="85"/>
        <v>0</v>
      </c>
      <c r="O101" s="30">
        <f t="shared" si="85"/>
        <v>0</v>
      </c>
      <c r="P101" s="30">
        <f t="shared" si="85"/>
        <v>0</v>
      </c>
      <c r="Q101" s="30">
        <f t="shared" si="85"/>
        <v>0</v>
      </c>
    </row>
    <row r="102" spans="1:17" ht="31.8" x14ac:dyDescent="0.3">
      <c r="A102" s="28" t="s">
        <v>133</v>
      </c>
      <c r="B102" s="30" t="str">
        <f t="shared" si="78"/>
        <v xml:space="preserve">      39000 Retained Earnings</v>
      </c>
      <c r="C102" s="30">
        <v>583866.17999999993</v>
      </c>
      <c r="D102" s="30">
        <v>583866.17999999993</v>
      </c>
      <c r="E102" s="30">
        <f>1120203.16</f>
        <v>1120203.1599999999</v>
      </c>
      <c r="F102" s="30">
        <f>1120103.16</f>
        <v>1120103.1599999999</v>
      </c>
      <c r="G102" s="30">
        <f>(F102)+(F103)</f>
        <v>583866.17999999993</v>
      </c>
      <c r="H102" s="30">
        <f t="shared" ref="H102:Q102" si="86">G102</f>
        <v>583866.17999999993</v>
      </c>
      <c r="I102" s="30">
        <f t="shared" si="86"/>
        <v>583866.17999999993</v>
      </c>
      <c r="J102" s="30">
        <f t="shared" si="86"/>
        <v>583866.17999999993</v>
      </c>
      <c r="K102" s="30">
        <f t="shared" si="86"/>
        <v>583866.17999999993</v>
      </c>
      <c r="L102" s="30">
        <f t="shared" si="86"/>
        <v>583866.17999999993</v>
      </c>
      <c r="M102" s="30">
        <f t="shared" si="86"/>
        <v>583866.17999999993</v>
      </c>
      <c r="N102" s="30">
        <f t="shared" si="86"/>
        <v>583866.17999999993</v>
      </c>
      <c r="O102" s="30">
        <f t="shared" si="86"/>
        <v>583866.17999999993</v>
      </c>
      <c r="P102" s="30">
        <f t="shared" si="86"/>
        <v>583866.17999999993</v>
      </c>
      <c r="Q102" s="30">
        <f t="shared" si="86"/>
        <v>583866.17999999993</v>
      </c>
    </row>
    <row r="103" spans="1:17" x14ac:dyDescent="0.3">
      <c r="A103" s="28" t="s">
        <v>132</v>
      </c>
      <c r="B103" s="30">
        <f>-90948.47</f>
        <v>-90948.47</v>
      </c>
      <c r="C103" s="30">
        <v>-25639.09</v>
      </c>
      <c r="D103" s="30">
        <v>-82649.11</v>
      </c>
      <c r="E103" s="30">
        <f>-337495.63</f>
        <v>-337495.63</v>
      </c>
      <c r="F103" s="30">
        <f>-536236.98</f>
        <v>-536236.98</v>
      </c>
      <c r="G103" s="30">
        <f>-25639.09</f>
        <v>-25639.09</v>
      </c>
      <c r="H103" s="30">
        <f>-82649.11</f>
        <v>-82649.11</v>
      </c>
      <c r="I103" s="30">
        <f>-90948.47</f>
        <v>-90948.47</v>
      </c>
      <c r="J103" s="30">
        <f>-187747.57</f>
        <v>-187747.57</v>
      </c>
      <c r="K103" s="30">
        <f>-275607.69</f>
        <v>-275607.69</v>
      </c>
      <c r="L103" s="30">
        <f>-347305.58</f>
        <v>-347305.58</v>
      </c>
      <c r="M103" s="30">
        <f>-357861.94</f>
        <v>-357861.94</v>
      </c>
      <c r="N103" s="30">
        <f>-352001.9</f>
        <v>-352001.9</v>
      </c>
      <c r="O103" s="30">
        <f>-339012.4</f>
        <v>-339012.4</v>
      </c>
      <c r="P103" s="30">
        <f>-380829.91</f>
        <v>-380829.91</v>
      </c>
      <c r="Q103" s="30">
        <f>-443056.65</f>
        <v>-443056.65</v>
      </c>
    </row>
    <row r="104" spans="1:17" x14ac:dyDescent="0.3">
      <c r="A104" s="28" t="s">
        <v>131</v>
      </c>
      <c r="B104" s="29" t="e">
        <f t="shared" ref="B104" si="87">((((((((B95)+(B96))+(B97))+(B98))+(B99))+(B100))+(B101))+(B102))+(B103)</f>
        <v>#VALUE!</v>
      </c>
      <c r="C104" s="29">
        <v>348319.91999999987</v>
      </c>
      <c r="D104" s="29">
        <v>291309.89999999991</v>
      </c>
      <c r="E104" s="29">
        <f t="shared" ref="E104:Q104" si="88">((((((((E95)+(E96))+(E97))+(E98))+(E99))+(E100))+(E101))+(E102))+(E103)</f>
        <v>722729.08</v>
      </c>
      <c r="F104" s="29">
        <f t="shared" si="88"/>
        <v>373959.00999999989</v>
      </c>
      <c r="G104" s="29">
        <f t="shared" si="88"/>
        <v>348319.91999999987</v>
      </c>
      <c r="H104" s="29">
        <f t="shared" si="88"/>
        <v>291309.89999999991</v>
      </c>
      <c r="I104" s="29">
        <f t="shared" si="88"/>
        <v>283010.53999999992</v>
      </c>
      <c r="J104" s="29">
        <f t="shared" si="88"/>
        <v>186211.43999999989</v>
      </c>
      <c r="K104" s="29">
        <f t="shared" si="88"/>
        <v>98351.319999999891</v>
      </c>
      <c r="L104" s="29">
        <f t="shared" si="88"/>
        <v>26653.429999999877</v>
      </c>
      <c r="M104" s="29">
        <f t="shared" si="88"/>
        <v>16097.069999999891</v>
      </c>
      <c r="N104" s="29">
        <f t="shared" si="88"/>
        <v>21957.10999999987</v>
      </c>
      <c r="O104" s="29">
        <f t="shared" si="88"/>
        <v>34946.60999999987</v>
      </c>
      <c r="P104" s="29">
        <f t="shared" si="88"/>
        <v>-6870.9000000000815</v>
      </c>
      <c r="Q104" s="29">
        <f t="shared" si="88"/>
        <v>-69097.64000000013</v>
      </c>
    </row>
    <row r="105" spans="1:17" x14ac:dyDescent="0.3">
      <c r="A105" s="28" t="s">
        <v>130</v>
      </c>
      <c r="B105" s="29" t="e">
        <f t="shared" ref="B105" si="89">(B93)+(B104)</f>
        <v>#VALUE!</v>
      </c>
      <c r="C105" s="29">
        <v>704445.36999999988</v>
      </c>
      <c r="D105" s="29">
        <v>673036.06999999983</v>
      </c>
      <c r="E105" s="29">
        <f t="shared" ref="E105:Q105" si="90">(E93)+(E104)</f>
        <v>1044038.44</v>
      </c>
      <c r="F105" s="29">
        <f t="shared" si="90"/>
        <v>694332.29999999993</v>
      </c>
      <c r="G105" s="29">
        <f t="shared" si="90"/>
        <v>704445.36999999988</v>
      </c>
      <c r="H105" s="29">
        <f t="shared" si="90"/>
        <v>673036.06999999983</v>
      </c>
      <c r="I105" s="29">
        <f t="shared" si="90"/>
        <v>638719.59</v>
      </c>
      <c r="J105" s="29">
        <f t="shared" si="90"/>
        <v>565478.25</v>
      </c>
      <c r="K105" s="29">
        <f t="shared" si="90"/>
        <v>467396.25999999983</v>
      </c>
      <c r="L105" s="29">
        <f t="shared" si="90"/>
        <v>441236.33999999991</v>
      </c>
      <c r="M105" s="29">
        <f t="shared" si="90"/>
        <v>511989.84999999992</v>
      </c>
      <c r="N105" s="29">
        <f t="shared" si="90"/>
        <v>552698.80999999982</v>
      </c>
      <c r="O105" s="29">
        <f t="shared" si="90"/>
        <v>583084.15999999992</v>
      </c>
      <c r="P105" s="29">
        <f t="shared" si="90"/>
        <v>590036.62999999989</v>
      </c>
      <c r="Q105" s="29">
        <f t="shared" si="90"/>
        <v>535537.42999999993</v>
      </c>
    </row>
    <row r="106" spans="1:17" x14ac:dyDescent="0.3">
      <c r="A106" s="28"/>
      <c r="B106" s="27"/>
      <c r="C106" s="27"/>
      <c r="D106" s="27"/>
      <c r="E106" s="27"/>
      <c r="F106" s="27"/>
      <c r="G106" s="27"/>
      <c r="H106" s="27"/>
      <c r="I106" s="27"/>
      <c r="J106" s="27"/>
      <c r="K106" s="27"/>
      <c r="L106" s="27"/>
      <c r="M106" s="27"/>
      <c r="N106" s="27"/>
      <c r="O106" s="27"/>
      <c r="P106" s="27"/>
      <c r="Q106" s="27"/>
    </row>
    <row r="109" spans="1:17" x14ac:dyDescent="0.3">
      <c r="A109" s="41" t="s">
        <v>129</v>
      </c>
      <c r="B109" s="41"/>
      <c r="C109" s="41"/>
      <c r="D109" s="41"/>
      <c r="E109" s="42"/>
      <c r="F109" s="42"/>
      <c r="G109" s="42"/>
      <c r="H109" s="42"/>
      <c r="I109" s="42"/>
      <c r="J109" s="42"/>
      <c r="K109" s="42"/>
      <c r="L109" s="42"/>
      <c r="M109" s="42"/>
      <c r="N109" s="42"/>
      <c r="O109" s="42"/>
      <c r="P109" s="42"/>
      <c r="Q109" s="42"/>
    </row>
  </sheetData>
  <mergeCells count="4">
    <mergeCell ref="A109:Q109"/>
    <mergeCell ref="A1:Q1"/>
    <mergeCell ref="A2:Q2"/>
    <mergeCell ref="A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Request List</vt:lpstr>
      <vt:lpstr>1. P&amp;L Example</vt:lpstr>
      <vt:lpstr>2. BS Example</vt:lpstr>
      <vt:lpstr>'1. P&amp;L Example'!Print_Titles</vt:lpstr>
    </vt:vector>
  </TitlesOfParts>
  <Company>Tonnesen Accounting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Tonnesen</dc:creator>
  <cp:lastModifiedBy>Joshua Tonnesen</cp:lastModifiedBy>
  <dcterms:created xsi:type="dcterms:W3CDTF">2025-07-01T13:52:54Z</dcterms:created>
  <dcterms:modified xsi:type="dcterms:W3CDTF">2026-08-26T18:10:39Z</dcterms:modified>
</cp:coreProperties>
</file>