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smedassure.sharepoint.com/sites/WisMedFinancial/Shared Documents/Calculators/"/>
    </mc:Choice>
  </mc:AlternateContent>
  <xr:revisionPtr revIDLastSave="1523" documentId="8_{B78A1357-E334-4871-8E35-EEAC7864EAD6}" xr6:coauthVersionLast="47" xr6:coauthVersionMax="47" xr10:uidLastSave="{03DD2515-D099-4616-9A29-5CF21333AAE2}"/>
  <bookViews>
    <workbookView xWindow="-108" yWindow="-108" windowWidth="23256" windowHeight="12576" activeTab="1" xr2:uid="{FB52D412-D0CD-4C46-A248-F98F4BD68162}"/>
  </bookViews>
  <sheets>
    <sheet name="Budget Student" sheetId="5" r:id="rId1"/>
    <sheet name="4 F Budget Resident" sheetId="1" r:id="rId2"/>
    <sheet name="4 F Budget Attending" sheetId="3" r:id="rId3"/>
    <sheet name="Federal Student Loans" sheetId="2" r:id="rId4"/>
    <sheet name="Cost References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D6" i="5"/>
  <c r="D7" i="5"/>
  <c r="D4" i="5"/>
  <c r="I19" i="5"/>
  <c r="I20" i="5"/>
  <c r="I21" i="5"/>
  <c r="I18" i="5"/>
  <c r="G19" i="5"/>
  <c r="G20" i="5"/>
  <c r="G21" i="5"/>
  <c r="G18" i="5"/>
  <c r="E19" i="5"/>
  <c r="E20" i="5"/>
  <c r="E21" i="5"/>
  <c r="E18" i="5"/>
  <c r="E22" i="5" s="1"/>
  <c r="E25" i="5" s="1"/>
  <c r="C19" i="5"/>
  <c r="C20" i="5"/>
  <c r="C21" i="5"/>
  <c r="C18" i="5"/>
  <c r="D22" i="5"/>
  <c r="G22" i="5" l="1"/>
  <c r="C22" i="5"/>
  <c r="E27" i="5"/>
  <c r="I22" i="5"/>
  <c r="G24" i="5"/>
  <c r="G26" i="5" s="1"/>
  <c r="G25" i="5"/>
  <c r="G27" i="5" s="1"/>
  <c r="C24" i="5"/>
  <c r="C26" i="5" s="1"/>
  <c r="C25" i="5"/>
  <c r="C27" i="5" s="1"/>
  <c r="F22" i="5"/>
  <c r="J22" i="5"/>
  <c r="E24" i="5"/>
  <c r="E26" i="5" s="1"/>
  <c r="H22" i="5"/>
  <c r="B12" i="3"/>
  <c r="B16" i="3" s="1"/>
  <c r="E7" i="3"/>
  <c r="E6" i="3"/>
  <c r="E5" i="3"/>
  <c r="E6" i="1"/>
  <c r="E8" i="5"/>
  <c r="E12" i="5" s="1"/>
  <c r="G8" i="5"/>
  <c r="G12" i="5" s="1"/>
  <c r="I8" i="5"/>
  <c r="I12" i="5" s="1"/>
  <c r="C8" i="5"/>
  <c r="C12" i="5" s="1"/>
  <c r="J5" i="5"/>
  <c r="J6" i="5"/>
  <c r="J7" i="5"/>
  <c r="J4" i="5"/>
  <c r="H5" i="5"/>
  <c r="H6" i="5"/>
  <c r="H7" i="5"/>
  <c r="H4" i="5"/>
  <c r="F5" i="5"/>
  <c r="F6" i="5"/>
  <c r="F7" i="5"/>
  <c r="F4" i="5"/>
  <c r="C10" i="2"/>
  <c r="B10" i="2"/>
  <c r="H5" i="2"/>
  <c r="I5" i="2"/>
  <c r="I6" i="2"/>
  <c r="I7" i="2"/>
  <c r="I8" i="2"/>
  <c r="I9" i="2"/>
  <c r="I10" i="2"/>
  <c r="I11" i="2"/>
  <c r="I4" i="2"/>
  <c r="H4" i="2"/>
  <c r="K16" i="3"/>
  <c r="K17" i="3" s="1"/>
  <c r="H16" i="3"/>
  <c r="H17" i="3" s="1"/>
  <c r="C13" i="2" l="1"/>
  <c r="C16" i="2" s="1"/>
  <c r="D13" i="2"/>
  <c r="D16" i="2" s="1"/>
  <c r="I24" i="5"/>
  <c r="F8" i="5"/>
  <c r="I26" i="5"/>
  <c r="I25" i="5"/>
  <c r="I27" i="5" s="1"/>
  <c r="J8" i="5"/>
  <c r="H8" i="5"/>
  <c r="D8" i="5"/>
  <c r="E16" i="3"/>
  <c r="E17" i="3" s="1"/>
  <c r="B17" i="3"/>
  <c r="E16" i="1"/>
  <c r="E17" i="1" s="1"/>
  <c r="H6" i="2"/>
  <c r="H7" i="2"/>
  <c r="H8" i="2"/>
  <c r="H9" i="2"/>
  <c r="H10" i="2"/>
  <c r="H11" i="2"/>
  <c r="K16" i="1"/>
  <c r="K17" i="1" s="1"/>
  <c r="H16" i="1"/>
  <c r="H17" i="1" s="1"/>
  <c r="B16" i="1"/>
  <c r="B17" i="1" s="1"/>
  <c r="B13" i="2" l="1"/>
  <c r="B16" i="2" s="1"/>
  <c r="B19" i="3"/>
  <c r="B20" i="3" s="1"/>
  <c r="B19" i="1"/>
  <c r="B20" i="1" s="1"/>
</calcChain>
</file>

<file path=xl/sharedStrings.xml><?xml version="1.0" encoding="utf-8"?>
<sst xmlns="http://schemas.openxmlformats.org/spreadsheetml/2006/main" count="145" uniqueCount="78">
  <si>
    <t>Monthly Take Home Pay</t>
  </si>
  <si>
    <t>Amount</t>
  </si>
  <si>
    <t>Minimum debt payments</t>
  </si>
  <si>
    <t>Subtotal</t>
  </si>
  <si>
    <t>Vacation</t>
  </si>
  <si>
    <t>Charity</t>
  </si>
  <si>
    <t>Total</t>
  </si>
  <si>
    <t>Surplus or Deficit</t>
  </si>
  <si>
    <t>Rent/mortgage &lt;= 25%</t>
  </si>
  <si>
    <t>Misc.</t>
  </si>
  <si>
    <t>Debt snowball</t>
  </si>
  <si>
    <t>Car</t>
  </si>
  <si>
    <t>Entertainment</t>
  </si>
  <si>
    <t>&lt;--Adjust categories above until amount is $0</t>
  </si>
  <si>
    <t>Family Size (including borrower)</t>
  </si>
  <si>
    <t>Adjusted Gross Income</t>
  </si>
  <si>
    <t>Family Size</t>
  </si>
  <si>
    <t>Fixed &lt;50%</t>
  </si>
  <si>
    <t>Future 15-25%</t>
  </si>
  <si>
    <t>"F"ilanthropy 10%</t>
  </si>
  <si>
    <t>Fun 15-25%</t>
  </si>
  <si>
    <t>Actual Percentage</t>
  </si>
  <si>
    <t>Cell phone $104</t>
  </si>
  <si>
    <t>Insurance $varies</t>
  </si>
  <si>
    <t xml:space="preserve">Edvest 529 </t>
  </si>
  <si>
    <t>Childcare</t>
  </si>
  <si>
    <t>(excludes car and 529)</t>
  </si>
  <si>
    <t>Internet $varies</t>
  </si>
  <si>
    <t>Child care</t>
  </si>
  <si>
    <t>https://www.americanprogress.org/article/true-cost-high-quality-child-care-across-united-states/</t>
  </si>
  <si>
    <t>https://www.fns.usda.gov/cnpp/usda-food-plans-cost-food-reports-monthly-reports</t>
  </si>
  <si>
    <t>https://www.bls.gov/cex/csxreport.htm#annual</t>
  </si>
  <si>
    <t>Overall - FRED Economic Data St. Louis FED</t>
  </si>
  <si>
    <t>https://fred.stlouisfed.org/series/CXUTOTALEXPLB0101M</t>
  </si>
  <si>
    <t>Overall - Bureau of Labor Statistics</t>
  </si>
  <si>
    <t>Food - USDA Food Plans</t>
  </si>
  <si>
    <t>10% of Discretionary Income</t>
  </si>
  <si>
    <t>2023 Federal Poverty Guideline</t>
  </si>
  <si>
    <t>https://www.mcw.edu/education/academic-and-student-services/financial-aid-and-tuition/financial-aid-new-and-current-students</t>
  </si>
  <si>
    <t>Rent/Utilities</t>
  </si>
  <si>
    <t>M1</t>
  </si>
  <si>
    <t>M2</t>
  </si>
  <si>
    <t>M3</t>
  </si>
  <si>
    <t>M4</t>
  </si>
  <si>
    <t>Food/Household</t>
  </si>
  <si>
    <t>Transportation</t>
  </si>
  <si>
    <t>Personal/Clothing/Recreation</t>
  </si>
  <si>
    <t>monthly</t>
  </si>
  <si>
    <t>11 months</t>
  </si>
  <si>
    <t>12 months</t>
  </si>
  <si>
    <t>Student Expenses</t>
  </si>
  <si>
    <t>School Expenses</t>
  </si>
  <si>
    <t>Sub Total</t>
  </si>
  <si>
    <t>Books, Supplies, Exams, Tuition, Fees, Insurance</t>
  </si>
  <si>
    <t>401(k) or 403(b) $22,500 max</t>
  </si>
  <si>
    <t>Backdoor Roth IRA $6,500 max</t>
  </si>
  <si>
    <t>HSA $3,850 single $7,750 family max</t>
  </si>
  <si>
    <t>Natural gas $37</t>
  </si>
  <si>
    <t>Electricity $129</t>
  </si>
  <si>
    <t>Water $58</t>
  </si>
  <si>
    <t>Transportation (gas, oil, repair) $260</t>
  </si>
  <si>
    <t>Food $296-$452 per person</t>
  </si>
  <si>
    <t>5% of Discretionary Income (undergrad loans)</t>
  </si>
  <si>
    <t>10% of Discretionary Income (grad loans)</t>
  </si>
  <si>
    <t>Taxable Investment / Emergency Fund</t>
  </si>
  <si>
    <t>Update green fields</t>
  </si>
  <si>
    <t>https://financialaid.wisc.edu/cost-of-attendance/</t>
  </si>
  <si>
    <t>Books, Supplies, Exams, Tuition, Fees, Insurance (WI resident)</t>
  </si>
  <si>
    <t>Books, Supplies, Exams, Tuition, Fees, Insurance (non WI resident)</t>
  </si>
  <si>
    <t>Total WI Resident</t>
  </si>
  <si>
    <t>Total Non WI Resident</t>
  </si>
  <si>
    <t>10.5 months</t>
  </si>
  <si>
    <t>Reference</t>
  </si>
  <si>
    <t>UW Student Budget 2023-2024</t>
  </si>
  <si>
    <t>MCW Milwaukee Student Budget 2023-2024</t>
  </si>
  <si>
    <t>SAVE Discretionary Income (AGI-225% poverty)</t>
  </si>
  <si>
    <t>PAYE Discretionary Income (AGI-150% poverty)</t>
  </si>
  <si>
    <t>Monthly federal student loan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</si>
</sst>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0" xfId="1" applyFont="1" applyBorder="1"/>
    <xf numFmtId="44" fontId="0" fillId="0" borderId="1" xfId="1" applyFont="1" applyBorder="1"/>
    <xf numFmtId="0" fontId="2" fillId="0" borderId="1" xfId="0" applyFont="1" applyBorder="1"/>
    <xf numFmtId="44" fontId="2" fillId="0" borderId="1" xfId="1" applyFont="1" applyBorder="1"/>
    <xf numFmtId="44" fontId="2" fillId="0" borderId="1" xfId="1" applyFont="1" applyFill="1" applyBorder="1"/>
    <xf numFmtId="0" fontId="0" fillId="2" borderId="0" xfId="0" applyFill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0" xfId="3"/>
    <xf numFmtId="0" fontId="0" fillId="3" borderId="0" xfId="0" applyFill="1" applyAlignment="1">
      <alignment wrapText="1"/>
    </xf>
    <xf numFmtId="9" fontId="0" fillId="0" borderId="1" xfId="0" applyNumberFormat="1" applyBorder="1" applyAlignment="1">
      <alignment wrapText="1"/>
    </xf>
    <xf numFmtId="44" fontId="0" fillId="0" borderId="0" xfId="1" applyFont="1" applyAlignment="1">
      <alignment wrapText="1"/>
    </xf>
    <xf numFmtId="44" fontId="0" fillId="0" borderId="0" xfId="0" applyNumberFormat="1" applyAlignment="1">
      <alignment wrapText="1"/>
    </xf>
    <xf numFmtId="44" fontId="0" fillId="3" borderId="0" xfId="1" applyFont="1" applyFill="1" applyAlignment="1">
      <alignment wrapText="1"/>
    </xf>
    <xf numFmtId="44" fontId="0" fillId="0" borderId="0" xfId="1" applyFont="1" applyFill="1" applyAlignment="1">
      <alignment wrapText="1"/>
    </xf>
    <xf numFmtId="44" fontId="0" fillId="0" borderId="1" xfId="1" applyFont="1" applyBorder="1" applyAlignment="1">
      <alignment wrapText="1"/>
    </xf>
    <xf numFmtId="0" fontId="0" fillId="0" borderId="2" xfId="0" applyBorder="1"/>
    <xf numFmtId="44" fontId="0" fillId="0" borderId="2" xfId="0" applyNumberFormat="1" applyBorder="1"/>
    <xf numFmtId="0" fontId="0" fillId="0" borderId="0" xfId="0" applyAlignment="1">
      <alignment horizontal="center" vertical="center"/>
    </xf>
    <xf numFmtId="44" fontId="0" fillId="0" borderId="0" xfId="1" applyFont="1" applyAlignment="1">
      <alignment vertical="center"/>
    </xf>
    <xf numFmtId="0" fontId="0" fillId="0" borderId="3" xfId="0" applyBorder="1"/>
    <xf numFmtId="44" fontId="0" fillId="0" borderId="3" xfId="0" applyNumberFormat="1" applyBorder="1"/>
    <xf numFmtId="0" fontId="0" fillId="0" borderId="0" xfId="0" applyAlignment="1">
      <alignment horizontal="center"/>
    </xf>
    <xf numFmtId="0" fontId="2" fillId="0" borderId="0" xfId="0" applyFont="1"/>
    <xf numFmtId="44" fontId="2" fillId="0" borderId="0" xfId="1" applyFont="1"/>
    <xf numFmtId="9" fontId="2" fillId="0" borderId="0" xfId="2" applyFont="1"/>
    <xf numFmtId="9" fontId="2" fillId="0" borderId="0" xfId="2" applyFont="1" applyAlignment="1">
      <alignment horizontal="right"/>
    </xf>
    <xf numFmtId="44" fontId="0" fillId="3" borderId="0" xfId="1" applyFont="1" applyFill="1"/>
    <xf numFmtId="44" fontId="0" fillId="3" borderId="1" xfId="1" applyFont="1" applyFill="1" applyBorder="1"/>
    <xf numFmtId="0" fontId="2" fillId="0" borderId="1" xfId="0" applyFont="1" applyBorder="1" applyAlignment="1">
      <alignment wrapText="1"/>
    </xf>
    <xf numFmtId="44" fontId="2" fillId="0" borderId="0" xfId="0" applyNumberFormat="1" applyFont="1" applyAlignment="1">
      <alignment wrapText="1"/>
    </xf>
    <xf numFmtId="0" fontId="0" fillId="3" borderId="0" xfId="0" applyFill="1"/>
    <xf numFmtId="0" fontId="0" fillId="0" borderId="4" xfId="0" applyBorder="1"/>
    <xf numFmtId="44" fontId="0" fillId="0" borderId="0" xfId="0" applyNumberFormat="1"/>
    <xf numFmtId="44" fontId="0" fillId="0" borderId="4" xfId="0" applyNumberFormat="1" applyBorder="1"/>
    <xf numFmtId="44" fontId="2" fillId="0" borderId="2" xfId="0" applyNumberFormat="1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right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inancialaid.wisc.edu/cost-of-attendance/" TargetMode="External"/><Relationship Id="rId1" Type="http://schemas.openxmlformats.org/officeDocument/2006/relationships/hyperlink" Target="https://www.mcw.edu/education/academic-and-student-services/financial-aid-and-tuition/financial-aid-new-and-current-student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inkytown.net/java/snowball-debt-elimination-calculator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dinkytown.net/java/snowball-debt-elimination-calculator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ex/csxreport.htm" TargetMode="External"/><Relationship Id="rId2" Type="http://schemas.openxmlformats.org/officeDocument/2006/relationships/hyperlink" Target="https://www.fns.usda.gov/cnpp/usda-food-plans-cost-food-reports-monthly-reports" TargetMode="External"/><Relationship Id="rId1" Type="http://schemas.openxmlformats.org/officeDocument/2006/relationships/hyperlink" Target="https://www.americanprogress.org/article/true-cost-high-quality-child-care-across-united-states/" TargetMode="External"/><Relationship Id="rId4" Type="http://schemas.openxmlformats.org/officeDocument/2006/relationships/hyperlink" Target="https://fred.stlouisfed.org/series/CXUTOTALEXPLB0101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FC4DA-0A32-457C-8A23-08EACE55DF85}">
  <dimension ref="A1:J28"/>
  <sheetViews>
    <sheetView zoomScale="140" zoomScaleNormal="140" workbookViewId="0">
      <selection activeCell="M17" sqref="M17"/>
    </sheetView>
  </sheetViews>
  <sheetFormatPr defaultRowHeight="14.4" x14ac:dyDescent="0.3"/>
  <cols>
    <col min="1" max="1" width="18.33203125" customWidth="1"/>
    <col min="2" max="2" width="32.21875" customWidth="1"/>
    <col min="3" max="3" width="11.77734375" bestFit="1" customWidth="1"/>
    <col min="4" max="4" width="11.109375" bestFit="1" customWidth="1"/>
    <col min="5" max="5" width="12.88671875" bestFit="1" customWidth="1"/>
    <col min="6" max="6" width="11.109375" bestFit="1" customWidth="1"/>
    <col min="7" max="7" width="12.88671875" bestFit="1" customWidth="1"/>
    <col min="8" max="8" width="11.109375" bestFit="1" customWidth="1"/>
    <col min="9" max="9" width="12.88671875" bestFit="1" customWidth="1"/>
    <col min="10" max="10" width="11.109375" bestFit="1" customWidth="1"/>
  </cols>
  <sheetData>
    <row r="1" spans="1:10" x14ac:dyDescent="0.3">
      <c r="C1" s="41" t="s">
        <v>74</v>
      </c>
      <c r="D1" s="41"/>
      <c r="E1" s="41"/>
      <c r="F1" s="41"/>
      <c r="G1" s="41"/>
      <c r="H1" s="41"/>
      <c r="I1" s="41"/>
      <c r="J1" s="41"/>
    </row>
    <row r="2" spans="1:10" x14ac:dyDescent="0.3">
      <c r="C2" s="42" t="s">
        <v>40</v>
      </c>
      <c r="D2" s="42"/>
      <c r="E2" s="42" t="s">
        <v>41</v>
      </c>
      <c r="F2" s="42"/>
      <c r="G2" s="42" t="s">
        <v>42</v>
      </c>
      <c r="H2" s="42"/>
      <c r="I2" s="42" t="s">
        <v>43</v>
      </c>
      <c r="J2" s="42"/>
    </row>
    <row r="3" spans="1:10" x14ac:dyDescent="0.3">
      <c r="C3" s="2" t="s">
        <v>49</v>
      </c>
      <c r="D3" s="5" t="s">
        <v>47</v>
      </c>
      <c r="E3" s="2" t="s">
        <v>48</v>
      </c>
      <c r="F3" s="5" t="s">
        <v>47</v>
      </c>
      <c r="G3" s="2" t="s">
        <v>49</v>
      </c>
      <c r="H3" s="5" t="s">
        <v>47</v>
      </c>
      <c r="I3" s="2" t="s">
        <v>48</v>
      </c>
      <c r="J3" s="5" t="s">
        <v>47</v>
      </c>
    </row>
    <row r="4" spans="1:10" x14ac:dyDescent="0.3">
      <c r="A4" s="40" t="s">
        <v>50</v>
      </c>
      <c r="B4" t="s">
        <v>39</v>
      </c>
      <c r="C4" s="1">
        <v>15000</v>
      </c>
      <c r="D4" s="28">
        <f>C4/12</f>
        <v>1250</v>
      </c>
      <c r="E4" s="1">
        <v>13750</v>
      </c>
      <c r="F4" s="28">
        <f>E4/11</f>
        <v>1250</v>
      </c>
      <c r="G4" s="1">
        <v>15000</v>
      </c>
      <c r="H4" s="28">
        <f>G4/12</f>
        <v>1250</v>
      </c>
      <c r="I4" s="1">
        <v>13750</v>
      </c>
      <c r="J4" s="28">
        <f>I4/11</f>
        <v>1250</v>
      </c>
    </row>
    <row r="5" spans="1:10" x14ac:dyDescent="0.3">
      <c r="A5" s="40"/>
      <c r="B5" t="s">
        <v>44</v>
      </c>
      <c r="C5" s="1">
        <v>4800</v>
      </c>
      <c r="D5" s="28">
        <f t="shared" ref="D5:D7" si="0">C5/12</f>
        <v>400</v>
      </c>
      <c r="E5" s="1">
        <v>4400</v>
      </c>
      <c r="F5" s="28">
        <f t="shared" ref="F5:F7" si="1">E5/11</f>
        <v>400</v>
      </c>
      <c r="G5" s="1">
        <v>4800</v>
      </c>
      <c r="H5" s="28">
        <f t="shared" ref="H5:H7" si="2">G5/12</f>
        <v>400</v>
      </c>
      <c r="I5" s="1">
        <v>4400</v>
      </c>
      <c r="J5" s="28">
        <f t="shared" ref="J5:J7" si="3">I5/11</f>
        <v>400</v>
      </c>
    </row>
    <row r="6" spans="1:10" x14ac:dyDescent="0.3">
      <c r="A6" s="40"/>
      <c r="B6" t="s">
        <v>45</v>
      </c>
      <c r="C6" s="1">
        <v>2400</v>
      </c>
      <c r="D6" s="28">
        <f t="shared" si="0"/>
        <v>200</v>
      </c>
      <c r="E6" s="1">
        <v>2200</v>
      </c>
      <c r="F6" s="28">
        <f t="shared" si="1"/>
        <v>200</v>
      </c>
      <c r="G6" s="1">
        <v>3300</v>
      </c>
      <c r="H6" s="28">
        <f t="shared" si="2"/>
        <v>275</v>
      </c>
      <c r="I6" s="1">
        <v>3025</v>
      </c>
      <c r="J6" s="28">
        <f t="shared" si="3"/>
        <v>275</v>
      </c>
    </row>
    <row r="7" spans="1:10" x14ac:dyDescent="0.3">
      <c r="A7" s="40"/>
      <c r="B7" t="s">
        <v>46</v>
      </c>
      <c r="C7" s="1">
        <v>6600</v>
      </c>
      <c r="D7" s="28">
        <f t="shared" si="0"/>
        <v>550</v>
      </c>
      <c r="E7" s="1">
        <v>6050</v>
      </c>
      <c r="F7" s="28">
        <f t="shared" si="1"/>
        <v>550</v>
      </c>
      <c r="G7" s="1">
        <v>6600</v>
      </c>
      <c r="H7" s="28">
        <f t="shared" si="2"/>
        <v>550</v>
      </c>
      <c r="I7" s="1">
        <v>6050</v>
      </c>
      <c r="J7" s="28">
        <f t="shared" si="3"/>
        <v>550</v>
      </c>
    </row>
    <row r="8" spans="1:10" x14ac:dyDescent="0.3">
      <c r="B8" s="20" t="s">
        <v>52</v>
      </c>
      <c r="C8" s="21">
        <f>SUM(C4:C7)</f>
        <v>28800</v>
      </c>
      <c r="D8" s="39">
        <f t="shared" ref="D8:J8" si="4">SUM(D4:D7)</f>
        <v>2400</v>
      </c>
      <c r="E8" s="21">
        <f t="shared" si="4"/>
        <v>26400</v>
      </c>
      <c r="F8" s="39">
        <f t="shared" si="4"/>
        <v>2400</v>
      </c>
      <c r="G8" s="21">
        <f t="shared" si="4"/>
        <v>29700</v>
      </c>
      <c r="H8" s="39">
        <f t="shared" si="4"/>
        <v>2475</v>
      </c>
      <c r="I8" s="21">
        <f t="shared" si="4"/>
        <v>27225</v>
      </c>
      <c r="J8" s="39">
        <f t="shared" si="4"/>
        <v>2475</v>
      </c>
    </row>
    <row r="10" spans="1:10" ht="28.8" x14ac:dyDescent="0.3">
      <c r="A10" s="22" t="s">
        <v>51</v>
      </c>
      <c r="B10" s="11" t="s">
        <v>53</v>
      </c>
      <c r="C10" s="23">
        <v>65687</v>
      </c>
      <c r="D10" s="23"/>
      <c r="E10" s="23">
        <v>65785</v>
      </c>
      <c r="F10" s="23"/>
      <c r="G10" s="23">
        <v>63883</v>
      </c>
      <c r="H10" s="23"/>
      <c r="I10" s="23">
        <v>62827</v>
      </c>
      <c r="J10" s="23"/>
    </row>
    <row r="12" spans="1:10" ht="15" thickBot="1" x14ac:dyDescent="0.35">
      <c r="B12" s="24" t="s">
        <v>6</v>
      </c>
      <c r="C12" s="25">
        <f>C8+C10</f>
        <v>94487</v>
      </c>
      <c r="D12" s="25"/>
      <c r="E12" s="25">
        <f t="shared" ref="E12:I12" si="5">E8+E10</f>
        <v>92185</v>
      </c>
      <c r="F12" s="25"/>
      <c r="G12" s="25">
        <f t="shared" si="5"/>
        <v>93583</v>
      </c>
      <c r="H12" s="25"/>
      <c r="I12" s="25">
        <f t="shared" si="5"/>
        <v>90052</v>
      </c>
      <c r="J12" s="24"/>
    </row>
    <row r="13" spans="1:10" ht="15" thickTop="1" x14ac:dyDescent="0.3">
      <c r="A13" s="26" t="s">
        <v>72</v>
      </c>
      <c r="B13" s="12" t="s">
        <v>38</v>
      </c>
    </row>
    <row r="15" spans="1:10" x14ac:dyDescent="0.3">
      <c r="C15" s="41" t="s">
        <v>73</v>
      </c>
      <c r="D15" s="41"/>
      <c r="E15" s="41"/>
      <c r="F15" s="41"/>
      <c r="G15" s="41"/>
      <c r="H15" s="41"/>
      <c r="I15" s="41"/>
      <c r="J15" s="41"/>
    </row>
    <row r="16" spans="1:10" x14ac:dyDescent="0.3">
      <c r="C16" s="42" t="s">
        <v>40</v>
      </c>
      <c r="D16" s="42"/>
      <c r="E16" s="42" t="s">
        <v>41</v>
      </c>
      <c r="F16" s="42"/>
      <c r="G16" s="42" t="s">
        <v>42</v>
      </c>
      <c r="H16" s="42"/>
      <c r="I16" s="42" t="s">
        <v>43</v>
      </c>
      <c r="J16" s="42"/>
    </row>
    <row r="17" spans="1:10" x14ac:dyDescent="0.3">
      <c r="C17" s="2" t="s">
        <v>71</v>
      </c>
      <c r="D17" s="5" t="s">
        <v>47</v>
      </c>
      <c r="E17" s="2" t="s">
        <v>49</v>
      </c>
      <c r="F17" s="5" t="s">
        <v>47</v>
      </c>
      <c r="G17" s="2" t="s">
        <v>49</v>
      </c>
      <c r="H17" s="5" t="s">
        <v>47</v>
      </c>
      <c r="I17" s="2" t="s">
        <v>49</v>
      </c>
      <c r="J17" s="5" t="s">
        <v>47</v>
      </c>
    </row>
    <row r="18" spans="1:10" x14ac:dyDescent="0.3">
      <c r="A18" s="40" t="s">
        <v>50</v>
      </c>
      <c r="B18" t="s">
        <v>39</v>
      </c>
      <c r="C18" s="1">
        <f>D18*10.5</f>
        <v>12492.69</v>
      </c>
      <c r="D18" s="28">
        <v>1189.78</v>
      </c>
      <c r="E18" s="1">
        <f>F18*12</f>
        <v>14277.36</v>
      </c>
      <c r="F18" s="28">
        <v>1189.78</v>
      </c>
      <c r="G18" s="1">
        <f>H18*12</f>
        <v>14277.36</v>
      </c>
      <c r="H18" s="28">
        <v>1189.78</v>
      </c>
      <c r="I18" s="1">
        <f>J18*12</f>
        <v>14277.36</v>
      </c>
      <c r="J18" s="28">
        <v>1189.78</v>
      </c>
    </row>
    <row r="19" spans="1:10" x14ac:dyDescent="0.3">
      <c r="A19" s="40"/>
      <c r="B19" t="s">
        <v>44</v>
      </c>
      <c r="C19" s="1">
        <f t="shared" ref="C19:C21" si="6">D19*10.5</f>
        <v>5250</v>
      </c>
      <c r="D19" s="28">
        <v>500</v>
      </c>
      <c r="E19" s="1">
        <f t="shared" ref="E19:E21" si="7">F19*12</f>
        <v>6000</v>
      </c>
      <c r="F19" s="28">
        <v>500</v>
      </c>
      <c r="G19" s="1">
        <f t="shared" ref="G19:G21" si="8">H19*12</f>
        <v>6000</v>
      </c>
      <c r="H19" s="28">
        <v>500</v>
      </c>
      <c r="I19" s="1">
        <f t="shared" ref="I19:I21" si="9">J19*12</f>
        <v>6000</v>
      </c>
      <c r="J19" s="28">
        <v>500</v>
      </c>
    </row>
    <row r="20" spans="1:10" x14ac:dyDescent="0.3">
      <c r="A20" s="40"/>
      <c r="B20" t="s">
        <v>45</v>
      </c>
      <c r="C20" s="1">
        <f t="shared" si="6"/>
        <v>1073.31</v>
      </c>
      <c r="D20" s="28">
        <v>102.22</v>
      </c>
      <c r="E20" s="1">
        <f t="shared" si="7"/>
        <v>1226.6399999999999</v>
      </c>
      <c r="F20" s="28">
        <v>102.22</v>
      </c>
      <c r="G20" s="1">
        <f t="shared" si="8"/>
        <v>1226.6399999999999</v>
      </c>
      <c r="H20" s="28">
        <v>102.22</v>
      </c>
      <c r="I20" s="1">
        <f t="shared" si="9"/>
        <v>1226.6399999999999</v>
      </c>
      <c r="J20" s="28">
        <v>102.22</v>
      </c>
    </row>
    <row r="21" spans="1:10" x14ac:dyDescent="0.3">
      <c r="A21" s="40"/>
      <c r="B21" t="s">
        <v>46</v>
      </c>
      <c r="C21" s="1">
        <f t="shared" si="6"/>
        <v>7014</v>
      </c>
      <c r="D21" s="28">
        <v>668</v>
      </c>
      <c r="E21" s="1">
        <f t="shared" si="7"/>
        <v>8016</v>
      </c>
      <c r="F21" s="28">
        <v>668</v>
      </c>
      <c r="G21" s="1">
        <f t="shared" si="8"/>
        <v>8016</v>
      </c>
      <c r="H21" s="28">
        <v>668</v>
      </c>
      <c r="I21" s="1">
        <f t="shared" si="9"/>
        <v>8016</v>
      </c>
      <c r="J21" s="28">
        <v>668</v>
      </c>
    </row>
    <row r="22" spans="1:10" x14ac:dyDescent="0.3">
      <c r="B22" s="20" t="s">
        <v>52</v>
      </c>
      <c r="C22" s="21">
        <f>SUM(C18:C21)</f>
        <v>25830.000000000004</v>
      </c>
      <c r="D22" s="39">
        <f t="shared" ref="D22:J22" si="10">SUM(D18:D21)</f>
        <v>2460</v>
      </c>
      <c r="E22" s="21">
        <f t="shared" si="10"/>
        <v>29520</v>
      </c>
      <c r="F22" s="39">
        <f t="shared" si="10"/>
        <v>2460</v>
      </c>
      <c r="G22" s="21">
        <f t="shared" si="10"/>
        <v>29520</v>
      </c>
      <c r="H22" s="39">
        <f t="shared" si="10"/>
        <v>2460</v>
      </c>
      <c r="I22" s="21">
        <f t="shared" si="10"/>
        <v>29520</v>
      </c>
      <c r="J22" s="39">
        <f t="shared" si="10"/>
        <v>2460</v>
      </c>
    </row>
    <row r="24" spans="1:10" ht="28.8" x14ac:dyDescent="0.3">
      <c r="A24" s="40" t="s">
        <v>51</v>
      </c>
      <c r="B24" s="11" t="s">
        <v>67</v>
      </c>
      <c r="C24" s="23">
        <f>71748-C22</f>
        <v>45918</v>
      </c>
      <c r="D24" s="23"/>
      <c r="E24" s="23">
        <f>74014-E22</f>
        <v>44494</v>
      </c>
      <c r="F24" s="23"/>
      <c r="G24" s="23">
        <f>76132-G22</f>
        <v>46612</v>
      </c>
      <c r="H24" s="23"/>
      <c r="I24" s="23">
        <f>83505-I22</f>
        <v>53985</v>
      </c>
      <c r="J24" s="23"/>
    </row>
    <row r="25" spans="1:10" ht="28.8" x14ac:dyDescent="0.3">
      <c r="A25" s="40"/>
      <c r="B25" s="11" t="s">
        <v>68</v>
      </c>
      <c r="C25" s="37">
        <f>88998-C22</f>
        <v>63168</v>
      </c>
      <c r="E25" s="37">
        <f>91264-E22</f>
        <v>61744</v>
      </c>
      <c r="G25" s="37">
        <f>93382-G22</f>
        <v>63862</v>
      </c>
      <c r="I25" s="37">
        <f>100755-I22</f>
        <v>71235</v>
      </c>
    </row>
    <row r="26" spans="1:10" ht="15" thickBot="1" x14ac:dyDescent="0.35">
      <c r="B26" s="24" t="s">
        <v>69</v>
      </c>
      <c r="C26" s="25">
        <f>C22+C24</f>
        <v>71748</v>
      </c>
      <c r="D26" s="25"/>
      <c r="E26" s="25">
        <f>E22+E24</f>
        <v>74014</v>
      </c>
      <c r="F26" s="25"/>
      <c r="G26" s="25">
        <f>G22+G24</f>
        <v>76132</v>
      </c>
      <c r="H26" s="25"/>
      <c r="I26" s="25">
        <f>I22+I24</f>
        <v>83505</v>
      </c>
      <c r="J26" s="24"/>
    </row>
    <row r="27" spans="1:10" ht="15.6" thickTop="1" thickBot="1" x14ac:dyDescent="0.35">
      <c r="B27" s="36" t="s">
        <v>70</v>
      </c>
      <c r="C27" s="38">
        <f>C22+C25</f>
        <v>88998</v>
      </c>
      <c r="D27" s="36"/>
      <c r="E27" s="38">
        <f>E22+E25</f>
        <v>91264</v>
      </c>
      <c r="F27" s="36"/>
      <c r="G27" s="38">
        <f>G22+G25</f>
        <v>93382</v>
      </c>
      <c r="H27" s="36"/>
      <c r="I27" s="38">
        <f>I22+I25</f>
        <v>100755</v>
      </c>
      <c r="J27" s="36"/>
    </row>
    <row r="28" spans="1:10" ht="15" thickTop="1" x14ac:dyDescent="0.3">
      <c r="A28" s="26" t="s">
        <v>72</v>
      </c>
      <c r="B28" s="12" t="s">
        <v>66</v>
      </c>
    </row>
  </sheetData>
  <mergeCells count="13">
    <mergeCell ref="A18:A21"/>
    <mergeCell ref="A24:A25"/>
    <mergeCell ref="C15:J15"/>
    <mergeCell ref="C16:D16"/>
    <mergeCell ref="E16:F16"/>
    <mergeCell ref="G16:H16"/>
    <mergeCell ref="I16:J16"/>
    <mergeCell ref="A4:A7"/>
    <mergeCell ref="C1:J1"/>
    <mergeCell ref="C2:D2"/>
    <mergeCell ref="E2:F2"/>
    <mergeCell ref="G2:H2"/>
    <mergeCell ref="I2:J2"/>
  </mergeCells>
  <hyperlinks>
    <hyperlink ref="B13" r:id="rId1" xr:uid="{B56981D3-7EC7-4BE8-8FCA-28BEE747A99F}"/>
    <hyperlink ref="B28" r:id="rId2" xr:uid="{58E45CE0-4A8B-45EE-9EC3-FD6262A09208}"/>
  </hyperlinks>
  <pageMargins left="0.7" right="0.7" top="0.75" bottom="0.75" header="0.3" footer="0.3"/>
  <pageSetup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659B2-8AA6-4C3A-A12A-9C6D32552E29}">
  <dimension ref="A1:K20"/>
  <sheetViews>
    <sheetView tabSelected="1" zoomScale="140" zoomScaleNormal="140" workbookViewId="0">
      <selection activeCell="O23" sqref="O23"/>
    </sheetView>
  </sheetViews>
  <sheetFormatPr defaultRowHeight="14.4" x14ac:dyDescent="0.3"/>
  <cols>
    <col min="1" max="1" width="32.21875" bestFit="1" customWidth="1"/>
    <col min="2" max="2" width="11.109375" style="1" bestFit="1" customWidth="1"/>
    <col min="3" max="3" width="1.5546875" customWidth="1"/>
    <col min="4" max="4" width="33.5546875" bestFit="1" customWidth="1"/>
    <col min="5" max="5" width="11.109375" style="1" bestFit="1" customWidth="1"/>
    <col min="6" max="6" width="1.5546875" customWidth="1"/>
    <col min="7" max="7" width="16.5546875" bestFit="1" customWidth="1"/>
    <col min="8" max="8" width="10.21875" style="1" customWidth="1"/>
    <col min="9" max="9" width="1.5546875" customWidth="1"/>
    <col min="10" max="10" width="13.5546875" customWidth="1"/>
    <col min="11" max="11" width="11.21875" style="1" bestFit="1" customWidth="1"/>
    <col min="12" max="12" width="2.77734375" customWidth="1"/>
  </cols>
  <sheetData>
    <row r="1" spans="1:11" x14ac:dyDescent="0.3">
      <c r="A1" s="5" t="s">
        <v>0</v>
      </c>
      <c r="B1" s="3"/>
      <c r="D1" s="35" t="s">
        <v>65</v>
      </c>
    </row>
    <row r="2" spans="1:11" x14ac:dyDescent="0.3">
      <c r="A2" s="31">
        <v>5000</v>
      </c>
      <c r="C2" s="1"/>
    </row>
    <row r="4" spans="1:11" x14ac:dyDescent="0.3">
      <c r="A4" s="5" t="s">
        <v>17</v>
      </c>
      <c r="B4" s="6" t="s">
        <v>1</v>
      </c>
      <c r="C4" s="5"/>
      <c r="D4" s="5" t="s">
        <v>18</v>
      </c>
      <c r="E4" s="7" t="s">
        <v>1</v>
      </c>
      <c r="F4" s="5"/>
      <c r="G4" s="5" t="s">
        <v>19</v>
      </c>
      <c r="H4" s="7" t="s">
        <v>1</v>
      </c>
      <c r="I4" s="5"/>
      <c r="J4" s="5" t="s">
        <v>20</v>
      </c>
      <c r="K4" s="7" t="s">
        <v>1</v>
      </c>
    </row>
    <row r="5" spans="1:11" x14ac:dyDescent="0.3">
      <c r="A5" t="s">
        <v>8</v>
      </c>
      <c r="B5" s="31">
        <v>1300</v>
      </c>
      <c r="C5" s="8"/>
      <c r="D5" t="s">
        <v>54</v>
      </c>
      <c r="E5" s="31">
        <v>0</v>
      </c>
      <c r="F5" s="8"/>
      <c r="G5" t="s">
        <v>5</v>
      </c>
      <c r="H5" s="31">
        <v>500</v>
      </c>
      <c r="I5" s="8"/>
      <c r="J5" t="s">
        <v>4</v>
      </c>
      <c r="K5" s="31">
        <v>75</v>
      </c>
    </row>
    <row r="6" spans="1:11" x14ac:dyDescent="0.3">
      <c r="A6" t="s">
        <v>57</v>
      </c>
      <c r="B6" s="31">
        <v>37</v>
      </c>
      <c r="C6" s="8"/>
      <c r="D6" t="s">
        <v>55</v>
      </c>
      <c r="E6" s="31">
        <f>6500/12</f>
        <v>541.66666666666663</v>
      </c>
      <c r="F6" s="8"/>
      <c r="I6" s="8"/>
      <c r="J6" t="s">
        <v>12</v>
      </c>
      <c r="K6" s="31">
        <v>100</v>
      </c>
    </row>
    <row r="7" spans="1:11" x14ac:dyDescent="0.3">
      <c r="A7" t="s">
        <v>58</v>
      </c>
      <c r="B7" s="31">
        <v>129</v>
      </c>
      <c r="C7" s="8"/>
      <c r="D7" t="s">
        <v>56</v>
      </c>
      <c r="E7" s="31">
        <v>0</v>
      </c>
      <c r="F7" s="8"/>
      <c r="I7" s="8"/>
      <c r="J7" t="s">
        <v>9</v>
      </c>
      <c r="K7" s="31">
        <v>200</v>
      </c>
    </row>
    <row r="8" spans="1:11" x14ac:dyDescent="0.3">
      <c r="A8" t="s">
        <v>59</v>
      </c>
      <c r="B8" s="31">
        <v>58</v>
      </c>
      <c r="C8" s="8"/>
      <c r="D8" t="s">
        <v>64</v>
      </c>
      <c r="E8" s="31">
        <v>150</v>
      </c>
      <c r="F8" s="8"/>
      <c r="I8" s="8"/>
      <c r="J8" s="12" t="s">
        <v>10</v>
      </c>
      <c r="K8" s="31">
        <v>500</v>
      </c>
    </row>
    <row r="9" spans="1:11" x14ac:dyDescent="0.3">
      <c r="A9" t="s">
        <v>27</v>
      </c>
      <c r="B9" s="31">
        <v>100</v>
      </c>
      <c r="C9" s="8"/>
      <c r="F9" s="8"/>
      <c r="I9" s="8"/>
      <c r="J9" s="12"/>
    </row>
    <row r="10" spans="1:11" x14ac:dyDescent="0.3">
      <c r="A10" t="s">
        <v>22</v>
      </c>
      <c r="B10" s="31">
        <v>104</v>
      </c>
      <c r="C10" s="8"/>
      <c r="F10" s="8"/>
      <c r="I10" s="8"/>
    </row>
    <row r="11" spans="1:11" x14ac:dyDescent="0.3">
      <c r="A11" t="s">
        <v>60</v>
      </c>
      <c r="B11" s="31">
        <v>260</v>
      </c>
      <c r="C11" s="8"/>
      <c r="F11" s="8"/>
      <c r="I11" s="8"/>
    </row>
    <row r="12" spans="1:11" x14ac:dyDescent="0.3">
      <c r="A12" t="s">
        <v>61</v>
      </c>
      <c r="B12" s="31">
        <v>400</v>
      </c>
      <c r="C12" s="8"/>
      <c r="F12" s="8"/>
      <c r="I12" s="8"/>
    </row>
    <row r="13" spans="1:11" x14ac:dyDescent="0.3">
      <c r="A13" t="s">
        <v>25</v>
      </c>
      <c r="B13" s="31">
        <v>0</v>
      </c>
      <c r="C13" s="8"/>
      <c r="F13" s="8"/>
      <c r="I13" s="8"/>
    </row>
    <row r="14" spans="1:11" x14ac:dyDescent="0.3">
      <c r="A14" t="s">
        <v>23</v>
      </c>
      <c r="B14" s="31">
        <v>150</v>
      </c>
      <c r="C14" s="8"/>
      <c r="D14" t="s">
        <v>11</v>
      </c>
      <c r="E14" s="31">
        <v>0</v>
      </c>
      <c r="F14" s="8"/>
      <c r="I14" s="8"/>
    </row>
    <row r="15" spans="1:11" x14ac:dyDescent="0.3">
      <c r="A15" s="2" t="s">
        <v>2</v>
      </c>
      <c r="B15" s="32">
        <v>362</v>
      </c>
      <c r="C15" s="9"/>
      <c r="D15" s="2" t="s">
        <v>24</v>
      </c>
      <c r="E15" s="32">
        <v>0</v>
      </c>
      <c r="F15" s="9"/>
      <c r="G15" s="2"/>
      <c r="H15" s="4"/>
      <c r="I15" s="9"/>
      <c r="J15" s="2"/>
      <c r="K15" s="4"/>
    </row>
    <row r="16" spans="1:11" x14ac:dyDescent="0.3">
      <c r="A16" s="27" t="s">
        <v>3</v>
      </c>
      <c r="B16" s="28">
        <f>SUM(B5:B15)</f>
        <v>2900</v>
      </c>
      <c r="C16" s="27"/>
      <c r="D16" s="27"/>
      <c r="E16" s="28">
        <f>SUM(E5:E15)</f>
        <v>691.66666666666663</v>
      </c>
      <c r="F16" s="27"/>
      <c r="G16" s="27"/>
      <c r="H16" s="28">
        <f>SUM(H5:H15)</f>
        <v>500</v>
      </c>
      <c r="I16" s="27"/>
      <c r="J16" s="27"/>
      <c r="K16" s="28">
        <f>SUM(K5:K15)</f>
        <v>875</v>
      </c>
    </row>
    <row r="17" spans="1:11" x14ac:dyDescent="0.3">
      <c r="A17" s="27" t="s">
        <v>21</v>
      </c>
      <c r="B17" s="29">
        <f>B16/$A2</f>
        <v>0.57999999999999996</v>
      </c>
      <c r="C17" s="29"/>
      <c r="D17" s="30" t="s">
        <v>26</v>
      </c>
      <c r="E17" s="29">
        <f>(E16-E14-E15)/($A2+E5)</f>
        <v>0.13833333333333334</v>
      </c>
      <c r="F17" s="29"/>
      <c r="G17" s="29"/>
      <c r="H17" s="29">
        <f>H16/$A2</f>
        <v>0.1</v>
      </c>
      <c r="I17" s="29"/>
      <c r="J17" s="29"/>
      <c r="K17" s="29">
        <f>K16/$A2</f>
        <v>0.17499999999999999</v>
      </c>
    </row>
    <row r="19" spans="1:11" x14ac:dyDescent="0.3">
      <c r="A19" t="s">
        <v>6</v>
      </c>
      <c r="B19" s="1">
        <f>B16+E16+H16+K16-E5</f>
        <v>4966.6666666666661</v>
      </c>
    </row>
    <row r="20" spans="1:11" x14ac:dyDescent="0.3">
      <c r="A20" t="s">
        <v>7</v>
      </c>
      <c r="B20" s="1">
        <f>A2-B19</f>
        <v>33.33333333333394</v>
      </c>
      <c r="C20" t="s">
        <v>13</v>
      </c>
    </row>
  </sheetData>
  <hyperlinks>
    <hyperlink ref="J8" r:id="rId1" xr:uid="{125FE0B7-3CEB-4D00-88EA-F9115FB48105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4BB4-59F9-436B-84B2-94B5F207B82E}">
  <dimension ref="A1:K20"/>
  <sheetViews>
    <sheetView zoomScale="140" zoomScaleNormal="140" workbookViewId="0">
      <selection activeCell="B22" sqref="B22"/>
    </sheetView>
  </sheetViews>
  <sheetFormatPr defaultRowHeight="14.4" x14ac:dyDescent="0.3"/>
  <cols>
    <col min="1" max="1" width="32.21875" bestFit="1" customWidth="1"/>
    <col min="2" max="2" width="11.77734375" style="1" bestFit="1" customWidth="1"/>
    <col min="3" max="3" width="1.5546875" customWidth="1"/>
    <col min="4" max="4" width="33.5546875" bestFit="1" customWidth="1"/>
    <col min="5" max="5" width="11.109375" style="1" bestFit="1" customWidth="1"/>
    <col min="6" max="6" width="1.5546875" customWidth="1"/>
    <col min="7" max="7" width="16.6640625" bestFit="1" customWidth="1"/>
    <col min="8" max="8" width="11.109375" style="1" bestFit="1" customWidth="1"/>
    <col min="9" max="9" width="1.5546875" customWidth="1"/>
    <col min="10" max="10" width="13.21875" bestFit="1" customWidth="1"/>
    <col min="11" max="11" width="11.109375" style="1" bestFit="1" customWidth="1"/>
    <col min="12" max="12" width="2.77734375" customWidth="1"/>
  </cols>
  <sheetData>
    <row r="1" spans="1:11" x14ac:dyDescent="0.3">
      <c r="A1" s="5" t="s">
        <v>0</v>
      </c>
      <c r="B1" s="3"/>
      <c r="D1" s="35" t="s">
        <v>65</v>
      </c>
    </row>
    <row r="2" spans="1:11" x14ac:dyDescent="0.3">
      <c r="A2" s="31">
        <v>13000</v>
      </c>
      <c r="C2" s="1"/>
    </row>
    <row r="4" spans="1:11" x14ac:dyDescent="0.3">
      <c r="A4" s="5" t="s">
        <v>17</v>
      </c>
      <c r="B4" s="6" t="s">
        <v>1</v>
      </c>
      <c r="C4" s="5"/>
      <c r="D4" s="5" t="s">
        <v>18</v>
      </c>
      <c r="E4" s="7" t="s">
        <v>1</v>
      </c>
      <c r="F4" s="5"/>
      <c r="G4" s="5" t="s">
        <v>19</v>
      </c>
      <c r="H4" s="7" t="s">
        <v>1</v>
      </c>
      <c r="I4" s="5"/>
      <c r="J4" s="5" t="s">
        <v>20</v>
      </c>
      <c r="K4" s="7" t="s">
        <v>1</v>
      </c>
    </row>
    <row r="5" spans="1:11" x14ac:dyDescent="0.3">
      <c r="A5" t="s">
        <v>8</v>
      </c>
      <c r="B5" s="31">
        <v>3000</v>
      </c>
      <c r="C5" s="8"/>
      <c r="D5" t="s">
        <v>54</v>
      </c>
      <c r="E5" s="31">
        <f>22500/12</f>
        <v>1875</v>
      </c>
      <c r="F5" s="8"/>
      <c r="G5" t="s">
        <v>5</v>
      </c>
      <c r="H5" s="31">
        <v>1300</v>
      </c>
      <c r="I5" s="8"/>
      <c r="J5" t="s">
        <v>4</v>
      </c>
      <c r="K5" s="31">
        <v>450</v>
      </c>
    </row>
    <row r="6" spans="1:11" x14ac:dyDescent="0.3">
      <c r="A6" t="s">
        <v>57</v>
      </c>
      <c r="B6" s="31">
        <v>37</v>
      </c>
      <c r="C6" s="8"/>
      <c r="D6" t="s">
        <v>55</v>
      </c>
      <c r="E6" s="31">
        <f>6500/12*2</f>
        <v>1083.3333333333333</v>
      </c>
      <c r="F6" s="8"/>
      <c r="I6" s="8"/>
      <c r="J6" t="s">
        <v>12</v>
      </c>
      <c r="K6" s="31">
        <v>1500</v>
      </c>
    </row>
    <row r="7" spans="1:11" x14ac:dyDescent="0.3">
      <c r="A7" t="s">
        <v>58</v>
      </c>
      <c r="B7" s="31">
        <v>129</v>
      </c>
      <c r="C7" s="8"/>
      <c r="D7" t="s">
        <v>56</v>
      </c>
      <c r="E7" s="31">
        <f>7750/12</f>
        <v>645.83333333333337</v>
      </c>
      <c r="F7" s="8"/>
      <c r="I7" s="8"/>
      <c r="J7" t="s">
        <v>9</v>
      </c>
      <c r="K7" s="31">
        <v>1000</v>
      </c>
    </row>
    <row r="8" spans="1:11" x14ac:dyDescent="0.3">
      <c r="A8" t="s">
        <v>59</v>
      </c>
      <c r="B8" s="31">
        <v>58</v>
      </c>
      <c r="C8" s="8"/>
      <c r="D8" t="s">
        <v>64</v>
      </c>
      <c r="E8" s="31">
        <v>500</v>
      </c>
      <c r="F8" s="8"/>
      <c r="I8" s="8"/>
      <c r="J8" s="12" t="s">
        <v>10</v>
      </c>
      <c r="K8" s="31">
        <v>0</v>
      </c>
    </row>
    <row r="9" spans="1:11" x14ac:dyDescent="0.3">
      <c r="A9" t="s">
        <v>27</v>
      </c>
      <c r="B9" s="31">
        <v>100</v>
      </c>
      <c r="C9" s="8"/>
      <c r="F9" s="8"/>
      <c r="I9" s="8"/>
      <c r="J9" s="12"/>
    </row>
    <row r="10" spans="1:11" x14ac:dyDescent="0.3">
      <c r="A10" t="s">
        <v>22</v>
      </c>
      <c r="B10" s="31">
        <v>208</v>
      </c>
      <c r="C10" s="8"/>
      <c r="F10" s="8"/>
      <c r="I10" s="8"/>
    </row>
    <row r="11" spans="1:11" x14ac:dyDescent="0.3">
      <c r="A11" t="s">
        <v>60</v>
      </c>
      <c r="B11" s="31">
        <v>520</v>
      </c>
      <c r="C11" s="8"/>
      <c r="F11" s="8"/>
      <c r="I11" s="8"/>
    </row>
    <row r="12" spans="1:11" x14ac:dyDescent="0.3">
      <c r="A12" t="s">
        <v>61</v>
      </c>
      <c r="B12" s="31">
        <f>400*3</f>
        <v>1200</v>
      </c>
      <c r="C12" s="8"/>
      <c r="F12" s="8"/>
      <c r="I12" s="8"/>
    </row>
    <row r="13" spans="1:11" x14ac:dyDescent="0.3">
      <c r="A13" t="s">
        <v>25</v>
      </c>
      <c r="B13" s="31">
        <v>0</v>
      </c>
      <c r="C13" s="8"/>
      <c r="F13" s="8"/>
      <c r="I13" s="8"/>
    </row>
    <row r="14" spans="1:11" x14ac:dyDescent="0.3">
      <c r="A14" t="s">
        <v>23</v>
      </c>
      <c r="B14" s="31">
        <v>450</v>
      </c>
      <c r="C14" s="8"/>
      <c r="D14" t="s">
        <v>11</v>
      </c>
      <c r="E14" s="31">
        <v>500</v>
      </c>
      <c r="F14" s="8"/>
      <c r="I14" s="8"/>
    </row>
    <row r="15" spans="1:11" x14ac:dyDescent="0.3">
      <c r="A15" s="2" t="s">
        <v>2</v>
      </c>
      <c r="B15" s="32">
        <v>0</v>
      </c>
      <c r="C15" s="9"/>
      <c r="D15" s="2" t="s">
        <v>24</v>
      </c>
      <c r="E15" s="32">
        <v>300</v>
      </c>
      <c r="F15" s="9"/>
      <c r="G15" s="2"/>
      <c r="H15" s="4"/>
      <c r="I15" s="9"/>
      <c r="J15" s="2"/>
      <c r="K15" s="4"/>
    </row>
    <row r="16" spans="1:11" x14ac:dyDescent="0.3">
      <c r="A16" s="27" t="s">
        <v>3</v>
      </c>
      <c r="B16" s="28">
        <f>SUM(B5:B15)</f>
        <v>5702</v>
      </c>
      <c r="C16" s="27"/>
      <c r="D16" s="27"/>
      <c r="E16" s="28">
        <f>SUM(E5:E15)</f>
        <v>4904.1666666666661</v>
      </c>
      <c r="F16" s="27"/>
      <c r="G16" s="27"/>
      <c r="H16" s="28">
        <f>SUM(H5:H15)</f>
        <v>1300</v>
      </c>
      <c r="I16" s="27"/>
      <c r="J16" s="27"/>
      <c r="K16" s="28">
        <f>SUM(K5:K15)</f>
        <v>2950</v>
      </c>
    </row>
    <row r="17" spans="1:11" x14ac:dyDescent="0.3">
      <c r="A17" s="27" t="s">
        <v>21</v>
      </c>
      <c r="B17" s="29">
        <f>B16/$A2</f>
        <v>0.43861538461538463</v>
      </c>
      <c r="C17" s="29"/>
      <c r="D17" s="30" t="s">
        <v>26</v>
      </c>
      <c r="E17" s="29">
        <f>(E16-E14-E15)/($A2+E5)</f>
        <v>0.27591036414565823</v>
      </c>
      <c r="F17" s="29"/>
      <c r="G17" s="29"/>
      <c r="H17" s="29">
        <f>H16/$A2</f>
        <v>0.1</v>
      </c>
      <c r="I17" s="29"/>
      <c r="J17" s="29"/>
      <c r="K17" s="29">
        <f>K16/$A2</f>
        <v>0.22692307692307692</v>
      </c>
    </row>
    <row r="19" spans="1:11" x14ac:dyDescent="0.3">
      <c r="A19" t="s">
        <v>6</v>
      </c>
      <c r="B19" s="1">
        <f>B16+E16+H16+K16-E5</f>
        <v>12981.166666666666</v>
      </c>
    </row>
    <row r="20" spans="1:11" x14ac:dyDescent="0.3">
      <c r="A20" t="s">
        <v>7</v>
      </c>
      <c r="B20" s="1">
        <f>A2-B19</f>
        <v>18.83333333333394</v>
      </c>
      <c r="C20" t="s">
        <v>13</v>
      </c>
    </row>
  </sheetData>
  <hyperlinks>
    <hyperlink ref="J8" r:id="rId1" xr:uid="{2648704E-58F2-4891-9ADC-AD62D1A2ECE8}"/>
  </hyperlinks>
  <pageMargins left="0.7" right="0.7" top="0.75" bottom="0.75" header="0.3" footer="0.3"/>
  <pageSetup orientation="portrait" horizontalDpi="4294967293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CBE9E-6522-47CE-9C6E-70CD345D538C}">
  <dimension ref="B1:I16"/>
  <sheetViews>
    <sheetView zoomScale="130" zoomScaleNormal="130" workbookViewId="0">
      <selection activeCell="B3" sqref="B3"/>
    </sheetView>
  </sheetViews>
  <sheetFormatPr defaultRowHeight="14.4" x14ac:dyDescent="0.3"/>
  <cols>
    <col min="1" max="1" width="8.88671875" style="11"/>
    <col min="2" max="2" width="36.88671875" style="11" customWidth="1"/>
    <col min="3" max="3" width="24.33203125" style="11" customWidth="1"/>
    <col min="4" max="4" width="25" style="11" customWidth="1"/>
    <col min="5" max="5" width="3.21875" style="11" customWidth="1"/>
    <col min="6" max="6" width="10.5546875" style="11" bestFit="1" customWidth="1"/>
    <col min="7" max="8" width="11.6640625" style="11" bestFit="1" customWidth="1"/>
    <col min="9" max="9" width="15.6640625" style="11" customWidth="1"/>
    <col min="10" max="16384" width="8.88671875" style="11"/>
  </cols>
  <sheetData>
    <row r="1" spans="2:9" x14ac:dyDescent="0.3">
      <c r="C1" s="35" t="s">
        <v>65</v>
      </c>
    </row>
    <row r="2" spans="2:9" x14ac:dyDescent="0.3">
      <c r="B2" s="33" t="s">
        <v>14</v>
      </c>
      <c r="F2" s="44" t="s">
        <v>37</v>
      </c>
      <c r="G2" s="44"/>
      <c r="H2" s="44"/>
      <c r="I2" s="46"/>
    </row>
    <row r="3" spans="2:9" x14ac:dyDescent="0.3">
      <c r="B3" s="13">
        <v>1</v>
      </c>
      <c r="F3" s="10" t="s">
        <v>16</v>
      </c>
      <c r="G3" s="14">
        <v>1</v>
      </c>
      <c r="H3" s="14">
        <v>1.5</v>
      </c>
      <c r="I3" s="14">
        <v>2.25</v>
      </c>
    </row>
    <row r="4" spans="2:9" x14ac:dyDescent="0.3">
      <c r="F4" s="11">
        <v>1</v>
      </c>
      <c r="G4" s="15">
        <v>14580</v>
      </c>
      <c r="H4" s="16">
        <f>G4*1.5</f>
        <v>21870</v>
      </c>
      <c r="I4" s="16">
        <f>G4*2.25</f>
        <v>32805</v>
      </c>
    </row>
    <row r="5" spans="2:9" x14ac:dyDescent="0.3">
      <c r="B5" s="33" t="s">
        <v>15</v>
      </c>
      <c r="F5" s="11">
        <v>2</v>
      </c>
      <c r="G5" s="15">
        <v>19720</v>
      </c>
      <c r="H5" s="16">
        <f>G5*1.5</f>
        <v>29580</v>
      </c>
      <c r="I5" s="16">
        <f t="shared" ref="I5:I10" si="0">G5*2.25</f>
        <v>44370</v>
      </c>
    </row>
    <row r="6" spans="2:9" x14ac:dyDescent="0.3">
      <c r="B6" s="17">
        <v>65300</v>
      </c>
      <c r="C6" s="18"/>
      <c r="D6" s="18"/>
      <c r="F6" s="11">
        <v>3</v>
      </c>
      <c r="G6" s="15">
        <v>24860</v>
      </c>
      <c r="H6" s="16">
        <f t="shared" ref="H6:H10" si="1">G6*1.5</f>
        <v>37290</v>
      </c>
      <c r="I6" s="16">
        <f t="shared" si="0"/>
        <v>55935</v>
      </c>
    </row>
    <row r="7" spans="2:9" x14ac:dyDescent="0.3">
      <c r="F7" s="11">
        <v>4</v>
      </c>
      <c r="G7" s="15">
        <v>30000</v>
      </c>
      <c r="H7" s="16">
        <f t="shared" si="1"/>
        <v>45000</v>
      </c>
      <c r="I7" s="16">
        <f t="shared" si="0"/>
        <v>67500</v>
      </c>
    </row>
    <row r="8" spans="2:9" x14ac:dyDescent="0.3">
      <c r="F8" s="11">
        <v>5</v>
      </c>
      <c r="G8" s="15">
        <v>35140</v>
      </c>
      <c r="H8" s="16">
        <f t="shared" si="1"/>
        <v>52710</v>
      </c>
      <c r="I8" s="16">
        <f t="shared" si="0"/>
        <v>79065</v>
      </c>
    </row>
    <row r="9" spans="2:9" ht="28.8" x14ac:dyDescent="0.3">
      <c r="B9" s="10" t="s">
        <v>76</v>
      </c>
      <c r="C9" s="45" t="s">
        <v>75</v>
      </c>
      <c r="D9" s="45"/>
      <c r="E9" s="15"/>
      <c r="F9" s="11">
        <v>6</v>
      </c>
      <c r="G9" s="15">
        <v>40280</v>
      </c>
      <c r="H9" s="16">
        <f t="shared" si="1"/>
        <v>60420</v>
      </c>
      <c r="I9" s="16">
        <f t="shared" si="0"/>
        <v>90630</v>
      </c>
    </row>
    <row r="10" spans="2:9" x14ac:dyDescent="0.3">
      <c r="B10" s="15">
        <f>B6-(VLOOKUP(B3,F4:H11,3,FALSE))</f>
        <v>43430</v>
      </c>
      <c r="C10" s="43">
        <f>B6-VLOOKUP(B3,F4:I11,4,FALSE)</f>
        <v>32495</v>
      </c>
      <c r="D10" s="43"/>
      <c r="F10" s="11">
        <v>7</v>
      </c>
      <c r="G10" s="15">
        <v>45420</v>
      </c>
      <c r="H10" s="16">
        <f t="shared" si="1"/>
        <v>68130</v>
      </c>
      <c r="I10" s="16">
        <f t="shared" si="0"/>
        <v>102195</v>
      </c>
    </row>
    <row r="11" spans="2:9" x14ac:dyDescent="0.3">
      <c r="B11" s="15"/>
      <c r="C11" s="15"/>
      <c r="D11" s="15"/>
      <c r="F11" s="11">
        <v>8</v>
      </c>
      <c r="G11" s="15">
        <v>50560</v>
      </c>
      <c r="H11" s="16">
        <f>G11*1.5</f>
        <v>75840</v>
      </c>
      <c r="I11" s="16">
        <f>G11*2.25</f>
        <v>113760</v>
      </c>
    </row>
    <row r="12" spans="2:9" ht="28.8" x14ac:dyDescent="0.3">
      <c r="B12" s="19" t="s">
        <v>36</v>
      </c>
      <c r="C12" s="19" t="s">
        <v>62</v>
      </c>
      <c r="D12" s="19" t="s">
        <v>63</v>
      </c>
      <c r="G12" s="15"/>
      <c r="H12" s="16"/>
      <c r="I12" s="16"/>
    </row>
    <row r="13" spans="2:9" x14ac:dyDescent="0.3">
      <c r="B13" s="15">
        <f>B10*0.1</f>
        <v>4343</v>
      </c>
      <c r="C13" s="15">
        <f>C10*0.05</f>
        <v>1624.75</v>
      </c>
      <c r="D13" s="15">
        <f>C10*0.1</f>
        <v>3249.5</v>
      </c>
      <c r="G13" s="15"/>
      <c r="H13" s="16"/>
      <c r="I13" s="16"/>
    </row>
    <row r="15" spans="2:9" x14ac:dyDescent="0.3">
      <c r="B15" s="45" t="s">
        <v>77</v>
      </c>
      <c r="C15" s="45"/>
      <c r="D15" s="45"/>
      <c r="E15" s="16"/>
    </row>
    <row r="16" spans="2:9" x14ac:dyDescent="0.3">
      <c r="B16" s="34">
        <f>B13/12</f>
        <v>361.91666666666669</v>
      </c>
      <c r="C16" s="34">
        <f>C13/12</f>
        <v>135.39583333333334</v>
      </c>
      <c r="D16" s="34">
        <f>D13/12</f>
        <v>270.79166666666669</v>
      </c>
    </row>
  </sheetData>
  <mergeCells count="4">
    <mergeCell ref="C10:D10"/>
    <mergeCell ref="F2:H2"/>
    <mergeCell ref="C9:D9"/>
    <mergeCell ref="B15:D15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2B33E-7100-4145-B154-34612DA4E16B}">
  <dimension ref="A1:B4"/>
  <sheetViews>
    <sheetView workbookViewId="0">
      <selection activeCell="A5" sqref="A5"/>
    </sheetView>
  </sheetViews>
  <sheetFormatPr defaultRowHeight="14.4" x14ac:dyDescent="0.3"/>
  <cols>
    <col min="1" max="1" width="36.77734375" bestFit="1" customWidth="1"/>
    <col min="2" max="2" width="82.5546875" bestFit="1" customWidth="1"/>
  </cols>
  <sheetData>
    <row r="1" spans="1:2" x14ac:dyDescent="0.3">
      <c r="A1" t="s">
        <v>35</v>
      </c>
      <c r="B1" s="12" t="s">
        <v>30</v>
      </c>
    </row>
    <row r="2" spans="1:2" x14ac:dyDescent="0.3">
      <c r="A2" t="s">
        <v>34</v>
      </c>
      <c r="B2" s="12" t="s">
        <v>31</v>
      </c>
    </row>
    <row r="3" spans="1:2" x14ac:dyDescent="0.3">
      <c r="A3" t="s">
        <v>32</v>
      </c>
      <c r="B3" s="12" t="s">
        <v>33</v>
      </c>
    </row>
    <row r="4" spans="1:2" x14ac:dyDescent="0.3">
      <c r="A4" t="s">
        <v>28</v>
      </c>
      <c r="B4" s="12" t="s">
        <v>29</v>
      </c>
    </row>
  </sheetData>
  <hyperlinks>
    <hyperlink ref="B4" r:id="rId1" xr:uid="{6C69C974-431A-4393-99BC-202F26D5C7D5}"/>
    <hyperlink ref="B1" r:id="rId2" xr:uid="{B9CADBB8-3657-487E-9629-4CC4A0CDD79F}"/>
    <hyperlink ref="B2" r:id="rId3" location="annual" xr:uid="{46A9BB42-F06F-4732-B060-3DFB18D48779}"/>
    <hyperlink ref="B3" r:id="rId4" xr:uid="{AD8CB795-5318-47B3-B627-6731065ED39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c66254-fb2f-4ec6-8dfa-eb06acd26568">
      <Terms xmlns="http://schemas.microsoft.com/office/infopath/2007/PartnerControls"/>
    </lcf76f155ced4ddcb4097134ff3c332f>
    <TaxCatchAll xmlns="5bcf12ab-5aeb-4aa0-bae4-752f5c42153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B08CE8EBB7C46924360CA8EF6B653" ma:contentTypeVersion="16" ma:contentTypeDescription="Create a new document." ma:contentTypeScope="" ma:versionID="1eb85725432e038d2c5ca469d1e32d6d">
  <xsd:schema xmlns:xsd="http://www.w3.org/2001/XMLSchema" xmlns:xs="http://www.w3.org/2001/XMLSchema" xmlns:p="http://schemas.microsoft.com/office/2006/metadata/properties" xmlns:ns2="75c66254-fb2f-4ec6-8dfa-eb06acd26568" xmlns:ns3="5bcf12ab-5aeb-4aa0-bae4-752f5c421536" targetNamespace="http://schemas.microsoft.com/office/2006/metadata/properties" ma:root="true" ma:fieldsID="8b1db4b5a4a70fc4bd8c9cdf66ddb340" ns2:_="" ns3:_="">
    <xsd:import namespace="75c66254-fb2f-4ec6-8dfa-eb06acd26568"/>
    <xsd:import namespace="5bcf12ab-5aeb-4aa0-bae4-752f5c4215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66254-fb2f-4ec6-8dfa-eb06acd265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5a19b10-a28a-4e38-9091-71022250d4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cf12ab-5aeb-4aa0-bae4-752f5c42153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a36e3d-3f7b-4207-bf12-c579c4496fa0}" ma:internalName="TaxCatchAll" ma:showField="CatchAllData" ma:web="5bcf12ab-5aeb-4aa0-bae4-752f5c4215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4B445C-30BE-4E87-949A-DED4365730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4510D4-9B3D-4D41-8BF2-923BEF3D41F6}">
  <ds:schemaRefs>
    <ds:schemaRef ds:uri="http://schemas.microsoft.com/office/2006/metadata/properties"/>
    <ds:schemaRef ds:uri="http://schemas.microsoft.com/office/infopath/2007/PartnerControls"/>
    <ds:schemaRef ds:uri="75c66254-fb2f-4ec6-8dfa-eb06acd26568"/>
    <ds:schemaRef ds:uri="5bcf12ab-5aeb-4aa0-bae4-752f5c421536"/>
  </ds:schemaRefs>
</ds:datastoreItem>
</file>

<file path=customXml/itemProps3.xml><?xml version="1.0" encoding="utf-8"?>
<ds:datastoreItem xmlns:ds="http://schemas.openxmlformats.org/officeDocument/2006/customXml" ds:itemID="{4C7BD9E1-7067-4477-93A6-6C1AD55573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66254-fb2f-4ec6-8dfa-eb06acd26568"/>
    <ds:schemaRef ds:uri="5bcf12ab-5aeb-4aa0-bae4-752f5c4215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Budget Student</vt:lpstr>
      <vt:lpstr>4 F Budget Resident</vt:lpstr>
      <vt:lpstr>4 F Budget Attending</vt:lpstr>
      <vt:lpstr>Federal Student Loans</vt:lpstr>
      <vt:lpstr>Cost 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Ziety</dc:creator>
  <cp:lastModifiedBy>Mark Ziety</cp:lastModifiedBy>
  <dcterms:created xsi:type="dcterms:W3CDTF">2020-11-09T19:07:12Z</dcterms:created>
  <dcterms:modified xsi:type="dcterms:W3CDTF">2023-07-10T20:31:23Z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0x010100121B08CE8EBB7C46924360CA8EF6B653</vt:lpwstr>
  </property>
  <property fmtid="{D5CDD505-2E9C-101B-9397-08002B2CF9AE}" pid="3" name="MediaServiceImageTags">
    <vt:lpwstr/>
  </property>
</Properties>
</file>