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ABIERTAS\INVITACION ABIERTA 24 2015 STREAMING RTVC\EVALUACIONES\FINANCIERA\"/>
    </mc:Choice>
  </mc:AlternateContent>
  <bookViews>
    <workbookView xWindow="0" yWindow="0" windowWidth="20490" windowHeight="7155" activeTab="1"/>
  </bookViews>
  <sheets>
    <sheet name="EVAL. FINANCIERA" sheetId="1" r:id="rId1"/>
    <sheet name="EVAL. ECONOMICA" sheetId="2" r:id="rId2"/>
    <sheet name="PONDERACION" sheetId="3" r:id="rId3"/>
  </sheets>
  <calcPr calcId="152511"/>
</workbook>
</file>

<file path=xl/calcChain.xml><?xml version="1.0" encoding="utf-8"?>
<calcChain xmlns="http://schemas.openxmlformats.org/spreadsheetml/2006/main">
  <c r="D8" i="3" l="1"/>
  <c r="N10" i="2"/>
  <c r="O10" i="2" s="1"/>
  <c r="N11" i="2"/>
  <c r="O11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3" i="2"/>
  <c r="O23" i="2" s="1"/>
  <c r="N24" i="2"/>
  <c r="O24" i="2" s="1"/>
  <c r="N25" i="2"/>
  <c r="O25" i="2" s="1"/>
  <c r="N9" i="2"/>
  <c r="O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9" i="2"/>
  <c r="L9" i="2" s="1"/>
  <c r="H10" i="2"/>
  <c r="I10" i="2" s="1"/>
  <c r="H11" i="2"/>
  <c r="I11" i="2" s="1"/>
  <c r="H12" i="2"/>
  <c r="I12" i="2" s="1"/>
  <c r="H13" i="2"/>
  <c r="I13" i="2" s="1"/>
  <c r="H14" i="2"/>
  <c r="I14" i="2" s="1"/>
  <c r="H15" i="2"/>
  <c r="I15" i="2" s="1"/>
  <c r="I16" i="2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9" i="2"/>
  <c r="I9" i="2" s="1"/>
  <c r="E10" i="2"/>
  <c r="E11" i="2"/>
  <c r="E12" i="2"/>
  <c r="F12" i="2" s="1"/>
  <c r="E13" i="2"/>
  <c r="F13" i="2" s="1"/>
  <c r="E14" i="2"/>
  <c r="E15" i="2"/>
  <c r="E16" i="2"/>
  <c r="F16" i="2" s="1"/>
  <c r="E17" i="2"/>
  <c r="F17" i="2" s="1"/>
  <c r="E18" i="2"/>
  <c r="E19" i="2"/>
  <c r="E20" i="2"/>
  <c r="F20" i="2" s="1"/>
  <c r="E21" i="2"/>
  <c r="F21" i="2" s="1"/>
  <c r="E22" i="2"/>
  <c r="E23" i="2"/>
  <c r="E24" i="2"/>
  <c r="F24" i="2" s="1"/>
  <c r="E25" i="2"/>
  <c r="F25" i="2" s="1"/>
  <c r="E9" i="2"/>
  <c r="F10" i="2"/>
  <c r="F11" i="2"/>
  <c r="F26" i="2" s="1"/>
  <c r="F14" i="2"/>
  <c r="F15" i="2"/>
  <c r="F18" i="2"/>
  <c r="F19" i="2"/>
  <c r="F22" i="2"/>
  <c r="F23" i="2"/>
  <c r="F9" i="2"/>
  <c r="B26" i="1"/>
  <c r="B25" i="1"/>
  <c r="B24" i="1"/>
  <c r="B23" i="1"/>
  <c r="C26" i="1"/>
  <c r="C25" i="1"/>
  <c r="C24" i="1"/>
  <c r="C23" i="1"/>
  <c r="D23" i="1"/>
  <c r="D25" i="1"/>
  <c r="D26" i="1"/>
  <c r="D24" i="1"/>
  <c r="E26" i="1"/>
  <c r="E25" i="1"/>
  <c r="E24" i="1"/>
  <c r="E23" i="1"/>
  <c r="F26" i="1"/>
  <c r="F25" i="1"/>
  <c r="F24" i="1"/>
  <c r="F23" i="1"/>
  <c r="G26" i="1"/>
  <c r="G25" i="1"/>
  <c r="G24" i="1"/>
  <c r="G23" i="1"/>
  <c r="O26" i="2" l="1"/>
  <c r="L26" i="2"/>
  <c r="I26" i="2"/>
</calcChain>
</file>

<file path=xl/comments1.xml><?xml version="1.0" encoding="utf-8"?>
<comments xmlns="http://schemas.openxmlformats.org/spreadsheetml/2006/main">
  <authors>
    <author>lmorales</author>
  </authors>
  <commentList>
    <comment ref="D7" authorId="0" shapeId="0">
      <text>
        <r>
          <rPr>
            <b/>
            <sz val="8"/>
            <color indexed="81"/>
            <rFont val="Tahoma"/>
            <family val="2"/>
          </rPr>
          <t xml:space="preserve">lmorales:
No adjuntaron propuesta económica
</t>
        </r>
      </text>
    </comment>
    <comment ref="J24" authorId="0" shapeId="0">
      <text>
        <r>
          <rPr>
            <b/>
            <sz val="8"/>
            <color indexed="81"/>
            <rFont val="Tahoma"/>
            <charset val="1"/>
          </rPr>
          <t>lmorales:</t>
        </r>
        <r>
          <rPr>
            <sz val="8"/>
            <color indexed="81"/>
            <rFont val="Tahoma"/>
            <charset val="1"/>
          </rPr>
          <t xml:space="preserve">
no ofertó</t>
        </r>
      </text>
    </comment>
  </commentList>
</comments>
</file>

<file path=xl/sharedStrings.xml><?xml version="1.0" encoding="utf-8"?>
<sst xmlns="http://schemas.openxmlformats.org/spreadsheetml/2006/main" count="122" uniqueCount="77">
  <si>
    <t>Estados financieros comparativos del año 2013-2014 con corte a 31 de diciembre de cada año (Balance General y Estado de Pérdidas y Ganancias) especificando el activo corriente, activo fijo, pasivo corriente y pasivo a largo plazo, firmados por el proponente persona natural o por el Representante Legal de la persona jurídica y el contador o Revisor Fiscal de la empresa si está obligado a tener.</t>
  </si>
  <si>
    <t>Notas a los Estados Financieros año 2014 con corte a 31 de diciembre, según Artículo 36 Ley 222/95.</t>
  </si>
  <si>
    <t>Certificación de los Estados Financieros año 2014 con corte a 31 de diciembre, según Artículo 37 Ley 222/95.</t>
  </si>
  <si>
    <t>Dictamen del revisor fiscal del año 2014 con corte a 31 de diciembre. Se debe tener en cuenta que solo se aceptará “dictamen limpio”</t>
  </si>
  <si>
    <t>Índice de liquidez ≥ 1,0</t>
  </si>
  <si>
    <t>Nivel de endeudamiento ≤ 75%</t>
  </si>
  <si>
    <t>DOCUMENTOS Y CRITERIOS DE VERIFICACIÓN FINANCIERA</t>
  </si>
  <si>
    <t>ENETRES COLOMBIA S.A.S</t>
  </si>
  <si>
    <t>Folios 27 y 28</t>
  </si>
  <si>
    <t>Folios 29 a 32</t>
  </si>
  <si>
    <t>Folio 33</t>
  </si>
  <si>
    <t>Folio 34</t>
  </si>
  <si>
    <t>N/A</t>
  </si>
  <si>
    <t>MIRANDA PRODUCCIONES S.A.S</t>
  </si>
  <si>
    <t>Folios 29 al 31</t>
  </si>
  <si>
    <t>Folios 33 a 37</t>
  </si>
  <si>
    <t>Folio 38</t>
  </si>
  <si>
    <t>Folio 39</t>
  </si>
  <si>
    <t>Folios 40 y 41</t>
  </si>
  <si>
    <t>CG PRODUCCIONES Y EVENTOS S.A.S</t>
  </si>
  <si>
    <t>Folios 45 a 49</t>
  </si>
  <si>
    <t>Folio 50</t>
  </si>
  <si>
    <t>Folios 51 y 52</t>
  </si>
  <si>
    <t>MULTISTREAM LATINOAMERICA S.A.S</t>
  </si>
  <si>
    <t>Folios 45 a 47</t>
  </si>
  <si>
    <t>Folios 49 a 54</t>
  </si>
  <si>
    <t>Folio 55</t>
  </si>
  <si>
    <t>Folio 59</t>
  </si>
  <si>
    <t>MEDIASTREAM COLOMBIA S.A.S</t>
  </si>
  <si>
    <t>Folios 28 a 31</t>
  </si>
  <si>
    <t>Folios 32 a 37</t>
  </si>
  <si>
    <t>ORGANIZACIÓN AXON 360 S.A.S</t>
  </si>
  <si>
    <t>Folio 42</t>
  </si>
  <si>
    <t>Folio 44</t>
  </si>
  <si>
    <t>Folios 38, 39 y 45</t>
  </si>
  <si>
    <t>Folios 47 y 48</t>
  </si>
  <si>
    <t>y/o del revisor fiscal, expedidos por la Junta Central de Contadores, con fecha no mayor a noventa (90) días calendario, anteriores a la fecha del presente proceso de contratación</t>
  </si>
  <si>
    <r>
      <t xml:space="preserve">Capital de trabajo ≥ 10% del Presupuesto Oficial </t>
    </r>
    <r>
      <rPr>
        <i/>
        <sz val="11"/>
        <color theme="1"/>
        <rFont val="Calibri"/>
        <family val="2"/>
        <scheme val="minor"/>
      </rPr>
      <t>($45.700.000)</t>
    </r>
  </si>
  <si>
    <r>
      <t xml:space="preserve">Patrimonio líquido ≥ 10% del Presupuesto Oficial </t>
    </r>
    <r>
      <rPr>
        <i/>
        <sz val="11"/>
        <color theme="1"/>
        <rFont val="Calibri"/>
        <family val="2"/>
        <scheme val="minor"/>
      </rPr>
      <t>($45.700.000)</t>
    </r>
  </si>
  <si>
    <t>CUMPLE</t>
  </si>
  <si>
    <t>NO CUMPLE</t>
  </si>
  <si>
    <t>INVITACIÓN ABIERTA Nº. 24 DE 2015</t>
  </si>
  <si>
    <t>"Adquirir una plataforma tecnológica de streaming, incluida su instalación, puesta en funcionamiento y soporte técnico, para el servicio integral de emisión en vivo y VOD de la programación de los canales, emisoras y sitios Web de RTVC, cumpliendo con las características, especificaciones técnicas y requerimientos establecidos en las reglas de participación y en el anexo técnico"</t>
  </si>
  <si>
    <t>Transmisión simultánea hasta trece (13) señales mensual</t>
  </si>
  <si>
    <t>Transmisión de una (1) señal adicional mensual</t>
  </si>
  <si>
    <t>Grabación y Almacenamiento 4 TB mensual</t>
  </si>
  <si>
    <t>Grabación y Almacenamiento TB adicional mensual</t>
  </si>
  <si>
    <t>Bolsa de tráfico (transferencia) 40 TB mensual</t>
  </si>
  <si>
    <t>Transferencia TB adicional mensual</t>
  </si>
  <si>
    <t>Emisión 7x24x365 x mes</t>
  </si>
  <si>
    <t>Emisión por demanda x minuto/señal</t>
  </si>
  <si>
    <t>Evento configuración 1 Bogotá</t>
  </si>
  <si>
    <t>Evento configuración 1 resto del país</t>
  </si>
  <si>
    <t>Evento configuración 2 Bogotá</t>
  </si>
  <si>
    <t>Evento configuración 2 resto del país</t>
  </si>
  <si>
    <t>Evento configuración 3 Bogotá</t>
  </si>
  <si>
    <t>Evento configuración 3 resto del país</t>
  </si>
  <si>
    <t>Servicio técnico, soporte y monitoreo 7x24x365 mensual</t>
  </si>
  <si>
    <t>Costo operación mensual</t>
  </si>
  <si>
    <t>Servicio de Implementación</t>
  </si>
  <si>
    <t>VALOR UNITARIO</t>
  </si>
  <si>
    <t>VALOR IVA</t>
  </si>
  <si>
    <t>VALOR TOTAL</t>
  </si>
  <si>
    <t>RECHAZADO</t>
  </si>
  <si>
    <t>ok</t>
  </si>
  <si>
    <t>PROPONENTE</t>
  </si>
  <si>
    <t>VALOR TOTAL DE LA OFERTA</t>
  </si>
  <si>
    <t>OBSERVACIONES</t>
  </si>
  <si>
    <t>El proponente incurre en la causal de rechazo, establecida en el literal D del numeral 3.5 CAUSALES DE RECHAZO - “No diligenciar o modificar el Anexo “Oferta Económica” de tal forma que impida su comparación objetiva o el conocimiento sobre el valor ofertado o se modifique la descripción y/o cantidad del o los elementos a adquirir o servicios a contratar", pue smodificó la descripción del ítem No. 4</t>
  </si>
  <si>
    <t>PUNTAJE</t>
  </si>
  <si>
    <t>Adquirir una plataforma tecnológica de streaming, incluida su instalación, puesta en funcionamiento y soporte técnico, para el servicio integral de emisión en vivo y VOD de la programación de los canales, emisoras y sitios Web de RTVC, cumpliendo con las características, especificaciones técnicas y requerimientos establecidos en las reglas de participación y en el anexo técnico.</t>
  </si>
  <si>
    <t>PROMEDIO</t>
  </si>
  <si>
    <t>PRESUPUESTO</t>
  </si>
  <si>
    <t>VALOR</t>
  </si>
  <si>
    <t>MEDIA ARITMÉTICA</t>
  </si>
  <si>
    <t>No anexó propuesta económica,por lo que incurre en la causal de rechazo establecida en el literal D “No diligenciar o modificar el Anexo “Oferta Económica” de tal forma que impida su comparación objetiva o el conocimiento sobre el valor ofertado o se modifique la descripción y/o cantidad del o los elementos a adquirir o servicios a contratar.”</t>
  </si>
  <si>
    <t>RECHAZO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</si>
</sst>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65" fontId="0" fillId="0" borderId="1" xfId="1" applyNumberFormat="1" applyFont="1" applyBorder="1"/>
    <xf numFmtId="166" fontId="0" fillId="0" borderId="1" xfId="1" applyNumberFormat="1" applyFont="1" applyBorder="1"/>
    <xf numFmtId="9" fontId="0" fillId="0" borderId="1" xfId="2" applyFont="1" applyBorder="1"/>
    <xf numFmtId="167" fontId="0" fillId="0" borderId="1" xfId="0" applyNumberFormat="1" applyBorder="1"/>
    <xf numFmtId="166" fontId="0" fillId="0" borderId="0" xfId="1" applyNumberFormat="1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0" applyNumberFormat="1" applyBorder="1"/>
    <xf numFmtId="0" fontId="0" fillId="0" borderId="2" xfId="0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166" fontId="1" fillId="3" borderId="1" xfId="1" applyNumberFormat="1" applyFont="1" applyFill="1" applyBorder="1"/>
    <xf numFmtId="164" fontId="0" fillId="0" borderId="3" xfId="0" applyNumberFormat="1" applyBorder="1"/>
    <xf numFmtId="164" fontId="0" fillId="0" borderId="0" xfId="1" applyFont="1"/>
    <xf numFmtId="164" fontId="0" fillId="0" borderId="1" xfId="1" applyFont="1" applyFill="1" applyBorder="1"/>
    <xf numFmtId="164" fontId="0" fillId="3" borderId="1" xfId="1" applyFont="1" applyFill="1" applyBorder="1"/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166" fontId="9" fillId="0" borderId="1" xfId="1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66" fontId="9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166" fontId="13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showGridLines="0" topLeftCell="A22" zoomScaleNormal="100" workbookViewId="0">
      <selection activeCell="C32" sqref="C32"/>
    </sheetView>
  </sheetViews>
  <sheetFormatPr baseColWidth="10" defaultRowHeight="15" x14ac:dyDescent="0.25"/>
  <cols>
    <col min="1" max="1" width="51.42578125" style="1" customWidth="1"/>
    <col min="2" max="2" width="17.28515625" customWidth="1"/>
    <col min="3" max="3" width="19.28515625" customWidth="1"/>
    <col min="4" max="4" width="17.7109375" customWidth="1"/>
    <col min="5" max="5" width="17.85546875" customWidth="1"/>
    <col min="6" max="6" width="15.42578125" customWidth="1"/>
    <col min="7" max="7" width="17" customWidth="1"/>
  </cols>
  <sheetData>
    <row r="2" spans="1:7" x14ac:dyDescent="0.25">
      <c r="A2" s="47" t="s">
        <v>41</v>
      </c>
      <c r="B2" s="47"/>
      <c r="C2" s="47"/>
      <c r="D2" s="47"/>
      <c r="E2" s="47"/>
      <c r="F2" s="47"/>
      <c r="G2" s="47"/>
    </row>
    <row r="3" spans="1:7" ht="9" customHeight="1" x14ac:dyDescent="0.25"/>
    <row r="4" spans="1:7" ht="35.25" customHeight="1" x14ac:dyDescent="0.25">
      <c r="A4" s="46" t="s">
        <v>42</v>
      </c>
      <c r="B4" s="46"/>
      <c r="C4" s="46"/>
      <c r="D4" s="46"/>
      <c r="E4" s="46"/>
      <c r="F4" s="46"/>
      <c r="G4" s="46"/>
    </row>
    <row r="5" spans="1:7" x14ac:dyDescent="0.25">
      <c r="A5" s="46"/>
      <c r="B5" s="46"/>
      <c r="C5" s="46"/>
      <c r="D5" s="46"/>
      <c r="E5" s="46"/>
      <c r="F5" s="46"/>
      <c r="G5" s="46"/>
    </row>
    <row r="7" spans="1:7" s="7" customFormat="1" ht="64.5" customHeight="1" x14ac:dyDescent="0.25">
      <c r="A7" s="6" t="s">
        <v>6</v>
      </c>
      <c r="B7" s="6" t="s">
        <v>7</v>
      </c>
      <c r="C7" s="6" t="s">
        <v>13</v>
      </c>
      <c r="D7" s="6" t="s">
        <v>19</v>
      </c>
      <c r="E7" s="6" t="s">
        <v>23</v>
      </c>
      <c r="F7" s="6" t="s">
        <v>28</v>
      </c>
      <c r="G7" s="6" t="s">
        <v>31</v>
      </c>
    </row>
    <row r="8" spans="1:7" s="4" customFormat="1" ht="132" customHeight="1" x14ac:dyDescent="0.25">
      <c r="A8" s="3" t="s">
        <v>0</v>
      </c>
      <c r="B8" s="5" t="s">
        <v>8</v>
      </c>
      <c r="C8" s="5" t="s">
        <v>14</v>
      </c>
      <c r="D8" s="5" t="s">
        <v>18</v>
      </c>
      <c r="E8" s="5" t="s">
        <v>24</v>
      </c>
      <c r="F8" s="5" t="s">
        <v>29</v>
      </c>
      <c r="G8" s="8" t="s">
        <v>34</v>
      </c>
    </row>
    <row r="9" spans="1:7" s="4" customFormat="1" ht="39.75" customHeight="1" x14ac:dyDescent="0.25">
      <c r="A9" s="3" t="s">
        <v>1</v>
      </c>
      <c r="B9" s="5" t="s">
        <v>9</v>
      </c>
      <c r="C9" s="5" t="s">
        <v>15</v>
      </c>
      <c r="D9" s="5" t="s">
        <v>20</v>
      </c>
      <c r="E9" s="5" t="s">
        <v>25</v>
      </c>
      <c r="F9" s="5" t="s">
        <v>30</v>
      </c>
      <c r="G9" s="5" t="s">
        <v>35</v>
      </c>
    </row>
    <row r="10" spans="1:7" s="4" customFormat="1" ht="42.75" customHeight="1" x14ac:dyDescent="0.25">
      <c r="A10" s="3" t="s">
        <v>2</v>
      </c>
      <c r="B10" s="5" t="s">
        <v>10</v>
      </c>
      <c r="C10" s="5" t="s">
        <v>16</v>
      </c>
      <c r="D10" s="8" t="s">
        <v>39</v>
      </c>
      <c r="E10" s="5" t="s">
        <v>26</v>
      </c>
      <c r="F10" s="5" t="s">
        <v>16</v>
      </c>
      <c r="G10" s="5" t="s">
        <v>32</v>
      </c>
    </row>
    <row r="11" spans="1:7" s="4" customFormat="1" ht="66.75" customHeight="1" x14ac:dyDescent="0.25">
      <c r="A11" s="3" t="s">
        <v>36</v>
      </c>
      <c r="B11" s="5" t="s">
        <v>11</v>
      </c>
      <c r="C11" s="5" t="s">
        <v>17</v>
      </c>
      <c r="D11" s="5" t="s">
        <v>22</v>
      </c>
      <c r="E11" s="5" t="s">
        <v>27</v>
      </c>
      <c r="F11" s="5" t="s">
        <v>17</v>
      </c>
      <c r="G11" s="22" t="s">
        <v>40</v>
      </c>
    </row>
    <row r="12" spans="1:7" s="4" customFormat="1" ht="59.25" customHeight="1" x14ac:dyDescent="0.25">
      <c r="A12" s="3" t="s">
        <v>3</v>
      </c>
      <c r="B12" s="5" t="s">
        <v>12</v>
      </c>
      <c r="C12" s="5" t="s">
        <v>12</v>
      </c>
      <c r="D12" s="5" t="s">
        <v>21</v>
      </c>
      <c r="E12" s="5" t="s">
        <v>12</v>
      </c>
      <c r="F12" s="5" t="s">
        <v>12</v>
      </c>
      <c r="G12" s="5" t="s">
        <v>33</v>
      </c>
    </row>
    <row r="15" spans="1:7" x14ac:dyDescent="0.25">
      <c r="A15" s="47" t="s">
        <v>41</v>
      </c>
      <c r="B15" s="47"/>
      <c r="C15" s="47"/>
      <c r="D15" s="47"/>
      <c r="E15" s="47"/>
      <c r="F15" s="47"/>
      <c r="G15" s="47"/>
    </row>
    <row r="16" spans="1:7" ht="9" customHeight="1" x14ac:dyDescent="0.25"/>
    <row r="17" spans="1:7" ht="35.25" customHeight="1" x14ac:dyDescent="0.25">
      <c r="A17" s="46" t="s">
        <v>42</v>
      </c>
      <c r="B17" s="46"/>
      <c r="C17" s="46"/>
      <c r="D17" s="46"/>
      <c r="E17" s="46"/>
      <c r="F17" s="46"/>
      <c r="G17" s="46"/>
    </row>
    <row r="18" spans="1:7" x14ac:dyDescent="0.25">
      <c r="A18" s="46"/>
      <c r="B18" s="46"/>
      <c r="C18" s="46"/>
      <c r="D18" s="46"/>
      <c r="E18" s="46"/>
      <c r="F18" s="46"/>
      <c r="G18" s="46"/>
    </row>
    <row r="22" spans="1:7" ht="61.5" customHeight="1" x14ac:dyDescent="0.25">
      <c r="A22" s="6" t="s">
        <v>6</v>
      </c>
      <c r="B22" s="6" t="s">
        <v>7</v>
      </c>
      <c r="C22" s="6" t="s">
        <v>13</v>
      </c>
      <c r="D22" s="6" t="s">
        <v>19</v>
      </c>
      <c r="E22" s="6" t="s">
        <v>23</v>
      </c>
      <c r="F22" s="39" t="s">
        <v>28</v>
      </c>
      <c r="G22" s="39" t="s">
        <v>31</v>
      </c>
    </row>
    <row r="23" spans="1:7" ht="26.1" customHeight="1" x14ac:dyDescent="0.25">
      <c r="A23" s="2" t="s">
        <v>4</v>
      </c>
      <c r="B23" s="9">
        <f>70450133.31/15427736.26</f>
        <v>4.5664595325406481</v>
      </c>
      <c r="C23" s="9">
        <f>459999000/293253000</f>
        <v>1.5686079937801147</v>
      </c>
      <c r="D23" s="9">
        <f>574740783.65/474314390.28</f>
        <v>1.2117295941848101</v>
      </c>
      <c r="E23" s="12">
        <f>355780000/87635000</f>
        <v>4.0597934615165174</v>
      </c>
      <c r="F23" s="12">
        <f>116433000/78797000</f>
        <v>1.4776323971724812</v>
      </c>
      <c r="G23" s="12">
        <f>1621380248/730427300</f>
        <v>2.2197695075197763</v>
      </c>
    </row>
    <row r="24" spans="1:7" ht="26.1" customHeight="1" x14ac:dyDescent="0.25">
      <c r="A24" s="2" t="s">
        <v>5</v>
      </c>
      <c r="B24" s="11">
        <f>15427736.26/72664565.31</f>
        <v>0.21231443681225537</v>
      </c>
      <c r="C24" s="11">
        <f>293253000/528618000</f>
        <v>0.55475409463922909</v>
      </c>
      <c r="D24" s="11">
        <f>474314390.28/707021097.65</f>
        <v>0.67086313528199981</v>
      </c>
      <c r="E24" s="11">
        <f>87635000/374822000</f>
        <v>0.23380431244697483</v>
      </c>
      <c r="F24" s="11">
        <f>329829000/190724000</f>
        <v>1.7293523625762883</v>
      </c>
      <c r="G24" s="11">
        <f>730427300/2113492939</f>
        <v>0.3456019589758374</v>
      </c>
    </row>
    <row r="25" spans="1:7" ht="53.25" customHeight="1" x14ac:dyDescent="0.25">
      <c r="A25" s="2" t="s">
        <v>37</v>
      </c>
      <c r="B25" s="10">
        <f>70450133.31-15427736.26</f>
        <v>55022397.050000004</v>
      </c>
      <c r="C25" s="10">
        <f>459999000-293253000</f>
        <v>166746000</v>
      </c>
      <c r="D25" s="10">
        <f>574740783.65-474314390.28</f>
        <v>100426393.37</v>
      </c>
      <c r="E25" s="10">
        <f>355780000-87635000</f>
        <v>268145000</v>
      </c>
      <c r="F25" s="10">
        <f>116433000-78797000</f>
        <v>37636000</v>
      </c>
      <c r="G25" s="10">
        <f>1621380248-730427300</f>
        <v>890952948</v>
      </c>
    </row>
    <row r="26" spans="1:7" ht="47.25" customHeight="1" x14ac:dyDescent="0.25">
      <c r="A26" s="2" t="s">
        <v>38</v>
      </c>
      <c r="B26" s="10">
        <f>72664565.31-15427736.26</f>
        <v>57236829.050000004</v>
      </c>
      <c r="C26" s="10">
        <f>528618000-293253000</f>
        <v>235365000</v>
      </c>
      <c r="D26" s="10">
        <f>707021097.65-474314390.28</f>
        <v>232706707.37</v>
      </c>
      <c r="E26" s="10">
        <f>374822000-87635000</f>
        <v>287187000</v>
      </c>
      <c r="F26" s="23">
        <f>190724000-329829000</f>
        <v>-139105000</v>
      </c>
      <c r="G26" s="10">
        <f>2113492939-730427300</f>
        <v>1383065639</v>
      </c>
    </row>
    <row r="27" spans="1:7" s="15" customFormat="1" ht="19.5" customHeight="1" x14ac:dyDescent="0.25">
      <c r="A27" s="14"/>
      <c r="B27" s="16" t="s">
        <v>39</v>
      </c>
      <c r="C27" s="16" t="s">
        <v>39</v>
      </c>
      <c r="D27" s="16" t="s">
        <v>39</v>
      </c>
      <c r="E27" s="16" t="s">
        <v>39</v>
      </c>
      <c r="F27" s="17" t="s">
        <v>63</v>
      </c>
      <c r="G27" s="17" t="s">
        <v>76</v>
      </c>
    </row>
    <row r="30" spans="1:7" x14ac:dyDescent="0.25">
      <c r="A30" s="13"/>
    </row>
    <row r="31" spans="1:7" x14ac:dyDescent="0.25">
      <c r="A31" s="13"/>
    </row>
  </sheetData>
  <mergeCells count="4">
    <mergeCell ref="A4:G5"/>
    <mergeCell ref="A2:G2"/>
    <mergeCell ref="A15:G15"/>
    <mergeCell ref="A17:G18"/>
  </mergeCells>
  <pageMargins left="0.25" right="0.25" top="0.75" bottom="0.75" header="0.3" footer="0.3"/>
  <pageSetup paperSize="522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7:O27"/>
  <sheetViews>
    <sheetView tabSelected="1" topLeftCell="F1" workbookViewId="0">
      <selection activeCell="I5" sqref="I5"/>
    </sheetView>
  </sheetViews>
  <sheetFormatPr baseColWidth="10" defaultRowHeight="15" x14ac:dyDescent="0.25"/>
  <cols>
    <col min="3" max="3" width="45" style="1" customWidth="1"/>
    <col min="4" max="4" width="18.140625" customWidth="1"/>
    <col min="5" max="5" width="16.42578125" customWidth="1"/>
    <col min="6" max="6" width="15.5703125" customWidth="1"/>
    <col min="7" max="7" width="20.140625" customWidth="1"/>
    <col min="8" max="8" width="13.140625" bestFit="1" customWidth="1"/>
    <col min="9" max="9" width="16.5703125" customWidth="1"/>
    <col min="10" max="10" width="16.28515625" bestFit="1" customWidth="1"/>
    <col min="11" max="11" width="13.140625" bestFit="1" customWidth="1"/>
    <col min="12" max="12" width="14.140625" bestFit="1" customWidth="1"/>
    <col min="13" max="13" width="16.28515625" bestFit="1" customWidth="1"/>
    <col min="14" max="14" width="13.140625" bestFit="1" customWidth="1"/>
    <col min="15" max="15" width="15.140625" bestFit="1" customWidth="1"/>
  </cols>
  <sheetData>
    <row r="7" spans="3:15" ht="37.5" customHeight="1" x14ac:dyDescent="0.25">
      <c r="D7" s="48" t="s">
        <v>7</v>
      </c>
      <c r="E7" s="48"/>
      <c r="F7" s="48"/>
      <c r="G7" s="49" t="s">
        <v>13</v>
      </c>
      <c r="H7" s="49"/>
      <c r="I7" s="49"/>
      <c r="J7" s="49" t="s">
        <v>19</v>
      </c>
      <c r="K7" s="49"/>
      <c r="L7" s="49"/>
      <c r="M7" s="49" t="s">
        <v>23</v>
      </c>
      <c r="N7" s="49"/>
      <c r="O7" s="49"/>
    </row>
    <row r="8" spans="3:15" ht="21.75" customHeight="1" x14ac:dyDescent="0.25">
      <c r="D8" s="5" t="s">
        <v>60</v>
      </c>
      <c r="E8" s="5" t="s">
        <v>61</v>
      </c>
      <c r="F8" s="5" t="s">
        <v>62</v>
      </c>
      <c r="G8" s="5" t="s">
        <v>60</v>
      </c>
      <c r="H8" s="5" t="s">
        <v>61</v>
      </c>
      <c r="I8" s="5" t="s">
        <v>62</v>
      </c>
      <c r="J8" s="5" t="s">
        <v>60</v>
      </c>
      <c r="K8" s="5" t="s">
        <v>61</v>
      </c>
      <c r="L8" s="5" t="s">
        <v>62</v>
      </c>
      <c r="M8" s="5" t="s">
        <v>60</v>
      </c>
      <c r="N8" s="5" t="s">
        <v>61</v>
      </c>
      <c r="O8" s="5" t="s">
        <v>62</v>
      </c>
    </row>
    <row r="9" spans="3:15" ht="30" x14ac:dyDescent="0.25">
      <c r="C9" s="21" t="s">
        <v>43</v>
      </c>
      <c r="D9" s="19"/>
      <c r="E9" s="19">
        <f>D9*16%</f>
        <v>0</v>
      </c>
      <c r="F9" s="19">
        <f>D9+E9</f>
        <v>0</v>
      </c>
      <c r="G9" s="19">
        <v>2576925</v>
      </c>
      <c r="H9" s="19">
        <f>G9*16%</f>
        <v>412308</v>
      </c>
      <c r="I9" s="19">
        <f>G9+H9</f>
        <v>2989233</v>
      </c>
      <c r="J9" s="19">
        <v>2500000</v>
      </c>
      <c r="K9" s="19">
        <f>J9*16%</f>
        <v>400000</v>
      </c>
      <c r="L9" s="19">
        <f>J9+K9</f>
        <v>2900000</v>
      </c>
      <c r="M9" s="19">
        <v>1950000</v>
      </c>
      <c r="N9" s="19">
        <f>M9*16%</f>
        <v>312000</v>
      </c>
      <c r="O9" s="19">
        <f>M9+N9</f>
        <v>2262000</v>
      </c>
    </row>
    <row r="10" spans="3:15" x14ac:dyDescent="0.25">
      <c r="C10" s="18" t="s">
        <v>44</v>
      </c>
      <c r="D10" s="19"/>
      <c r="E10" s="19">
        <f t="shared" ref="E10:E25" si="0">D10*16%</f>
        <v>0</v>
      </c>
      <c r="F10" s="19">
        <f t="shared" ref="F10:F25" si="1">D10+E10</f>
        <v>0</v>
      </c>
      <c r="G10" s="19">
        <v>264300</v>
      </c>
      <c r="H10" s="19">
        <f t="shared" ref="H10:H25" si="2">G10*16%</f>
        <v>42288</v>
      </c>
      <c r="I10" s="19">
        <f t="shared" ref="I10:I25" si="3">G10+H10</f>
        <v>306588</v>
      </c>
      <c r="J10" s="19">
        <v>260000</v>
      </c>
      <c r="K10" s="19">
        <f t="shared" ref="K10:K25" si="4">J10*16%</f>
        <v>41600</v>
      </c>
      <c r="L10" s="19">
        <f t="shared" ref="L10:L25" si="5">J10+K10</f>
        <v>301600</v>
      </c>
      <c r="M10" s="19">
        <v>1000000</v>
      </c>
      <c r="N10" s="19">
        <f t="shared" ref="N10:N25" si="6">M10*16%</f>
        <v>160000</v>
      </c>
      <c r="O10" s="19">
        <f t="shared" ref="O10:O25" si="7">M10+N10</f>
        <v>1160000</v>
      </c>
    </row>
    <row r="11" spans="3:15" x14ac:dyDescent="0.25">
      <c r="C11" s="18" t="s">
        <v>45</v>
      </c>
      <c r="D11" s="19"/>
      <c r="E11" s="19">
        <f t="shared" si="0"/>
        <v>0</v>
      </c>
      <c r="F11" s="19">
        <f t="shared" si="1"/>
        <v>0</v>
      </c>
      <c r="G11" s="19">
        <v>3832350</v>
      </c>
      <c r="H11" s="19">
        <f t="shared" si="2"/>
        <v>613176</v>
      </c>
      <c r="I11" s="19">
        <f t="shared" si="3"/>
        <v>4445526</v>
      </c>
      <c r="J11" s="19">
        <v>2800000</v>
      </c>
      <c r="K11" s="19">
        <f t="shared" si="4"/>
        <v>448000</v>
      </c>
      <c r="L11" s="19">
        <f t="shared" si="5"/>
        <v>3248000</v>
      </c>
      <c r="M11" s="19">
        <v>3200000</v>
      </c>
      <c r="N11" s="19">
        <f t="shared" si="6"/>
        <v>512000</v>
      </c>
      <c r="O11" s="19">
        <f t="shared" si="7"/>
        <v>3712000</v>
      </c>
    </row>
    <row r="12" spans="3:15" ht="30" x14ac:dyDescent="0.25">
      <c r="C12" s="18" t="s">
        <v>46</v>
      </c>
      <c r="D12" s="19"/>
      <c r="E12" s="19">
        <f t="shared" si="0"/>
        <v>0</v>
      </c>
      <c r="F12" s="19">
        <f t="shared" si="1"/>
        <v>0</v>
      </c>
      <c r="G12" s="19">
        <v>1321500</v>
      </c>
      <c r="H12" s="19">
        <f t="shared" si="2"/>
        <v>211440</v>
      </c>
      <c r="I12" s="19">
        <f t="shared" si="3"/>
        <v>1532940</v>
      </c>
      <c r="J12" s="19">
        <v>706000</v>
      </c>
      <c r="K12" s="19">
        <f t="shared" si="4"/>
        <v>112960</v>
      </c>
      <c r="L12" s="19">
        <f t="shared" si="5"/>
        <v>818960</v>
      </c>
      <c r="M12" s="19">
        <v>800000</v>
      </c>
      <c r="N12" s="19">
        <f t="shared" si="6"/>
        <v>128000</v>
      </c>
      <c r="O12" s="19">
        <f t="shared" si="7"/>
        <v>928000</v>
      </c>
    </row>
    <row r="13" spans="3:15" x14ac:dyDescent="0.25">
      <c r="C13" s="18" t="s">
        <v>47</v>
      </c>
      <c r="D13" s="19"/>
      <c r="E13" s="19">
        <f t="shared" si="0"/>
        <v>0</v>
      </c>
      <c r="F13" s="19">
        <f t="shared" si="1"/>
        <v>0</v>
      </c>
      <c r="G13" s="19">
        <v>17620000</v>
      </c>
      <c r="H13" s="19">
        <f t="shared" si="2"/>
        <v>2819200</v>
      </c>
      <c r="I13" s="19">
        <f t="shared" si="3"/>
        <v>20439200</v>
      </c>
      <c r="J13" s="19">
        <v>9284000</v>
      </c>
      <c r="K13" s="19">
        <f t="shared" si="4"/>
        <v>1485440</v>
      </c>
      <c r="L13" s="19">
        <f t="shared" si="5"/>
        <v>10769440</v>
      </c>
      <c r="M13" s="19">
        <v>17000000</v>
      </c>
      <c r="N13" s="19">
        <f t="shared" si="6"/>
        <v>2720000</v>
      </c>
      <c r="O13" s="19">
        <f t="shared" si="7"/>
        <v>19720000</v>
      </c>
    </row>
    <row r="14" spans="3:15" x14ac:dyDescent="0.25">
      <c r="C14" s="18" t="s">
        <v>48</v>
      </c>
      <c r="D14" s="19"/>
      <c r="E14" s="19">
        <f t="shared" si="0"/>
        <v>0</v>
      </c>
      <c r="F14" s="19">
        <f t="shared" si="1"/>
        <v>0</v>
      </c>
      <c r="G14" s="19">
        <v>1101250</v>
      </c>
      <c r="H14" s="19">
        <f t="shared" si="2"/>
        <v>176200</v>
      </c>
      <c r="I14" s="19">
        <f t="shared" si="3"/>
        <v>1277450</v>
      </c>
      <c r="J14" s="19">
        <v>508000</v>
      </c>
      <c r="K14" s="19">
        <f t="shared" si="4"/>
        <v>81280</v>
      </c>
      <c r="L14" s="19">
        <f t="shared" si="5"/>
        <v>589280</v>
      </c>
      <c r="M14" s="19">
        <v>800000</v>
      </c>
      <c r="N14" s="19">
        <f t="shared" si="6"/>
        <v>128000</v>
      </c>
      <c r="O14" s="19">
        <f t="shared" si="7"/>
        <v>928000</v>
      </c>
    </row>
    <row r="15" spans="3:15" x14ac:dyDescent="0.25">
      <c r="C15" s="18" t="s">
        <v>49</v>
      </c>
      <c r="D15" s="19"/>
      <c r="E15" s="19">
        <f t="shared" si="0"/>
        <v>0</v>
      </c>
      <c r="F15" s="19">
        <f t="shared" si="1"/>
        <v>0</v>
      </c>
      <c r="G15" s="19">
        <v>1101250</v>
      </c>
      <c r="H15" s="19">
        <f t="shared" si="2"/>
        <v>176200</v>
      </c>
      <c r="I15" s="19">
        <f t="shared" si="3"/>
        <v>1277450</v>
      </c>
      <c r="J15" s="19">
        <v>600000</v>
      </c>
      <c r="K15" s="19">
        <f t="shared" si="4"/>
        <v>96000</v>
      </c>
      <c r="L15" s="19">
        <f t="shared" si="5"/>
        <v>696000</v>
      </c>
      <c r="M15" s="19">
        <v>700000</v>
      </c>
      <c r="N15" s="19">
        <f t="shared" si="6"/>
        <v>112000</v>
      </c>
      <c r="O15" s="19">
        <f t="shared" si="7"/>
        <v>812000</v>
      </c>
    </row>
    <row r="16" spans="3:15" x14ac:dyDescent="0.25">
      <c r="C16" s="18" t="s">
        <v>50</v>
      </c>
      <c r="D16" s="19"/>
      <c r="E16" s="19">
        <f t="shared" si="0"/>
        <v>0</v>
      </c>
      <c r="F16" s="19">
        <f t="shared" si="1"/>
        <v>0</v>
      </c>
      <c r="G16" s="19">
        <v>6089472</v>
      </c>
      <c r="H16" s="19">
        <v>974316</v>
      </c>
      <c r="I16" s="19">
        <f t="shared" si="3"/>
        <v>7063788</v>
      </c>
      <c r="J16" s="19">
        <v>5000000</v>
      </c>
      <c r="K16" s="19">
        <f t="shared" si="4"/>
        <v>800000</v>
      </c>
      <c r="L16" s="19">
        <f t="shared" si="5"/>
        <v>5800000</v>
      </c>
      <c r="M16" s="19">
        <v>4500000</v>
      </c>
      <c r="N16" s="19">
        <f t="shared" si="6"/>
        <v>720000</v>
      </c>
      <c r="O16" s="19">
        <f t="shared" si="7"/>
        <v>5220000</v>
      </c>
    </row>
    <row r="17" spans="3:15" x14ac:dyDescent="0.25">
      <c r="C17" s="18" t="s">
        <v>51</v>
      </c>
      <c r="D17" s="19"/>
      <c r="E17" s="19">
        <f t="shared" si="0"/>
        <v>0</v>
      </c>
      <c r="F17" s="19">
        <f t="shared" si="1"/>
        <v>0</v>
      </c>
      <c r="G17" s="19">
        <v>18941500</v>
      </c>
      <c r="H17" s="19">
        <f t="shared" si="2"/>
        <v>3030640</v>
      </c>
      <c r="I17" s="19">
        <f t="shared" si="3"/>
        <v>21972140</v>
      </c>
      <c r="J17" s="19">
        <v>8800000</v>
      </c>
      <c r="K17" s="19">
        <f t="shared" si="4"/>
        <v>1408000</v>
      </c>
      <c r="L17" s="19">
        <f t="shared" si="5"/>
        <v>10208000</v>
      </c>
      <c r="M17" s="19">
        <v>19000000</v>
      </c>
      <c r="N17" s="19">
        <f t="shared" si="6"/>
        <v>3040000</v>
      </c>
      <c r="O17" s="19">
        <f t="shared" si="7"/>
        <v>22040000</v>
      </c>
    </row>
    <row r="18" spans="3:15" x14ac:dyDescent="0.25">
      <c r="C18" s="18" t="s">
        <v>52</v>
      </c>
      <c r="D18" s="19"/>
      <c r="E18" s="19">
        <f t="shared" si="0"/>
        <v>0</v>
      </c>
      <c r="F18" s="19">
        <f t="shared" si="1"/>
        <v>0</v>
      </c>
      <c r="G18" s="19">
        <v>25989500</v>
      </c>
      <c r="H18" s="19">
        <f t="shared" si="2"/>
        <v>4158320</v>
      </c>
      <c r="I18" s="19">
        <f t="shared" si="3"/>
        <v>30147820</v>
      </c>
      <c r="J18" s="19">
        <v>19960000</v>
      </c>
      <c r="K18" s="19">
        <f t="shared" si="4"/>
        <v>3193600</v>
      </c>
      <c r="L18" s="19">
        <f t="shared" si="5"/>
        <v>23153600</v>
      </c>
      <c r="M18" s="19">
        <v>24000000</v>
      </c>
      <c r="N18" s="19">
        <f t="shared" si="6"/>
        <v>3840000</v>
      </c>
      <c r="O18" s="19">
        <f t="shared" si="7"/>
        <v>27840000</v>
      </c>
    </row>
    <row r="19" spans="3:15" x14ac:dyDescent="0.25">
      <c r="C19" s="18" t="s">
        <v>53</v>
      </c>
      <c r="D19" s="19"/>
      <c r="E19" s="19">
        <f t="shared" si="0"/>
        <v>0</v>
      </c>
      <c r="F19" s="19">
        <f t="shared" si="1"/>
        <v>0</v>
      </c>
      <c r="G19" s="19">
        <v>12334000</v>
      </c>
      <c r="H19" s="19">
        <f t="shared" si="2"/>
        <v>1973440</v>
      </c>
      <c r="I19" s="19">
        <f t="shared" si="3"/>
        <v>14307440</v>
      </c>
      <c r="J19" s="19">
        <v>6780000</v>
      </c>
      <c r="K19" s="19">
        <f t="shared" si="4"/>
        <v>1084800</v>
      </c>
      <c r="L19" s="19">
        <f t="shared" si="5"/>
        <v>7864800</v>
      </c>
      <c r="M19" s="19">
        <v>9000000</v>
      </c>
      <c r="N19" s="19">
        <f t="shared" si="6"/>
        <v>1440000</v>
      </c>
      <c r="O19" s="19">
        <f t="shared" si="7"/>
        <v>10440000</v>
      </c>
    </row>
    <row r="20" spans="3:15" x14ac:dyDescent="0.25">
      <c r="C20" s="18" t="s">
        <v>54</v>
      </c>
      <c r="D20" s="19"/>
      <c r="E20" s="19">
        <f t="shared" si="0"/>
        <v>0</v>
      </c>
      <c r="F20" s="19">
        <f t="shared" si="1"/>
        <v>0</v>
      </c>
      <c r="G20" s="19">
        <v>15637750</v>
      </c>
      <c r="H20" s="19">
        <f t="shared" si="2"/>
        <v>2502040</v>
      </c>
      <c r="I20" s="19">
        <f t="shared" si="3"/>
        <v>18139790</v>
      </c>
      <c r="J20" s="19">
        <v>12760000</v>
      </c>
      <c r="K20" s="19">
        <f t="shared" si="4"/>
        <v>2041600</v>
      </c>
      <c r="L20" s="19">
        <f t="shared" si="5"/>
        <v>14801600</v>
      </c>
      <c r="M20" s="19">
        <v>14000000</v>
      </c>
      <c r="N20" s="19">
        <f t="shared" si="6"/>
        <v>2240000</v>
      </c>
      <c r="O20" s="19">
        <f t="shared" si="7"/>
        <v>16240000</v>
      </c>
    </row>
    <row r="21" spans="3:15" x14ac:dyDescent="0.25">
      <c r="C21" s="18" t="s">
        <v>55</v>
      </c>
      <c r="D21" s="19"/>
      <c r="E21" s="19">
        <f t="shared" si="0"/>
        <v>0</v>
      </c>
      <c r="F21" s="19">
        <f t="shared" si="1"/>
        <v>0</v>
      </c>
      <c r="G21" s="19">
        <v>6167000</v>
      </c>
      <c r="H21" s="19">
        <f t="shared" si="2"/>
        <v>986720</v>
      </c>
      <c r="I21" s="19">
        <f t="shared" si="3"/>
        <v>7153720</v>
      </c>
      <c r="J21" s="19">
        <v>4051724</v>
      </c>
      <c r="K21" s="19">
        <f t="shared" si="4"/>
        <v>648275.84</v>
      </c>
      <c r="L21" s="19">
        <f t="shared" si="5"/>
        <v>4699999.84</v>
      </c>
      <c r="M21" s="19">
        <v>5000000</v>
      </c>
      <c r="N21" s="19">
        <f t="shared" si="6"/>
        <v>800000</v>
      </c>
      <c r="O21" s="19">
        <f t="shared" si="7"/>
        <v>5800000</v>
      </c>
    </row>
    <row r="22" spans="3:15" x14ac:dyDescent="0.25">
      <c r="C22" s="18" t="s">
        <v>56</v>
      </c>
      <c r="D22" s="19"/>
      <c r="E22" s="19">
        <f t="shared" si="0"/>
        <v>0</v>
      </c>
      <c r="F22" s="19">
        <f t="shared" si="1"/>
        <v>0</v>
      </c>
      <c r="G22" s="19">
        <v>8149250</v>
      </c>
      <c r="H22" s="19">
        <f t="shared" si="2"/>
        <v>1303880</v>
      </c>
      <c r="I22" s="19">
        <f t="shared" si="3"/>
        <v>9453130</v>
      </c>
      <c r="J22" s="19">
        <v>6841724</v>
      </c>
      <c r="K22" s="19">
        <f t="shared" si="4"/>
        <v>1094675.8400000001</v>
      </c>
      <c r="L22" s="19">
        <f t="shared" si="5"/>
        <v>7936399.8399999999</v>
      </c>
      <c r="M22" s="19">
        <v>8000000</v>
      </c>
      <c r="N22" s="19">
        <f t="shared" si="6"/>
        <v>1280000</v>
      </c>
      <c r="O22" s="19">
        <f t="shared" si="7"/>
        <v>9280000</v>
      </c>
    </row>
    <row r="23" spans="3:15" ht="30" x14ac:dyDescent="0.25">
      <c r="C23" s="18" t="s">
        <v>57</v>
      </c>
      <c r="D23" s="19"/>
      <c r="E23" s="19">
        <f t="shared" si="0"/>
        <v>0</v>
      </c>
      <c r="F23" s="19">
        <f t="shared" si="1"/>
        <v>0</v>
      </c>
      <c r="G23" s="19">
        <v>2466800</v>
      </c>
      <c r="H23" s="19">
        <f t="shared" si="2"/>
        <v>394688</v>
      </c>
      <c r="I23" s="19">
        <f t="shared" si="3"/>
        <v>2861488</v>
      </c>
      <c r="J23" s="19">
        <v>1800000</v>
      </c>
      <c r="K23" s="19">
        <f t="shared" si="4"/>
        <v>288000</v>
      </c>
      <c r="L23" s="19">
        <f t="shared" si="5"/>
        <v>2088000</v>
      </c>
      <c r="M23" s="19">
        <v>2200000</v>
      </c>
      <c r="N23" s="19">
        <f t="shared" si="6"/>
        <v>352000</v>
      </c>
      <c r="O23" s="19">
        <f t="shared" si="7"/>
        <v>2552000</v>
      </c>
    </row>
    <row r="24" spans="3:15" x14ac:dyDescent="0.25">
      <c r="C24" s="18" t="s">
        <v>58</v>
      </c>
      <c r="D24" s="19"/>
      <c r="E24" s="19">
        <f t="shared" si="0"/>
        <v>0</v>
      </c>
      <c r="F24" s="19">
        <f t="shared" si="1"/>
        <v>0</v>
      </c>
      <c r="G24" s="19">
        <v>2202500</v>
      </c>
      <c r="H24" s="19">
        <f t="shared" si="2"/>
        <v>352400</v>
      </c>
      <c r="I24" s="19">
        <f t="shared" si="3"/>
        <v>2554900</v>
      </c>
      <c r="J24" s="27">
        <v>0</v>
      </c>
      <c r="K24" s="19">
        <f t="shared" si="4"/>
        <v>0</v>
      </c>
      <c r="L24" s="19">
        <f t="shared" si="5"/>
        <v>0</v>
      </c>
      <c r="M24" s="19">
        <v>1800000</v>
      </c>
      <c r="N24" s="19">
        <f t="shared" si="6"/>
        <v>288000</v>
      </c>
      <c r="O24" s="19">
        <f t="shared" si="7"/>
        <v>2088000</v>
      </c>
    </row>
    <row r="25" spans="3:15" x14ac:dyDescent="0.25">
      <c r="C25" s="18" t="s">
        <v>59</v>
      </c>
      <c r="D25" s="19"/>
      <c r="E25" s="19">
        <f t="shared" si="0"/>
        <v>0</v>
      </c>
      <c r="F25" s="19">
        <f t="shared" si="1"/>
        <v>0</v>
      </c>
      <c r="G25" s="19">
        <v>5286000</v>
      </c>
      <c r="H25" s="19">
        <f t="shared" si="2"/>
        <v>845760</v>
      </c>
      <c r="I25" s="19">
        <f t="shared" si="3"/>
        <v>6131760</v>
      </c>
      <c r="J25" s="27">
        <v>0</v>
      </c>
      <c r="K25" s="19">
        <f t="shared" si="4"/>
        <v>0</v>
      </c>
      <c r="L25" s="19">
        <f t="shared" si="5"/>
        <v>0</v>
      </c>
      <c r="M25" s="19">
        <v>3500000</v>
      </c>
      <c r="N25" s="19">
        <f t="shared" si="6"/>
        <v>560000</v>
      </c>
      <c r="O25" s="19">
        <f t="shared" si="7"/>
        <v>4060000</v>
      </c>
    </row>
    <row r="26" spans="3:15" x14ac:dyDescent="0.25">
      <c r="F26" s="24">
        <f>SUM(F9:F25)</f>
        <v>0</v>
      </c>
      <c r="I26" s="20">
        <f>SUM(I9:I25)</f>
        <v>152054363</v>
      </c>
      <c r="L26" s="20">
        <f>SUM(L9:L25)</f>
        <v>95875679.680000007</v>
      </c>
      <c r="M26" s="25"/>
      <c r="N26" s="25"/>
      <c r="O26" s="26">
        <f>SUM(O9:O25)</f>
        <v>135082000</v>
      </c>
    </row>
    <row r="27" spans="3:15" x14ac:dyDescent="0.25">
      <c r="I27" t="s">
        <v>64</v>
      </c>
    </row>
  </sheetData>
  <mergeCells count="4">
    <mergeCell ref="D7:F7"/>
    <mergeCell ref="G7:I7"/>
    <mergeCell ref="J7:L7"/>
    <mergeCell ref="M7:O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zoomScaleNormal="100" workbookViewId="0">
      <selection activeCell="C6" sqref="C6"/>
    </sheetView>
  </sheetViews>
  <sheetFormatPr baseColWidth="10" defaultRowHeight="16.5" x14ac:dyDescent="0.3"/>
  <cols>
    <col min="1" max="1" width="33.140625" style="38" customWidth="1"/>
    <col min="2" max="2" width="31.5703125" style="28" customWidth="1"/>
    <col min="3" max="3" width="63" style="38" customWidth="1"/>
    <col min="4" max="4" width="14.42578125" style="28" customWidth="1"/>
    <col min="5" max="16384" width="11.42578125" style="28"/>
  </cols>
  <sheetData>
    <row r="1" spans="1:4" x14ac:dyDescent="0.3">
      <c r="A1" s="50" t="s">
        <v>41</v>
      </c>
      <c r="B1" s="50"/>
      <c r="C1" s="50"/>
      <c r="D1" s="50"/>
    </row>
    <row r="3" spans="1:4" ht="54" customHeight="1" x14ac:dyDescent="0.3">
      <c r="A3" s="51" t="s">
        <v>70</v>
      </c>
      <c r="B3" s="51"/>
      <c r="C3" s="51"/>
      <c r="D3" s="51"/>
    </row>
    <row r="5" spans="1:4" ht="27" customHeight="1" x14ac:dyDescent="0.3">
      <c r="A5" s="29" t="s">
        <v>65</v>
      </c>
      <c r="B5" s="30" t="s">
        <v>66</v>
      </c>
      <c r="C5" s="29" t="s">
        <v>67</v>
      </c>
      <c r="D5" s="30" t="s">
        <v>69</v>
      </c>
    </row>
    <row r="6" spans="1:4" ht="93.75" customHeight="1" x14ac:dyDescent="0.3">
      <c r="A6" s="31" t="s">
        <v>7</v>
      </c>
      <c r="B6" s="32" t="s">
        <v>12</v>
      </c>
      <c r="C6" s="33" t="s">
        <v>75</v>
      </c>
      <c r="D6" s="34">
        <v>0</v>
      </c>
    </row>
    <row r="7" spans="1:4" ht="32.25" customHeight="1" x14ac:dyDescent="0.3">
      <c r="A7" s="33" t="s">
        <v>13</v>
      </c>
      <c r="B7" s="35">
        <v>152054363</v>
      </c>
      <c r="C7" s="33" t="s">
        <v>12</v>
      </c>
      <c r="D7" s="36">
        <v>500</v>
      </c>
    </row>
    <row r="8" spans="1:4" ht="104.25" customHeight="1" x14ac:dyDescent="0.3">
      <c r="A8" s="33" t="s">
        <v>19</v>
      </c>
      <c r="B8" s="40">
        <v>95875680</v>
      </c>
      <c r="C8" s="37" t="s">
        <v>12</v>
      </c>
      <c r="D8" s="45">
        <f>(B8/B24)*500</f>
        <v>204.01105248396968</v>
      </c>
    </row>
    <row r="9" spans="1:4" ht="109.5" customHeight="1" x14ac:dyDescent="0.3">
      <c r="A9" s="33" t="s">
        <v>23</v>
      </c>
      <c r="B9" s="32" t="s">
        <v>12</v>
      </c>
      <c r="C9" s="37" t="s">
        <v>68</v>
      </c>
      <c r="D9" s="34">
        <v>0</v>
      </c>
    </row>
    <row r="14" spans="1:4" x14ac:dyDescent="0.3">
      <c r="A14" s="50" t="s">
        <v>41</v>
      </c>
      <c r="B14" s="50"/>
      <c r="C14" s="50"/>
      <c r="D14" s="50"/>
    </row>
    <row r="16" spans="1:4" ht="67.5" customHeight="1" x14ac:dyDescent="0.3">
      <c r="A16" s="51" t="s">
        <v>70</v>
      </c>
      <c r="B16" s="51"/>
      <c r="C16" s="51"/>
      <c r="D16" s="51"/>
    </row>
    <row r="19" spans="1:2" ht="17.25" customHeight="1" x14ac:dyDescent="0.3">
      <c r="A19" s="52" t="s">
        <v>74</v>
      </c>
      <c r="B19" s="52"/>
    </row>
    <row r="20" spans="1:2" x14ac:dyDescent="0.3">
      <c r="A20" s="43" t="s">
        <v>65</v>
      </c>
      <c r="B20" s="44" t="s">
        <v>73</v>
      </c>
    </row>
    <row r="21" spans="1:2" ht="23.25" customHeight="1" x14ac:dyDescent="0.3">
      <c r="A21" s="33" t="s">
        <v>13</v>
      </c>
      <c r="B21" s="35">
        <v>152054363</v>
      </c>
    </row>
    <row r="22" spans="1:2" ht="33" x14ac:dyDescent="0.3">
      <c r="A22" s="33" t="s">
        <v>19</v>
      </c>
      <c r="B22" s="40">
        <v>95875680</v>
      </c>
    </row>
    <row r="23" spans="1:2" ht="21" customHeight="1" x14ac:dyDescent="0.3">
      <c r="A23" s="33" t="s">
        <v>72</v>
      </c>
      <c r="B23" s="40">
        <v>457000000</v>
      </c>
    </row>
    <row r="24" spans="1:2" ht="24.75" customHeight="1" x14ac:dyDescent="0.3">
      <c r="A24" s="41" t="s">
        <v>71</v>
      </c>
      <c r="B24" s="42">
        <v>234976681</v>
      </c>
    </row>
  </sheetData>
  <mergeCells count="5">
    <mergeCell ref="A1:D1"/>
    <mergeCell ref="A3:D3"/>
    <mergeCell ref="A19:B19"/>
    <mergeCell ref="A14:D14"/>
    <mergeCell ref="A16:D16"/>
  </mergeCells>
  <pageMargins left="0.7" right="0.7" top="0.75" bottom="0.75" header="0.3" footer="0.3"/>
  <pageSetup paperSize="5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EVAL. FINANCIERA</vt:lpstr>
      <vt:lpstr>EVAL. ECONOMICA</vt:lpstr>
      <vt:lpstr>PONDERACION</vt:lpstr>
    </vt:vector>
  </TitlesOfParts>
  <Company>RTVC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lmorales</dc:creator>
  <cp:lastModifiedBy>Paola Rojas Redondo</cp:lastModifiedBy>
  <cp:lastPrinted>2015-10-29T20:21:52Z</cp:lastPrinted>
  <dcterms:created xsi:type="dcterms:W3CDTF">2015-10-27T16:50:35Z</dcterms:created>
  <dcterms:modified xsi:type="dcterms:W3CDTF">2015-10-30T19:42:22Z</dcterms:modified>
</cp:coreProperties>
</file>