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30" windowWidth="19875" windowHeight="7710"/>
  </bookViews>
  <sheets>
    <sheet name="MATRIZ DE INDICADORES" sheetId="1" r:id="rId1"/>
  </sheets>
  <definedNames>
    <definedName name="_xlnm._FilterDatabase" localSheetId="0" hidden="1">'MATRIZ DE INDICADORES'!$A$9:$BU$87</definedName>
  </definedNames>
  <calcPr calcId="125725" calcOnSave="0"/>
</workbook>
</file>

<file path=xl/calcChain.xml><?xml version="1.0" encoding="utf-8"?>
<calcChain xmlns="http://schemas.openxmlformats.org/spreadsheetml/2006/main">
  <c r="S64" i="1"/>
  <c r="S65"/>
  <c r="U80"/>
  <c r="BT80"/>
  <c r="BH80"/>
  <c r="AV80"/>
  <c r="BT82"/>
  <c r="BS82"/>
  <c r="BH82"/>
  <c r="BG82"/>
  <c r="AV82"/>
  <c r="AU82"/>
  <c r="T82"/>
  <c r="BH41" l="1"/>
  <c r="BD41"/>
  <c r="BS50" l="1"/>
  <c r="S50" s="1"/>
  <c r="T50" s="1"/>
  <c r="U50" s="1"/>
  <c r="BG50"/>
  <c r="BH50" s="1"/>
  <c r="U62"/>
  <c r="U61"/>
  <c r="S80"/>
  <c r="T80" s="1"/>
  <c r="S79"/>
  <c r="T79" s="1"/>
  <c r="U79" s="1"/>
  <c r="S78"/>
  <c r="T78" s="1"/>
  <c r="U78" s="1"/>
  <c r="S77"/>
  <c r="T77" s="1"/>
  <c r="U77" s="1"/>
  <c r="S76"/>
  <c r="T76" s="1"/>
  <c r="U76" s="1"/>
  <c r="S75"/>
  <c r="T75" s="1"/>
  <c r="U75" s="1"/>
  <c r="S74"/>
  <c r="T74" s="1"/>
  <c r="U74" s="1"/>
  <c r="S69"/>
  <c r="S68"/>
  <c r="T68" s="1"/>
  <c r="U68" s="1"/>
  <c r="S67"/>
  <c r="T67" s="1"/>
  <c r="U67" s="1"/>
  <c r="S66"/>
  <c r="T66" s="1"/>
  <c r="U66" s="1"/>
  <c r="T65"/>
  <c r="U65" s="1"/>
  <c r="T64"/>
  <c r="U64" s="1"/>
  <c r="S63"/>
  <c r="T63" s="1"/>
  <c r="T54"/>
  <c r="U54" s="1"/>
  <c r="BT54"/>
  <c r="S49"/>
  <c r="T49" s="1"/>
  <c r="U49" s="1"/>
  <c r="BP49"/>
  <c r="S47"/>
  <c r="T47" s="1"/>
  <c r="U47" s="1"/>
  <c r="S46"/>
  <c r="T46" s="1"/>
  <c r="U46" s="1"/>
  <c r="S45"/>
  <c r="T45" s="1"/>
  <c r="U45" s="1"/>
  <c r="S44"/>
  <c r="T44" s="1"/>
  <c r="U44" s="1"/>
  <c r="S43"/>
  <c r="T43" s="1"/>
  <c r="U43" s="1"/>
  <c r="S42"/>
  <c r="T42" s="1"/>
  <c r="U42" s="1"/>
  <c r="BK51"/>
  <c r="S51" s="1"/>
  <c r="T51" s="1"/>
  <c r="U51" s="1"/>
  <c r="BS86"/>
  <c r="BT86" s="1"/>
  <c r="BG86"/>
  <c r="BH86" s="1"/>
  <c r="AU86"/>
  <c r="AV86" s="1"/>
  <c r="AR86"/>
  <c r="AN86"/>
  <c r="AI86"/>
  <c r="BS85"/>
  <c r="BT85" s="1"/>
  <c r="BG85"/>
  <c r="BH85" s="1"/>
  <c r="AU85"/>
  <c r="AV85" s="1"/>
  <c r="AR85"/>
  <c r="AN85"/>
  <c r="AI85"/>
  <c r="AJ85" s="1"/>
  <c r="AR84"/>
  <c r="AN84"/>
  <c r="BS83"/>
  <c r="BT83" s="1"/>
  <c r="BO83"/>
  <c r="BP83" s="1"/>
  <c r="BK83"/>
  <c r="BL83" s="1"/>
  <c r="BG83"/>
  <c r="BH83" s="1"/>
  <c r="BC83"/>
  <c r="BD83" s="1"/>
  <c r="AY83"/>
  <c r="AZ83" s="1"/>
  <c r="AU83"/>
  <c r="AV83" s="1"/>
  <c r="AQ83"/>
  <c r="AR83" s="1"/>
  <c r="AM83"/>
  <c r="AN83" s="1"/>
  <c r="AI83"/>
  <c r="AJ83" s="1"/>
  <c r="AE83"/>
  <c r="AF83" s="1"/>
  <c r="AA83"/>
  <c r="AB83" s="1"/>
  <c r="AR82"/>
  <c r="AN82"/>
  <c r="AI82"/>
  <c r="AJ82" s="1"/>
  <c r="AE82"/>
  <c r="AF82" s="1"/>
  <c r="AA82"/>
  <c r="AB82" s="1"/>
  <c r="BT81"/>
  <c r="BH81"/>
  <c r="AV81"/>
  <c r="AR81"/>
  <c r="AN81"/>
  <c r="AI81"/>
  <c r="AJ81" s="1"/>
  <c r="AR80"/>
  <c r="AN80"/>
  <c r="BT79"/>
  <c r="BH79"/>
  <c r="AV79"/>
  <c r="AR79"/>
  <c r="AN79"/>
  <c r="BT78"/>
  <c r="BH78"/>
  <c r="AV78"/>
  <c r="AR78"/>
  <c r="AN78"/>
  <c r="BT77"/>
  <c r="BH77"/>
  <c r="AV77"/>
  <c r="AR77"/>
  <c r="AN77"/>
  <c r="BT76"/>
  <c r="BH76"/>
  <c r="AV76"/>
  <c r="AR76"/>
  <c r="AN76"/>
  <c r="BT75"/>
  <c r="BH75"/>
  <c r="AV75"/>
  <c r="AR75"/>
  <c r="AN75"/>
  <c r="BT74"/>
  <c r="AR74"/>
  <c r="AN74"/>
  <c r="BT73"/>
  <c r="BF73"/>
  <c r="BG73" s="1"/>
  <c r="BH73" s="1"/>
  <c r="AV73"/>
  <c r="AR73"/>
  <c r="AN73"/>
  <c r="AJ73"/>
  <c r="BT72"/>
  <c r="BP72"/>
  <c r="BL72"/>
  <c r="BH72"/>
  <c r="AZ72"/>
  <c r="AU72"/>
  <c r="AV72" s="1"/>
  <c r="AQ72"/>
  <c r="AR72" s="1"/>
  <c r="AM72"/>
  <c r="AN72" s="1"/>
  <c r="AI72"/>
  <c r="AJ72" s="1"/>
  <c r="BT71"/>
  <c r="BP71"/>
  <c r="BL71"/>
  <c r="BH71"/>
  <c r="BD71"/>
  <c r="AZ71"/>
  <c r="AV71"/>
  <c r="AQ71"/>
  <c r="AR71" s="1"/>
  <c r="AM71"/>
  <c r="AN71" s="1"/>
  <c r="AJ71"/>
  <c r="AF71"/>
  <c r="AB71"/>
  <c r="BT70"/>
  <c r="AU70"/>
  <c r="AV70" s="1"/>
  <c r="AR70"/>
  <c r="AN70"/>
  <c r="BT69"/>
  <c r="BH69"/>
  <c r="AV69"/>
  <c r="AR69"/>
  <c r="AN69"/>
  <c r="BT68"/>
  <c r="BH68"/>
  <c r="AV68"/>
  <c r="AR68"/>
  <c r="AN68"/>
  <c r="AJ68"/>
  <c r="BT67"/>
  <c r="BH67"/>
  <c r="AV67"/>
  <c r="AR67"/>
  <c r="AN67"/>
  <c r="BT66"/>
  <c r="BH66"/>
  <c r="AV66"/>
  <c r="AR66"/>
  <c r="AN66"/>
  <c r="BT65"/>
  <c r="BH65"/>
  <c r="AV65"/>
  <c r="AR65"/>
  <c r="AN65"/>
  <c r="AJ65"/>
  <c r="BT64"/>
  <c r="BH64"/>
  <c r="AV64"/>
  <c r="AR64"/>
  <c r="AN64"/>
  <c r="AJ64"/>
  <c r="BH63"/>
  <c r="AV63"/>
  <c r="AR63"/>
  <c r="AN63"/>
  <c r="AJ63"/>
  <c r="BT62"/>
  <c r="BH62"/>
  <c r="AV62"/>
  <c r="AR62"/>
  <c r="AN62"/>
  <c r="AJ62"/>
  <c r="BS61"/>
  <c r="BT61" s="1"/>
  <c r="BG61"/>
  <c r="BH61" s="1"/>
  <c r="AV61"/>
  <c r="AR61"/>
  <c r="AN61"/>
  <c r="BS60"/>
  <c r="BT60" s="1"/>
  <c r="BG60"/>
  <c r="BH60" s="1"/>
  <c r="AV60"/>
  <c r="AR60"/>
  <c r="AN60"/>
  <c r="AJ60"/>
  <c r="BS59"/>
  <c r="BT59" s="1"/>
  <c r="BG59"/>
  <c r="BH59" s="1"/>
  <c r="AV59"/>
  <c r="AR59"/>
  <c r="AN59"/>
  <c r="AJ59"/>
  <c r="BS58"/>
  <c r="BT58" s="1"/>
  <c r="BG58"/>
  <c r="BH58" s="1"/>
  <c r="AV58"/>
  <c r="AR58"/>
  <c r="AN58"/>
  <c r="AJ58"/>
  <c r="BS57"/>
  <c r="BT57" s="1"/>
  <c r="BG57"/>
  <c r="BH57" s="1"/>
  <c r="AV57"/>
  <c r="AR57"/>
  <c r="AN57"/>
  <c r="AJ57"/>
  <c r="BS56"/>
  <c r="BT56" s="1"/>
  <c r="BG56"/>
  <c r="BH56" s="1"/>
  <c r="AV56"/>
  <c r="AR56"/>
  <c r="AN56"/>
  <c r="AJ56"/>
  <c r="BK55"/>
  <c r="BL55" s="1"/>
  <c r="AV55"/>
  <c r="AR55"/>
  <c r="AN55"/>
  <c r="AV54"/>
  <c r="AR54"/>
  <c r="AN54"/>
  <c r="BS53"/>
  <c r="BT53" s="1"/>
  <c r="BO53"/>
  <c r="BK53"/>
  <c r="BL53" s="1"/>
  <c r="BG53"/>
  <c r="BH53" s="1"/>
  <c r="BC53"/>
  <c r="BD53" s="1"/>
  <c r="AY53"/>
  <c r="AZ53" s="1"/>
  <c r="AU53"/>
  <c r="AV53" s="1"/>
  <c r="AQ53"/>
  <c r="AR53" s="1"/>
  <c r="AM53"/>
  <c r="AN53" s="1"/>
  <c r="AI53"/>
  <c r="AE53"/>
  <c r="AF53" s="1"/>
  <c r="BS52"/>
  <c r="BT52" s="1"/>
  <c r="BO52"/>
  <c r="BK52"/>
  <c r="BL52" s="1"/>
  <c r="BH52"/>
  <c r="BD52"/>
  <c r="AZ52"/>
  <c r="AU52"/>
  <c r="AV52" s="1"/>
  <c r="AQ52"/>
  <c r="AR52" s="1"/>
  <c r="AM52"/>
  <c r="AN52" s="1"/>
  <c r="AI52"/>
  <c r="AJ52" s="1"/>
  <c r="AE52"/>
  <c r="AF52" s="1"/>
  <c r="AV51"/>
  <c r="AR51"/>
  <c r="AN51"/>
  <c r="AU50"/>
  <c r="AV50" s="1"/>
  <c r="AR50"/>
  <c r="AN50"/>
  <c r="AI50"/>
  <c r="AJ50" s="1"/>
  <c r="BT49"/>
  <c r="BL49"/>
  <c r="BH49"/>
  <c r="BD49"/>
  <c r="AZ49"/>
  <c r="AV49"/>
  <c r="AR49"/>
  <c r="AN49"/>
  <c r="AJ49"/>
  <c r="AF49"/>
  <c r="AB49"/>
  <c r="BT48"/>
  <c r="BO48"/>
  <c r="BP48" s="1"/>
  <c r="BK48"/>
  <c r="BL48" s="1"/>
  <c r="BG48"/>
  <c r="BH48" s="1"/>
  <c r="BC48"/>
  <c r="BD48" s="1"/>
  <c r="AY48"/>
  <c r="AZ48" s="1"/>
  <c r="AU48"/>
  <c r="AV48" s="1"/>
  <c r="AQ48"/>
  <c r="AR48" s="1"/>
  <c r="AN48"/>
  <c r="BT47"/>
  <c r="AV47"/>
  <c r="AR47"/>
  <c r="AN47"/>
  <c r="BS46"/>
  <c r="BT46" s="1"/>
  <c r="AV46"/>
  <c r="AR46"/>
  <c r="AN46"/>
  <c r="BT45"/>
  <c r="AV45"/>
  <c r="AR45"/>
  <c r="AN45"/>
  <c r="BT44"/>
  <c r="AV44"/>
  <c r="AR44"/>
  <c r="AN44"/>
  <c r="BT43"/>
  <c r="BP43"/>
  <c r="BL43"/>
  <c r="BH43"/>
  <c r="BD43"/>
  <c r="AZ43"/>
  <c r="AV43"/>
  <c r="AR43"/>
  <c r="AN43"/>
  <c r="AJ43"/>
  <c r="AF43"/>
  <c r="AB43"/>
  <c r="BT42"/>
  <c r="BP42"/>
  <c r="BL42"/>
  <c r="BH42"/>
  <c r="BD42"/>
  <c r="AZ42"/>
  <c r="AV42"/>
  <c r="AR42"/>
  <c r="AN42"/>
  <c r="AJ42"/>
  <c r="AF42"/>
  <c r="AB42"/>
  <c r="AZ41"/>
  <c r="AV41"/>
  <c r="AR41"/>
  <c r="AN41"/>
  <c r="BT40"/>
  <c r="BP40"/>
  <c r="BL40"/>
  <c r="BH40"/>
  <c r="BC40"/>
  <c r="BD40" s="1"/>
  <c r="AZ40"/>
  <c r="AV40"/>
  <c r="AR40"/>
  <c r="AM40"/>
  <c r="AN40" s="1"/>
  <c r="AI40"/>
  <c r="AJ40" s="1"/>
  <c r="AE40"/>
  <c r="AA40"/>
  <c r="AB40" s="1"/>
  <c r="BT39"/>
  <c r="BG39"/>
  <c r="BH39" s="1"/>
  <c r="AU39"/>
  <c r="AR39"/>
  <c r="AN39"/>
  <c r="AI39"/>
  <c r="AJ39" s="1"/>
  <c r="BT38"/>
  <c r="BL38"/>
  <c r="BH38"/>
  <c r="BD38"/>
  <c r="AZ38"/>
  <c r="AV38"/>
  <c r="AR38"/>
  <c r="AN38"/>
  <c r="AJ38"/>
  <c r="S38"/>
  <c r="T38" s="1"/>
  <c r="U38" s="1"/>
  <c r="BS37"/>
  <c r="BT37" s="1"/>
  <c r="BO37"/>
  <c r="BP37" s="1"/>
  <c r="BK37"/>
  <c r="BL37" s="1"/>
  <c r="BG37"/>
  <c r="BH37" s="1"/>
  <c r="BC37"/>
  <c r="BD37" s="1"/>
  <c r="AY37"/>
  <c r="AZ37" s="1"/>
  <c r="AU37"/>
  <c r="AV37" s="1"/>
  <c r="AQ37"/>
  <c r="AR37" s="1"/>
  <c r="AM37"/>
  <c r="AN37" s="1"/>
  <c r="AI37"/>
  <c r="AJ37" s="1"/>
  <c r="AF37"/>
  <c r="AA37"/>
  <c r="AB37" s="1"/>
  <c r="S37"/>
  <c r="T37" s="1"/>
  <c r="U37" s="1"/>
  <c r="BS36"/>
  <c r="BT36" s="1"/>
  <c r="BO36"/>
  <c r="BP36" s="1"/>
  <c r="BK36"/>
  <c r="BL36" s="1"/>
  <c r="BG36"/>
  <c r="BH36" s="1"/>
  <c r="BC36"/>
  <c r="BD36" s="1"/>
  <c r="AY36"/>
  <c r="AZ36" s="1"/>
  <c r="AU36"/>
  <c r="AV36" s="1"/>
  <c r="AQ36"/>
  <c r="AR36" s="1"/>
  <c r="AM36"/>
  <c r="AN36" s="1"/>
  <c r="AI36"/>
  <c r="AJ36" s="1"/>
  <c r="AE36"/>
  <c r="AF36" s="1"/>
  <c r="AA36"/>
  <c r="AB36" s="1"/>
  <c r="S36"/>
  <c r="T36" s="1"/>
  <c r="U36" s="1"/>
  <c r="BO35"/>
  <c r="BP35" s="1"/>
  <c r="BG35"/>
  <c r="BH35" s="1"/>
  <c r="BC35"/>
  <c r="BD35" s="1"/>
  <c r="AY35"/>
  <c r="AZ35" s="1"/>
  <c r="AV35"/>
  <c r="AQ35"/>
  <c r="AR35" s="1"/>
  <c r="AN35"/>
  <c r="AM35"/>
  <c r="AI35"/>
  <c r="AJ35" s="1"/>
  <c r="AE35"/>
  <c r="AF35" s="1"/>
  <c r="AA35"/>
  <c r="AB35" s="1"/>
  <c r="S35"/>
  <c r="T35" s="1"/>
  <c r="U35" s="1"/>
  <c r="BO34"/>
  <c r="BP34" s="1"/>
  <c r="BG34"/>
  <c r="BH34" s="1"/>
  <c r="AQ34"/>
  <c r="AR34" s="1"/>
  <c r="AE34"/>
  <c r="AF34" s="1"/>
  <c r="AB34"/>
  <c r="S34"/>
  <c r="T34" s="1"/>
  <c r="U34" s="1"/>
  <c r="BO33"/>
  <c r="BP33" s="1"/>
  <c r="AR33"/>
  <c r="S33"/>
  <c r="T33" s="1"/>
  <c r="U33" s="1"/>
  <c r="BG32"/>
  <c r="BH32" s="1"/>
  <c r="BC32"/>
  <c r="BD32" s="1"/>
  <c r="AQ32"/>
  <c r="AR32" s="1"/>
  <c r="AN32"/>
  <c r="AI32"/>
  <c r="AJ32" s="1"/>
  <c r="AF32"/>
  <c r="AA32"/>
  <c r="AB32" s="1"/>
  <c r="S32"/>
  <c r="T32" s="1"/>
  <c r="U32" s="1"/>
  <c r="BS31"/>
  <c r="BT31" s="1"/>
  <c r="BO31"/>
  <c r="BP31" s="1"/>
  <c r="BK31"/>
  <c r="BL31" s="1"/>
  <c r="BG31"/>
  <c r="BH31" s="1"/>
  <c r="BC31"/>
  <c r="BD31" s="1"/>
  <c r="AZ31"/>
  <c r="AY31"/>
  <c r="AU31"/>
  <c r="AV31" s="1"/>
  <c r="AQ31"/>
  <c r="AR31" s="1"/>
  <c r="AM31"/>
  <c r="AN31" s="1"/>
  <c r="AI31"/>
  <c r="AJ31" s="1"/>
  <c r="S31"/>
  <c r="T31" s="1"/>
  <c r="U31" s="1"/>
  <c r="BR30"/>
  <c r="BS30" s="1"/>
  <c r="BT30" s="1"/>
  <c r="BN30"/>
  <c r="BO30" s="1"/>
  <c r="BP30" s="1"/>
  <c r="BJ30"/>
  <c r="BK30" s="1"/>
  <c r="BL30" s="1"/>
  <c r="BF30"/>
  <c r="BG30" s="1"/>
  <c r="BH30" s="1"/>
  <c r="BB30"/>
  <c r="BC30" s="1"/>
  <c r="BD30" s="1"/>
  <c r="AX30"/>
  <c r="AY30" s="1"/>
  <c r="AZ30" s="1"/>
  <c r="AU30"/>
  <c r="AV30" s="1"/>
  <c r="AR30"/>
  <c r="AM30"/>
  <c r="AN30" s="1"/>
  <c r="AE30"/>
  <c r="AF30" s="1"/>
  <c r="BL29"/>
  <c r="BG29"/>
  <c r="BH29" s="1"/>
  <c r="BC29"/>
  <c r="AV29"/>
  <c r="AR29"/>
  <c r="AN29"/>
  <c r="AJ29"/>
  <c r="AF29"/>
  <c r="AB29"/>
  <c r="BG28"/>
  <c r="BH28" s="1"/>
  <c r="BC28"/>
  <c r="BD28" s="1"/>
  <c r="AU28"/>
  <c r="AV28" s="1"/>
  <c r="AQ28"/>
  <c r="AR28" s="1"/>
  <c r="AM28"/>
  <c r="AN28" s="1"/>
  <c r="AI28"/>
  <c r="AJ28" s="1"/>
  <c r="AE28"/>
  <c r="AF28" s="1"/>
  <c r="S28"/>
  <c r="T28" s="1"/>
  <c r="U28" s="1"/>
  <c r="BG27"/>
  <c r="BH27" s="1"/>
  <c r="BC27"/>
  <c r="BD27" s="1"/>
  <c r="AY27"/>
  <c r="AV27"/>
  <c r="AQ27"/>
  <c r="AR27" s="1"/>
  <c r="AN27"/>
  <c r="AI27"/>
  <c r="AJ27" s="1"/>
  <c r="AE27"/>
  <c r="AF27" s="1"/>
  <c r="S27"/>
  <c r="T27" s="1"/>
  <c r="U27" s="1"/>
  <c r="BG26"/>
  <c r="BH26" s="1"/>
  <c r="AR26"/>
  <c r="AM26"/>
  <c r="AN26" s="1"/>
  <c r="AJ26"/>
  <c r="AE26"/>
  <c r="AF26" s="1"/>
  <c r="S26"/>
  <c r="T26" s="1"/>
  <c r="U26" s="1"/>
  <c r="AQ25"/>
  <c r="AR25" s="1"/>
  <c r="AN25"/>
  <c r="S25"/>
  <c r="T25" s="1"/>
  <c r="U25" s="1"/>
  <c r="BS24"/>
  <c r="BT24" s="1"/>
  <c r="BO24"/>
  <c r="BP24" s="1"/>
  <c r="BK24"/>
  <c r="BL24" s="1"/>
  <c r="BG24"/>
  <c r="BH24" s="1"/>
  <c r="BC24"/>
  <c r="BD24" s="1"/>
  <c r="AZ24"/>
  <c r="AV24"/>
  <c r="AQ24"/>
  <c r="AR24" s="1"/>
  <c r="AM24"/>
  <c r="AN24" s="1"/>
  <c r="AI24"/>
  <c r="AJ24" s="1"/>
  <c r="AE24"/>
  <c r="AF24" s="1"/>
  <c r="AB24"/>
  <c r="AA24"/>
  <c r="S24"/>
  <c r="T24" s="1"/>
  <c r="U24" s="1"/>
  <c r="BS23"/>
  <c r="BT23" s="1"/>
  <c r="BO23"/>
  <c r="BP23" s="1"/>
  <c r="BK23"/>
  <c r="BL23" s="1"/>
  <c r="BG23"/>
  <c r="BH23" s="1"/>
  <c r="BC23"/>
  <c r="BD23" s="1"/>
  <c r="AY23"/>
  <c r="AZ23" s="1"/>
  <c r="AV23"/>
  <c r="AQ23"/>
  <c r="AR23" s="1"/>
  <c r="AM23"/>
  <c r="AN23" s="1"/>
  <c r="AI23"/>
  <c r="AJ23" s="1"/>
  <c r="AE23"/>
  <c r="AF23" s="1"/>
  <c r="AA23"/>
  <c r="AB23" s="1"/>
  <c r="S23"/>
  <c r="T23" s="1"/>
  <c r="U23" s="1"/>
  <c r="BS22"/>
  <c r="BT22" s="1"/>
  <c r="BO22"/>
  <c r="BP22" s="1"/>
  <c r="BK22"/>
  <c r="BL22" s="1"/>
  <c r="BG22"/>
  <c r="BH22" s="1"/>
  <c r="BC22"/>
  <c r="BD22" s="1"/>
  <c r="AY22"/>
  <c r="AZ22" s="1"/>
  <c r="AU22"/>
  <c r="AV22" s="1"/>
  <c r="AQ22"/>
  <c r="AR22" s="1"/>
  <c r="AM22"/>
  <c r="AN22" s="1"/>
  <c r="AI22"/>
  <c r="AJ22" s="1"/>
  <c r="AE22"/>
  <c r="AF22" s="1"/>
  <c r="AA22"/>
  <c r="AB22" s="1"/>
  <c r="S22"/>
  <c r="T22" s="1"/>
  <c r="U22" s="1"/>
  <c r="BR21"/>
  <c r="BS21" s="1"/>
  <c r="BT21" s="1"/>
  <c r="BN21"/>
  <c r="BO21" s="1"/>
  <c r="BP21" s="1"/>
  <c r="BJ21"/>
  <c r="BK21" s="1"/>
  <c r="BL21" s="1"/>
  <c r="BF21"/>
  <c r="BG21" s="1"/>
  <c r="BH21" s="1"/>
  <c r="BB21"/>
  <c r="BC21" s="1"/>
  <c r="BD21" s="1"/>
  <c r="AY21"/>
  <c r="AZ21" s="1"/>
  <c r="AX21"/>
  <c r="AU21"/>
  <c r="AV21" s="1"/>
  <c r="AT21"/>
  <c r="AQ21"/>
  <c r="AR21" s="1"/>
  <c r="AP21"/>
  <c r="AM21"/>
  <c r="AN21" s="1"/>
  <c r="AL21"/>
  <c r="AI21"/>
  <c r="AJ21" s="1"/>
  <c r="AH21"/>
  <c r="AE21"/>
  <c r="AF21" s="1"/>
  <c r="AD21"/>
  <c r="AA21"/>
  <c r="AB21" s="1"/>
  <c r="Z21"/>
  <c r="BS20"/>
  <c r="BT20" s="1"/>
  <c r="BO20"/>
  <c r="BP20" s="1"/>
  <c r="BK20"/>
  <c r="BL20" s="1"/>
  <c r="BG20"/>
  <c r="BH20" s="1"/>
  <c r="BC20"/>
  <c r="BD20" s="1"/>
  <c r="AY20"/>
  <c r="AZ20" s="1"/>
  <c r="AU20"/>
  <c r="AV20" s="1"/>
  <c r="AQ20"/>
  <c r="AR20" s="1"/>
  <c r="AM20"/>
  <c r="AN20" s="1"/>
  <c r="AI20"/>
  <c r="AJ20" s="1"/>
  <c r="AE20"/>
  <c r="AF20" s="1"/>
  <c r="AA20"/>
  <c r="AB20" s="1"/>
  <c r="S20"/>
  <c r="T20" s="1"/>
  <c r="U20" s="1"/>
  <c r="BS19"/>
  <c r="BT19" s="1"/>
  <c r="BO19"/>
  <c r="BP19" s="1"/>
  <c r="BK19"/>
  <c r="BL19" s="1"/>
  <c r="BG19"/>
  <c r="BH19" s="1"/>
  <c r="BC19"/>
  <c r="BD19" s="1"/>
  <c r="AY19"/>
  <c r="AZ19" s="1"/>
  <c r="AU19"/>
  <c r="AV19" s="1"/>
  <c r="AQ19"/>
  <c r="AR19" s="1"/>
  <c r="AM19"/>
  <c r="AN19" s="1"/>
  <c r="AI19"/>
  <c r="AJ19" s="1"/>
  <c r="AE19"/>
  <c r="AF19" s="1"/>
  <c r="AA19"/>
  <c r="AB19" s="1"/>
  <c r="S19"/>
  <c r="T19" s="1"/>
  <c r="U19" s="1"/>
  <c r="BS18"/>
  <c r="BT18" s="1"/>
  <c r="BO18"/>
  <c r="BK18"/>
  <c r="BL18" s="1"/>
  <c r="BG18"/>
  <c r="BH18" s="1"/>
  <c r="BD18"/>
  <c r="AZ18"/>
  <c r="AV18"/>
  <c r="AR18"/>
  <c r="AN18"/>
  <c r="AJ18"/>
  <c r="AF18"/>
  <c r="AB18"/>
  <c r="S18"/>
  <c r="R18"/>
  <c r="BS17"/>
  <c r="BT17" s="1"/>
  <c r="BO17"/>
  <c r="BK17"/>
  <c r="BL17" s="1"/>
  <c r="BG17"/>
  <c r="BH17" s="1"/>
  <c r="BD17"/>
  <c r="AZ17"/>
  <c r="AV17"/>
  <c r="AR17"/>
  <c r="AM17"/>
  <c r="AN17" s="1"/>
  <c r="AJ17"/>
  <c r="AE17"/>
  <c r="AF17" s="1"/>
  <c r="AB17"/>
  <c r="S17"/>
  <c r="T17" s="1"/>
  <c r="U17" s="1"/>
  <c r="BT16"/>
  <c r="AV16"/>
  <c r="AR16"/>
  <c r="AN16"/>
  <c r="S16"/>
  <c r="T16" s="1"/>
  <c r="U16" s="1"/>
  <c r="BT15"/>
  <c r="AV15"/>
  <c r="AR15"/>
  <c r="AN15"/>
  <c r="S15"/>
  <c r="T15" s="1"/>
  <c r="U15" s="1"/>
  <c r="BK14"/>
  <c r="BL14" s="1"/>
  <c r="AR14"/>
  <c r="AN14"/>
  <c r="S14"/>
  <c r="T14" s="1"/>
  <c r="U14" s="1"/>
  <c r="BT13"/>
  <c r="BP13"/>
  <c r="BL13"/>
  <c r="BH13"/>
  <c r="BD13"/>
  <c r="AZ13"/>
  <c r="AV13"/>
  <c r="AR13"/>
  <c r="AN13"/>
  <c r="AJ13"/>
  <c r="S13"/>
  <c r="T13" s="1"/>
  <c r="U13" s="1"/>
  <c r="BT12"/>
  <c r="BP12"/>
  <c r="BL12"/>
  <c r="BH12"/>
  <c r="BD12"/>
  <c r="AZ12"/>
  <c r="AV12"/>
  <c r="AR12"/>
  <c r="AN12"/>
  <c r="AJ12"/>
  <c r="S12"/>
  <c r="T12" s="1"/>
  <c r="U12" s="1"/>
  <c r="BT11"/>
  <c r="BP11"/>
  <c r="BL11"/>
  <c r="BH11"/>
  <c r="BD11"/>
  <c r="AZ11"/>
  <c r="AV11"/>
  <c r="AR11"/>
  <c r="AN11"/>
  <c r="AJ11"/>
  <c r="S11"/>
  <c r="T11" s="1"/>
  <c r="U11" s="1"/>
  <c r="BT10"/>
  <c r="BP10"/>
  <c r="BL10"/>
  <c r="BH10"/>
  <c r="BD10"/>
  <c r="AZ10"/>
  <c r="AV10"/>
  <c r="AR10"/>
  <c r="AN10"/>
  <c r="AJ10"/>
  <c r="S10"/>
  <c r="T10" s="1"/>
  <c r="U10" s="1"/>
  <c r="BL51" l="1"/>
  <c r="S48"/>
  <c r="T48" s="1"/>
  <c r="U48" s="1"/>
  <c r="S52"/>
  <c r="T52" s="1"/>
  <c r="U52" s="1"/>
  <c r="S56"/>
  <c r="T56" s="1"/>
  <c r="U56" s="1"/>
  <c r="S58"/>
  <c r="T58" s="1"/>
  <c r="U58" s="1"/>
  <c r="S61"/>
  <c r="S71"/>
  <c r="T71" s="1"/>
  <c r="U71" s="1"/>
  <c r="S73"/>
  <c r="T73" s="1"/>
  <c r="U73" s="1"/>
  <c r="S85"/>
  <c r="T85" s="1"/>
  <c r="U85" s="1"/>
  <c r="BT50"/>
  <c r="U82"/>
  <c r="S86"/>
  <c r="T86" s="1"/>
  <c r="U86" s="1"/>
  <c r="S53"/>
  <c r="T53" s="1"/>
  <c r="U53" s="1"/>
  <c r="S55"/>
  <c r="T55" s="1"/>
  <c r="U55" s="1"/>
  <c r="S57"/>
  <c r="T57" s="1"/>
  <c r="U57" s="1"/>
  <c r="S59"/>
  <c r="T59" s="1"/>
  <c r="U59" s="1"/>
  <c r="S72"/>
  <c r="T72" s="1"/>
  <c r="U72" s="1"/>
  <c r="S83"/>
  <c r="T83" s="1"/>
  <c r="U83" s="1"/>
  <c r="S60"/>
  <c r="T60" s="1"/>
  <c r="U60" s="1"/>
  <c r="S70"/>
  <c r="T70" s="1"/>
  <c r="U70" s="1"/>
  <c r="S81"/>
  <c r="T81" s="1"/>
  <c r="U81" s="1"/>
  <c r="S21"/>
  <c r="T21" s="1"/>
  <c r="U21" s="1"/>
  <c r="S29"/>
  <c r="T29" s="1"/>
  <c r="U29" s="1"/>
  <c r="AF40"/>
  <c r="T18"/>
  <c r="U18" s="1"/>
  <c r="BD29"/>
  <c r="S30"/>
  <c r="T30" s="1"/>
  <c r="U30" s="1"/>
  <c r="AV39"/>
  <c r="AJ53"/>
  <c r="S39"/>
  <c r="T39" s="1"/>
  <c r="U39" s="1"/>
  <c r="S40"/>
  <c r="T40" s="1"/>
  <c r="U40" s="1"/>
  <c r="AJ86"/>
</calcChain>
</file>

<file path=xl/comments1.xml><?xml version="1.0" encoding="utf-8"?>
<comments xmlns="http://schemas.openxmlformats.org/spreadsheetml/2006/main">
  <authors>
    <author>apereira</author>
    <author>pcatano</author>
    <author>arios</author>
    <author>Maria Angelica Escarraga Lopez</author>
    <author>katherine cruz</author>
  </authors>
  <commentList>
    <comment ref="R10" authorId="0">
      <text>
        <r>
          <rPr>
            <b/>
            <sz val="8"/>
            <color indexed="81"/>
            <rFont val="Tahoma"/>
            <family val="2"/>
          </rPr>
          <t>apereira:</t>
        </r>
        <r>
          <rPr>
            <sz val="8"/>
            <color indexed="81"/>
            <rFont val="Tahoma"/>
            <family val="2"/>
          </rPr>
          <t xml:space="preserve">
Se ajusta la meta mensual de 4354 a 5088</t>
        </r>
      </text>
    </comment>
    <comment ref="AH11" authorId="1">
      <text>
        <r>
          <rPr>
            <b/>
            <sz val="8"/>
            <color indexed="81"/>
            <rFont val="Tahoma"/>
            <family val="2"/>
          </rPr>
          <t xml:space="preserve">arios:
</t>
        </r>
        <r>
          <rPr>
            <sz val="8"/>
            <color indexed="81"/>
            <rFont val="Tahoma"/>
            <family val="2"/>
          </rPr>
          <t xml:space="preserve">En la Parrilla de Radio Nacional actualmente tenemos 18 programas y en Radiónica 24 programas.
</t>
        </r>
      </text>
    </comment>
    <comment ref="AL11" authorId="2">
      <text>
        <r>
          <rPr>
            <b/>
            <sz val="8"/>
            <color indexed="81"/>
            <rFont val="Tahoma"/>
            <family val="2"/>
          </rPr>
          <t>arios:</t>
        </r>
        <r>
          <rPr>
            <sz val="8"/>
            <color indexed="81"/>
            <rFont val="Tahoma"/>
            <family val="2"/>
          </rPr>
          <t xml:space="preserve">
En la Parrilla de Radio Nacional actualmente tenemos 18 programas y en Radiónica 24 programas.
</t>
        </r>
      </text>
    </comment>
    <comment ref="AT11" authorId="1">
      <text>
        <r>
          <rPr>
            <b/>
            <sz val="8"/>
            <color indexed="81"/>
            <rFont val="Tahoma"/>
            <family val="2"/>
          </rPr>
          <t xml:space="preserve">arios:
</t>
        </r>
        <r>
          <rPr>
            <sz val="8"/>
            <color indexed="81"/>
            <rFont val="Tahoma"/>
            <family val="2"/>
          </rPr>
          <t xml:space="preserve">1 Programa Nuevo Radio Nacional "Colombia Responsable".
</t>
        </r>
      </text>
    </comment>
    <comment ref="AX11" authorId="1">
      <text>
        <r>
          <rPr>
            <b/>
            <sz val="8"/>
            <color indexed="81"/>
            <rFont val="Tahoma"/>
            <family val="2"/>
          </rPr>
          <t>pcatano:</t>
        </r>
        <r>
          <rPr>
            <sz val="8"/>
            <color indexed="81"/>
            <rFont val="Tahoma"/>
            <family val="2"/>
          </rPr>
          <t xml:space="preserve">
arios:
1 Programa programa nuevo de Radiónica de 1 minuto de duración que tiene como nombre "Mi Crónica" en total 50 productos.
2. Detectives Radiónica que son 25 capitulos nuevos que tienen una duración de 5 minutos.
Adicionalmente se reemplazo el Hall de la Fama de Radiónica por "La Clase del Profe" programa nuevo.
</t>
        </r>
      </text>
    </comment>
    <comment ref="BB11" authorId="2">
      <text>
        <r>
          <rPr>
            <b/>
            <sz val="8"/>
            <color indexed="81"/>
            <rFont val="Tahoma"/>
            <family val="2"/>
          </rPr>
          <t>arios:</t>
        </r>
        <r>
          <rPr>
            <sz val="8"/>
            <color indexed="81"/>
            <rFont val="Tahoma"/>
            <family val="2"/>
          </rPr>
          <t xml:space="preserve">
</t>
        </r>
        <r>
          <rPr>
            <b/>
            <sz val="8"/>
            <color indexed="81"/>
            <rFont val="Tahoma"/>
            <family val="2"/>
          </rPr>
          <t>Parrilla de la Radio Nacional</t>
        </r>
        <r>
          <rPr>
            <sz val="8"/>
            <color indexed="81"/>
            <rFont val="Tahoma"/>
            <family val="2"/>
          </rPr>
          <t xml:space="preserve"> 26 programas incluyendo 1 Nuevo "Entrevistas conAlvaro Garcia Voces".  
</t>
        </r>
        <r>
          <rPr>
            <b/>
            <sz val="8"/>
            <color indexed="81"/>
            <rFont val="Tahoma"/>
            <family val="2"/>
          </rPr>
          <t>Parrilla Radiónica</t>
        </r>
        <r>
          <rPr>
            <sz val="8"/>
            <color indexed="81"/>
            <rFont val="Tahoma"/>
            <family val="2"/>
          </rPr>
          <t xml:space="preserve"> 31</t>
        </r>
      </text>
    </comment>
    <comment ref="R12" authorId="3">
      <text>
        <r>
          <rPr>
            <b/>
            <sz val="9"/>
            <color indexed="81"/>
            <rFont val="Tahoma"/>
            <family val="2"/>
          </rPr>
          <t>Maria Angelica Escarraga Lopez:</t>
        </r>
        <r>
          <rPr>
            <sz val="9"/>
            <color indexed="81"/>
            <rFont val="Tahoma"/>
            <family val="2"/>
          </rPr>
          <t xml:space="preserve">
Se ajustó la meta de 400 a 832 . Noviembre 8 se habló con Ada y se acordó que se ajustaran las metas a partir de julio
</t>
        </r>
      </text>
    </comment>
    <comment ref="AL12" authorId="2">
      <text>
        <r>
          <rPr>
            <b/>
            <sz val="8"/>
            <color indexed="81"/>
            <rFont val="Tahoma"/>
            <family val="2"/>
          </rPr>
          <t>arios:</t>
        </r>
        <r>
          <rPr>
            <sz val="8"/>
            <color indexed="81"/>
            <rFont val="Tahoma"/>
            <family val="2"/>
          </rPr>
          <t xml:space="preserve">
8 Podcast Radiónica, 
4 Podcast Radio Nacional
35 Videos Radiónica
21 Video Radio Nacional
</t>
        </r>
      </text>
    </comment>
    <comment ref="AP12" authorId="2">
      <text>
        <r>
          <rPr>
            <b/>
            <sz val="8"/>
            <color indexed="81"/>
            <rFont val="Tahoma"/>
            <family val="2"/>
          </rPr>
          <t>arios:</t>
        </r>
        <r>
          <rPr>
            <sz val="8"/>
            <color indexed="81"/>
            <rFont val="Tahoma"/>
            <family val="2"/>
          </rPr>
          <t xml:space="preserve">
12 Videos Radiónica y 7 Audios Radiónica
23 Podcast Fonoteca 
8 Podcast Radio Nacional
14 Videos de Radio Nacional</t>
        </r>
      </text>
    </comment>
    <comment ref="AT12" authorId="1">
      <text>
        <r>
          <rPr>
            <sz val="8"/>
            <color indexed="81"/>
            <rFont val="Tahoma"/>
            <family val="2"/>
          </rPr>
          <t>arios:
67 Posdcast Radio Nacional
14 videos Radio Nacional
5 Potcast Radiónica
20 Videos Radiónica</t>
        </r>
      </text>
    </comment>
    <comment ref="BB12" authorId="2">
      <text>
        <r>
          <rPr>
            <b/>
            <sz val="8"/>
            <color indexed="81"/>
            <rFont val="Tahoma"/>
            <family val="2"/>
          </rPr>
          <t>arios:</t>
        </r>
        <r>
          <rPr>
            <sz val="8"/>
            <color indexed="81"/>
            <rFont val="Tahoma"/>
            <family val="2"/>
          </rPr>
          <t xml:space="preserve">
</t>
        </r>
        <r>
          <rPr>
            <b/>
            <sz val="8"/>
            <color indexed="81"/>
            <rFont val="Tahoma"/>
            <family val="2"/>
          </rPr>
          <t xml:space="preserve">Radiónica </t>
        </r>
        <r>
          <rPr>
            <sz val="8"/>
            <color indexed="81"/>
            <rFont val="Tahoma"/>
            <family val="2"/>
          </rPr>
          <t xml:space="preserve">
25 Potcats
17 Videocats
</t>
        </r>
        <r>
          <rPr>
            <b/>
            <sz val="8"/>
            <color indexed="81"/>
            <rFont val="Tahoma"/>
            <family val="2"/>
          </rPr>
          <t xml:space="preserve">Radio Nacional
</t>
        </r>
        <r>
          <rPr>
            <sz val="8"/>
            <color indexed="81"/>
            <rFont val="Tahoma"/>
            <family val="2"/>
          </rPr>
          <t>54 Potcast
12 Videocatas</t>
        </r>
      </text>
    </comment>
    <comment ref="BF12" authorId="2">
      <text>
        <r>
          <rPr>
            <b/>
            <sz val="8"/>
            <color indexed="81"/>
            <rFont val="Tahoma"/>
            <family val="2"/>
          </rPr>
          <t>arios:</t>
        </r>
        <r>
          <rPr>
            <sz val="8"/>
            <color indexed="81"/>
            <rFont val="Tahoma"/>
            <family val="2"/>
          </rPr>
          <t xml:space="preserve">
15 Videcast Radio Nacional
60 Potcas
32 Videocast Concierto Radiónica Medellín y Bogotá
26 Potcas Radiónica</t>
        </r>
      </text>
    </comment>
    <comment ref="BJ12" authorId="2">
      <text>
        <r>
          <rPr>
            <b/>
            <sz val="8"/>
            <color indexed="81"/>
            <rFont val="Tahoma"/>
            <family val="2"/>
          </rPr>
          <t>arios:</t>
        </r>
        <r>
          <rPr>
            <sz val="8"/>
            <color indexed="81"/>
            <rFont val="Tahoma"/>
            <family val="2"/>
          </rPr>
          <t xml:space="preserve">
* Radio Nacional 
112 Potcast
14 Videocast
Radiónica
12 Postcast
22 Videocast</t>
        </r>
      </text>
    </comment>
    <comment ref="BM12" authorId="3">
      <text>
        <r>
          <rPr>
            <b/>
            <sz val="9"/>
            <color indexed="81"/>
            <rFont val="Tahoma"/>
            <family val="2"/>
          </rPr>
          <t>Maria Angelica Escarraga Lopez:</t>
        </r>
        <r>
          <rPr>
            <sz val="9"/>
            <color indexed="81"/>
            <rFont val="Tahoma"/>
            <family val="2"/>
          </rPr>
          <t xml:space="preserve">
De acuerdo con las proyecciones de radio, la meta fue ajustada de 40 a 90 según correo electrónico del 8 de noviembre</t>
        </r>
      </text>
    </comment>
    <comment ref="BQ12" authorId="3">
      <text>
        <r>
          <rPr>
            <b/>
            <sz val="9"/>
            <color indexed="81"/>
            <rFont val="Tahoma"/>
            <family val="2"/>
          </rPr>
          <t>Maria Angelica Escarraga Lopez:</t>
        </r>
        <r>
          <rPr>
            <sz val="9"/>
            <color indexed="81"/>
            <rFont val="Tahoma"/>
            <family val="2"/>
          </rPr>
          <t xml:space="preserve">
De acuerdo con las proyecciones de radio, la meta fue ajustada de 40 a 90 según correo electrónico del 8 de noviembre</t>
        </r>
      </text>
    </comment>
    <comment ref="R13" authorId="3">
      <text>
        <r>
          <rPr>
            <b/>
            <sz val="9"/>
            <color indexed="81"/>
            <rFont val="Tahoma"/>
            <family val="2"/>
          </rPr>
          <t xml:space="preserve">Maria Angelica Escarraga Lopez
Se  modificó la meta reduciendo los eventos de noviembre y diciembre porque se aumentaron el número de días de algunos eventos en otros meses así que se está corto de presupuesto
</t>
        </r>
      </text>
    </comment>
    <comment ref="AL13" authorId="2">
      <text>
        <r>
          <rPr>
            <b/>
            <sz val="8"/>
            <color indexed="81"/>
            <rFont val="Tahoma"/>
            <family val="2"/>
          </rPr>
          <t>arios:</t>
        </r>
        <r>
          <rPr>
            <sz val="8"/>
            <color indexed="81"/>
            <rFont val="Tahoma"/>
            <family val="2"/>
          </rPr>
          <t xml:space="preserve">
Feria del Libro
Conversaciones
Transmisión Paul Mccartney
Fonoteca Obra de Teatro Edipo Rey y 2 Exposiciones Caratulas  Radiónica y Radio Teatro</t>
        </r>
      </text>
    </comment>
    <comment ref="AP13" authorId="2">
      <text>
        <r>
          <rPr>
            <b/>
            <sz val="8"/>
            <color indexed="81"/>
            <rFont val="Tahoma"/>
            <family val="2"/>
          </rPr>
          <t xml:space="preserve">arios:
Gira Radio nacional
Conversaciones
Talleres Colombiologicos
Feria del Libro
</t>
        </r>
      </text>
    </comment>
    <comment ref="AT13" authorId="1">
      <text>
        <r>
          <rPr>
            <b/>
            <sz val="8"/>
            <color indexed="81"/>
            <rFont val="Tahoma"/>
            <family val="2"/>
          </rPr>
          <t xml:space="preserve">arios:
</t>
        </r>
        <r>
          <rPr>
            <sz val="8"/>
            <color indexed="81"/>
            <rFont val="Tahoma"/>
            <family val="2"/>
          </rPr>
          <t xml:space="preserve">Rock Al Parque
Campus Pary (Radio Nacional y Radiónica)
Conversaciones
Caravana Radiónica
Radionica Sound Sistem
Festival del Porro "San Pelayo"
Cubrimiento Festival Mono Nuñez
</t>
        </r>
      </text>
    </comment>
    <comment ref="AX13" authorId="1">
      <text>
        <r>
          <rPr>
            <b/>
            <sz val="8"/>
            <color indexed="81"/>
            <rFont val="Tahoma"/>
            <family val="2"/>
          </rPr>
          <t>arios:
1. Rock Al Parque
2. Festival del Porro en San Pelayo Cordoba
3.  Talleres Colombiólogicos Rad Nal. En Maloka.
4. Acústicos Radio Nacional "Andres Correa"
5.   Caravana Radiónica Costa Caribe.
6. Gira Radio Nacional Puerto Inirida.
7. Cubrimiento 20 de Julio
8. Cubrimiento problématica Toribio Cauca 
9. Grabación los libros desde Cartagena</t>
        </r>
      </text>
    </comment>
    <comment ref="BB13" authorId="2">
      <text>
        <r>
          <rPr>
            <b/>
            <sz val="8"/>
            <color indexed="81"/>
            <rFont val="Tahoma"/>
            <family val="2"/>
          </rPr>
          <t>arios:</t>
        </r>
        <r>
          <rPr>
            <sz val="8"/>
            <color indexed="81"/>
            <rFont val="Tahoma"/>
            <family val="2"/>
          </rPr>
          <t xml:space="preserve">
8 Acústicos Radiónica
En Tic Confio
Goete Institut Stadt
Conversaciones Radio Nacional
Foro Radio Nacional
Gira Radio nacional honda
Petronio Alvarez en Cali
Feria de las Flores en Medellín
Taller Archivos Audiovisuales Fonoteca
Exposición Caratulas
Salsa al Parque
Acústicos Radio Nacional
</t>
        </r>
      </text>
    </comment>
    <comment ref="BJ13" authorId="2">
      <text>
        <r>
          <rPr>
            <b/>
            <sz val="8"/>
            <color indexed="81"/>
            <rFont val="Tahoma"/>
            <family val="2"/>
          </rPr>
          <t>arios:</t>
        </r>
        <r>
          <rPr>
            <sz val="8"/>
            <color indexed="81"/>
            <rFont val="Tahoma"/>
            <family val="2"/>
          </rPr>
          <t xml:space="preserve">
Radiónica
1, Festival Calibre Cali
2, Festival Altavoz
3, Hip Hop al Parque 
4, Circulart 2012 Medellín
5, Colombia 3,0
Radio Nacional
1, Foro Responsabilidad Social (U.Externado)
2, Festival Tambores y Expresiones Culturales
3,Festival Nacional de Gaitas
4, Greenmon Festivla
5, Colombia 3,0
6 , Conversaciones 
7, Gira Radio Nacional
8 Foros Radio Nacional (u.Javeriana)
9, Talleres Colombiologicos
10, Sabor y Saber Cali y Popayan
Fonoteca
1 Lanzamiento Música Clásica
2, Seminario Músicas Prohibidas
3, Conferencia Fonoteca Radio (Cali)
4, Conferencia Radio Pública (Cartagena)
5, Exposición Caratulas del Rock (Cali y Popayan)
6, Exposición y talleres Radioteatro.</t>
        </r>
      </text>
    </comment>
    <comment ref="BM13" authorId="3">
      <text>
        <r>
          <rPr>
            <b/>
            <sz val="9"/>
            <color indexed="81"/>
            <rFont val="Tahoma"/>
            <family val="2"/>
          </rPr>
          <t>Maria Angelica Escarraga Lopez:</t>
        </r>
        <r>
          <rPr>
            <sz val="9"/>
            <color indexed="81"/>
            <rFont val="Tahoma"/>
            <family val="2"/>
          </rPr>
          <t xml:space="preserve">
De acuerdo con la proyección de radio se debe reducir la meta a 12 eventos en noviembre, dado que se aumentaron el número de días promedio de duración de los eventos
</t>
        </r>
      </text>
    </comment>
    <comment ref="BQ13" authorId="3">
      <text>
        <r>
          <rPr>
            <b/>
            <sz val="9"/>
            <color indexed="81"/>
            <rFont val="Tahoma"/>
            <family val="2"/>
          </rPr>
          <t>Maria Angelica Escarraga Lopez:</t>
        </r>
        <r>
          <rPr>
            <sz val="9"/>
            <color indexed="81"/>
            <rFont val="Tahoma"/>
            <family val="2"/>
          </rPr>
          <t xml:space="preserve">
De acuerdo con la proyección de radio se debe reducir la meta a 4 eventos en diciembre, dado que se aumentaron el número de días promedio de duración de los eventos</t>
        </r>
      </text>
    </comment>
    <comment ref="BJ14" authorId="2">
      <text>
        <r>
          <rPr>
            <b/>
            <sz val="8"/>
            <color indexed="81"/>
            <rFont val="Tahoma"/>
            <family val="2"/>
          </rPr>
          <t>arios:</t>
        </r>
        <r>
          <rPr>
            <sz val="8"/>
            <color indexed="81"/>
            <rFont val="Tahoma"/>
            <family val="2"/>
          </rPr>
          <t xml:space="preserve">
CNC- Se adquirio el ECAR CTO. No.333/2012 y UNION TEMPORAL JJC  CTO. 331/2012 ANALISIS DE AUDIENCIAS</t>
        </r>
      </text>
    </comment>
    <comment ref="AP48" authorId="1">
      <text>
        <r>
          <rPr>
            <b/>
            <sz val="16"/>
            <color indexed="81"/>
            <rFont val="Tahoma"/>
            <family val="2"/>
          </rPr>
          <t>pcatano:</t>
        </r>
        <r>
          <rPr>
            <sz val="16"/>
            <color indexed="81"/>
            <rFont val="Tahoma"/>
            <family val="2"/>
          </rPr>
          <t xml:space="preserve">
las dos pendientes son por siniestro</t>
        </r>
      </text>
    </comment>
    <comment ref="AI57" authorId="4">
      <text>
        <r>
          <rPr>
            <b/>
            <sz val="8"/>
            <color indexed="81"/>
            <rFont val="Tahoma"/>
            <family val="2"/>
          </rPr>
          <t>katherine cruz:</t>
        </r>
        <r>
          <rPr>
            <sz val="8"/>
            <color indexed="81"/>
            <rFont val="Tahoma"/>
            <family val="2"/>
          </rPr>
          <t xml:space="preserve">
Las evaluaciones de desempeño se entregan anualmente y efectivamente fueron entregadas a Gestión Humana y todas las recibidas cumplen. No se presentaron resultados no satisfactorios.</t>
        </r>
      </text>
    </comment>
    <comment ref="AU57" authorId="4">
      <text>
        <r>
          <rPr>
            <b/>
            <sz val="8"/>
            <color indexed="81"/>
            <rFont val="Tahoma"/>
            <family val="2"/>
          </rPr>
          <t>katherine cruz:</t>
        </r>
        <r>
          <rPr>
            <sz val="8"/>
            <color indexed="81"/>
            <rFont val="Tahoma"/>
            <family val="2"/>
          </rPr>
          <t xml:space="preserve">
Las evaluaciones de desempeño se entregan anualmente y efectivamente fueron entregadas a Gestión Humana y todas las recibidas cumplen. No se presentaron resultados no satisfactorios.</t>
        </r>
      </text>
    </comment>
    <comment ref="AU58" authorId="4">
      <text>
        <r>
          <rPr>
            <b/>
            <sz val="8"/>
            <color indexed="81"/>
            <rFont val="Tahoma"/>
            <family val="2"/>
          </rPr>
          <t>katherine cruz:</t>
        </r>
        <r>
          <rPr>
            <sz val="8"/>
            <color indexed="81"/>
            <rFont val="Tahoma"/>
            <family val="2"/>
          </rPr>
          <t xml:space="preserve">
Se tenían programadas 2 actividades y se realizaron: 1) Curso de pintura y 2) Campeonato de banquitas.</t>
        </r>
      </text>
    </comment>
    <comment ref="AU59" authorId="4">
      <text>
        <r>
          <rPr>
            <b/>
            <sz val="8"/>
            <color indexed="81"/>
            <rFont val="Tahoma"/>
            <family val="2"/>
          </rPr>
          <t>katherine cruz:</t>
        </r>
        <r>
          <rPr>
            <sz val="8"/>
            <color indexed="81"/>
            <rFont val="Tahoma"/>
            <family val="2"/>
          </rPr>
          <t xml:space="preserve">
se capacitó Leyder Cuervo en invetarios y Clara Moreno en Control Disciplinario.</t>
        </r>
      </text>
    </comment>
    <comment ref="AU60" authorId="4">
      <text>
        <r>
          <rPr>
            <b/>
            <sz val="8"/>
            <color indexed="81"/>
            <rFont val="Tahoma"/>
            <family val="2"/>
          </rPr>
          <t>katherine cruz:</t>
        </r>
        <r>
          <rPr>
            <sz val="8"/>
            <color indexed="81"/>
            <rFont val="Tahoma"/>
            <family val="2"/>
          </rPr>
          <t xml:space="preserve">
Se realizaron las capacitaciones a los Brigadistas, pero no existe buena participación ni asistencia a las mismas, por parte de los funcionarios de rtvc. </t>
        </r>
      </text>
    </comment>
  </commentList>
</comments>
</file>

<file path=xl/sharedStrings.xml><?xml version="1.0" encoding="utf-8"?>
<sst xmlns="http://schemas.openxmlformats.org/spreadsheetml/2006/main" count="1167" uniqueCount="573">
  <si>
    <t>MEJORAMIENTO CONTINUO</t>
  </si>
  <si>
    <r>
      <rPr>
        <b/>
        <sz val="10"/>
        <rFont val="Arial"/>
        <family val="2"/>
      </rPr>
      <t>Codigo</t>
    </r>
    <r>
      <rPr>
        <sz val="10"/>
        <rFont val="Arial"/>
        <family val="2"/>
      </rPr>
      <t xml:space="preserve">  DE-MC-FT-08</t>
    </r>
  </si>
  <si>
    <r>
      <rPr>
        <b/>
        <sz val="10"/>
        <rFont val="Arial"/>
        <family val="2"/>
      </rPr>
      <t xml:space="preserve">Version </t>
    </r>
    <r>
      <rPr>
        <sz val="10"/>
        <rFont val="Arial"/>
        <family val="2"/>
      </rPr>
      <t xml:space="preserve"> V.3</t>
    </r>
  </si>
  <si>
    <t>MATRIZ DE INDICADORES</t>
  </si>
  <si>
    <r>
      <rPr>
        <b/>
        <sz val="10"/>
        <rFont val="Arial"/>
        <family val="2"/>
      </rPr>
      <t>Fecha de Emision</t>
    </r>
    <r>
      <rPr>
        <sz val="10"/>
        <rFont val="Arial"/>
        <family val="2"/>
      </rPr>
      <t>: 27/09/2011</t>
    </r>
  </si>
  <si>
    <t>TIPO DE PROCESO</t>
  </si>
  <si>
    <t>MACROPROCESOS</t>
  </si>
  <si>
    <t>PROCESOS</t>
  </si>
  <si>
    <t>OBJETIVO DE CALIDAD</t>
  </si>
  <si>
    <t>NOMBRE DEL INDICADOR</t>
  </si>
  <si>
    <t xml:space="preserve">OBJETIVO </t>
  </si>
  <si>
    <t>FORMULA</t>
  </si>
  <si>
    <t>Fuente de Información</t>
  </si>
  <si>
    <t xml:space="preserve">FRECUENCIA DE MEDICIÓN
</t>
  </si>
  <si>
    <t>RESPONSABLE</t>
  </si>
  <si>
    <t xml:space="preserve">TIPO DE INDICADOR Eficacia=Resultado Eficiencia=Recursos  Efectividad=Impacto
</t>
  </si>
  <si>
    <t>INFORMACION REPORTADA A:</t>
  </si>
  <si>
    <t>Unidad de medida</t>
  </si>
  <si>
    <t>META 2012</t>
  </si>
  <si>
    <t>RESULTADO 2012</t>
  </si>
  <si>
    <t>CUMPLIMIENTO 2012</t>
  </si>
  <si>
    <t>RANGOS DE CALIFICACION</t>
  </si>
  <si>
    <t xml:space="preserve">Enero </t>
  </si>
  <si>
    <t>Febrero</t>
  </si>
  <si>
    <t>Marzo</t>
  </si>
  <si>
    <t>Abril</t>
  </si>
  <si>
    <t>Mayo</t>
  </si>
  <si>
    <t>Junio</t>
  </si>
  <si>
    <t>Julio</t>
  </si>
  <si>
    <t>Agosto</t>
  </si>
  <si>
    <t>Septiembre</t>
  </si>
  <si>
    <t>Octubre</t>
  </si>
  <si>
    <t>Noviembre</t>
  </si>
  <si>
    <t>Diciembre</t>
  </si>
  <si>
    <t>OBSERVACIONES</t>
  </si>
  <si>
    <t>BUENO</t>
  </si>
  <si>
    <t>Meta mensual</t>
  </si>
  <si>
    <t>valores de la formula</t>
  </si>
  <si>
    <t>Resultado</t>
  </si>
  <si>
    <t>Rango de calificacion</t>
  </si>
  <si>
    <t>PROCESOS MISIONALES</t>
  </si>
  <si>
    <t>UNIDADES MISIONALES</t>
  </si>
  <si>
    <t>PRODUCCION DE RADIO</t>
  </si>
  <si>
    <t>ADQUISICION Y FORTALECIMIENTO DE LA PROGRAMACION DE LA RADIO NACIONAL DE COLOMBIA</t>
  </si>
  <si>
    <t>Horas De Programación Adquiridas</t>
  </si>
  <si>
    <r>
      <rPr>
        <b/>
        <sz val="10"/>
        <color indexed="8"/>
        <rFont val="Arial"/>
        <family val="2"/>
      </rPr>
      <t xml:space="preserve">Adquisición de la programación </t>
    </r>
    <r>
      <rPr>
        <sz val="10"/>
        <color indexed="8"/>
        <rFont val="Arial"/>
        <family val="2"/>
      </rPr>
      <t xml:space="preserve">             Mejorar la calidad de la programación con la producción de nuevos programas </t>
    </r>
  </si>
  <si>
    <t>Número de horas emitidas en Radio</t>
  </si>
  <si>
    <t>Coordinacion de la programacion</t>
  </si>
  <si>
    <t>Mensual</t>
  </si>
  <si>
    <t>Efectividad</t>
  </si>
  <si>
    <t>Plan de Accion / Gestion / SPI</t>
  </si>
  <si>
    <t xml:space="preserve">Horas de radio emitidos </t>
  </si>
  <si>
    <t>0 a 65%</t>
  </si>
  <si>
    <t>66% a 80%</t>
  </si>
  <si>
    <t>80% a 100%</t>
  </si>
  <si>
    <t>Programas de radio emitidos</t>
  </si>
  <si>
    <t>Sumatoria de programas de radio emitidos</t>
  </si>
  <si>
    <t xml:space="preserve">Programas de radio emitidos </t>
  </si>
  <si>
    <t>Contenidos digitales desarrollados</t>
  </si>
  <si>
    <r>
      <rPr>
        <b/>
        <sz val="10"/>
        <color indexed="8"/>
        <rFont val="Arial"/>
        <family val="2"/>
      </rPr>
      <t>Contenidos digitales</t>
    </r>
    <r>
      <rPr>
        <sz val="10"/>
        <color indexed="8"/>
        <rFont val="Arial"/>
        <family val="2"/>
      </rPr>
      <t xml:space="preserve"> Diseñar y producir elementos digitales tales cono podcasts, videocasts a manera de series, publicación de blogs, desarrollo de enciclopedia virtuales de artistas, entre otros, cuyos  contenidos son digitalizados y producidos en el marco de los procesos convergentes</t>
    </r>
  </si>
  <si>
    <t>Sumatoria de contenidos desarrollados</t>
  </si>
  <si>
    <t>La meta fue ajustada</t>
  </si>
  <si>
    <t>Eventos De Promoción Realizados</t>
  </si>
  <si>
    <r>
      <rPr>
        <b/>
        <sz val="10"/>
        <color indexed="8"/>
        <rFont val="Arial"/>
        <family val="2"/>
      </rPr>
      <t>Promoción a la programación</t>
    </r>
    <r>
      <rPr>
        <sz val="10"/>
        <color indexed="8"/>
        <rFont val="Arial"/>
        <family val="2"/>
      </rPr>
      <t xml:space="preserve">                diseñar y producir actividades de alto impacto en diferentes ciudades del país que procuren el posicionamiento de marca de Radio Nacional de Colombia, Radiónica y la Fonoteca de RTVC</t>
    </r>
  </si>
  <si>
    <t xml:space="preserve">Número de eventos realizados con impacto/Número total de
eventos planeados * 100
</t>
  </si>
  <si>
    <t>Coordinacion de la Proyectos</t>
  </si>
  <si>
    <t>Estudios De Análisis Audiencia Realizados</t>
  </si>
  <si>
    <r>
      <rPr>
        <b/>
        <sz val="10"/>
        <color indexed="8"/>
        <rFont val="Arial"/>
        <family val="2"/>
      </rPr>
      <t>Evaluación de la programación.</t>
    </r>
    <r>
      <rPr>
        <sz val="10"/>
        <color indexed="8"/>
        <rFont val="Arial"/>
        <family val="2"/>
      </rPr>
      <t xml:space="preserve">          Generar estrategias que signifiquen el aumento de audiencias y el mayor ingreso de recursos por patrocinios</t>
    </r>
  </si>
  <si>
    <t xml:space="preserve">Ejecución mediciones: Número de estudios
contratados/Número de estudios planeados.
</t>
  </si>
  <si>
    <t xml:space="preserve">EGM y ECAR </t>
  </si>
  <si>
    <t>anual</t>
  </si>
  <si>
    <t xml:space="preserve">PRODUCCION DE TV. </t>
  </si>
  <si>
    <t>Grado de Conformidad del Cliente</t>
  </si>
  <si>
    <t xml:space="preserve"> Crear, modificar y dar forma al material previamente grabado con el fin de finalizar un programa listo para ser emitido según los requerimientos de RTVC y el cliente. </t>
  </si>
  <si>
    <t>Tabulación de Respuestas Conformes o no Conformes</t>
  </si>
  <si>
    <t>Canal Institucional</t>
  </si>
  <si>
    <t>Semestral</t>
  </si>
  <si>
    <t>Coordinador de Canal Institucional</t>
  </si>
  <si>
    <t>Gestion</t>
  </si>
  <si>
    <t>Respuestas</t>
  </si>
  <si>
    <t xml:space="preserve">Grado de Satisfaccion de la  relacion canal-cliente Canal institucional </t>
  </si>
  <si>
    <t>Producir espacios de televisión institucional de acuerdo con los lineamientos y requerimientos de las entidades/clientes, fortaleciendo la relación canal - audiencia y la creación de contenidos digitales</t>
  </si>
  <si>
    <t>Tabulacion Encuestas</t>
  </si>
  <si>
    <t>Eficiencia</t>
  </si>
  <si>
    <t>Resultados de encuestas</t>
  </si>
  <si>
    <t>Produccion y emision de Programas</t>
  </si>
  <si>
    <t>Producir y emitir programas institucionales pertinentes con los objetivos del canal y apropiados para su parrilla y públicos objetivos.</t>
  </si>
  <si>
    <t>No de programas desarrollados/total programas proyectados * 100</t>
  </si>
  <si>
    <t>Planes de Accion</t>
  </si>
  <si>
    <t xml:space="preserve">Plan de Accion </t>
  </si>
  <si>
    <t>No de programas</t>
  </si>
  <si>
    <t>B</t>
  </si>
  <si>
    <t>Cubrimiento de eventos especiales</t>
  </si>
  <si>
    <t>Satisfacer las Necesidades Audiovisuales de la CNTV y de presidencia.</t>
  </si>
  <si>
    <t>No de programas desarrollados de la CNTV y Presidencia /total programas proyectados de la CNTV y Presidencia</t>
  </si>
  <si>
    <t>Plan de Accion</t>
  </si>
  <si>
    <t>M</t>
  </si>
  <si>
    <t>Composición de la parrilla producción en región</t>
  </si>
  <si>
    <t>Evaluar las horas emitidas en la Pertinencia de la parrilla</t>
  </si>
  <si>
    <t>No total horas emitidas con contenido que haya sido producido en región (acumulativo)</t>
  </si>
  <si>
    <t>Coordinador de Señalcolombia</t>
  </si>
  <si>
    <t>Porcentaje de Horas en la parrilla</t>
  </si>
  <si>
    <t>5% total horas = 328,5 horas</t>
  </si>
  <si>
    <t xml:space="preserve">Composición de la parrilla sobre contenido grupos étnicos   </t>
  </si>
  <si>
    <t>No total horas emitidas con contenido sobre grupos étnicos   (Acumulativos)</t>
  </si>
  <si>
    <t>Composición de la parrilla audiencia prioritaria</t>
  </si>
  <si>
    <t>No total horas infantiles + No total de horas adolescentes x 100 / No total de horas emitidas</t>
  </si>
  <si>
    <t xml:space="preserve">15% total horas = 985,5 horas  </t>
  </si>
  <si>
    <t xml:space="preserve">Composición de la parrilla horas emisión nacional </t>
  </si>
  <si>
    <t>No total horas emisión nacional x100 / No total de horas emitidas</t>
  </si>
  <si>
    <t xml:space="preserve">30% total horas = 1.971 horas </t>
  </si>
  <si>
    <t>Aprobación diseño de parrilla y analisis de consumo</t>
  </si>
  <si>
    <t xml:space="preserve"> Análizar las tendencias y consumo de la programación y caracterización de audiencias</t>
  </si>
  <si>
    <t>No de reuniones realizadas x 100 / No de reuniones planeadas</t>
  </si>
  <si>
    <t>Eficacia</t>
  </si>
  <si>
    <t>Reuniones realizadas</t>
  </si>
  <si>
    <t>90% = 11 reuniones</t>
  </si>
  <si>
    <t>80% a 90%</t>
  </si>
  <si>
    <t>Comité de programación mensual</t>
  </si>
  <si>
    <t>Caracterización de audiencias</t>
  </si>
  <si>
    <t>1 documento por c/módulo</t>
  </si>
  <si>
    <t>Documento</t>
  </si>
  <si>
    <t>1 documento por c/módulo (4)</t>
  </si>
  <si>
    <t>Gestion convocatorias</t>
  </si>
  <si>
    <t>Gestionar y producir contenidos audiovisuales de responsabilidad social, de temáticas, de eventos deportivos y culturales y Optimizar la inversión  a través de coproducción, convenios y alianzas internas y externas a RTVC</t>
  </si>
  <si>
    <t xml:space="preserve">No total de convocatorias adjudicadas x100 / No total de convocatorias realizadas </t>
  </si>
  <si>
    <t>Convocatorias</t>
  </si>
  <si>
    <t>15 convocatorias</t>
  </si>
  <si>
    <t>0 a 40%</t>
  </si>
  <si>
    <t>40% a 50%</t>
  </si>
  <si>
    <t>50% 60%</t>
  </si>
  <si>
    <t>Producción piezas responsabilidad social</t>
  </si>
  <si>
    <t>No total de piezas producidas x 100 / No total de piezas planeadas</t>
  </si>
  <si>
    <t>Piezas</t>
  </si>
  <si>
    <t>60% = 6 piezas</t>
  </si>
  <si>
    <t>Producción piezas tematicas</t>
  </si>
  <si>
    <t>No total de piezas producidas x 100 / No total de piezas planeadas (acumulativa a dic)</t>
  </si>
  <si>
    <t>Piezas Audiovisuales</t>
  </si>
  <si>
    <t>80% =7.2 piezas</t>
  </si>
  <si>
    <t>Gestion Coproducciónes, convenios y alianzas</t>
  </si>
  <si>
    <t>Porcentaje del valor total aportado por los coproductores o aliados x100 / Valor total de las coproducciones</t>
  </si>
  <si>
    <t>Valor de las cooproducciones</t>
  </si>
  <si>
    <t>20% = 1.000 millones</t>
  </si>
  <si>
    <t>0 a 10%</t>
  </si>
  <si>
    <t>10% a 15%</t>
  </si>
  <si>
    <t>15% a 20%</t>
  </si>
  <si>
    <t>ajustar meta</t>
  </si>
  <si>
    <t>Produccion eventos deportivos y culturales</t>
  </si>
  <si>
    <t>No total de horas de eventos emitidos x 100 / No total de horas de programación (acumulativo)</t>
  </si>
  <si>
    <t xml:space="preserve">Horas </t>
  </si>
  <si>
    <t>2% total horas = 131,4 horas</t>
  </si>
  <si>
    <t>Adquisición de programas</t>
  </si>
  <si>
    <t>No total de programas planeados x100 / No total de programas adquiridos (acumulativo)</t>
  </si>
  <si>
    <t>80% = 1.380 capítulos</t>
  </si>
  <si>
    <t>0 a 39%</t>
  </si>
  <si>
    <t>40% a59%</t>
  </si>
  <si>
    <t>60% a 80%</t>
  </si>
  <si>
    <t>Producción de series</t>
  </si>
  <si>
    <t>No total de series proyectadas x100 / No total de series producidas (acumulativo)</t>
  </si>
  <si>
    <t>No de series proyectadas</t>
  </si>
  <si>
    <t>80% = 33 series</t>
  </si>
  <si>
    <t>Proyectos o componentes multimedial</t>
  </si>
  <si>
    <t xml:space="preserve">Producir, emitir y publicar contenidos WEB  y de proyectos o componentes multimediales </t>
  </si>
  <si>
    <t>No de proyectos con componente multimedial x 100 / No total de proyectos de producción propia (acumulativo)</t>
  </si>
  <si>
    <t>proyectos con componente multimedial</t>
  </si>
  <si>
    <t>5%  = 2 proyectos</t>
  </si>
  <si>
    <t>0 a 3%</t>
  </si>
  <si>
    <t>3% a 4%</t>
  </si>
  <si>
    <t>4% a 5%</t>
  </si>
  <si>
    <t>Proyectos transversales de RTVC</t>
  </si>
  <si>
    <t>No total de proyectos emitidos x 100 / No total de proyectos planeados  (acumulativo)</t>
  </si>
  <si>
    <t>proyectos con otras unidades de negocio</t>
  </si>
  <si>
    <t>75% = 3 proyectos</t>
  </si>
  <si>
    <t>66% a 79%</t>
  </si>
  <si>
    <t>Proyectos contenidos web</t>
  </si>
  <si>
    <t>No de proyectos con contenido WEB  x 100 / No total de proyectos de producción propia (acumulativo)</t>
  </si>
  <si>
    <t>Publicacion en web</t>
  </si>
  <si>
    <t>80%  = 16 publicaciones</t>
  </si>
  <si>
    <t>Promoción programas nuevos</t>
  </si>
  <si>
    <t>Producir y emitir Piezas promocionales relativas a señalcolombia en otros medios de rtvc .</t>
  </si>
  <si>
    <t>No de programas promocionados antes de su estreno x100 / No total de programas estrenados  (acumulativo)</t>
  </si>
  <si>
    <t>Promociones</t>
  </si>
  <si>
    <t>60% = 36 piezas</t>
  </si>
  <si>
    <t>Piezas promocionales de la marca</t>
  </si>
  <si>
    <t>piezas promocionales</t>
  </si>
  <si>
    <t>75% = 13 piezas</t>
  </si>
  <si>
    <t>ARCHIVO AUDIOVISUAL</t>
  </si>
  <si>
    <t>Registros de archivo sonoro recuperados</t>
  </si>
  <si>
    <r>
      <rPr>
        <b/>
        <sz val="10"/>
        <color indexed="8"/>
        <rFont val="Arial"/>
        <family val="2"/>
      </rPr>
      <t>Recuperación de archivo sonoro</t>
    </r>
    <r>
      <rPr>
        <sz val="10"/>
        <color indexed="8"/>
        <rFont val="Arial"/>
        <family val="2"/>
      </rPr>
      <t xml:space="preserve"> Conservar, digitalizar, catalogar, y divulgar  la memoria sonora recuperada por Radio Nacional de Colombia y Radiónica</t>
    </r>
  </si>
  <si>
    <t>Número de piezas recuperadas</t>
  </si>
  <si>
    <t>Coordinador de Fonoteca</t>
  </si>
  <si>
    <t>archivo sonoro recuperados</t>
  </si>
  <si>
    <t>Respuesta de solicitudes de entrega de material</t>
  </si>
  <si>
    <t>Dar respuesta a solicitudes de los canales Señal Colombia e Institucional. Generar una respuesta oportuna frente a las necesidades de los canales para su programación.</t>
  </si>
  <si>
    <t>No. De material entregado/No. Total de material solicitado</t>
  </si>
  <si>
    <t>Formato control de préstamo de material y Hoja de Ruta</t>
  </si>
  <si>
    <t>Trimestral</t>
  </si>
  <si>
    <t>Técnico de Archivo / Técnico tráfico de archivo</t>
  </si>
  <si>
    <t>1468/1468</t>
  </si>
  <si>
    <t>1557/1557</t>
  </si>
  <si>
    <t>1339/1339</t>
  </si>
  <si>
    <t>1708/1708</t>
  </si>
  <si>
    <t>EMISIÓN Y TRASMISION DE RADIO Y TV</t>
  </si>
  <si>
    <t xml:space="preserve">Disponibilidad de la señal al aire Emision </t>
  </si>
  <si>
    <t>Garantizar la calidad y continuidad de la señal  emitida</t>
  </si>
  <si>
    <t>(tiempo total de canales al aire/ tiempo programado de emision )*100</t>
  </si>
  <si>
    <t>Sistema de Automatización</t>
  </si>
  <si>
    <t xml:space="preserve">Mensual </t>
  </si>
  <si>
    <t>Coordinador de Centro de Emision TV</t>
  </si>
  <si>
    <t>Tiempo de emision</t>
  </si>
  <si>
    <t>21 enero: Ventana de mantenimiento UPS centro de emision, cambio de contactores.(duración 3 horas)
3 enero cambio fuente de poder HPA (2 horas)</t>
  </si>
  <si>
    <t>21,23,24,28 Febrero: Se realizan ventanas de mantenimiento correspondientes a la actualizacion del sistema de compresion satelital de rtvc en base al proyecto TDT (13 horas).
14 Febrero: Ventana de mantenimiento correspondiente a manteniemiento de la UPS del centro de emision ( 4:15 horas).</t>
  </si>
  <si>
    <t>15 al 20 de marzo: Interferencias por el fenomeno natural de manchas solares de la estación primaveral, entre el 16 y 20 de marzo, 8 minutos en promedio emntre las 9:24 y 9:32</t>
  </si>
  <si>
    <t>13 de abril, se presenta falla en el sistema de compresion satelital, que saca de servicio los canales de la multiportadora, desde las 6:23 am aprox hasta las 07:10 am, luego en la madrugada del 14 de abril se realizan ajustes para finalizar normalizar el sistema.</t>
  </si>
  <si>
    <t>Reorganizacion del centro de emision</t>
  </si>
  <si>
    <t>1.Redistribuir del cableado electrónico del centro de emisión y área técnica, 2. Diseñar y reestructurar las redes involucradas en la operación del centro de emisión</t>
  </si>
  <si>
    <t>No de entregables entregados/ No entregables proyectados</t>
  </si>
  <si>
    <t>Centro de Emision TV</t>
  </si>
  <si>
    <t>Anual</t>
  </si>
  <si>
    <t>Entregables</t>
  </si>
  <si>
    <t>Calidad de la transmision red primaria</t>
  </si>
  <si>
    <t>Garantizar la calidad, confiabilidad y continuidad de la señal  transmitida al televidente y a los oyentes</t>
  </si>
  <si>
    <t>Poblacion Cubierta - poblacion atendida/ Poblacion Cubierta *100</t>
  </si>
  <si>
    <t>Informe de AOM</t>
  </si>
  <si>
    <t>Asesor Del area tecnica</t>
  </si>
  <si>
    <t>Poblacion</t>
  </si>
  <si>
    <t>Calidad de la transmision red secundaria</t>
  </si>
  <si>
    <t>Adquisición Recuperación Y Expansión De La Red De Transmisión De Frecuencias De La Radio Nacional De Colombia</t>
  </si>
  <si>
    <t>Estaciones recuperadas</t>
  </si>
  <si>
    <t>Comprar de equipos nuevos para reponer por completo una estación existente en la red pero que se encuentra actualmente en mal estado o fuera de funcionamiento.</t>
  </si>
  <si>
    <t>Nº de estaciones recuperadas / Nº de estaciones planeadas para la vigencia</t>
  </si>
  <si>
    <t>Coordinacion de emision de  radio</t>
  </si>
  <si>
    <t>Coordinador Emisión de Radio</t>
  </si>
  <si>
    <t>Plan de Accion /   SPI</t>
  </si>
  <si>
    <t>Expansión de estaciones (Incluye posibles estudios de audio fuera de Bogotá)</t>
  </si>
  <si>
    <t>Se refiere a estaciones en sitios nuevos donde no se tenía cobertura antes.</t>
  </si>
  <si>
    <t>Nº de estaciones instaladas / Nº de estaciones programadas para la vigencia.</t>
  </si>
  <si>
    <t>Estaciones</t>
  </si>
  <si>
    <t>Renovación de estudios</t>
  </si>
  <si>
    <t>Remplazar de equipos y partes de los estudios que se encuentran con alto grado de deterioro y en mal estado de funcionamiento</t>
  </si>
  <si>
    <t>Nº sistemas y/o equipos adquiridos / Nº sistemas y/o equipos Programados</t>
  </si>
  <si>
    <t xml:space="preserve">Sistemas y/o equipos </t>
  </si>
  <si>
    <t>Adquisición de un sistema de gestión de llamadas. (Complementando los estudios)</t>
  </si>
  <si>
    <t>Para realizar las dos actividades adquisición de Servidores y a su vez la Adquisición de HDX, se solicitó al MINTIC el 25 de sep. De 2012 autorización y dicha autorización fue emitida el 17 de diciembre de 2012. Por lo anterior no fue posible realizar estas dos actividades.</t>
  </si>
  <si>
    <t>Complementación o reserva de estaciones</t>
  </si>
  <si>
    <t>Comprar e instalar de equipos que garanticen la disponibilidad de la red, en condiciones de Backup.</t>
  </si>
  <si>
    <t>Estaciones con señal optimizada</t>
  </si>
  <si>
    <t>Garantizar la señal de las estaciones con un minimo del 90% de potencia</t>
  </si>
  <si>
    <t>cantidad de estaciones con señal con el 90% de potencia</t>
  </si>
  <si>
    <t>Potencia transmitida</t>
  </si>
  <si>
    <t>44 mensuales</t>
  </si>
  <si>
    <t>Disponibilidad de la señal en Emision (radio)</t>
  </si>
  <si>
    <t>Garantizar la calidad y continuidad de la señal  emitida de la Radio a la población nacional de Colombia</t>
  </si>
  <si>
    <t>(Tiempo programado de emisión/ tiempo total de emisión)*100</t>
  </si>
  <si>
    <t>1440/  1440</t>
  </si>
  <si>
    <t>1440/1440</t>
  </si>
  <si>
    <t xml:space="preserve">1439,8/1440   </t>
  </si>
  <si>
    <t xml:space="preserve">   1439,8/1440</t>
  </si>
  <si>
    <t>1439,8/1440</t>
  </si>
  <si>
    <t>1432,8/1440</t>
  </si>
  <si>
    <t>1438,5/1440</t>
  </si>
  <si>
    <t>1200/1440</t>
  </si>
  <si>
    <t>PROCESOS ESTRATÉGICOS</t>
  </si>
  <si>
    <t>DIRECCIONAMIENTO ESTRATEGICO</t>
  </si>
  <si>
    <t>PROYECCION ESTRATEGICA</t>
  </si>
  <si>
    <t>Cumplimiento de las metas de los Planes de Accion de la entidad</t>
  </si>
  <si>
    <t>Verificar el grado de cumplimiento en las actividades planificadas para la gestión de laentidad</t>
  </si>
  <si>
    <t>metas logradas de los planes de accion / metas programadas en el año *100</t>
  </si>
  <si>
    <t>Jefe de la oficina de planeacion estrategica</t>
  </si>
  <si>
    <t>% de metas</t>
  </si>
  <si>
    <t>Democratización  de la Administración Pública</t>
  </si>
  <si>
    <t>Realizar la Rendición de Cuentas bajo los parámetros definidos por el Departamento Administrativo de la Función Pública.</t>
  </si>
  <si>
    <t>Eventos de rendición de cuentas realizados</t>
  </si>
  <si>
    <t>PDA</t>
  </si>
  <si>
    <t>%</t>
  </si>
  <si>
    <t>COMUNICACIÓN</t>
  </si>
  <si>
    <t>Nivel de Cumplimiento del Plan de accion de comunicaciones</t>
  </si>
  <si>
    <t>Determinar el nivel de cumplimiento y avance del plan de de comunicaciones</t>
  </si>
  <si>
    <t>Sumatoria Cumplimiento Metas /Total Metas Propuestas X 100%</t>
  </si>
  <si>
    <t>Equipo de divulgación y prensa.</t>
  </si>
  <si>
    <t>trimestral</t>
  </si>
  <si>
    <t>Profesional de prensa</t>
  </si>
  <si>
    <t>16 / 17 * 100%</t>
  </si>
  <si>
    <t>52 / 61 * 100%</t>
  </si>
  <si>
    <t>16 / 18 * 100%</t>
  </si>
  <si>
    <t>21 / 23 * 100%</t>
  </si>
  <si>
    <t>15 / 16 * 100%</t>
  </si>
  <si>
    <t>13 / 14 * 100%</t>
  </si>
  <si>
    <t>17 / 20 * 100%</t>
  </si>
  <si>
    <t>23 / 23 * 100%</t>
  </si>
  <si>
    <t>19/21*100</t>
  </si>
  <si>
    <t>19/20*100</t>
  </si>
  <si>
    <t>8/12*100</t>
  </si>
  <si>
    <t>Las dos causas principales de que el indicador del área de Divulgación y Prensa esté en el rango de calificación regular se debe a:
1. No se realizaron recorridos en la Entidad debido a que diciembre es temporada de vacaciones en colegios y universidades. Por lo tanto, no se programaron visitas en este mes.
2. No se envió un Boletín interno debido a que las actividades en la entidad disminuyeron en la semana del 24 al 28 de diciembre, por lo tanto no hubo insumos para alimentar dicha herramienta. Las pocas actividades que se realizaron en la semana  se promovieron a través de la Intranet.
Acciones correctivas:
1. Se realizará un análisis en el número de metas a cumplirse en 2013 debido a los antecedentes. Se replanteará la realización de un boletín interno en la última semana de diciembre y la primera de enero.
2. No se programaran recorridos en temporada de vacaciones.</t>
  </si>
  <si>
    <t>Indice de Visitas a las paginas web</t>
  </si>
  <si>
    <t>Establecer el nivel de consulta directa a la pagina Web de la entidad</t>
  </si>
  <si>
    <t># de Ingresos a cada uno de los medios. El resultado se mide con variaciones porcentuales de un periodo a otro</t>
  </si>
  <si>
    <t>Cumplimiento MECI</t>
  </si>
  <si>
    <t>Cumplimiento y mejoramiento de lo implementado</t>
  </si>
  <si>
    <t>Componentes del MECI implementados / total de componentes del MECI* 100</t>
  </si>
  <si>
    <t>Planeacion</t>
  </si>
  <si>
    <t>Jefatura de Servicios Generales</t>
  </si>
  <si>
    <t xml:space="preserve">Jefe Oficina de Planeación </t>
  </si>
  <si>
    <t>Gestión de la Calidad</t>
  </si>
  <si>
    <t>Obtener la Recertificacion en las normas ISO 9001 Y NTCGP 1000.</t>
  </si>
  <si>
    <t>Recertificación otorgada</t>
  </si>
  <si>
    <t>Gestion /PDA</t>
  </si>
  <si>
    <t>PROCESOS DE APOYO</t>
  </si>
  <si>
    <t>SOPORTE CORPORATIVO</t>
  </si>
  <si>
    <t xml:space="preserve">DESARROLLO DEL TALENTO HUMANO
</t>
  </si>
  <si>
    <t>Administracion de personal</t>
  </si>
  <si>
    <t>Medir el cubrimiento de los cargos necesarios para el funcionamiento de la entidad</t>
  </si>
  <si>
    <t>Numero De Cargos Ocupados/Numero De Cargos Totales Para El Funcionamiento )*100</t>
  </si>
  <si>
    <t>Gestion Humana</t>
  </si>
  <si>
    <t>trimiestral</t>
  </si>
  <si>
    <t>Jefatura de Recursos Humanos</t>
  </si>
  <si>
    <t>% de puestos cubiertos</t>
  </si>
  <si>
    <t>80% a 95%</t>
  </si>
  <si>
    <t>70/72*100</t>
  </si>
  <si>
    <t>71/72*100</t>
  </si>
  <si>
    <t>Evaluacion de Desempeño</t>
  </si>
  <si>
    <t>Suministrar a la administración información basada en evidencias que den cuenta  de la competencia laboral del trabajador oficial, con el fin de orientar la toma de decisiones relacionadas  con la permanencia en el servicio, la formulación de planes de incentivos, estímulos y de  capacitación y las demás acciones de mejoramiento individual e institucional a que haya lugar</t>
  </si>
  <si>
    <t>Nº de evaluaciones sobresalientes/ nº total de evaluados*100</t>
  </si>
  <si>
    <t>% de trabajadores</t>
  </si>
  <si>
    <t>60% a85%</t>
  </si>
  <si>
    <t>63/63*100</t>
  </si>
  <si>
    <t>Desarrollo del Talento Humano </t>
  </si>
  <si>
    <t>Medir la eficacia del plan de bienestar</t>
  </si>
  <si>
    <t>Porcentaje de avance del plan de bienestar=Número de actividades realizadas/ total actividades programadas*100</t>
  </si>
  <si>
    <t>Plan de capacitación y bienestar. Registro de Capacitación.</t>
  </si>
  <si>
    <t>semestral</t>
  </si>
  <si>
    <t>% de actividades</t>
  </si>
  <si>
    <t>60% a80%</t>
  </si>
  <si>
    <t>2/2*100</t>
  </si>
  <si>
    <t>Eficacia del plan institucional de capacitación establecido</t>
  </si>
  <si>
    <t>Determinar el cumplimiento del plan institucional de capacitación establecido</t>
  </si>
  <si>
    <t>Porcentaje de avance del plan de capacitación=Número de capacitaciones realizadas/ total capacitaciones programadas*100</t>
  </si>
  <si>
    <t>Plan de capacitaciones</t>
  </si>
  <si>
    <t>% de capacitaciones</t>
  </si>
  <si>
    <t>Eficacia del plan  Salud Ocupacional</t>
  </si>
  <si>
    <t>Determinar el cumplimiento del plan  Salud Ocupacional</t>
  </si>
  <si>
    <t>Porcentaje de avance del Prgrama de Salud Ocupacional=Número deactividades realizadas/ total actividades programadas*100</t>
  </si>
  <si>
    <t>PROGRAMA DE SALUD OCUPACIONAL</t>
  </si>
  <si>
    <t>Timestral</t>
  </si>
  <si>
    <t>11/11*100</t>
  </si>
  <si>
    <t>Indice  Ausentismo y Siniestralidad Laboral</t>
  </si>
  <si>
    <t>Observar periodicamente la incidencia de las enfermedades comunes para tomar las medidas necesarias y  contrarerstar las mismas, evitando el ausentismo en porcentaje superior al establecido en la meta propuesta.</t>
  </si>
  <si>
    <t># deTrabajadores  ausentes o incapacitados/ # Trabajadores en planta el trimestre *100</t>
  </si>
  <si>
    <t>% de horas</t>
  </si>
  <si>
    <t>0 a 4%</t>
  </si>
  <si>
    <t>5% a 7%</t>
  </si>
  <si>
    <t>8% a 10%</t>
  </si>
  <si>
    <t>5/73 *100</t>
  </si>
  <si>
    <t>9/73*100</t>
  </si>
  <si>
    <t>10/73</t>
  </si>
  <si>
    <t># horas de incapacidad por accidente de trabajo/ # Total de horas laboradas planta el trimestre *100</t>
  </si>
  <si>
    <t>0 a 1%</t>
  </si>
  <si>
    <t>0/73*100</t>
  </si>
  <si>
    <t>0/73</t>
  </si>
  <si>
    <t>ADMINISTRACIÓN FINANCIERA</t>
  </si>
  <si>
    <t xml:space="preserve">% recuperación de Cartera
</t>
  </si>
  <si>
    <t>Cartera y Facturacion</t>
  </si>
  <si>
    <t>Jefe de costos e inforamcion financiera</t>
  </si>
  <si>
    <t>DNP</t>
  </si>
  <si>
    <t>% de recaudo</t>
  </si>
  <si>
    <t>0 a 14%</t>
  </si>
  <si>
    <t>15% a 44%</t>
  </si>
  <si>
    <t>45% a 75%</t>
  </si>
  <si>
    <t>(453.797 / (12400534-10625643-574353))</t>
  </si>
  <si>
    <t>+1.205.635.925/  (13.161.301.881-10.884.092.827-1.556.950.497)</t>
  </si>
  <si>
    <t>+1.774.685/  (13.250.563-10.887.588-0-1.768.471)</t>
  </si>
  <si>
    <t>+7.422.629/  (15.973.338-10.930.108-4.479.382)</t>
  </si>
  <si>
    <t>MALO</t>
  </si>
  <si>
    <t>Recaudos</t>
  </si>
  <si>
    <t>Medir los ingresos reales frente a los proyectado</t>
  </si>
  <si>
    <t>Valor anual recaudado / Total anual de ingresos previstos</t>
  </si>
  <si>
    <t>Ejecución Presupuestal</t>
  </si>
  <si>
    <t>Jefatura de analisis financiero y presupuesto</t>
  </si>
  <si>
    <t>67.283.241.380,32 / 158.830.200.000</t>
  </si>
  <si>
    <t>93.166.537.598/ 159.910.200.000</t>
  </si>
  <si>
    <t>99,130,405,027 / 112,725,115,193</t>
  </si>
  <si>
    <t>Ejecucion de Gastos</t>
  </si>
  <si>
    <t>Medir la Ejecucion Presupuestal de la entidad</t>
  </si>
  <si>
    <t>Pagos / Compromisos</t>
  </si>
  <si>
    <t>% de ejecucion de gastos</t>
  </si>
  <si>
    <t xml:space="preserve">79.471.167.738,23 / 158.830.200.000 </t>
  </si>
  <si>
    <t>100.573.447.623 / 159.910.200.000</t>
  </si>
  <si>
    <t>130,526,256,904 / 138,492,775,993</t>
  </si>
  <si>
    <t>Rentabilidad del Activo</t>
  </si>
  <si>
    <t>El mantener un porcentaje positivo indica la optimización del recursos fisico. Pero debe existir inversion en la infraestructura ya que es un riesgo no actualizar la infrestructura</t>
  </si>
  <si>
    <t>Utilidad Operativa - Impuestos Aplicados / Activos Netos de Operación</t>
  </si>
  <si>
    <t>Estados Financieros</t>
  </si>
  <si>
    <t>% de Rentabilidad</t>
  </si>
  <si>
    <t>( -2.106.883-135.000  / 30.636.083 )</t>
  </si>
  <si>
    <t>-344.034-392.740  / 34.436.469</t>
  </si>
  <si>
    <t>(9.221.454 -566.285)/34.939.228</t>
  </si>
  <si>
    <t>(13.341.203 -739.830)/35.863.178</t>
  </si>
  <si>
    <t>Renatbilidad del Patrimonio</t>
  </si>
  <si>
    <t xml:space="preserve">el logro de porcentajes positivos denota el porcentaje de retribución a la inversión de los asociados </t>
  </si>
  <si>
    <t>Utilidad Neta / (Patrimonio - Valorización)</t>
  </si>
  <si>
    <t>(1.961.909  / (30.636.083-1.382.425))</t>
  </si>
  <si>
    <t xml:space="preserve">    -7.207.964 / (69.096.425-1.447.123)</t>
  </si>
  <si>
    <t xml:space="preserve">    11.646.993 / (71.834.187-1.132.334)</t>
  </si>
  <si>
    <t xml:space="preserve">    16.287.798 / (79.265.042-1.128.249)</t>
  </si>
  <si>
    <t>Margen EBITDA</t>
  </si>
  <si>
    <t>Mantener la caja operativa por encima o igual a lo proyectado</t>
  </si>
  <si>
    <t>EBITDA / Ventas</t>
  </si>
  <si>
    <t>Jefe de costos e informaci'on fionanciera</t>
  </si>
  <si>
    <t>% EBITDA</t>
  </si>
  <si>
    <t xml:space="preserve">   (-2.106.833  +  1.307.504+8.826.006)    /1.109.292</t>
  </si>
  <si>
    <t xml:space="preserve">   (-344.034  +  2.707.728 + 8.687.230)    /4.639.776</t>
  </si>
  <si>
    <t xml:space="preserve">   (9.221.454 +12.830.020) /9.192.490</t>
  </si>
  <si>
    <t xml:space="preserve">   (13.341.203+5.529.402+4.635.359+8.803.903) /20.276.791</t>
  </si>
  <si>
    <t>Productividad del KTNO</t>
  </si>
  <si>
    <t>Mantener un capital de trabajo operativo positivo, con el proposito de generar un adecuado nivel de ventas</t>
  </si>
  <si>
    <t>KTNO / Ventas</t>
  </si>
  <si>
    <t>%KTNO</t>
  </si>
  <si>
    <t>+(2.749.885+11.014.994-11070679) /1.109.292</t>
  </si>
  <si>
    <t>+(3.874.488 +  10.884.093-10.931.904) /4.639.776</t>
  </si>
  <si>
    <t>+(10.205.506 + 10.87.588-10.931.904) /9.192.490</t>
  </si>
  <si>
    <t>+(9.687.965 + 10.895.510-10.955.243+) /20.276.791</t>
  </si>
  <si>
    <t xml:space="preserve">SERVICIOS GENERALES
</t>
  </si>
  <si>
    <t>Control de Siniestros</t>
  </si>
  <si>
    <t xml:space="preserve">Evaluar el grado de control de los sinietros de la entidad </t>
  </si>
  <si>
    <t xml:space="preserve">
(No de Siniestros liquidados/  Numero de Siniestros Reportados )*100
Seis (6) Meses
</t>
  </si>
  <si>
    <t>Servicios Generales</t>
  </si>
  <si>
    <t>12/8</t>
  </si>
  <si>
    <t>4/5</t>
  </si>
  <si>
    <t>Nivel de Satisfaccion del Usuario interno</t>
  </si>
  <si>
    <t>Evaluar el grado satisfacción del cliente interno con los servicios suministrado por el proceso</t>
  </si>
  <si>
    <t>(Numero De Solicitudes Con Calificación Buena O Excelente/Numero Total De Solicitudes )*100</t>
  </si>
  <si>
    <t>Help Desk</t>
  </si>
  <si>
    <t>56/56</t>
  </si>
  <si>
    <t>93/95</t>
  </si>
  <si>
    <t>175/178</t>
  </si>
  <si>
    <t>131/135</t>
  </si>
  <si>
    <t>114/116</t>
  </si>
  <si>
    <t>112/115</t>
  </si>
  <si>
    <t>126/132</t>
  </si>
  <si>
    <t>129/130</t>
  </si>
  <si>
    <t>111/114</t>
  </si>
  <si>
    <t>142/142</t>
  </si>
  <si>
    <t>101/106</t>
  </si>
  <si>
    <t>Efectividad en la entrega de las remesas recibidas para envio.</t>
  </si>
  <si>
    <t>Medir el nivel de eficiencia del servicio de distribución de envios oficiales.</t>
  </si>
  <si>
    <t>Nº de envios devueltos / Nº de envios recibidos para tramite x 100</t>
  </si>
  <si>
    <t>Grupo de Archivo y Correspondencia</t>
  </si>
  <si>
    <t>3/184</t>
  </si>
  <si>
    <t>3/236</t>
  </si>
  <si>
    <t>7/520</t>
  </si>
  <si>
    <t>4/185</t>
  </si>
  <si>
    <t>3/138</t>
  </si>
  <si>
    <t>14/425</t>
  </si>
  <si>
    <t>30/430</t>
  </si>
  <si>
    <t>15/355</t>
  </si>
  <si>
    <t>6/278</t>
  </si>
  <si>
    <t>12/308</t>
  </si>
  <si>
    <t>SOPORTE INFORMATICO</t>
  </si>
  <si>
    <t>Eficiencia en el Soporte Informático</t>
  </si>
  <si>
    <t>Medir la eficiencia del proceso del soporte informatico a traves de la satisfaccion del usuario</t>
  </si>
  <si>
    <t>(# de Califaciones "Excelente" + # de Calificaciones "Bueno") En el service Desk / # Total de Casos * 100</t>
  </si>
  <si>
    <t>Jefatura de informatica</t>
  </si>
  <si>
    <t xml:space="preserve">Gestión </t>
  </si>
  <si>
    <t>% solicitudes</t>
  </si>
  <si>
    <t>(467+159)/  638</t>
  </si>
  <si>
    <t>(250+132)/400</t>
  </si>
  <si>
    <t>(225+110)/345</t>
  </si>
  <si>
    <t>Democratización  de la Administración Pública</t>
  </si>
  <si>
    <t>Implementación de las acciones establecidas en el manual 3.0 de gobierno en línea</t>
  </si>
  <si>
    <t>Porcentaje de avance del plan de gobierno en línea= Número de acciones realizadas / Número de acciones programadas</t>
  </si>
  <si>
    <t>Comité de gobierno en linea</t>
  </si>
  <si>
    <t>SOPORTE JURÍDICO</t>
  </si>
  <si>
    <t>CONTRACTUAL</t>
  </si>
  <si>
    <t>Gestion en la elaboración de contratos</t>
  </si>
  <si>
    <t>Medir la gestión en la elaboración de los contratos solicitados</t>
  </si>
  <si>
    <t>(Numero De Solicitudes Elaborados Dentro De 5 Dias Habiles/Total De Solicitudes )*100</t>
  </si>
  <si>
    <t>Oficina Asesora Juridica</t>
  </si>
  <si>
    <t>Jefe de la Oficina Asesora Juridica</t>
  </si>
  <si>
    <t>% de solicitudes</t>
  </si>
  <si>
    <t>81/81</t>
  </si>
  <si>
    <t>73/73</t>
  </si>
  <si>
    <t>51/51</t>
  </si>
  <si>
    <t>Los Indicadores fueron modificados y se comenzaron a medir a partir del segundo trimestre</t>
  </si>
  <si>
    <t>Grado de cumplimiento precontractual</t>
  </si>
  <si>
    <t>Medir la gestion precontractual en el desarrollo de todas y cada una de las actividades que deben adelantarse en los procesos de selección</t>
  </si>
  <si>
    <t>(Numero De Actividades Adelantas En Los Procesos De  Selección En Oportunidad*/Numero De Actidades Que Deben Realizarse De Comfotrmidad Con La Normatividad Que Resulte Aplicable )*100</t>
  </si>
  <si>
    <t>% actividades</t>
  </si>
  <si>
    <t>137/137</t>
  </si>
  <si>
    <t>109/109</t>
  </si>
  <si>
    <t xml:space="preserve">GESTIÓN JURIDICA
</t>
  </si>
  <si>
    <t xml:space="preserve">Eficacia de conceptos
</t>
  </si>
  <si>
    <t>Mejorar la eficacia Administrativa</t>
  </si>
  <si>
    <t xml:space="preserve">No de conceptos emitidos/ No de conceptos y consultas requeridas </t>
  </si>
  <si>
    <t>% peticiones</t>
  </si>
  <si>
    <t>1/1</t>
  </si>
  <si>
    <t>.02/02</t>
  </si>
  <si>
    <t>2/2</t>
  </si>
  <si>
    <t>REPRESENTACION   JUDICIAL</t>
  </si>
  <si>
    <t>Porcentaje de contestaciones presentadas en oportunidad</t>
  </si>
  <si>
    <t>Medir el porcentaje de las contestaciones (demandas y acciones)presentadas dentro de los términos legales</t>
  </si>
  <si>
    <t>(Número contestaciones presentadas en su oportunidad legal / Número de demandas y/o acciones notificadas)*100</t>
  </si>
  <si>
    <t>Oficina Asesora Jurídica</t>
  </si>
  <si>
    <t>Jefe de la Oficina Asesora Jurídica</t>
  </si>
  <si>
    <t>Gestión</t>
  </si>
  <si>
    <t>% </t>
  </si>
  <si>
    <t>.1 / 1</t>
  </si>
  <si>
    <t>0/0</t>
  </si>
  <si>
    <t>% de procesos Jurídicos ganados</t>
  </si>
  <si>
    <t>Conocer el % de procesos ganados a favor de la entidad con respecto a los procesos gestionados</t>
  </si>
  <si>
    <t>(Número de procesos ganados para la entidad / total de procesos jurídicos de la entidad gestionados) x 100</t>
  </si>
  <si>
    <t>% de procesos</t>
  </si>
  <si>
    <t>15/148</t>
  </si>
  <si>
    <t>1/148</t>
  </si>
  <si>
    <t>9/148</t>
  </si>
  <si>
    <t>Eficiencia en los procesos en contra de la Entidad</t>
  </si>
  <si>
    <t>Medir la eficiencia en los reportes para provisión correspondientes a las cuantías de los procesos</t>
  </si>
  <si>
    <t>(Valor total de la Cuantía Efectivamente Pagada  / Valor total de la cuantía reportada para provisión) * 100</t>
  </si>
  <si>
    <t>Dinero gastado</t>
  </si>
  <si>
    <t>0/28.099.356.465</t>
  </si>
  <si>
    <t>ATENCION AL CIUDADANO</t>
  </si>
  <si>
    <t>Satisfaccion del Cliente en la solucion de PQR</t>
  </si>
  <si>
    <t>Midir el número de Peticiones, Quejas, Reclamos, Sugerencias y Consultas realizadas por los usuarios del servicio y atendidas.</t>
  </si>
  <si>
    <t xml:space="preserve">No. Derechos de Peticiones, Quejas, Reclamos , Sugerencias y Consultas atendidas / Derechos de Peticiones, Quejas, Reclamos, Sugerencias y Consultas finalizadas
</t>
  </si>
  <si>
    <t>Oficina de Peticiones quejas y reclamos</t>
  </si>
  <si>
    <t>Atención al Ciudadano</t>
  </si>
  <si>
    <t xml:space="preserve">%
</t>
  </si>
  <si>
    <t>1466/1466</t>
  </si>
  <si>
    <t>1350/1350</t>
  </si>
  <si>
    <t>1397/1397</t>
  </si>
  <si>
    <t>1159/1159</t>
  </si>
  <si>
    <t>EVALUACIÒN INDEPENDIENTE</t>
  </si>
  <si>
    <t>Determinar el avance en el logro de las metas físicas definidas en el Plan de Mejoramiento suscrito con la Contraloría General de la Repúbica -CGR</t>
  </si>
  <si>
    <t>metas cumplidas/metas totales / 100</t>
  </si>
  <si>
    <t xml:space="preserve">Plan de Mejoramiento </t>
  </si>
  <si>
    <t>ANUAL</t>
  </si>
  <si>
    <t xml:space="preserve">Jefe de la Oficina de Evaluación Independiente </t>
  </si>
  <si>
    <t>0,5</t>
  </si>
  <si>
    <t>1</t>
  </si>
  <si>
    <t xml:space="preserve">Efectividad en la administración de Riesgos
</t>
  </si>
  <si>
    <t xml:space="preserve">Determinar la efectividad de los controles establecidos para los riesgos identificados en el mapan de riesgo
</t>
  </si>
  <si>
    <t xml:space="preserve">(Riesgos con controles efectivos conforme al Plan de Manejo de Riesgos /Total de riesgos del Mapa de Riesgos)*100
</t>
  </si>
  <si>
    <t>Seguimiento del mapa de Riesgos</t>
  </si>
  <si>
    <t>% de riesgos</t>
  </si>
  <si>
    <t>Moralización y Transparencia en la Administración Pública</t>
  </si>
  <si>
    <t>Lograr el fenecimiento de la cuenta fiscal de la vigencia 2011</t>
  </si>
  <si>
    <t>Fenecimiento de la cuenta fiscal</t>
  </si>
  <si>
    <t>Control interno</t>
  </si>
  <si>
    <t xml:space="preserve">Evaluar los seguimientos realizados, sobre los resultrados de las auditorias internmas. </t>
  </si>
  <si>
    <t>(Acciones Correctivas CerradasT/ ∑ Hallazasgos T-1)*100</t>
  </si>
  <si>
    <t>Informe de auditorias.</t>
  </si>
  <si>
    <t>1 a 65%</t>
  </si>
  <si>
    <t>21</t>
  </si>
  <si>
    <t>Cumplimiento del plan de auditorias.</t>
  </si>
  <si>
    <t>Medir el cumplimiento del
plan de auditorias internas
de calidad</t>
  </si>
  <si>
    <t>Nº de auditorias realizadas/ Nº de auditorias Planeadas *100</t>
  </si>
  <si>
    <t>Programa anual de auditorias</t>
  </si>
  <si>
    <t>23/23</t>
  </si>
  <si>
    <t>Definir contenidos sonoros y audiovisuales que equilibren el entrenimiento con los objetivos misionales de la entidad</t>
  </si>
  <si>
    <t>Géstionar con maxima eficiencia y eficacia el proceso de contratación de la entidad</t>
  </si>
  <si>
    <t>Alinear a los funcionarios con la estrategia de RTVC</t>
  </si>
  <si>
    <t>Ajustan las metas por la dependencia de los resultados de sismo resistencia de la entidad , SEDE CAN. Se retiran del plan 2012</t>
  </si>
  <si>
    <t xml:space="preserve">MALO    </t>
  </si>
  <si>
    <t xml:space="preserve">REGULAR   </t>
  </si>
  <si>
    <t>Algunos indicadores tienen medición al final de la vigencia, lo que afecta el avance del plan de acción en el primer semestre del año.
En la medición del tercer trimestre se revisaron metas, se redefinieron y se priorizaron recursos modificando la ejecución del plan de acción para el último trimestre del año.</t>
  </si>
  <si>
    <t>total recaudo/Total de la cartera - Cartera que esta en jurídica - Canjes - Cartera corriente.</t>
  </si>
  <si>
    <t>La proyección de ingresos por recursos propios corresponde a la venta de servicios, el esquema de contratación de Canal Institucional esta establecido para que los recursos ingresen contra el recibido de los productos que les realizamos a las entidades contratantes.</t>
  </si>
  <si>
    <t>No hubo visita del ente de control.</t>
  </si>
  <si>
    <t>Gestionar con éstandares de eficiencia y de calidad los propcesos de producción.emisión y transmisión de contenidos para medios como televisión, radio y otros</t>
  </si>
  <si>
    <t>Los Indicadores fueron modificados y se comenzaron a medir a partir del segundo trimestre. Para el 2013 se revisará la meta de los procesos gestionados realmente.</t>
  </si>
  <si>
    <t>Los Indicadores fueron modificados y se comenzaron a medir a partir del segundo trimestre.
Los recursos se aprovisionaron pero no hubo pago en la vigencia.</t>
  </si>
  <si>
    <t>Medir la gestion del recaudo de la entidad</t>
  </si>
  <si>
    <t>Se debe revisar los rangos de calificación para el 2013.</t>
  </si>
  <si>
    <t>Eficacia en el cumplimiento del plan de mejoramiento institucional - CGR</t>
  </si>
</sst>
</file>

<file path=xl/styles.xml><?xml version="1.0" encoding="utf-8"?>
<styleSheet xmlns="http://schemas.openxmlformats.org/spreadsheetml/2006/main">
  <numFmts count="6">
    <numFmt numFmtId="43" formatCode="_(* #,##0.00_);_(* \(#,##0.00\);_(* &quot;-&quot;??_);_(@_)"/>
    <numFmt numFmtId="164" formatCode="_(* #,##0_);_(* \(#,##0\);_(* &quot;-&quot;??_);_(@_)"/>
    <numFmt numFmtId="165" formatCode="0;[Red]0"/>
    <numFmt numFmtId="166" formatCode="0.0%"/>
    <numFmt numFmtId="167" formatCode="_-* #,##0.00\ _€_-;\-* #,##0.00\ _€_-;_-* &quot;-&quot;??\ _€_-;_-@_-"/>
    <numFmt numFmtId="168" formatCode="#,##0.0"/>
  </numFmts>
  <fonts count="24">
    <font>
      <sz val="11"/>
      <color theme="1"/>
      <name val="Calibri"/>
      <family val="2"/>
      <scheme val="minor"/>
    </font>
    <font>
      <sz val="11"/>
      <color theme="1"/>
      <name val="Calibri"/>
      <family val="2"/>
      <scheme val="minor"/>
    </font>
    <font>
      <sz val="10"/>
      <name val="Arial"/>
      <family val="2"/>
    </font>
    <font>
      <b/>
      <sz val="10"/>
      <color theme="1"/>
      <name val="Arial"/>
      <family val="2"/>
    </font>
    <font>
      <b/>
      <sz val="10"/>
      <name val="Arial"/>
      <family val="2"/>
    </font>
    <font>
      <sz val="10"/>
      <color theme="1"/>
      <name val="Arial"/>
      <family val="2"/>
    </font>
    <font>
      <b/>
      <sz val="10"/>
      <color indexed="8"/>
      <name val="Arial"/>
      <family val="2"/>
    </font>
    <font>
      <sz val="10"/>
      <color indexed="8"/>
      <name val="Arial"/>
      <family val="2"/>
    </font>
    <font>
      <sz val="10"/>
      <color rgb="FF000000"/>
      <name val="Arial"/>
      <family val="2"/>
    </font>
    <font>
      <b/>
      <sz val="9"/>
      <color theme="1"/>
      <name val="Arial Narrow"/>
      <family val="2"/>
    </font>
    <font>
      <sz val="10"/>
      <color rgb="FF333333"/>
      <name val="Arial"/>
      <family val="2"/>
    </font>
    <font>
      <sz val="9"/>
      <color theme="1"/>
      <name val="Calibri"/>
      <family val="2"/>
      <scheme val="minor"/>
    </font>
    <font>
      <sz val="9"/>
      <color theme="1"/>
      <name val="Arial Narrow"/>
      <family val="2"/>
    </font>
    <font>
      <sz val="10"/>
      <color rgb="FF00B050"/>
      <name val="Arial"/>
      <family val="2"/>
    </font>
    <font>
      <sz val="10"/>
      <color rgb="FF0070C0"/>
      <name val="Arial"/>
      <family val="2"/>
    </font>
    <font>
      <sz val="9"/>
      <color indexed="8"/>
      <name val="Arial Narrow"/>
      <family val="2"/>
    </font>
    <font>
      <sz val="12"/>
      <color indexed="8"/>
      <name val="Arial Narrow"/>
      <family val="2"/>
    </font>
    <font>
      <u/>
      <sz val="10"/>
      <color indexed="12"/>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b/>
      <sz val="16"/>
      <color indexed="81"/>
      <name val="Tahoma"/>
      <family val="2"/>
    </font>
    <font>
      <sz val="16"/>
      <color indexed="81"/>
      <name val="Tahoma"/>
      <family val="2"/>
    </font>
  </fonts>
  <fills count="40">
    <fill>
      <patternFill patternType="none"/>
    </fill>
    <fill>
      <patternFill patternType="gray125"/>
    </fill>
    <fill>
      <patternFill patternType="solid">
        <fgColor theme="3"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indexed="13"/>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indexed="40"/>
        <bgColor indexed="64"/>
      </patternFill>
    </fill>
    <fill>
      <patternFill patternType="solid">
        <fgColor indexed="46"/>
        <bgColor indexed="64"/>
      </patternFill>
    </fill>
    <fill>
      <patternFill patternType="solid">
        <fgColor theme="5" tint="-0.249977111117893"/>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00B0F0"/>
        <bgColor indexed="64"/>
      </patternFill>
    </fill>
    <fill>
      <patternFill patternType="solid">
        <fgColor indexed="53"/>
        <bgColor indexed="64"/>
      </patternFill>
    </fill>
    <fill>
      <patternFill patternType="solid">
        <fgColor theme="7" tint="0.39997558519241921"/>
        <bgColor indexed="64"/>
      </patternFill>
    </fill>
    <fill>
      <patternFill patternType="solid">
        <fgColor indexed="2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2" fillId="0" borderId="0"/>
  </cellStyleXfs>
  <cellXfs count="207">
    <xf numFmtId="0" fontId="0" fillId="0" borderId="0" xfId="0"/>
    <xf numFmtId="0" fontId="5" fillId="0" borderId="0" xfId="0" applyFont="1" applyAlignment="1">
      <alignment horizontal="center" vertical="center" wrapText="1"/>
    </xf>
    <xf numFmtId="0" fontId="3" fillId="2" borderId="9" xfId="0" applyFont="1" applyFill="1" applyBorder="1" applyAlignment="1">
      <alignment vertical="center" wrapText="1"/>
    </xf>
    <xf numFmtId="0" fontId="5" fillId="0" borderId="0" xfId="0" applyFont="1" applyAlignment="1">
      <alignment wrapText="1"/>
    </xf>
    <xf numFmtId="0" fontId="3" fillId="15" borderId="9"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7" borderId="9" xfId="0" applyFont="1" applyFill="1" applyBorder="1" applyAlignment="1">
      <alignment horizontal="center" vertical="center" wrapText="1"/>
    </xf>
    <xf numFmtId="0" fontId="3" fillId="18" borderId="9" xfId="0" applyFont="1" applyFill="1" applyBorder="1" applyAlignment="1">
      <alignment horizontal="center" vertical="center" textRotation="90" wrapText="1"/>
    </xf>
    <xf numFmtId="0" fontId="3" fillId="19" borderId="9" xfId="0" applyFont="1" applyFill="1" applyBorder="1" applyAlignment="1">
      <alignment horizontal="center" vertical="center" textRotation="90" wrapText="1"/>
    </xf>
    <xf numFmtId="0" fontId="3" fillId="20" borderId="9" xfId="0" applyFont="1" applyFill="1" applyBorder="1" applyAlignment="1">
      <alignment horizontal="center" vertical="center" textRotation="90" wrapText="1"/>
    </xf>
    <xf numFmtId="0" fontId="3" fillId="20" borderId="9" xfId="0" applyFont="1" applyFill="1" applyBorder="1" applyAlignment="1">
      <alignment horizontal="center" vertical="center" textRotation="90"/>
    </xf>
    <xf numFmtId="0" fontId="3" fillId="21" borderId="9" xfId="0" applyFont="1" applyFill="1" applyBorder="1" applyAlignment="1">
      <alignment horizontal="center" vertical="center" textRotation="90" wrapText="1"/>
    </xf>
    <xf numFmtId="0" fontId="3" fillId="22" borderId="9" xfId="0" applyFont="1" applyFill="1" applyBorder="1" applyAlignment="1">
      <alignment horizontal="center" vertical="center" textRotation="90" wrapText="1"/>
    </xf>
    <xf numFmtId="0" fontId="3" fillId="23" borderId="9" xfId="0" applyFont="1" applyFill="1" applyBorder="1" applyAlignment="1">
      <alignment horizontal="center" vertical="center" textRotation="90" wrapText="1"/>
    </xf>
    <xf numFmtId="0" fontId="3" fillId="24" borderId="9"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3" fillId="4" borderId="9" xfId="0" applyFont="1" applyFill="1" applyBorder="1" applyAlignment="1">
      <alignment horizontal="center" vertical="center" textRotation="90" wrapText="1"/>
    </xf>
    <xf numFmtId="0" fontId="3" fillId="5" borderId="9" xfId="0" applyFont="1" applyFill="1" applyBorder="1" applyAlignment="1">
      <alignment horizontal="center" vertical="center" textRotation="90" wrapText="1"/>
    </xf>
    <xf numFmtId="0" fontId="3" fillId="25" borderId="9" xfId="0" applyFont="1" applyFill="1" applyBorder="1" applyAlignment="1">
      <alignment horizontal="center" vertical="center" textRotation="90" wrapText="1"/>
    </xf>
    <xf numFmtId="0" fontId="3" fillId="9" borderId="9" xfId="0" applyFont="1" applyFill="1" applyBorder="1" applyAlignment="1">
      <alignment horizontal="center" vertical="center" textRotation="90"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3" fontId="5" fillId="0" borderId="9" xfId="0" applyNumberFormat="1" applyFont="1" applyFill="1" applyBorder="1" applyAlignment="1">
      <alignment horizontal="center" vertical="center" wrapText="1"/>
    </xf>
    <xf numFmtId="9" fontId="5" fillId="0" borderId="9" xfId="2" applyFont="1" applyFill="1" applyBorder="1" applyAlignment="1">
      <alignment horizontal="center" vertical="center" wrapText="1"/>
    </xf>
    <xf numFmtId="0" fontId="8" fillId="0" borderId="9" xfId="0"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9" fontId="4" fillId="0" borderId="9" xfId="2" applyFont="1" applyFill="1" applyBorder="1" applyAlignment="1">
      <alignment horizontal="center" vertical="center" wrapText="1"/>
    </xf>
    <xf numFmtId="165" fontId="5" fillId="0" borderId="9" xfId="0" applyNumberFormat="1" applyFont="1" applyFill="1" applyBorder="1" applyAlignment="1">
      <alignment horizontal="center" vertical="center"/>
    </xf>
    <xf numFmtId="0" fontId="9" fillId="0" borderId="9" xfId="0" applyFont="1" applyFill="1" applyBorder="1" applyAlignment="1" applyProtection="1">
      <alignment horizontal="center" vertical="center" wrapText="1"/>
    </xf>
    <xf numFmtId="9" fontId="5" fillId="0" borderId="9" xfId="2" applyFont="1" applyFill="1" applyBorder="1" applyAlignment="1">
      <alignment horizontal="center" vertical="center"/>
    </xf>
    <xf numFmtId="165" fontId="5" fillId="0" borderId="9" xfId="0" applyNumberFormat="1" applyFont="1" applyFill="1" applyBorder="1" applyAlignment="1">
      <alignment horizontal="center" vertical="center" wrapText="1"/>
    </xf>
    <xf numFmtId="9" fontId="5" fillId="0" borderId="9" xfId="2" applyFont="1" applyFill="1" applyBorder="1" applyAlignment="1">
      <alignment horizontal="left" vertical="top"/>
    </xf>
    <xf numFmtId="0" fontId="5" fillId="0" borderId="0" xfId="0" applyFont="1"/>
    <xf numFmtId="0" fontId="5" fillId="0" borderId="9" xfId="0" applyFont="1" applyFill="1" applyBorder="1" applyAlignment="1">
      <alignment horizontal="left" vertical="top"/>
    </xf>
    <xf numFmtId="0" fontId="3" fillId="0" borderId="9" xfId="0" applyFont="1" applyFill="1" applyBorder="1" applyAlignment="1">
      <alignment horizontal="center" vertical="center" wrapText="1"/>
    </xf>
    <xf numFmtId="0" fontId="5" fillId="27" borderId="9" xfId="0" applyFont="1" applyFill="1" applyBorder="1" applyAlignment="1">
      <alignment horizontal="left" vertical="center" wrapText="1"/>
    </xf>
    <xf numFmtId="9" fontId="5" fillId="0"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9" xfId="0" applyFont="1" applyFill="1" applyBorder="1"/>
    <xf numFmtId="0" fontId="5" fillId="0" borderId="9" xfId="0" applyFont="1" applyBorder="1"/>
    <xf numFmtId="0" fontId="5" fillId="0" borderId="9" xfId="0" applyFont="1" applyFill="1" applyBorder="1" applyAlignment="1">
      <alignment vertical="center" wrapText="1"/>
    </xf>
    <xf numFmtId="0" fontId="2" fillId="0" borderId="9" xfId="0" applyFont="1" applyFill="1" applyBorder="1" applyAlignment="1">
      <alignment horizontal="center" vertical="center" wrapText="1"/>
    </xf>
    <xf numFmtId="9"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5" fillId="0" borderId="9" xfId="0" applyFont="1" applyBorder="1" applyAlignment="1">
      <alignment horizontal="center" vertical="center" wrapText="1"/>
    </xf>
    <xf numFmtId="1" fontId="5" fillId="0" borderId="9" xfId="2" applyNumberFormat="1" applyFont="1" applyBorder="1" applyAlignment="1">
      <alignment horizontal="center" vertical="center" wrapText="1"/>
    </xf>
    <xf numFmtId="9" fontId="5" fillId="0" borderId="9" xfId="0" applyNumberFormat="1" applyFont="1" applyBorder="1" applyAlignment="1">
      <alignment horizontal="center" vertical="center" wrapText="1"/>
    </xf>
    <xf numFmtId="1" fontId="5" fillId="0" borderId="9" xfId="2"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1" fillId="0" borderId="9" xfId="0" applyFont="1" applyBorder="1" applyAlignment="1">
      <alignment vertical="center" wrapText="1"/>
    </xf>
    <xf numFmtId="1" fontId="12" fillId="0" borderId="9" xfId="2" applyNumberFormat="1" applyFont="1" applyBorder="1" applyAlignment="1">
      <alignment horizontal="center" vertical="center" wrapText="1"/>
    </xf>
    <xf numFmtId="0" fontId="11" fillId="28" borderId="9"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2" fillId="0" borderId="9" xfId="0" applyFont="1" applyFill="1" applyBorder="1" applyAlignment="1">
      <alignment vertical="center" wrapText="1"/>
    </xf>
    <xf numFmtId="9" fontId="2" fillId="0" borderId="9" xfId="0" applyNumberFormat="1" applyFont="1" applyFill="1" applyBorder="1" applyAlignment="1">
      <alignment horizontal="center" vertical="center" wrapText="1"/>
    </xf>
    <xf numFmtId="9" fontId="2" fillId="0" borderId="9" xfId="2" applyFont="1" applyFill="1" applyBorder="1" applyAlignment="1">
      <alignment horizontal="center" vertical="center" wrapText="1"/>
    </xf>
    <xf numFmtId="0" fontId="2" fillId="27"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27" borderId="9" xfId="0" applyFont="1" applyFill="1" applyBorder="1" applyAlignment="1">
      <alignment horizontal="center" vertical="center" wrapText="1"/>
    </xf>
    <xf numFmtId="0" fontId="12" fillId="0" borderId="9" xfId="0" applyFont="1" applyFill="1" applyBorder="1" applyAlignment="1" applyProtection="1">
      <alignment horizontal="center" vertical="center" wrapText="1"/>
    </xf>
    <xf numFmtId="0" fontId="5" fillId="0" borderId="9"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64" fontId="2" fillId="0" borderId="9" xfId="1" applyNumberFormat="1" applyFont="1" applyFill="1" applyBorder="1" applyAlignment="1">
      <alignment horizontal="center" vertical="center" wrapText="1"/>
    </xf>
    <xf numFmtId="3" fontId="14" fillId="0" borderId="9" xfId="0" applyNumberFormat="1" applyFont="1" applyFill="1" applyBorder="1" applyAlignment="1">
      <alignment horizontal="center" vertical="center" wrapText="1"/>
    </xf>
    <xf numFmtId="164" fontId="5" fillId="0" borderId="9" xfId="1" applyNumberFormat="1" applyFont="1" applyFill="1" applyBorder="1" applyAlignment="1">
      <alignment horizontal="center" vertical="center" wrapText="1"/>
    </xf>
    <xf numFmtId="9" fontId="8" fillId="0" borderId="9" xfId="0" applyNumberFormat="1" applyFont="1" applyFill="1" applyBorder="1" applyAlignment="1">
      <alignment horizontal="center" vertical="center" wrapText="1"/>
    </xf>
    <xf numFmtId="0" fontId="5" fillId="0" borderId="9" xfId="0" applyFont="1" applyFill="1" applyBorder="1" applyAlignment="1">
      <alignment vertical="center"/>
    </xf>
    <xf numFmtId="49" fontId="5" fillId="0" borderId="9" xfId="0" applyNumberFormat="1" applyFont="1" applyFill="1" applyBorder="1" applyAlignment="1">
      <alignment horizontal="center" vertical="center" wrapText="1"/>
    </xf>
    <xf numFmtId="49" fontId="5" fillId="0" borderId="9" xfId="2" applyNumberFormat="1" applyFont="1" applyFill="1" applyBorder="1" applyAlignment="1">
      <alignment horizontal="center" vertical="center" wrapText="1"/>
    </xf>
    <xf numFmtId="10" fontId="5" fillId="0" borderId="9"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xf>
    <xf numFmtId="10" fontId="5" fillId="0" borderId="9"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5" fillId="0" borderId="9" xfId="0" applyFont="1" applyFill="1" applyBorder="1" applyAlignment="1">
      <alignment horizontal="left" vertical="top" wrapText="1"/>
    </xf>
    <xf numFmtId="10" fontId="5" fillId="0" borderId="9" xfId="2" applyNumberFormat="1" applyFont="1" applyFill="1" applyBorder="1" applyAlignment="1">
      <alignment horizontal="center" vertical="center"/>
    </xf>
    <xf numFmtId="0" fontId="8" fillId="0"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9" fontId="5" fillId="0" borderId="9" xfId="0" applyNumberFormat="1" applyFont="1" applyFill="1" applyBorder="1" applyAlignment="1">
      <alignment vertical="center" wrapText="1"/>
    </xf>
    <xf numFmtId="166" fontId="5" fillId="0" borderId="9" xfId="2"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9" xfId="2" applyNumberFormat="1" applyFont="1" applyFill="1" applyBorder="1" applyAlignment="1">
      <alignment horizontal="center" vertical="center" wrapText="1"/>
    </xf>
    <xf numFmtId="9" fontId="5" fillId="0" borderId="9" xfId="2"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15" fillId="0" borderId="9" xfId="0" applyFont="1" applyBorder="1" applyAlignment="1">
      <alignment horizontal="center" vertical="center" wrapText="1"/>
    </xf>
    <xf numFmtId="9" fontId="15" fillId="0" borderId="9" xfId="2" applyFont="1" applyBorder="1" applyAlignment="1">
      <alignment horizontal="center" vertical="center" wrapText="1"/>
    </xf>
    <xf numFmtId="9" fontId="15" fillId="0" borderId="9" xfId="0" applyNumberFormat="1" applyFont="1" applyBorder="1" applyAlignment="1">
      <alignment horizontal="center" vertical="center" wrapText="1"/>
    </xf>
    <xf numFmtId="0" fontId="15" fillId="0" borderId="9" xfId="0" applyFont="1" applyBorder="1" applyAlignment="1">
      <alignment vertical="center" wrapText="1"/>
    </xf>
    <xf numFmtId="0" fontId="15" fillId="33" borderId="9" xfId="0" applyFont="1" applyFill="1" applyBorder="1" applyAlignment="1">
      <alignment horizontal="center" vertical="center" wrapText="1"/>
    </xf>
    <xf numFmtId="17" fontId="15" fillId="0" borderId="9" xfId="0" applyNumberFormat="1" applyFont="1" applyBorder="1" applyAlignment="1">
      <alignment horizontal="center" vertical="center" wrapText="1"/>
    </xf>
    <xf numFmtId="49" fontId="5" fillId="0" borderId="9" xfId="0" applyNumberFormat="1" applyFont="1" applyFill="1" applyBorder="1" applyAlignment="1">
      <alignment horizontal="center" vertical="center"/>
    </xf>
    <xf numFmtId="9" fontId="15" fillId="33"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9" xfId="2" applyNumberFormat="1" applyFont="1" applyFill="1" applyBorder="1" applyAlignment="1">
      <alignment horizontal="center" vertical="center" wrapText="1"/>
    </xf>
    <xf numFmtId="16" fontId="5" fillId="0" borderId="9" xfId="2" quotePrefix="1" applyNumberFormat="1" applyFont="1" applyFill="1" applyBorder="1" applyAlignment="1">
      <alignment horizontal="center" vertical="center" wrapText="1"/>
    </xf>
    <xf numFmtId="13" fontId="5" fillId="0" borderId="9" xfId="2" applyNumberFormat="1" applyFont="1" applyFill="1" applyBorder="1" applyAlignment="1">
      <alignment horizontal="center" vertical="center" wrapText="1"/>
    </xf>
    <xf numFmtId="167" fontId="5" fillId="0" borderId="9" xfId="1" quotePrefix="1" applyNumberFormat="1" applyFont="1" applyFill="1" applyBorder="1" applyAlignment="1">
      <alignment horizontal="center" vertical="center" wrapText="1"/>
    </xf>
    <xf numFmtId="0" fontId="5" fillId="0" borderId="9" xfId="0" quotePrefix="1" applyFont="1" applyFill="1" applyBorder="1" applyAlignment="1">
      <alignment horizontal="center" vertical="center" wrapText="1"/>
    </xf>
    <xf numFmtId="0" fontId="5" fillId="0" borderId="9" xfId="0" applyFont="1" applyFill="1" applyBorder="1" applyAlignment="1">
      <alignment wrapText="1"/>
    </xf>
    <xf numFmtId="0" fontId="3" fillId="25" borderId="9" xfId="0" applyFont="1" applyFill="1" applyBorder="1" applyAlignment="1">
      <alignment horizontal="center" vertical="center" textRotation="90"/>
    </xf>
    <xf numFmtId="0" fontId="3" fillId="38" borderId="9" xfId="0" applyFont="1" applyFill="1" applyBorder="1" applyAlignment="1">
      <alignment horizontal="center" vertical="center" textRotation="90"/>
    </xf>
    <xf numFmtId="0" fontId="5" fillId="0" borderId="1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13" fontId="16" fillId="0" borderId="9" xfId="2" applyNumberFormat="1" applyFont="1" applyFill="1" applyBorder="1" applyAlignment="1">
      <alignment horizontal="center" vertical="center"/>
    </xf>
    <xf numFmtId="9" fontId="16" fillId="0" borderId="9" xfId="2" applyFont="1" applyFill="1" applyBorder="1" applyAlignment="1">
      <alignment horizontal="center" vertical="center" wrapText="1"/>
    </xf>
    <xf numFmtId="10" fontId="16" fillId="0" borderId="9" xfId="2"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13" fontId="16" fillId="0" borderId="9" xfId="2" applyNumberFormat="1" applyFont="1" applyFill="1" applyBorder="1" applyAlignment="1">
      <alignment vertical="center"/>
    </xf>
    <xf numFmtId="0" fontId="4" fillId="39" borderId="9" xfId="0" applyFont="1" applyFill="1" applyBorder="1" applyAlignment="1">
      <alignment horizontal="center" vertical="center" wrapText="1"/>
    </xf>
    <xf numFmtId="0" fontId="5" fillId="0" borderId="0" xfId="3" applyFont="1" applyBorder="1" applyAlignment="1" applyProtection="1">
      <alignment textRotation="90" wrapText="1"/>
    </xf>
    <xf numFmtId="0" fontId="3" fillId="0" borderId="0" xfId="0" applyFont="1" applyAlignment="1">
      <alignment textRotation="90" wrapText="1"/>
    </xf>
    <xf numFmtId="0" fontId="3" fillId="0" borderId="0" xfId="0" applyFont="1" applyAlignment="1">
      <alignment horizontal="center" vertical="center"/>
    </xf>
    <xf numFmtId="0" fontId="3" fillId="0" borderId="0" xfId="0" applyFont="1"/>
    <xf numFmtId="0" fontId="5" fillId="0" borderId="0" xfId="0" applyFont="1" applyAlignment="1">
      <alignment horizontal="center" vertical="center"/>
    </xf>
    <xf numFmtId="0" fontId="3" fillId="0" borderId="13"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Alignment="1">
      <alignment wrapText="1"/>
    </xf>
    <xf numFmtId="0" fontId="3" fillId="0" borderId="0" xfId="0" applyFont="1" applyBorder="1" applyAlignment="1">
      <alignment textRotation="90" wrapText="1"/>
    </xf>
    <xf numFmtId="0" fontId="5" fillId="0" borderId="0" xfId="0" applyFont="1" applyBorder="1" applyAlignment="1">
      <alignment textRotation="90" wrapText="1"/>
    </xf>
    <xf numFmtId="9" fontId="8" fillId="0" borderId="9" xfId="2" applyFont="1" applyFill="1" applyBorder="1" applyAlignment="1">
      <alignment horizontal="center" vertical="center" wrapText="1"/>
    </xf>
    <xf numFmtId="168" fontId="5" fillId="0" borderId="9"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xf>
    <xf numFmtId="0" fontId="2" fillId="0" borderId="1" xfId="0" applyFont="1" applyFill="1" applyBorder="1" applyAlignment="1">
      <alignment textRotation="90" wrapText="1"/>
    </xf>
    <xf numFmtId="0" fontId="2" fillId="0" borderId="2" xfId="0" applyFont="1" applyFill="1" applyBorder="1" applyAlignment="1">
      <alignment textRotation="90" wrapText="1"/>
    </xf>
    <xf numFmtId="0" fontId="2" fillId="0" borderId="4" xfId="0" applyFont="1" applyFill="1" applyBorder="1" applyAlignment="1">
      <alignment textRotation="90" wrapText="1"/>
    </xf>
    <xf numFmtId="0" fontId="2" fillId="0" borderId="0" xfId="0" applyFont="1" applyFill="1" applyBorder="1" applyAlignment="1">
      <alignment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textRotation="90" wrapText="1"/>
    </xf>
    <xf numFmtId="0" fontId="3" fillId="2" borderId="9" xfId="0" applyFont="1" applyFill="1" applyBorder="1" applyAlignment="1">
      <alignment textRotation="90" wrapText="1"/>
    </xf>
    <xf numFmtId="0" fontId="3" fillId="2" borderId="9" xfId="0" applyFont="1" applyFill="1" applyBorder="1" applyAlignment="1">
      <alignment horizontal="center" vertical="center" textRotation="90"/>
    </xf>
    <xf numFmtId="0" fontId="3" fillId="12" borderId="9"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26" borderId="9" xfId="0" applyFont="1" applyFill="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6" borderId="9" xfId="0" applyFont="1" applyFill="1" applyBorder="1" applyAlignment="1">
      <alignment horizontal="center" vertical="center" textRotation="90"/>
    </xf>
    <xf numFmtId="0" fontId="3" fillId="27" borderId="9" xfId="0" applyFont="1" applyFill="1" applyBorder="1" applyAlignment="1">
      <alignment horizontal="center" vertical="center" textRotation="90" wrapText="1"/>
    </xf>
    <xf numFmtId="0" fontId="3" fillId="5" borderId="9" xfId="0" applyFont="1" applyFill="1" applyBorder="1" applyAlignment="1">
      <alignment horizontal="center" vertical="center" textRotation="90"/>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7" borderId="9" xfId="0" applyFont="1" applyFill="1" applyBorder="1" applyAlignment="1">
      <alignment horizontal="center" vertical="center" textRotation="90"/>
    </xf>
    <xf numFmtId="0" fontId="3" fillId="8" borderId="9" xfId="0" applyFont="1" applyFill="1" applyBorder="1" applyAlignment="1">
      <alignment horizontal="center" vertical="center" textRotation="90"/>
    </xf>
    <xf numFmtId="0" fontId="5" fillId="29" borderId="9" xfId="0" applyFont="1" applyFill="1" applyBorder="1" applyAlignment="1">
      <alignment horizontal="center" vertical="center" textRotation="90" wrapText="1"/>
    </xf>
    <xf numFmtId="0" fontId="3" fillId="30" borderId="9" xfId="0" applyFont="1" applyFill="1" applyBorder="1" applyAlignment="1">
      <alignment horizontal="center" vertical="center" textRotation="90" wrapText="1"/>
    </xf>
    <xf numFmtId="0" fontId="3" fillId="9" borderId="9" xfId="0" applyFont="1" applyFill="1" applyBorder="1" applyAlignment="1">
      <alignment horizontal="center" vertical="center" textRotation="90"/>
    </xf>
    <xf numFmtId="0" fontId="3" fillId="10" borderId="9" xfId="0" applyFont="1" applyFill="1" applyBorder="1" applyAlignment="1">
      <alignment horizontal="center" vertical="center" textRotation="90"/>
    </xf>
    <xf numFmtId="0" fontId="3" fillId="17" borderId="9" xfId="0" applyFont="1" applyFill="1" applyBorder="1" applyAlignment="1">
      <alignment horizontal="center" vertical="center" textRotation="90"/>
    </xf>
    <xf numFmtId="0" fontId="3" fillId="32" borderId="9" xfId="0" applyFont="1" applyFill="1" applyBorder="1" applyAlignment="1">
      <alignment horizontal="center" vertical="center" textRotation="90"/>
    </xf>
    <xf numFmtId="0" fontId="3" fillId="34" borderId="9" xfId="0" applyFont="1" applyFill="1" applyBorder="1" applyAlignment="1">
      <alignment horizontal="center" vertical="center" textRotation="90"/>
    </xf>
    <xf numFmtId="0" fontId="3" fillId="0" borderId="17" xfId="0" applyFont="1" applyBorder="1" applyAlignment="1">
      <alignment horizontal="left" vertical="top" wrapText="1"/>
    </xf>
    <xf numFmtId="0" fontId="3" fillId="0" borderId="9"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37" borderId="9" xfId="0" applyFont="1" applyFill="1" applyBorder="1" applyAlignment="1">
      <alignment horizontal="center" vertical="center" textRotation="90" wrapText="1"/>
    </xf>
    <xf numFmtId="0" fontId="3" fillId="29" borderId="9" xfId="0" applyFont="1" applyFill="1" applyBorder="1" applyAlignment="1">
      <alignment horizontal="center" vertical="center" textRotation="90"/>
    </xf>
    <xf numFmtId="0" fontId="4" fillId="39" borderId="9" xfId="0" applyFont="1" applyFill="1" applyBorder="1" applyAlignment="1">
      <alignment horizont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35" borderId="9" xfId="0" applyFont="1" applyFill="1" applyBorder="1" applyAlignment="1">
      <alignment horizontal="center" vertical="center" textRotation="90"/>
    </xf>
    <xf numFmtId="0" fontId="3" fillId="36" borderId="9" xfId="0" applyFont="1" applyFill="1" applyBorder="1" applyAlignment="1">
      <alignment horizontal="center" vertical="center" textRotation="90"/>
    </xf>
    <xf numFmtId="0" fontId="3" fillId="14" borderId="9" xfId="0" applyFont="1" applyFill="1" applyBorder="1" applyAlignment="1">
      <alignment horizontal="center" vertical="center" textRotation="90"/>
    </xf>
    <xf numFmtId="0" fontId="3" fillId="11" borderId="9" xfId="0" applyFont="1" applyFill="1" applyBorder="1" applyAlignment="1">
      <alignment horizontal="center" vertical="center" textRotation="90"/>
    </xf>
    <xf numFmtId="0" fontId="3" fillId="31" borderId="9" xfId="0" applyFont="1" applyFill="1" applyBorder="1" applyAlignment="1">
      <alignment horizontal="center" vertical="center" textRotation="90" wrapText="1"/>
    </xf>
    <xf numFmtId="0" fontId="2" fillId="27" borderId="9" xfId="0" applyFont="1" applyFill="1" applyBorder="1" applyAlignment="1">
      <alignment vertical="center" wrapText="1"/>
    </xf>
  </cellXfs>
  <cellStyles count="5">
    <cellStyle name="Hipervínculo" xfId="3" builtinId="8"/>
    <cellStyle name="Millares" xfId="1" builtinId="3"/>
    <cellStyle name="Normal" xfId="0" builtinId="0"/>
    <cellStyle name="Normal 2" xfId="4"/>
    <cellStyle name="Porcentual" xfId="2" builtinId="5"/>
  </cellStyles>
  <dxfs count="396">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0000"/>
        </patternFill>
      </fill>
    </dxf>
    <dxf>
      <font>
        <b/>
        <i val="0"/>
      </font>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123825</xdr:rowOff>
    </xdr:from>
    <xdr:to>
      <xdr:col>1</xdr:col>
      <xdr:colOff>742950</xdr:colOff>
      <xdr:row>5</xdr:row>
      <xdr:rowOff>114300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7650" y="123825"/>
          <a:ext cx="962025" cy="828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BU187"/>
  <sheetViews>
    <sheetView showGridLines="0" tabSelected="1" topLeftCell="A7" zoomScale="85" zoomScaleNormal="85" workbookViewId="0">
      <pane xSplit="10" ySplit="3" topLeftCell="K10" activePane="bottomRight" state="frozen"/>
      <selection activeCell="A7" sqref="A7"/>
      <selection pane="topRight" activeCell="K7" sqref="K7"/>
      <selection pane="bottomLeft" activeCell="A10" sqref="A10"/>
      <selection pane="bottomRight" activeCell="C1" sqref="C1:BR4"/>
    </sheetView>
  </sheetViews>
  <sheetFormatPr baseColWidth="10" defaultColWidth="11.42578125" defaultRowHeight="12.75"/>
  <cols>
    <col min="1" max="1" width="7" style="121" customWidth="1"/>
    <col min="2" max="2" width="13.5703125" style="113" customWidth="1"/>
    <col min="3" max="3" width="5.7109375" style="114" customWidth="1"/>
    <col min="4" max="4" width="4.7109375" style="33" hidden="1" customWidth="1"/>
    <col min="5" max="7" width="4.7109375" style="33" customWidth="1"/>
    <col min="8" max="8" width="4" style="33" customWidth="1"/>
    <col min="9" max="9" width="17.85546875" style="33" customWidth="1"/>
    <col min="10" max="10" width="26.7109375" style="33" customWidth="1"/>
    <col min="11" max="11" width="24.28515625" style="33" customWidth="1"/>
    <col min="12" max="12" width="12.7109375" style="33" customWidth="1"/>
    <col min="13" max="13" width="11.42578125" style="33" customWidth="1"/>
    <col min="14" max="14" width="16.42578125" style="33" customWidth="1"/>
    <col min="15" max="15" width="15" style="33" customWidth="1"/>
    <col min="16" max="16" width="11.42578125" style="33" customWidth="1"/>
    <col min="17" max="17" width="12.28515625" style="33" customWidth="1"/>
    <col min="18" max="18" width="13.7109375" style="33" customWidth="1"/>
    <col min="19" max="19" width="15.7109375" style="33" customWidth="1"/>
    <col min="20" max="21" width="13.7109375" style="33" customWidth="1"/>
    <col min="22" max="22" width="11.42578125" style="33"/>
    <col min="23" max="23" width="12.5703125" style="33" customWidth="1"/>
    <col min="24" max="24" width="11.42578125" style="33"/>
    <col min="25" max="26" width="10.28515625" style="33" customWidth="1"/>
    <col min="27" max="27" width="14.85546875" style="33" customWidth="1"/>
    <col min="28" max="28" width="10.28515625" style="115" customWidth="1"/>
    <col min="29" max="30" width="10.28515625" style="33" customWidth="1"/>
    <col min="31" max="31" width="14.42578125" style="33" customWidth="1"/>
    <col min="32" max="32" width="10.28515625" style="115" customWidth="1"/>
    <col min="33" max="33" width="10.28515625" style="33" customWidth="1"/>
    <col min="34" max="34" width="10.28515625" style="116" customWidth="1"/>
    <col min="35" max="35" width="12.140625" style="33" customWidth="1"/>
    <col min="36" max="36" width="10.28515625" style="115" customWidth="1"/>
    <col min="37" max="39" width="10.28515625" style="33" customWidth="1"/>
    <col min="40" max="40" width="10.28515625" style="115" customWidth="1"/>
    <col min="41" max="47" width="10.28515625" style="33" customWidth="1"/>
    <col min="48" max="48" width="12.140625" style="33" customWidth="1"/>
    <col min="49" max="51" width="10.28515625" style="33" customWidth="1"/>
    <col min="52" max="52" width="11.28515625" style="33" customWidth="1"/>
    <col min="53" max="53" width="10.28515625" style="33" customWidth="1"/>
    <col min="54" max="54" width="14.28515625" style="33" customWidth="1"/>
    <col min="55" max="55" width="13" style="33" customWidth="1"/>
    <col min="56" max="56" width="11.28515625" style="33" customWidth="1"/>
    <col min="57" max="58" width="10.28515625" style="33" customWidth="1"/>
    <col min="59" max="59" width="13.85546875" style="33" customWidth="1"/>
    <col min="60" max="62" width="10.28515625" style="33" customWidth="1"/>
    <col min="63" max="63" width="11.85546875" style="33" customWidth="1"/>
    <col min="64" max="72" width="10.28515625" style="33" customWidth="1"/>
    <col min="73" max="73" width="34.140625" style="33" customWidth="1"/>
    <col min="74" max="16384" width="11.42578125" style="33"/>
  </cols>
  <sheetData>
    <row r="1" spans="1:73" s="1" customFormat="1" ht="12.75" customHeight="1">
      <c r="A1" s="127"/>
      <c r="B1" s="128"/>
      <c r="C1" s="131" t="s">
        <v>0</v>
      </c>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3"/>
      <c r="BS1" s="140" t="s">
        <v>1</v>
      </c>
      <c r="BT1" s="141"/>
      <c r="BU1" s="142"/>
    </row>
    <row r="2" spans="1:73" s="1" customFormat="1" ht="12.75" customHeight="1" thickBot="1">
      <c r="A2" s="129"/>
      <c r="B2" s="130"/>
      <c r="C2" s="134"/>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6"/>
      <c r="BS2" s="143"/>
      <c r="BT2" s="144"/>
      <c r="BU2" s="145"/>
    </row>
    <row r="3" spans="1:73" s="1" customFormat="1" ht="12.75" customHeight="1">
      <c r="A3" s="129"/>
      <c r="B3" s="130"/>
      <c r="C3" s="134"/>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6"/>
      <c r="BS3" s="140" t="s">
        <v>2</v>
      </c>
      <c r="BT3" s="141"/>
      <c r="BU3" s="142"/>
    </row>
    <row r="4" spans="1:73" s="1" customFormat="1" ht="12.75" customHeight="1" thickBot="1">
      <c r="A4" s="129"/>
      <c r="B4" s="130"/>
      <c r="C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9"/>
      <c r="BS4" s="143"/>
      <c r="BT4" s="144"/>
      <c r="BU4" s="145"/>
    </row>
    <row r="5" spans="1:73" s="1" customFormat="1" ht="15" customHeight="1">
      <c r="A5" s="129"/>
      <c r="B5" s="130"/>
      <c r="C5" s="146" t="s">
        <v>3</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8"/>
      <c r="AN5" s="146" t="s">
        <v>0</v>
      </c>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8"/>
      <c r="BS5" s="140" t="s">
        <v>4</v>
      </c>
      <c r="BT5" s="141"/>
      <c r="BU5" s="142"/>
    </row>
    <row r="6" spans="1:73" s="1" customFormat="1" ht="15" customHeight="1">
      <c r="A6" s="129"/>
      <c r="B6" s="130"/>
      <c r="C6" s="149"/>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1"/>
      <c r="AN6" s="149"/>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1"/>
      <c r="BS6" s="152"/>
      <c r="BT6" s="153"/>
      <c r="BU6" s="154"/>
    </row>
    <row r="7" spans="1:73" s="3" customFormat="1" ht="13.5" customHeight="1">
      <c r="A7" s="156" t="s">
        <v>5</v>
      </c>
      <c r="B7" s="157" t="s">
        <v>6</v>
      </c>
      <c r="C7" s="158" t="s">
        <v>7</v>
      </c>
      <c r="D7" s="2"/>
      <c r="E7" s="155" t="s">
        <v>8</v>
      </c>
      <c r="F7" s="155"/>
      <c r="G7" s="155"/>
      <c r="H7" s="155"/>
      <c r="I7" s="155" t="s">
        <v>9</v>
      </c>
      <c r="J7" s="155" t="s">
        <v>10</v>
      </c>
      <c r="K7" s="155" t="s">
        <v>11</v>
      </c>
      <c r="L7" s="155" t="s">
        <v>12</v>
      </c>
      <c r="M7" s="155" t="s">
        <v>13</v>
      </c>
      <c r="N7" s="155" t="s">
        <v>14</v>
      </c>
      <c r="O7" s="155" t="s">
        <v>15</v>
      </c>
      <c r="P7" s="155" t="s">
        <v>16</v>
      </c>
      <c r="Q7" s="155" t="s">
        <v>17</v>
      </c>
      <c r="R7" s="160" t="s">
        <v>18</v>
      </c>
      <c r="S7" s="161" t="s">
        <v>19</v>
      </c>
      <c r="T7" s="161" t="s">
        <v>20</v>
      </c>
      <c r="U7" s="124"/>
      <c r="V7" s="155" t="s">
        <v>21</v>
      </c>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row>
    <row r="8" spans="1:73" s="3" customFormat="1" ht="24.75" customHeight="1">
      <c r="A8" s="156"/>
      <c r="B8" s="157"/>
      <c r="C8" s="158"/>
      <c r="D8" s="2"/>
      <c r="E8" s="155"/>
      <c r="F8" s="155"/>
      <c r="G8" s="155"/>
      <c r="H8" s="155"/>
      <c r="I8" s="155"/>
      <c r="J8" s="155"/>
      <c r="K8" s="155"/>
      <c r="L8" s="155"/>
      <c r="M8" s="155"/>
      <c r="N8" s="155"/>
      <c r="O8" s="155"/>
      <c r="P8" s="155"/>
      <c r="Q8" s="155"/>
      <c r="R8" s="160"/>
      <c r="S8" s="162"/>
      <c r="T8" s="162"/>
      <c r="U8" s="162" t="s">
        <v>21</v>
      </c>
      <c r="V8" s="155"/>
      <c r="W8" s="155"/>
      <c r="X8" s="155"/>
      <c r="Y8" s="164" t="s">
        <v>22</v>
      </c>
      <c r="Z8" s="164"/>
      <c r="AA8" s="164"/>
      <c r="AB8" s="164"/>
      <c r="AC8" s="165" t="s">
        <v>23</v>
      </c>
      <c r="AD8" s="165"/>
      <c r="AE8" s="165"/>
      <c r="AF8" s="165"/>
      <c r="AG8" s="166" t="s">
        <v>24</v>
      </c>
      <c r="AH8" s="166"/>
      <c r="AI8" s="166"/>
      <c r="AJ8" s="166"/>
      <c r="AK8" s="167" t="s">
        <v>25</v>
      </c>
      <c r="AL8" s="167"/>
      <c r="AM8" s="167"/>
      <c r="AN8" s="167"/>
      <c r="AO8" s="176" t="s">
        <v>26</v>
      </c>
      <c r="AP8" s="176"/>
      <c r="AQ8" s="176"/>
      <c r="AR8" s="176"/>
      <c r="AS8" s="177" t="s">
        <v>27</v>
      </c>
      <c r="AT8" s="177"/>
      <c r="AU8" s="177"/>
      <c r="AV8" s="177"/>
      <c r="AW8" s="178" t="s">
        <v>28</v>
      </c>
      <c r="AX8" s="178"/>
      <c r="AY8" s="178"/>
      <c r="AZ8" s="178"/>
      <c r="BA8" s="179" t="s">
        <v>29</v>
      </c>
      <c r="BB8" s="179"/>
      <c r="BC8" s="179"/>
      <c r="BD8" s="179"/>
      <c r="BE8" s="155" t="s">
        <v>30</v>
      </c>
      <c r="BF8" s="155"/>
      <c r="BG8" s="155"/>
      <c r="BH8" s="155"/>
      <c r="BI8" s="159" t="s">
        <v>31</v>
      </c>
      <c r="BJ8" s="159"/>
      <c r="BK8" s="159"/>
      <c r="BL8" s="159"/>
      <c r="BM8" s="169" t="s">
        <v>32</v>
      </c>
      <c r="BN8" s="169"/>
      <c r="BO8" s="169"/>
      <c r="BP8" s="169"/>
      <c r="BQ8" s="170" t="s">
        <v>33</v>
      </c>
      <c r="BR8" s="170"/>
      <c r="BS8" s="170"/>
      <c r="BT8" s="170"/>
      <c r="BU8" s="155" t="s">
        <v>34</v>
      </c>
    </row>
    <row r="9" spans="1:73" s="3" customFormat="1" ht="94.5" customHeight="1">
      <c r="A9" s="156"/>
      <c r="B9" s="157"/>
      <c r="C9" s="158"/>
      <c r="D9" s="2"/>
      <c r="E9" s="2">
        <v>1</v>
      </c>
      <c r="F9" s="2">
        <v>2</v>
      </c>
      <c r="G9" s="2">
        <v>3</v>
      </c>
      <c r="H9" s="2">
        <v>4</v>
      </c>
      <c r="I9" s="155"/>
      <c r="J9" s="155"/>
      <c r="K9" s="155"/>
      <c r="L9" s="155"/>
      <c r="M9" s="155"/>
      <c r="N9" s="155"/>
      <c r="O9" s="155"/>
      <c r="P9" s="155"/>
      <c r="Q9" s="155"/>
      <c r="R9" s="160"/>
      <c r="S9" s="163"/>
      <c r="T9" s="163"/>
      <c r="U9" s="163"/>
      <c r="V9" s="4" t="s">
        <v>561</v>
      </c>
      <c r="W9" s="5" t="s">
        <v>562</v>
      </c>
      <c r="X9" s="6" t="s">
        <v>35</v>
      </c>
      <c r="Y9" s="7" t="s">
        <v>36</v>
      </c>
      <c r="Z9" s="7" t="s">
        <v>37</v>
      </c>
      <c r="AA9" s="7" t="s">
        <v>38</v>
      </c>
      <c r="AB9" s="7" t="s">
        <v>39</v>
      </c>
      <c r="AC9" s="8" t="s">
        <v>36</v>
      </c>
      <c r="AD9" s="8" t="s">
        <v>37</v>
      </c>
      <c r="AE9" s="8" t="s">
        <v>38</v>
      </c>
      <c r="AF9" s="8" t="s">
        <v>39</v>
      </c>
      <c r="AG9" s="9" t="s">
        <v>36</v>
      </c>
      <c r="AH9" s="10" t="s">
        <v>37</v>
      </c>
      <c r="AI9" s="9" t="s">
        <v>38</v>
      </c>
      <c r="AJ9" s="9" t="s">
        <v>39</v>
      </c>
      <c r="AK9" s="11" t="s">
        <v>36</v>
      </c>
      <c r="AL9" s="11" t="s">
        <v>37</v>
      </c>
      <c r="AM9" s="11" t="s">
        <v>38</v>
      </c>
      <c r="AN9" s="11" t="s">
        <v>39</v>
      </c>
      <c r="AO9" s="12" t="s">
        <v>36</v>
      </c>
      <c r="AP9" s="12" t="s">
        <v>37</v>
      </c>
      <c r="AQ9" s="12" t="s">
        <v>38</v>
      </c>
      <c r="AR9" s="12" t="s">
        <v>39</v>
      </c>
      <c r="AS9" s="13" t="s">
        <v>36</v>
      </c>
      <c r="AT9" s="13" t="s">
        <v>37</v>
      </c>
      <c r="AU9" s="13" t="s">
        <v>38</v>
      </c>
      <c r="AV9" s="13" t="s">
        <v>39</v>
      </c>
      <c r="AW9" s="14" t="s">
        <v>36</v>
      </c>
      <c r="AX9" s="14" t="s">
        <v>37</v>
      </c>
      <c r="AY9" s="14" t="s">
        <v>38</v>
      </c>
      <c r="AZ9" s="14" t="s">
        <v>39</v>
      </c>
      <c r="BA9" s="15" t="s">
        <v>36</v>
      </c>
      <c r="BB9" s="15" t="s">
        <v>37</v>
      </c>
      <c r="BC9" s="15" t="s">
        <v>38</v>
      </c>
      <c r="BD9" s="15" t="s">
        <v>39</v>
      </c>
      <c r="BE9" s="16" t="s">
        <v>36</v>
      </c>
      <c r="BF9" s="16" t="s">
        <v>37</v>
      </c>
      <c r="BG9" s="16" t="s">
        <v>38</v>
      </c>
      <c r="BH9" s="16" t="s">
        <v>39</v>
      </c>
      <c r="BI9" s="17" t="s">
        <v>36</v>
      </c>
      <c r="BJ9" s="17" t="s">
        <v>37</v>
      </c>
      <c r="BK9" s="17" t="s">
        <v>38</v>
      </c>
      <c r="BL9" s="17" t="s">
        <v>39</v>
      </c>
      <c r="BM9" s="18" t="s">
        <v>36</v>
      </c>
      <c r="BN9" s="18" t="s">
        <v>37</v>
      </c>
      <c r="BO9" s="18" t="s">
        <v>38</v>
      </c>
      <c r="BP9" s="18" t="s">
        <v>39</v>
      </c>
      <c r="BQ9" s="19" t="s">
        <v>36</v>
      </c>
      <c r="BR9" s="19" t="s">
        <v>37</v>
      </c>
      <c r="BS9" s="19" t="s">
        <v>38</v>
      </c>
      <c r="BT9" s="19" t="s">
        <v>39</v>
      </c>
      <c r="BU9" s="155"/>
    </row>
    <row r="10" spans="1:73" ht="64.5" customHeight="1">
      <c r="A10" s="171" t="s">
        <v>40</v>
      </c>
      <c r="B10" s="172" t="s">
        <v>41</v>
      </c>
      <c r="C10" s="173" t="s">
        <v>42</v>
      </c>
      <c r="D10" s="174" t="s">
        <v>43</v>
      </c>
      <c r="E10" s="20">
        <v>1</v>
      </c>
      <c r="F10" s="20"/>
      <c r="G10" s="20"/>
      <c r="H10" s="20"/>
      <c r="I10" s="20" t="s">
        <v>44</v>
      </c>
      <c r="J10" s="168" t="s">
        <v>45</v>
      </c>
      <c r="K10" s="20" t="s">
        <v>46</v>
      </c>
      <c r="L10" s="20" t="s">
        <v>47</v>
      </c>
      <c r="M10" s="20" t="s">
        <v>48</v>
      </c>
      <c r="N10" s="20" t="s">
        <v>47</v>
      </c>
      <c r="O10" s="20" t="s">
        <v>49</v>
      </c>
      <c r="P10" s="20" t="s">
        <v>50</v>
      </c>
      <c r="Q10" s="20" t="s">
        <v>51</v>
      </c>
      <c r="R10" s="22">
        <v>17520</v>
      </c>
      <c r="S10" s="22">
        <f>+Z10+AD10+AH10+AL10+AP10+AT10+AX10+BB10+BF10+BJ10+BN10+BR10</f>
        <v>14688</v>
      </c>
      <c r="T10" s="23">
        <f t="shared" ref="T10:T18" si="0">+S10/R10</f>
        <v>0.83835616438356164</v>
      </c>
      <c r="U10" s="29" t="str">
        <f t="shared" ref="U10:U73" si="1">IF(T10&gt;=80%,"BUENO",IF(T10&gt;=66%,"REGULAR",IF(T10&gt;=0.00001%,"MALO","")))</f>
        <v>BUENO</v>
      </c>
      <c r="V10" s="24" t="s">
        <v>52</v>
      </c>
      <c r="W10" s="24" t="s">
        <v>53</v>
      </c>
      <c r="X10" s="24" t="s">
        <v>54</v>
      </c>
      <c r="Y10" s="25"/>
      <c r="Z10" s="20"/>
      <c r="AA10" s="23"/>
      <c r="AB10" s="26"/>
      <c r="AC10" s="23"/>
      <c r="AD10" s="20"/>
      <c r="AE10" s="23"/>
      <c r="AF10" s="27"/>
      <c r="AG10" s="25">
        <v>1460</v>
      </c>
      <c r="AH10" s="28">
        <v>1488</v>
      </c>
      <c r="AI10" s="23">
        <v>0.98118279569892475</v>
      </c>
      <c r="AJ10" s="29" t="str">
        <f t="shared" ref="AJ10:AJ13" si="2">IF(AI10&gt;=80%,"BUENO",IF(AI10&gt;=66%,"REGULAR",IF(AI10&gt;=0.00001%,"MALO","")))</f>
        <v>BUENO</v>
      </c>
      <c r="AK10" s="25">
        <v>1452</v>
      </c>
      <c r="AL10" s="20">
        <v>1440</v>
      </c>
      <c r="AM10" s="30">
        <v>0.99173553719008267</v>
      </c>
      <c r="AN10" s="29" t="str">
        <f t="shared" ref="AN10:AN69" si="3">IF(AM10&gt;=80%,"BUENO",IF(AM10&gt;=66%,"REGULAR",IF(AM10&gt;=0.00001%,"MALO","")))</f>
        <v>BUENO</v>
      </c>
      <c r="AO10" s="25">
        <v>1452</v>
      </c>
      <c r="AP10" s="20">
        <v>1488</v>
      </c>
      <c r="AQ10" s="30">
        <v>1.024793388429752</v>
      </c>
      <c r="AR10" s="29" t="str">
        <f t="shared" ref="AR10:AR69" si="4">IF(AQ10&gt;=80%,"BUENO",IF(AQ10&gt;=66%,"REGULAR",IF(AQ10&gt;=0.00001%,"MALO","")))</f>
        <v>BUENO</v>
      </c>
      <c r="AS10" s="25">
        <v>1452</v>
      </c>
      <c r="AT10" s="31">
        <v>1440</v>
      </c>
      <c r="AU10" s="23">
        <v>0.99173553719008267</v>
      </c>
      <c r="AV10" s="29" t="str">
        <f>IF(AU10&gt;=80%,"BUENO",IF(AU10&gt;=66%,"REGULAR",IF(AU10&gt;=0%,"MALO","")))</f>
        <v>BUENO</v>
      </c>
      <c r="AW10" s="25">
        <v>1452</v>
      </c>
      <c r="AX10" s="31">
        <v>1488</v>
      </c>
      <c r="AY10" s="23">
        <v>1.024793388429752</v>
      </c>
      <c r="AZ10" s="29" t="str">
        <f t="shared" ref="AZ10:AZ53" si="5">IF(AY10&gt;=80%,"BUENO",IF(AY10&gt;=66%,"REGULAR",IF(AY10&gt;=0%,"MALO","")))</f>
        <v>BUENO</v>
      </c>
      <c r="BA10" s="25">
        <v>1452</v>
      </c>
      <c r="BB10" s="20">
        <v>1488</v>
      </c>
      <c r="BC10" s="23">
        <v>1.024793388429752</v>
      </c>
      <c r="BD10" s="29" t="str">
        <f t="shared" ref="BD10:BD53" si="6">IF(BC10&gt;=80%,"BUENO",IF(BC10&gt;=66%,"REGULAR",IF(BC10&gt;=0%,"MALO","")))</f>
        <v>BUENO</v>
      </c>
      <c r="BE10" s="25">
        <v>1452</v>
      </c>
      <c r="BF10" s="20">
        <v>1440</v>
      </c>
      <c r="BG10" s="23">
        <v>0.99173553719008267</v>
      </c>
      <c r="BH10" s="29" t="str">
        <f t="shared" ref="BH10:BH69" si="7">IF(BG10&gt;=80%,"BUENO",IF(BG10&gt;=66%,"REGULAR",IF(BG10&gt;=0%,"MALO","")))</f>
        <v>BUENO</v>
      </c>
      <c r="BI10" s="25">
        <v>1452</v>
      </c>
      <c r="BJ10" s="20">
        <v>1488</v>
      </c>
      <c r="BK10" s="23">
        <v>1.024793388429752</v>
      </c>
      <c r="BL10" s="29" t="str">
        <f t="shared" ref="BL10:BL14" si="8">IF(BK10&gt;=80%,"BUENO",IF(BK10&gt;=66%,"REGULAR",IF(BK10&gt;=0%,"MALO","")))</f>
        <v>BUENO</v>
      </c>
      <c r="BM10" s="25">
        <v>1452</v>
      </c>
      <c r="BN10" s="20">
        <v>1440</v>
      </c>
      <c r="BO10" s="23">
        <v>0.99173553719008267</v>
      </c>
      <c r="BP10" s="29" t="str">
        <f t="shared" ref="BP10:BP13" si="9">IF(BO10&gt;=80%,"BUENO",IF(BO10&gt;=66%,"REGULAR",IF(BO10&gt;=0%,"MALO","")))</f>
        <v>BUENO</v>
      </c>
      <c r="BQ10" s="25">
        <v>1452</v>
      </c>
      <c r="BR10" s="20">
        <v>1488</v>
      </c>
      <c r="BS10" s="23">
        <v>1.024793388429752</v>
      </c>
      <c r="BT10" s="29" t="str">
        <f t="shared" ref="BT10:BT24" si="10">IF(BS10&gt;=80%,"BUENO",IF(BS10&gt;=66%,"REGULAR",IF(BS10&gt;=0%,"MALO","")))</f>
        <v>BUENO</v>
      </c>
      <c r="BU10" s="32"/>
    </row>
    <row r="11" spans="1:73" ht="62.25" customHeight="1">
      <c r="A11" s="171"/>
      <c r="B11" s="172"/>
      <c r="C11" s="173"/>
      <c r="D11" s="174"/>
      <c r="E11" s="20"/>
      <c r="F11" s="20">
        <v>2</v>
      </c>
      <c r="G11" s="20"/>
      <c r="H11" s="20"/>
      <c r="I11" s="20" t="s">
        <v>55</v>
      </c>
      <c r="J11" s="168"/>
      <c r="K11" s="20" t="s">
        <v>56</v>
      </c>
      <c r="L11" s="20" t="s">
        <v>47</v>
      </c>
      <c r="M11" s="20" t="s">
        <v>48</v>
      </c>
      <c r="N11" s="20" t="s">
        <v>47</v>
      </c>
      <c r="O11" s="20" t="s">
        <v>49</v>
      </c>
      <c r="P11" s="20" t="s">
        <v>50</v>
      </c>
      <c r="Q11" s="20" t="s">
        <v>57</v>
      </c>
      <c r="R11" s="22">
        <v>42</v>
      </c>
      <c r="S11" s="22">
        <f>+AVERAGE(AH11,AL11,AP11,AT11,AX11,BB11,BF11,BJ11,BR11)</f>
        <v>45.666666666666664</v>
      </c>
      <c r="T11" s="23">
        <f t="shared" si="0"/>
        <v>1.0873015873015872</v>
      </c>
      <c r="U11" s="29" t="str">
        <f t="shared" si="1"/>
        <v>BUENO</v>
      </c>
      <c r="V11" s="24" t="s">
        <v>52</v>
      </c>
      <c r="W11" s="24" t="s">
        <v>53</v>
      </c>
      <c r="X11" s="24" t="s">
        <v>54</v>
      </c>
      <c r="Y11" s="20"/>
      <c r="Z11" s="20"/>
      <c r="AA11" s="23"/>
      <c r="AB11" s="27"/>
      <c r="AC11" s="20"/>
      <c r="AD11" s="20"/>
      <c r="AE11" s="23"/>
      <c r="AF11" s="27"/>
      <c r="AG11" s="25">
        <v>42</v>
      </c>
      <c r="AH11" s="28">
        <v>42</v>
      </c>
      <c r="AI11" s="23">
        <v>1</v>
      </c>
      <c r="AJ11" s="29" t="str">
        <f t="shared" si="2"/>
        <v>BUENO</v>
      </c>
      <c r="AK11" s="20">
        <v>42</v>
      </c>
      <c r="AL11" s="20">
        <v>42</v>
      </c>
      <c r="AM11" s="30">
        <v>1</v>
      </c>
      <c r="AN11" s="29" t="str">
        <f t="shared" si="3"/>
        <v>BUENO</v>
      </c>
      <c r="AO11" s="20">
        <v>42</v>
      </c>
      <c r="AP11" s="20">
        <v>42</v>
      </c>
      <c r="AQ11" s="30">
        <v>1</v>
      </c>
      <c r="AR11" s="29" t="str">
        <f t="shared" si="4"/>
        <v>BUENO</v>
      </c>
      <c r="AS11" s="20">
        <v>42</v>
      </c>
      <c r="AT11" s="20">
        <v>43</v>
      </c>
      <c r="AU11" s="23">
        <v>1.0238095238095237</v>
      </c>
      <c r="AV11" s="29" t="str">
        <f t="shared" ref="AV11:AV70" si="11">IF(AU11&gt;=80%,"BUENO",IF(AU11&gt;=66%,"REGULAR",IF(AU11&gt;=0.00001%,"MALO","")))</f>
        <v>BUENO</v>
      </c>
      <c r="AW11" s="20">
        <v>42</v>
      </c>
      <c r="AX11" s="20">
        <v>42</v>
      </c>
      <c r="AY11" s="23">
        <v>1</v>
      </c>
      <c r="AZ11" s="29" t="str">
        <f t="shared" si="5"/>
        <v>BUENO</v>
      </c>
      <c r="BA11" s="20">
        <v>42</v>
      </c>
      <c r="BB11" s="20">
        <v>50</v>
      </c>
      <c r="BC11" s="23">
        <v>1.1904761904761905</v>
      </c>
      <c r="BD11" s="29" t="str">
        <f t="shared" si="6"/>
        <v>BUENO</v>
      </c>
      <c r="BE11" s="20">
        <v>42</v>
      </c>
      <c r="BF11" s="20">
        <v>50</v>
      </c>
      <c r="BG11" s="23">
        <v>1.1904761904761905</v>
      </c>
      <c r="BH11" s="29" t="str">
        <f t="shared" si="7"/>
        <v>BUENO</v>
      </c>
      <c r="BI11" s="20">
        <v>42</v>
      </c>
      <c r="BJ11" s="20">
        <v>50</v>
      </c>
      <c r="BK11" s="23">
        <v>1.1904761904761905</v>
      </c>
      <c r="BL11" s="29" t="str">
        <f t="shared" si="8"/>
        <v>BUENO</v>
      </c>
      <c r="BM11" s="20">
        <v>42</v>
      </c>
      <c r="BN11" s="20">
        <v>50</v>
      </c>
      <c r="BO11" s="23">
        <v>1.1904761904761905</v>
      </c>
      <c r="BP11" s="29" t="str">
        <f t="shared" si="9"/>
        <v>BUENO</v>
      </c>
      <c r="BQ11" s="20">
        <v>42</v>
      </c>
      <c r="BR11" s="20">
        <v>50</v>
      </c>
      <c r="BS11" s="23">
        <v>1.1904761904761905</v>
      </c>
      <c r="BT11" s="29" t="str">
        <f t="shared" si="10"/>
        <v>BUENO</v>
      </c>
      <c r="BU11" s="34"/>
    </row>
    <row r="12" spans="1:73" ht="140.25">
      <c r="A12" s="171"/>
      <c r="B12" s="172"/>
      <c r="C12" s="173"/>
      <c r="D12" s="174"/>
      <c r="E12" s="20"/>
      <c r="F12" s="20">
        <v>2</v>
      </c>
      <c r="G12" s="20"/>
      <c r="H12" s="20"/>
      <c r="I12" s="20" t="s">
        <v>58</v>
      </c>
      <c r="J12" s="20" t="s">
        <v>59</v>
      </c>
      <c r="K12" s="20" t="s">
        <v>60</v>
      </c>
      <c r="L12" s="20" t="s">
        <v>58</v>
      </c>
      <c r="M12" s="20" t="s">
        <v>48</v>
      </c>
      <c r="N12" s="20" t="s">
        <v>47</v>
      </c>
      <c r="O12" s="20" t="s">
        <v>49</v>
      </c>
      <c r="P12" s="20" t="s">
        <v>50</v>
      </c>
      <c r="Q12" s="20" t="s">
        <v>58</v>
      </c>
      <c r="R12" s="22">
        <v>5600</v>
      </c>
      <c r="S12" s="22">
        <f>+Z12+AD12+AH12+AL12+AP12+AT12+AX12+BB12+BF12+BJ12+BN12+BR12</f>
        <v>5600</v>
      </c>
      <c r="T12" s="23">
        <f t="shared" si="0"/>
        <v>1</v>
      </c>
      <c r="U12" s="29" t="str">
        <f t="shared" si="1"/>
        <v>BUENO</v>
      </c>
      <c r="V12" s="24" t="s">
        <v>52</v>
      </c>
      <c r="W12" s="24" t="s">
        <v>53</v>
      </c>
      <c r="X12" s="24" t="s">
        <v>54</v>
      </c>
      <c r="Y12" s="20"/>
      <c r="Z12" s="20"/>
      <c r="AA12" s="20"/>
      <c r="AB12" s="35"/>
      <c r="AC12" s="20"/>
      <c r="AD12" s="20"/>
      <c r="AE12" s="20"/>
      <c r="AF12" s="35"/>
      <c r="AG12" s="20">
        <v>7</v>
      </c>
      <c r="AH12" s="28">
        <v>560</v>
      </c>
      <c r="AI12" s="23">
        <v>80</v>
      </c>
      <c r="AJ12" s="29" t="str">
        <f t="shared" si="2"/>
        <v>BUENO</v>
      </c>
      <c r="AK12" s="20">
        <v>40</v>
      </c>
      <c r="AL12" s="20">
        <v>560</v>
      </c>
      <c r="AM12" s="30">
        <v>14</v>
      </c>
      <c r="AN12" s="29" t="str">
        <f t="shared" si="3"/>
        <v>BUENO</v>
      </c>
      <c r="AO12" s="20">
        <v>560</v>
      </c>
      <c r="AP12" s="20">
        <v>560</v>
      </c>
      <c r="AQ12" s="30">
        <v>1</v>
      </c>
      <c r="AR12" s="29" t="str">
        <f t="shared" si="4"/>
        <v>BUENO</v>
      </c>
      <c r="AS12" s="20">
        <v>560</v>
      </c>
      <c r="AT12" s="31">
        <v>560</v>
      </c>
      <c r="AU12" s="30">
        <v>1</v>
      </c>
      <c r="AV12" s="29" t="str">
        <f t="shared" si="11"/>
        <v>BUENO</v>
      </c>
      <c r="AW12" s="20">
        <v>560</v>
      </c>
      <c r="AX12" s="31">
        <v>560</v>
      </c>
      <c r="AY12" s="30">
        <v>1</v>
      </c>
      <c r="AZ12" s="29" t="str">
        <f t="shared" si="5"/>
        <v>BUENO</v>
      </c>
      <c r="BA12" s="20">
        <v>560</v>
      </c>
      <c r="BB12" s="20">
        <v>560</v>
      </c>
      <c r="BC12" s="30">
        <v>1</v>
      </c>
      <c r="BD12" s="29" t="str">
        <f t="shared" si="6"/>
        <v>BUENO</v>
      </c>
      <c r="BE12" s="20">
        <v>560</v>
      </c>
      <c r="BF12" s="20">
        <v>560</v>
      </c>
      <c r="BG12" s="30">
        <v>1</v>
      </c>
      <c r="BH12" s="29" t="str">
        <f t="shared" si="7"/>
        <v>BUENO</v>
      </c>
      <c r="BI12" s="20">
        <v>560</v>
      </c>
      <c r="BJ12" s="20">
        <v>560</v>
      </c>
      <c r="BK12" s="30">
        <v>1</v>
      </c>
      <c r="BL12" s="29" t="str">
        <f t="shared" si="8"/>
        <v>BUENO</v>
      </c>
      <c r="BM12" s="20">
        <v>560</v>
      </c>
      <c r="BN12" s="20">
        <v>560</v>
      </c>
      <c r="BO12" s="30">
        <v>1</v>
      </c>
      <c r="BP12" s="29" t="str">
        <f t="shared" si="9"/>
        <v>BUENO</v>
      </c>
      <c r="BQ12" s="20">
        <v>560</v>
      </c>
      <c r="BR12" s="20">
        <v>560</v>
      </c>
      <c r="BS12" s="30">
        <v>1</v>
      </c>
      <c r="BT12" s="29" t="str">
        <f t="shared" si="10"/>
        <v>BUENO</v>
      </c>
      <c r="BU12" s="36" t="s">
        <v>61</v>
      </c>
    </row>
    <row r="13" spans="1:73" ht="129" customHeight="1">
      <c r="A13" s="171"/>
      <c r="B13" s="172"/>
      <c r="C13" s="173"/>
      <c r="D13" s="174"/>
      <c r="E13" s="20"/>
      <c r="F13" s="20">
        <v>2</v>
      </c>
      <c r="G13" s="20"/>
      <c r="H13" s="20"/>
      <c r="I13" s="20" t="s">
        <v>62</v>
      </c>
      <c r="J13" s="20" t="s">
        <v>63</v>
      </c>
      <c r="K13" s="20" t="s">
        <v>64</v>
      </c>
      <c r="L13" s="20" t="s">
        <v>62</v>
      </c>
      <c r="M13" s="20" t="s">
        <v>48</v>
      </c>
      <c r="N13" s="20" t="s">
        <v>65</v>
      </c>
      <c r="O13" s="20" t="s">
        <v>49</v>
      </c>
      <c r="P13" s="20" t="s">
        <v>50</v>
      </c>
      <c r="Q13" s="20" t="s">
        <v>62</v>
      </c>
      <c r="R13" s="22">
        <v>114</v>
      </c>
      <c r="S13" s="22">
        <f>+Z13+AD13+AH13+AL13+AP13+AT13+AX13+BB13+BF13+BJ13+BN13+BR13</f>
        <v>128</v>
      </c>
      <c r="T13" s="23">
        <f t="shared" si="0"/>
        <v>1.1228070175438596</v>
      </c>
      <c r="U13" s="29" t="str">
        <f t="shared" si="1"/>
        <v>BUENO</v>
      </c>
      <c r="V13" s="24" t="s">
        <v>52</v>
      </c>
      <c r="W13" s="24" t="s">
        <v>53</v>
      </c>
      <c r="X13" s="24" t="s">
        <v>54</v>
      </c>
      <c r="Y13" s="20"/>
      <c r="Z13" s="20"/>
      <c r="AA13" s="20"/>
      <c r="AB13" s="35"/>
      <c r="AC13" s="20"/>
      <c r="AD13" s="20"/>
      <c r="AE13" s="20"/>
      <c r="AF13" s="35"/>
      <c r="AG13" s="20">
        <v>15</v>
      </c>
      <c r="AH13" s="31">
        <v>5</v>
      </c>
      <c r="AI13" s="37">
        <v>0.33333333333333331</v>
      </c>
      <c r="AJ13" s="29" t="str">
        <f t="shared" si="2"/>
        <v>MALO</v>
      </c>
      <c r="AK13" s="20">
        <v>14</v>
      </c>
      <c r="AL13" s="20">
        <v>5</v>
      </c>
      <c r="AM13" s="23">
        <v>0.35714285714285715</v>
      </c>
      <c r="AN13" s="29" t="str">
        <f t="shared" si="3"/>
        <v>MALO</v>
      </c>
      <c r="AO13" s="20">
        <v>14</v>
      </c>
      <c r="AP13" s="20">
        <v>5</v>
      </c>
      <c r="AQ13" s="23">
        <v>0.35714285714285715</v>
      </c>
      <c r="AR13" s="29" t="str">
        <f t="shared" si="4"/>
        <v>MALO</v>
      </c>
      <c r="AS13" s="20">
        <v>11</v>
      </c>
      <c r="AT13" s="20">
        <v>8</v>
      </c>
      <c r="AU13" s="23">
        <v>0.72727272727272729</v>
      </c>
      <c r="AV13" s="29" t="str">
        <f t="shared" si="11"/>
        <v>REGULAR</v>
      </c>
      <c r="AW13" s="20">
        <v>13</v>
      </c>
      <c r="AX13" s="20">
        <v>9</v>
      </c>
      <c r="AY13" s="23">
        <v>0.69230769230769229</v>
      </c>
      <c r="AZ13" s="29" t="str">
        <f t="shared" si="5"/>
        <v>REGULAR</v>
      </c>
      <c r="BA13" s="20">
        <v>13</v>
      </c>
      <c r="BB13" s="20">
        <v>20</v>
      </c>
      <c r="BC13" s="23">
        <v>1.5384615384615385</v>
      </c>
      <c r="BD13" s="29" t="str">
        <f t="shared" si="6"/>
        <v>BUENO</v>
      </c>
      <c r="BE13" s="20">
        <v>17</v>
      </c>
      <c r="BF13" s="20">
        <v>24</v>
      </c>
      <c r="BG13" s="23">
        <v>1.411764705882353</v>
      </c>
      <c r="BH13" s="29" t="str">
        <f t="shared" si="7"/>
        <v>BUENO</v>
      </c>
      <c r="BI13" s="20">
        <v>15</v>
      </c>
      <c r="BJ13" s="20">
        <v>23</v>
      </c>
      <c r="BK13" s="23">
        <v>1.5333333333333334</v>
      </c>
      <c r="BL13" s="29" t="str">
        <f t="shared" si="8"/>
        <v>BUENO</v>
      </c>
      <c r="BM13" s="20">
        <v>17</v>
      </c>
      <c r="BN13" s="20">
        <v>20</v>
      </c>
      <c r="BO13" s="23">
        <v>1.1764705882352942</v>
      </c>
      <c r="BP13" s="29" t="str">
        <f t="shared" si="9"/>
        <v>BUENO</v>
      </c>
      <c r="BQ13" s="20">
        <v>5</v>
      </c>
      <c r="BR13" s="20">
        <v>9</v>
      </c>
      <c r="BS13" s="23">
        <v>1.8</v>
      </c>
      <c r="BT13" s="29" t="str">
        <f t="shared" si="10"/>
        <v>BUENO</v>
      </c>
      <c r="BU13" s="36" t="s">
        <v>61</v>
      </c>
    </row>
    <row r="14" spans="1:73" ht="109.5" customHeight="1">
      <c r="A14" s="171"/>
      <c r="B14" s="172"/>
      <c r="C14" s="173"/>
      <c r="D14" s="174"/>
      <c r="E14" s="38">
        <v>1</v>
      </c>
      <c r="F14" s="38"/>
      <c r="G14" s="38"/>
      <c r="H14" s="38"/>
      <c r="I14" s="38" t="s">
        <v>66</v>
      </c>
      <c r="J14" s="20" t="s">
        <v>67</v>
      </c>
      <c r="K14" s="20" t="s">
        <v>68</v>
      </c>
      <c r="L14" s="20" t="s">
        <v>69</v>
      </c>
      <c r="M14" s="20" t="s">
        <v>70</v>
      </c>
      <c r="N14" s="20" t="s">
        <v>47</v>
      </c>
      <c r="O14" s="20" t="s">
        <v>49</v>
      </c>
      <c r="P14" s="20" t="s">
        <v>50</v>
      </c>
      <c r="Q14" s="20" t="s">
        <v>66</v>
      </c>
      <c r="R14" s="22">
        <v>1</v>
      </c>
      <c r="S14" s="22">
        <f>+Z14+AD14+AH14+AL14+AP14+AT14+AX14+BB14+BF14+BJ14+BN14+BR14</f>
        <v>2</v>
      </c>
      <c r="T14" s="23">
        <f t="shared" si="0"/>
        <v>2</v>
      </c>
      <c r="U14" s="29" t="str">
        <f t="shared" si="1"/>
        <v>BUENO</v>
      </c>
      <c r="V14" s="24" t="s">
        <v>52</v>
      </c>
      <c r="W14" s="24" t="s">
        <v>53</v>
      </c>
      <c r="X14" s="24" t="s">
        <v>54</v>
      </c>
      <c r="Y14" s="20"/>
      <c r="Z14" s="20"/>
      <c r="AA14" s="20"/>
      <c r="AB14" s="35"/>
      <c r="AC14" s="20"/>
      <c r="AD14" s="20"/>
      <c r="AE14" s="20"/>
      <c r="AF14" s="35"/>
      <c r="AG14" s="35"/>
      <c r="AH14" s="35"/>
      <c r="AI14" s="35"/>
      <c r="AJ14" s="35"/>
      <c r="AK14" s="35"/>
      <c r="AL14" s="35"/>
      <c r="AM14" s="35"/>
      <c r="AN14" s="29" t="str">
        <f t="shared" si="3"/>
        <v/>
      </c>
      <c r="AO14" s="35"/>
      <c r="AP14" s="35"/>
      <c r="AQ14" s="35"/>
      <c r="AR14" s="29" t="str">
        <f t="shared" si="4"/>
        <v/>
      </c>
      <c r="AS14" s="35"/>
      <c r="AT14" s="35"/>
      <c r="AU14" s="35"/>
      <c r="AV14" s="35"/>
      <c r="AW14" s="35"/>
      <c r="AX14" s="35"/>
      <c r="AY14" s="35"/>
      <c r="AZ14" s="29"/>
      <c r="BA14" s="39"/>
      <c r="BB14" s="39"/>
      <c r="BC14" s="39"/>
      <c r="BD14" s="29"/>
      <c r="BE14" s="20"/>
      <c r="BF14" s="20"/>
      <c r="BG14" s="23"/>
      <c r="BH14" s="29"/>
      <c r="BI14" s="20">
        <v>1</v>
      </c>
      <c r="BJ14" s="20">
        <v>2</v>
      </c>
      <c r="BK14" s="23">
        <f>+BJ14/BI14</f>
        <v>2</v>
      </c>
      <c r="BL14" s="29" t="str">
        <f t="shared" si="8"/>
        <v>BUENO</v>
      </c>
      <c r="BM14" s="20"/>
      <c r="BN14" s="20"/>
      <c r="BO14" s="23"/>
      <c r="BP14" s="23"/>
      <c r="BQ14" s="23"/>
      <c r="BR14" s="23"/>
      <c r="BS14" s="23"/>
      <c r="BT14" s="23"/>
      <c r="BU14" s="34"/>
    </row>
    <row r="15" spans="1:73" ht="178.5" customHeight="1">
      <c r="A15" s="171"/>
      <c r="B15" s="172"/>
      <c r="C15" s="175" t="s">
        <v>71</v>
      </c>
      <c r="D15" s="40"/>
      <c r="E15" s="20">
        <v>1</v>
      </c>
      <c r="F15" s="20"/>
      <c r="G15" s="20"/>
      <c r="H15" s="20"/>
      <c r="I15" s="41" t="s">
        <v>72</v>
      </c>
      <c r="J15" s="20" t="s">
        <v>73</v>
      </c>
      <c r="K15" s="42" t="s">
        <v>74</v>
      </c>
      <c r="L15" s="20" t="s">
        <v>75</v>
      </c>
      <c r="M15" s="20" t="s">
        <v>76</v>
      </c>
      <c r="N15" s="20" t="s">
        <v>77</v>
      </c>
      <c r="O15" s="20" t="s">
        <v>49</v>
      </c>
      <c r="P15" s="20" t="s">
        <v>78</v>
      </c>
      <c r="Q15" s="20" t="s">
        <v>79</v>
      </c>
      <c r="R15" s="37">
        <v>1</v>
      </c>
      <c r="S15" s="37">
        <f>+AVERAGE(AU15,BS15)</f>
        <v>1</v>
      </c>
      <c r="T15" s="37">
        <f t="shared" si="0"/>
        <v>1</v>
      </c>
      <c r="U15" s="29" t="str">
        <f t="shared" si="1"/>
        <v>BUENO</v>
      </c>
      <c r="V15" s="24" t="s">
        <v>52</v>
      </c>
      <c r="W15" s="24" t="s">
        <v>53</v>
      </c>
      <c r="X15" s="24" t="s">
        <v>54</v>
      </c>
      <c r="Y15" s="20"/>
      <c r="Z15" s="20"/>
      <c r="AA15" s="20"/>
      <c r="AB15" s="20"/>
      <c r="AC15" s="20"/>
      <c r="AD15" s="20"/>
      <c r="AE15" s="20"/>
      <c r="AF15" s="20"/>
      <c r="AG15" s="20"/>
      <c r="AH15" s="20"/>
      <c r="AI15" s="20"/>
      <c r="AJ15" s="20"/>
      <c r="AK15" s="20"/>
      <c r="AL15" s="20"/>
      <c r="AM15" s="20"/>
      <c r="AN15" s="29" t="str">
        <f t="shared" si="3"/>
        <v/>
      </c>
      <c r="AO15" s="20"/>
      <c r="AP15" s="20"/>
      <c r="AQ15" s="20"/>
      <c r="AR15" s="29" t="str">
        <f t="shared" si="4"/>
        <v/>
      </c>
      <c r="AS15" s="23">
        <v>0.9</v>
      </c>
      <c r="AT15" s="20">
        <v>425</v>
      </c>
      <c r="AU15" s="37">
        <v>1</v>
      </c>
      <c r="AV15" s="29" t="str">
        <f t="shared" si="11"/>
        <v>BUENO</v>
      </c>
      <c r="AW15" s="20"/>
      <c r="AX15" s="20"/>
      <c r="AY15" s="20"/>
      <c r="AZ15" s="29"/>
      <c r="BA15" s="20"/>
      <c r="BB15" s="20"/>
      <c r="BC15" s="20"/>
      <c r="BD15" s="29"/>
      <c r="BE15" s="20"/>
      <c r="BF15" s="20"/>
      <c r="BG15" s="23"/>
      <c r="BH15" s="29"/>
      <c r="BI15" s="20"/>
      <c r="BJ15" s="20"/>
      <c r="BK15" s="20"/>
      <c r="BL15" s="20"/>
      <c r="BM15" s="39"/>
      <c r="BN15" s="39"/>
      <c r="BO15" s="39"/>
      <c r="BP15" s="39"/>
      <c r="BQ15" s="43">
        <v>0.9</v>
      </c>
      <c r="BR15" s="44">
        <v>1276</v>
      </c>
      <c r="BS15" s="43">
        <v>1</v>
      </c>
      <c r="BT15" s="29" t="str">
        <f t="shared" si="10"/>
        <v>BUENO</v>
      </c>
      <c r="BU15" s="34"/>
    </row>
    <row r="16" spans="1:73" ht="110.25" customHeight="1">
      <c r="A16" s="171"/>
      <c r="B16" s="172"/>
      <c r="C16" s="175"/>
      <c r="D16" s="40"/>
      <c r="E16" s="20">
        <v>1</v>
      </c>
      <c r="F16" s="20"/>
      <c r="G16" s="20"/>
      <c r="H16" s="20"/>
      <c r="I16" s="41" t="s">
        <v>80</v>
      </c>
      <c r="J16" s="20" t="s">
        <v>81</v>
      </c>
      <c r="K16" s="20" t="s">
        <v>82</v>
      </c>
      <c r="L16" s="20" t="s">
        <v>75</v>
      </c>
      <c r="M16" s="20" t="s">
        <v>76</v>
      </c>
      <c r="N16" s="20" t="s">
        <v>77</v>
      </c>
      <c r="O16" s="20" t="s">
        <v>83</v>
      </c>
      <c r="P16" s="20" t="s">
        <v>78</v>
      </c>
      <c r="Q16" s="20" t="s">
        <v>84</v>
      </c>
      <c r="R16" s="37">
        <v>1</v>
      </c>
      <c r="S16" s="37">
        <f>+AVERAGE(AU16,BS16)</f>
        <v>0.875</v>
      </c>
      <c r="T16" s="37">
        <f t="shared" si="0"/>
        <v>0.875</v>
      </c>
      <c r="U16" s="29" t="str">
        <f t="shared" si="1"/>
        <v>BUENO</v>
      </c>
      <c r="V16" s="24" t="s">
        <v>52</v>
      </c>
      <c r="W16" s="24" t="s">
        <v>53</v>
      </c>
      <c r="X16" s="24" t="s">
        <v>54</v>
      </c>
      <c r="Y16" s="20"/>
      <c r="Z16" s="20"/>
      <c r="AA16" s="20"/>
      <c r="AB16" s="20"/>
      <c r="AC16" s="20"/>
      <c r="AD16" s="20"/>
      <c r="AE16" s="20"/>
      <c r="AF16" s="20"/>
      <c r="AG16" s="20"/>
      <c r="AH16" s="20"/>
      <c r="AI16" s="20"/>
      <c r="AJ16" s="20"/>
      <c r="AK16" s="20"/>
      <c r="AL16" s="20"/>
      <c r="AM16" s="20"/>
      <c r="AN16" s="29" t="str">
        <f t="shared" si="3"/>
        <v/>
      </c>
      <c r="AO16" s="20"/>
      <c r="AP16" s="20"/>
      <c r="AQ16" s="20"/>
      <c r="AR16" s="29" t="str">
        <f t="shared" si="4"/>
        <v/>
      </c>
      <c r="AS16" s="23">
        <v>0.8</v>
      </c>
      <c r="AT16" s="20">
        <v>17</v>
      </c>
      <c r="AU16" s="37">
        <v>0.87</v>
      </c>
      <c r="AV16" s="29" t="str">
        <f t="shared" si="11"/>
        <v>BUENO</v>
      </c>
      <c r="AW16" s="45"/>
      <c r="AX16" s="46"/>
      <c r="AY16" s="47"/>
      <c r="AZ16" s="29"/>
      <c r="BA16" s="45"/>
      <c r="BB16" s="45"/>
      <c r="BC16" s="47"/>
      <c r="BD16" s="29"/>
      <c r="BE16" s="20"/>
      <c r="BF16" s="20"/>
      <c r="BG16" s="23"/>
      <c r="BH16" s="29"/>
      <c r="BI16" s="20"/>
      <c r="BJ16" s="20"/>
      <c r="BK16" s="20"/>
      <c r="BL16" s="20"/>
      <c r="BM16" s="39"/>
      <c r="BN16" s="39"/>
      <c r="BO16" s="39"/>
      <c r="BP16" s="39"/>
      <c r="BQ16" s="43">
        <v>0.8</v>
      </c>
      <c r="BR16" s="44">
        <v>20</v>
      </c>
      <c r="BS16" s="43">
        <v>0.88</v>
      </c>
      <c r="BT16" s="29" t="str">
        <f t="shared" si="10"/>
        <v>BUENO</v>
      </c>
      <c r="BU16" s="34"/>
    </row>
    <row r="17" spans="1:73" ht="66.75" customHeight="1">
      <c r="A17" s="171"/>
      <c r="B17" s="172"/>
      <c r="C17" s="175"/>
      <c r="D17" s="40"/>
      <c r="E17" s="20"/>
      <c r="F17" s="20">
        <v>2</v>
      </c>
      <c r="G17" s="20"/>
      <c r="H17" s="20"/>
      <c r="I17" s="41" t="s">
        <v>85</v>
      </c>
      <c r="J17" s="20" t="s">
        <v>86</v>
      </c>
      <c r="K17" s="20" t="s">
        <v>87</v>
      </c>
      <c r="L17" s="20" t="s">
        <v>88</v>
      </c>
      <c r="M17" s="20" t="s">
        <v>48</v>
      </c>
      <c r="N17" s="20" t="s">
        <v>77</v>
      </c>
      <c r="O17" s="20" t="s">
        <v>83</v>
      </c>
      <c r="P17" s="20" t="s">
        <v>89</v>
      </c>
      <c r="Q17" s="20" t="s">
        <v>90</v>
      </c>
      <c r="R17" s="20">
        <v>567</v>
      </c>
      <c r="S17" s="22">
        <f t="shared" ref="S17:S28" si="12">+Z17+AD17+AH17+AL17+AP17+AT17+AX17+BB17+BF17+BJ17+BN17+BR17</f>
        <v>695</v>
      </c>
      <c r="T17" s="37">
        <f t="shared" si="0"/>
        <v>1.2257495590828924</v>
      </c>
      <c r="U17" s="29" t="str">
        <f t="shared" si="1"/>
        <v>BUENO</v>
      </c>
      <c r="V17" s="24" t="s">
        <v>52</v>
      </c>
      <c r="W17" s="24" t="s">
        <v>53</v>
      </c>
      <c r="X17" s="24" t="s">
        <v>54</v>
      </c>
      <c r="Y17" s="20">
        <v>1</v>
      </c>
      <c r="Z17" s="20">
        <v>5</v>
      </c>
      <c r="AA17" s="37">
        <v>5</v>
      </c>
      <c r="AB17" s="29" t="str">
        <f>IF(AA17&gt;=80%,"BUENO",IF(AA17&gt;=66%,"REGULAR",IF(AA17&gt;=0.00001%,"MALO","")))</f>
        <v>BUENO</v>
      </c>
      <c r="AC17" s="20">
        <v>27</v>
      </c>
      <c r="AD17" s="20">
        <v>20</v>
      </c>
      <c r="AE17" s="37">
        <f>AD17/AC17</f>
        <v>0.7407407407407407</v>
      </c>
      <c r="AF17" s="29" t="str">
        <f t="shared" ref="AF17:AF37" si="13">IF(AE17&gt;=80%,"BUENO",IF(AE17&gt;=66%,"REGULAR",IF(AE17&gt;=0.00001%,"MALO","")))</f>
        <v>REGULAR</v>
      </c>
      <c r="AG17" s="20">
        <v>58</v>
      </c>
      <c r="AH17" s="20">
        <v>43</v>
      </c>
      <c r="AI17" s="37">
        <v>0.74</v>
      </c>
      <c r="AJ17" s="29" t="str">
        <f t="shared" ref="AJ17:AJ32" si="14">IF(AI17&gt;=80%,"BUENO",IF(AI17&gt;=66%,"REGULAR",IF(AI17&gt;=0.00001%,"MALO","")))</f>
        <v>REGULAR</v>
      </c>
      <c r="AK17" s="20">
        <v>58</v>
      </c>
      <c r="AL17" s="20">
        <v>47</v>
      </c>
      <c r="AM17" s="23">
        <f>AL17/AK17</f>
        <v>0.81034482758620685</v>
      </c>
      <c r="AN17" s="29" t="str">
        <f t="shared" si="3"/>
        <v>BUENO</v>
      </c>
      <c r="AO17" s="20">
        <v>58</v>
      </c>
      <c r="AP17" s="48">
        <v>47</v>
      </c>
      <c r="AQ17" s="37">
        <v>0.81</v>
      </c>
      <c r="AR17" s="29" t="str">
        <f t="shared" si="4"/>
        <v>BUENO</v>
      </c>
      <c r="AS17" s="20">
        <v>69</v>
      </c>
      <c r="AT17" s="45">
        <v>69</v>
      </c>
      <c r="AU17" s="45">
        <v>59</v>
      </c>
      <c r="AV17" s="29" t="str">
        <f t="shared" si="11"/>
        <v>BUENO</v>
      </c>
      <c r="AW17" s="45">
        <v>72</v>
      </c>
      <c r="AX17" s="46">
        <v>56</v>
      </c>
      <c r="AY17" s="47">
        <v>0.78</v>
      </c>
      <c r="AZ17" s="29" t="str">
        <f t="shared" si="5"/>
        <v>REGULAR</v>
      </c>
      <c r="BA17" s="45">
        <v>78</v>
      </c>
      <c r="BB17" s="45">
        <v>59</v>
      </c>
      <c r="BC17" s="47">
        <v>0.76</v>
      </c>
      <c r="BD17" s="29" t="str">
        <f t="shared" si="6"/>
        <v>REGULAR</v>
      </c>
      <c r="BE17" s="49">
        <v>70</v>
      </c>
      <c r="BF17" s="49">
        <v>81</v>
      </c>
      <c r="BG17" s="43">
        <f>+BF17/BE17</f>
        <v>1.1571428571428573</v>
      </c>
      <c r="BH17" s="29" t="str">
        <f t="shared" si="7"/>
        <v>BUENO</v>
      </c>
      <c r="BI17" s="50">
        <v>66</v>
      </c>
      <c r="BJ17" s="51">
        <v>79</v>
      </c>
      <c r="BK17" s="43">
        <f>+BJ17/BI17</f>
        <v>1.196969696969697</v>
      </c>
      <c r="BL17" s="29" t="str">
        <f t="shared" ref="BL17:BL24" si="15">IF(BK17&gt;=80%,"BUENO",IF(BK17&gt;=66%,"REGULAR",IF(BK17&gt;=0%,"MALO","")))</f>
        <v>BUENO</v>
      </c>
      <c r="BM17" s="49">
        <v>63</v>
      </c>
      <c r="BN17" s="44">
        <v>83</v>
      </c>
      <c r="BO17" s="43">
        <f>+BN17/BM17</f>
        <v>1.3174603174603174</v>
      </c>
      <c r="BP17" s="52" t="s">
        <v>91</v>
      </c>
      <c r="BQ17" s="44">
        <v>63</v>
      </c>
      <c r="BR17" s="44">
        <v>106</v>
      </c>
      <c r="BS17" s="43">
        <f>+BR17/BQ17</f>
        <v>1.6825396825396826</v>
      </c>
      <c r="BT17" s="29" t="str">
        <f t="shared" si="10"/>
        <v>BUENO</v>
      </c>
      <c r="BU17" s="34"/>
    </row>
    <row r="18" spans="1:73" ht="83.25" customHeight="1">
      <c r="A18" s="171"/>
      <c r="B18" s="172"/>
      <c r="C18" s="175"/>
      <c r="D18" s="40"/>
      <c r="E18" s="20"/>
      <c r="F18" s="20">
        <v>2</v>
      </c>
      <c r="G18" s="20"/>
      <c r="H18" s="20"/>
      <c r="I18" s="41" t="s">
        <v>92</v>
      </c>
      <c r="J18" s="20" t="s">
        <v>93</v>
      </c>
      <c r="K18" s="20" t="s">
        <v>94</v>
      </c>
      <c r="L18" s="20" t="s">
        <v>88</v>
      </c>
      <c r="M18" s="20" t="s">
        <v>48</v>
      </c>
      <c r="N18" s="20" t="s">
        <v>77</v>
      </c>
      <c r="O18" s="20" t="s">
        <v>83</v>
      </c>
      <c r="P18" s="20" t="s">
        <v>95</v>
      </c>
      <c r="Q18" s="20" t="s">
        <v>90</v>
      </c>
      <c r="R18" s="22">
        <f>172+48</f>
        <v>220</v>
      </c>
      <c r="S18" s="22">
        <f t="shared" si="12"/>
        <v>157</v>
      </c>
      <c r="T18" s="23">
        <f t="shared" si="0"/>
        <v>0.71363636363636362</v>
      </c>
      <c r="U18" s="29" t="str">
        <f t="shared" si="1"/>
        <v>REGULAR</v>
      </c>
      <c r="V18" s="24" t="s">
        <v>52</v>
      </c>
      <c r="W18" s="24" t="s">
        <v>53</v>
      </c>
      <c r="X18" s="24" t="s">
        <v>54</v>
      </c>
      <c r="Y18" s="20">
        <v>0</v>
      </c>
      <c r="Z18" s="20">
        <v>0</v>
      </c>
      <c r="AA18" s="23">
        <v>0</v>
      </c>
      <c r="AB18" s="29" t="str">
        <f t="shared" ref="AB18:AB24" si="16">IF(AA18&gt;=80%,"BUENO",IF(AA18&gt;=66%,"REGULAR",IF(AA18&gt;=0.00001%,"MALO","")))</f>
        <v/>
      </c>
      <c r="AC18" s="20">
        <v>0</v>
      </c>
      <c r="AD18" s="48">
        <v>0</v>
      </c>
      <c r="AE18" s="20">
        <v>0</v>
      </c>
      <c r="AF18" s="29" t="str">
        <f t="shared" si="13"/>
        <v/>
      </c>
      <c r="AG18" s="20">
        <v>20</v>
      </c>
      <c r="AH18" s="20">
        <v>17</v>
      </c>
      <c r="AI18" s="37">
        <v>0.85</v>
      </c>
      <c r="AJ18" s="29" t="str">
        <f t="shared" si="14"/>
        <v>BUENO</v>
      </c>
      <c r="AK18" s="20">
        <v>20</v>
      </c>
      <c r="AL18" s="20">
        <v>19</v>
      </c>
      <c r="AM18" s="23">
        <v>0.95</v>
      </c>
      <c r="AN18" s="29" t="str">
        <f t="shared" si="3"/>
        <v>BUENO</v>
      </c>
      <c r="AO18" s="20">
        <v>20</v>
      </c>
      <c r="AP18" s="48">
        <v>12</v>
      </c>
      <c r="AQ18" s="37">
        <v>0.6</v>
      </c>
      <c r="AR18" s="29" t="str">
        <f t="shared" si="4"/>
        <v>MALO</v>
      </c>
      <c r="AS18" s="45">
        <v>20</v>
      </c>
      <c r="AT18" s="45">
        <v>26</v>
      </c>
      <c r="AU18" s="47">
        <v>1.3</v>
      </c>
      <c r="AV18" s="29" t="str">
        <f t="shared" si="11"/>
        <v>BUENO</v>
      </c>
      <c r="AW18" s="45">
        <v>20</v>
      </c>
      <c r="AX18" s="46">
        <v>22</v>
      </c>
      <c r="AY18" s="47">
        <v>1.1000000000000001</v>
      </c>
      <c r="AZ18" s="29" t="str">
        <f t="shared" si="5"/>
        <v>BUENO</v>
      </c>
      <c r="BA18" s="45">
        <v>20</v>
      </c>
      <c r="BB18" s="45">
        <v>16</v>
      </c>
      <c r="BC18" s="47">
        <v>0.8</v>
      </c>
      <c r="BD18" s="29" t="str">
        <f t="shared" si="6"/>
        <v>BUENO</v>
      </c>
      <c r="BE18" s="49">
        <v>20</v>
      </c>
      <c r="BF18" s="49">
        <v>14</v>
      </c>
      <c r="BG18" s="43">
        <f>+BF18/BE18</f>
        <v>0.7</v>
      </c>
      <c r="BH18" s="29" t="str">
        <f t="shared" si="7"/>
        <v>REGULAR</v>
      </c>
      <c r="BI18" s="44">
        <v>20</v>
      </c>
      <c r="BJ18" s="51">
        <v>10</v>
      </c>
      <c r="BK18" s="43">
        <f>+BJ18/BI18</f>
        <v>0.5</v>
      </c>
      <c r="BL18" s="29" t="str">
        <f t="shared" si="15"/>
        <v>MALO</v>
      </c>
      <c r="BM18" s="49">
        <v>20</v>
      </c>
      <c r="BN18" s="44">
        <v>11</v>
      </c>
      <c r="BO18" s="43">
        <f>+BN18/BM18</f>
        <v>0.55000000000000004</v>
      </c>
      <c r="BP18" s="53" t="s">
        <v>96</v>
      </c>
      <c r="BQ18" s="50">
        <v>10</v>
      </c>
      <c r="BR18" s="44">
        <v>10</v>
      </c>
      <c r="BS18" s="43">
        <f>+BR18/BQ18</f>
        <v>1</v>
      </c>
      <c r="BT18" s="29" t="str">
        <f t="shared" si="10"/>
        <v>BUENO</v>
      </c>
      <c r="BU18" s="34"/>
    </row>
    <row r="19" spans="1:73" ht="78.75" customHeight="1">
      <c r="A19" s="171"/>
      <c r="B19" s="172"/>
      <c r="C19" s="175"/>
      <c r="D19" s="40"/>
      <c r="E19" s="20">
        <v>1</v>
      </c>
      <c r="F19" s="20">
        <v>2</v>
      </c>
      <c r="G19" s="20"/>
      <c r="H19" s="20"/>
      <c r="I19" s="54" t="s">
        <v>97</v>
      </c>
      <c r="J19" s="168" t="s">
        <v>98</v>
      </c>
      <c r="K19" s="42" t="s">
        <v>99</v>
      </c>
      <c r="L19" s="168" t="s">
        <v>88</v>
      </c>
      <c r="M19" s="168" t="s">
        <v>48</v>
      </c>
      <c r="N19" s="168" t="s">
        <v>100</v>
      </c>
      <c r="O19" s="168" t="s">
        <v>49</v>
      </c>
      <c r="P19" s="168" t="s">
        <v>89</v>
      </c>
      <c r="Q19" s="168" t="s">
        <v>101</v>
      </c>
      <c r="R19" s="55" t="s">
        <v>102</v>
      </c>
      <c r="S19" s="22">
        <f t="shared" si="12"/>
        <v>1083.3</v>
      </c>
      <c r="T19" s="55">
        <f>+S19/328.5</f>
        <v>3.2977168949771687</v>
      </c>
      <c r="U19" s="29" t="str">
        <f t="shared" si="1"/>
        <v>BUENO</v>
      </c>
      <c r="V19" s="24" t="s">
        <v>52</v>
      </c>
      <c r="W19" s="24" t="s">
        <v>53</v>
      </c>
      <c r="X19" s="24" t="s">
        <v>54</v>
      </c>
      <c r="Y19" s="20">
        <v>27.38</v>
      </c>
      <c r="Z19" s="42">
        <v>93.5</v>
      </c>
      <c r="AA19" s="56">
        <f>93.5/Y19</f>
        <v>3.414901387874361</v>
      </c>
      <c r="AB19" s="29" t="str">
        <f t="shared" si="16"/>
        <v>BUENO</v>
      </c>
      <c r="AC19" s="20">
        <v>27.38</v>
      </c>
      <c r="AD19" s="42">
        <v>35</v>
      </c>
      <c r="AE19" s="56">
        <f>35/27.38</f>
        <v>1.2783053323593865</v>
      </c>
      <c r="AF19" s="29" t="str">
        <f t="shared" si="13"/>
        <v>BUENO</v>
      </c>
      <c r="AG19" s="20">
        <v>27.38</v>
      </c>
      <c r="AH19" s="42">
        <v>65</v>
      </c>
      <c r="AI19" s="56">
        <f>65/27.38</f>
        <v>2.3739956172388608</v>
      </c>
      <c r="AJ19" s="29" t="str">
        <f t="shared" si="14"/>
        <v>BUENO</v>
      </c>
      <c r="AK19" s="20">
        <v>27.38</v>
      </c>
      <c r="AL19" s="42">
        <v>119.3</v>
      </c>
      <c r="AM19" s="56">
        <f>119.3/AK19</f>
        <v>4.3571950328707088</v>
      </c>
      <c r="AN19" s="29" t="str">
        <f t="shared" si="3"/>
        <v>BUENO</v>
      </c>
      <c r="AO19" s="20">
        <v>27.38</v>
      </c>
      <c r="AP19" s="42">
        <v>116</v>
      </c>
      <c r="AQ19" s="23">
        <f>116/AO19</f>
        <v>4.2366691015339661</v>
      </c>
      <c r="AR19" s="29" t="str">
        <f t="shared" si="4"/>
        <v>BUENO</v>
      </c>
      <c r="AS19" s="20">
        <v>27.38</v>
      </c>
      <c r="AT19" s="42">
        <v>36.5</v>
      </c>
      <c r="AU19" s="23">
        <f>36.5/27.28</f>
        <v>1.3379765395894427</v>
      </c>
      <c r="AV19" s="29" t="str">
        <f t="shared" si="11"/>
        <v>BUENO</v>
      </c>
      <c r="AW19" s="20">
        <v>27.38</v>
      </c>
      <c r="AX19" s="42">
        <v>45.5</v>
      </c>
      <c r="AY19" s="23">
        <f>45.5/27.38</f>
        <v>1.6617969320672024</v>
      </c>
      <c r="AZ19" s="29" t="str">
        <f t="shared" si="5"/>
        <v>BUENO</v>
      </c>
      <c r="BA19" s="20">
        <v>27.38</v>
      </c>
      <c r="BB19" s="42">
        <v>92</v>
      </c>
      <c r="BC19" s="23">
        <f>+BB19/BA19</f>
        <v>3.3601168736303872</v>
      </c>
      <c r="BD19" s="29" t="str">
        <f t="shared" si="6"/>
        <v>BUENO</v>
      </c>
      <c r="BE19" s="20">
        <v>27.38</v>
      </c>
      <c r="BF19" s="57">
        <v>53.5</v>
      </c>
      <c r="BG19" s="56">
        <f t="shared" ref="BG19:BG20" si="17">BF19/BE19</f>
        <v>1.9539810080350621</v>
      </c>
      <c r="BH19" s="29" t="str">
        <f t="shared" si="7"/>
        <v>BUENO</v>
      </c>
      <c r="BI19" s="20">
        <v>27.38</v>
      </c>
      <c r="BJ19" s="42">
        <v>55.5</v>
      </c>
      <c r="BK19" s="56">
        <f t="shared" ref="BK19:BK20" si="18">BJ19/BI19</f>
        <v>2.0270270270270272</v>
      </c>
      <c r="BL19" s="29" t="str">
        <f t="shared" si="15"/>
        <v>BUENO</v>
      </c>
      <c r="BM19" s="20">
        <v>27.38</v>
      </c>
      <c r="BN19" s="58">
        <v>334.5</v>
      </c>
      <c r="BO19" s="56">
        <f t="shared" ref="BO19" si="19">BN19/BM19</f>
        <v>12.216946676406137</v>
      </c>
      <c r="BP19" s="29" t="str">
        <f t="shared" ref="BP19:BP24" si="20">IF(BO19&gt;=80%,"BUENO",IF(BO19&gt;=66%,"REGULAR",IF(BO19&gt;=0%,"MALO","")))</f>
        <v>BUENO</v>
      </c>
      <c r="BQ19" s="20">
        <v>27.38</v>
      </c>
      <c r="BR19" s="58">
        <v>37</v>
      </c>
      <c r="BS19" s="56">
        <f t="shared" ref="BS19" si="21">BR19/BQ19</f>
        <v>1.3513513513513513</v>
      </c>
      <c r="BT19" s="29" t="str">
        <f t="shared" si="10"/>
        <v>BUENO</v>
      </c>
      <c r="BU19" s="34"/>
    </row>
    <row r="20" spans="1:73" ht="67.5" customHeight="1">
      <c r="A20" s="171"/>
      <c r="B20" s="172"/>
      <c r="C20" s="175"/>
      <c r="D20" s="40"/>
      <c r="E20" s="20">
        <v>1</v>
      </c>
      <c r="F20" s="20">
        <v>2</v>
      </c>
      <c r="G20" s="20"/>
      <c r="H20" s="20"/>
      <c r="I20" s="54" t="s">
        <v>103</v>
      </c>
      <c r="J20" s="168"/>
      <c r="K20" s="42" t="s">
        <v>104</v>
      </c>
      <c r="L20" s="168"/>
      <c r="M20" s="168"/>
      <c r="N20" s="168"/>
      <c r="O20" s="168"/>
      <c r="P20" s="168"/>
      <c r="Q20" s="168"/>
      <c r="R20" s="42" t="s">
        <v>102</v>
      </c>
      <c r="S20" s="22">
        <f t="shared" si="12"/>
        <v>366</v>
      </c>
      <c r="T20" s="55">
        <f>+S20/328.5</f>
        <v>1.1141552511415524</v>
      </c>
      <c r="U20" s="29" t="str">
        <f t="shared" si="1"/>
        <v>BUENO</v>
      </c>
      <c r="V20" s="24" t="s">
        <v>52</v>
      </c>
      <c r="W20" s="24" t="s">
        <v>53</v>
      </c>
      <c r="X20" s="24" t="s">
        <v>54</v>
      </c>
      <c r="Y20" s="20">
        <v>27.38</v>
      </c>
      <c r="Z20" s="42">
        <v>31</v>
      </c>
      <c r="AA20" s="56">
        <f>31/Y20</f>
        <v>1.1322132943754566</v>
      </c>
      <c r="AB20" s="29" t="str">
        <f t="shared" si="16"/>
        <v>BUENO</v>
      </c>
      <c r="AC20" s="20">
        <v>27.38</v>
      </c>
      <c r="AD20" s="42">
        <v>29</v>
      </c>
      <c r="AE20" s="56">
        <f>29/27.38</f>
        <v>1.0591672753834915</v>
      </c>
      <c r="AF20" s="29" t="str">
        <f t="shared" si="13"/>
        <v>BUENO</v>
      </c>
      <c r="AG20" s="20">
        <v>27.38</v>
      </c>
      <c r="AH20" s="42">
        <v>31</v>
      </c>
      <c r="AI20" s="56">
        <f>31/AG20</f>
        <v>1.1322132943754566</v>
      </c>
      <c r="AJ20" s="29" t="str">
        <f t="shared" si="14"/>
        <v>BUENO</v>
      </c>
      <c r="AK20" s="20">
        <v>27.38</v>
      </c>
      <c r="AL20" s="42">
        <v>30</v>
      </c>
      <c r="AM20" s="56">
        <f>30/AK20</f>
        <v>1.0956902848794741</v>
      </c>
      <c r="AN20" s="29" t="str">
        <f t="shared" si="3"/>
        <v>BUENO</v>
      </c>
      <c r="AO20" s="20">
        <v>27.38</v>
      </c>
      <c r="AP20" s="42">
        <v>31</v>
      </c>
      <c r="AQ20" s="23">
        <f>31/AO20</f>
        <v>1.1322132943754566</v>
      </c>
      <c r="AR20" s="29" t="str">
        <f t="shared" si="4"/>
        <v>BUENO</v>
      </c>
      <c r="AS20" s="20">
        <v>27.38</v>
      </c>
      <c r="AT20" s="42">
        <v>30</v>
      </c>
      <c r="AU20" s="23">
        <f>30/AS20</f>
        <v>1.0956902848794741</v>
      </c>
      <c r="AV20" s="29" t="str">
        <f t="shared" si="11"/>
        <v>BUENO</v>
      </c>
      <c r="AW20" s="20">
        <v>27.38</v>
      </c>
      <c r="AX20" s="42">
        <v>31</v>
      </c>
      <c r="AY20" s="23">
        <f>31/AW20</f>
        <v>1.1322132943754566</v>
      </c>
      <c r="AZ20" s="29" t="str">
        <f t="shared" si="5"/>
        <v>BUENO</v>
      </c>
      <c r="BA20" s="20">
        <v>27.38</v>
      </c>
      <c r="BB20" s="42">
        <v>31</v>
      </c>
      <c r="BC20" s="23">
        <f t="shared" ref="BC20:BC37" si="22">+BB20/BA20</f>
        <v>1.1322132943754566</v>
      </c>
      <c r="BD20" s="29" t="str">
        <f t="shared" si="6"/>
        <v>BUENO</v>
      </c>
      <c r="BE20" s="20">
        <v>27.38</v>
      </c>
      <c r="BF20" s="57">
        <v>30</v>
      </c>
      <c r="BG20" s="23">
        <f t="shared" si="17"/>
        <v>1.0956902848794741</v>
      </c>
      <c r="BH20" s="29" t="str">
        <f t="shared" si="7"/>
        <v>BUENO</v>
      </c>
      <c r="BI20" s="20">
        <v>27.38</v>
      </c>
      <c r="BJ20" s="42">
        <v>31</v>
      </c>
      <c r="BK20" s="23">
        <f t="shared" si="18"/>
        <v>1.1322132943754566</v>
      </c>
      <c r="BL20" s="29" t="str">
        <f t="shared" si="15"/>
        <v>BUENO</v>
      </c>
      <c r="BM20" s="20">
        <v>27.38</v>
      </c>
      <c r="BN20" s="58">
        <v>30</v>
      </c>
      <c r="BO20" s="30">
        <f>+BN20/BM20</f>
        <v>1.0956902848794741</v>
      </c>
      <c r="BP20" s="29" t="str">
        <f t="shared" si="20"/>
        <v>BUENO</v>
      </c>
      <c r="BQ20" s="20">
        <v>27.38</v>
      </c>
      <c r="BR20" s="58">
        <v>31</v>
      </c>
      <c r="BS20" s="30">
        <f>+BR20/BQ20</f>
        <v>1.1322132943754566</v>
      </c>
      <c r="BT20" s="29" t="str">
        <f t="shared" si="10"/>
        <v>BUENO</v>
      </c>
      <c r="BU20" s="34"/>
    </row>
    <row r="21" spans="1:73" ht="81" customHeight="1">
      <c r="A21" s="171"/>
      <c r="B21" s="172"/>
      <c r="C21" s="175"/>
      <c r="D21" s="40"/>
      <c r="E21" s="20">
        <v>1</v>
      </c>
      <c r="F21" s="20">
        <v>2</v>
      </c>
      <c r="G21" s="20"/>
      <c r="H21" s="20"/>
      <c r="I21" s="54" t="s">
        <v>105</v>
      </c>
      <c r="J21" s="168"/>
      <c r="K21" s="42" t="s">
        <v>106</v>
      </c>
      <c r="L21" s="168"/>
      <c r="M21" s="168"/>
      <c r="N21" s="168"/>
      <c r="O21" s="168"/>
      <c r="P21" s="168"/>
      <c r="Q21" s="168"/>
      <c r="R21" s="42" t="s">
        <v>107</v>
      </c>
      <c r="S21" s="22">
        <f t="shared" si="12"/>
        <v>2948.5</v>
      </c>
      <c r="T21" s="56">
        <f>+S21/985.5</f>
        <v>2.9918822932521563</v>
      </c>
      <c r="U21" s="29" t="str">
        <f t="shared" si="1"/>
        <v>BUENO</v>
      </c>
      <c r="V21" s="24" t="s">
        <v>52</v>
      </c>
      <c r="W21" s="24" t="s">
        <v>53</v>
      </c>
      <c r="X21" s="24" t="s">
        <v>54</v>
      </c>
      <c r="Y21" s="20">
        <v>82.25</v>
      </c>
      <c r="Z21" s="42">
        <f>260+71.5</f>
        <v>331.5</v>
      </c>
      <c r="AA21" s="56">
        <f>(260 + 71.5)/Y21</f>
        <v>4.0303951367781155</v>
      </c>
      <c r="AB21" s="29" t="str">
        <f t="shared" si="16"/>
        <v>BUENO</v>
      </c>
      <c r="AC21" s="20">
        <v>82.25</v>
      </c>
      <c r="AD21" s="42">
        <f>210+103.5</f>
        <v>313.5</v>
      </c>
      <c r="AE21" s="56">
        <f>313.5/AC21</f>
        <v>3.811550151975684</v>
      </c>
      <c r="AF21" s="29" t="str">
        <f t="shared" si="13"/>
        <v>BUENO</v>
      </c>
      <c r="AG21" s="20">
        <v>82.25</v>
      </c>
      <c r="AH21" s="42">
        <f>199+40</f>
        <v>239</v>
      </c>
      <c r="AI21" s="56">
        <f>239/AG21</f>
        <v>2.905775075987842</v>
      </c>
      <c r="AJ21" s="29" t="str">
        <f t="shared" si="14"/>
        <v>BUENO</v>
      </c>
      <c r="AK21" s="20">
        <v>82.25</v>
      </c>
      <c r="AL21" s="42">
        <f>180+29.5</f>
        <v>209.5</v>
      </c>
      <c r="AM21" s="56">
        <f>209.5/AK21</f>
        <v>2.547112462006079</v>
      </c>
      <c r="AN21" s="29" t="str">
        <f t="shared" si="3"/>
        <v>BUENO</v>
      </c>
      <c r="AO21" s="20">
        <v>82.25</v>
      </c>
      <c r="AP21" s="42">
        <f>197.5+48.5</f>
        <v>246</v>
      </c>
      <c r="AQ21" s="23">
        <f>246/AO21</f>
        <v>2.9908814589665655</v>
      </c>
      <c r="AR21" s="29" t="str">
        <f t="shared" si="4"/>
        <v>BUENO</v>
      </c>
      <c r="AS21" s="20">
        <v>82.25</v>
      </c>
      <c r="AT21" s="42">
        <f>169.5+40</f>
        <v>209.5</v>
      </c>
      <c r="AU21" s="23">
        <f>209.5/82.25</f>
        <v>2.547112462006079</v>
      </c>
      <c r="AV21" s="29" t="str">
        <f t="shared" si="11"/>
        <v>BUENO</v>
      </c>
      <c r="AW21" s="20">
        <v>82.25</v>
      </c>
      <c r="AX21" s="42">
        <f>175.5+71</f>
        <v>246.5</v>
      </c>
      <c r="AY21" s="23">
        <f>246.5/AW21</f>
        <v>2.9969604863221884</v>
      </c>
      <c r="AZ21" s="29" t="str">
        <f t="shared" si="5"/>
        <v>BUENO</v>
      </c>
      <c r="BA21" s="20">
        <v>82.25</v>
      </c>
      <c r="BB21" s="20">
        <f>168+55</f>
        <v>223</v>
      </c>
      <c r="BC21" s="23">
        <f t="shared" si="22"/>
        <v>2.7112462006079028</v>
      </c>
      <c r="BD21" s="29" t="str">
        <f t="shared" si="6"/>
        <v>BUENO</v>
      </c>
      <c r="BE21" s="20">
        <v>82.25</v>
      </c>
      <c r="BF21" s="59">
        <f>178+78</f>
        <v>256</v>
      </c>
      <c r="BG21" s="23">
        <f>BF21/BE21</f>
        <v>3.1124620060790273</v>
      </c>
      <c r="BH21" s="29" t="str">
        <f t="shared" si="7"/>
        <v>BUENO</v>
      </c>
      <c r="BI21" s="20">
        <v>82.25</v>
      </c>
      <c r="BJ21" s="20">
        <f>210+87.5</f>
        <v>297.5</v>
      </c>
      <c r="BK21" s="23">
        <f>+BJ21/BI21</f>
        <v>3.6170212765957448</v>
      </c>
      <c r="BL21" s="29" t="str">
        <f t="shared" si="15"/>
        <v>BUENO</v>
      </c>
      <c r="BM21" s="20">
        <v>82.25</v>
      </c>
      <c r="BN21" s="58">
        <f>90+27.5</f>
        <v>117.5</v>
      </c>
      <c r="BO21" s="30">
        <f>+BN21/BM21</f>
        <v>1.4285714285714286</v>
      </c>
      <c r="BP21" s="29" t="str">
        <f t="shared" si="20"/>
        <v>BUENO</v>
      </c>
      <c r="BQ21" s="20">
        <v>82.25</v>
      </c>
      <c r="BR21" s="58">
        <f>206+53</f>
        <v>259</v>
      </c>
      <c r="BS21" s="30">
        <f>+BR21/BQ21</f>
        <v>3.1489361702127661</v>
      </c>
      <c r="BT21" s="29" t="str">
        <f t="shared" si="10"/>
        <v>BUENO</v>
      </c>
      <c r="BU21" s="34"/>
    </row>
    <row r="22" spans="1:73" ht="49.5" customHeight="1">
      <c r="A22" s="171"/>
      <c r="B22" s="172"/>
      <c r="C22" s="175"/>
      <c r="D22" s="40"/>
      <c r="E22" s="20">
        <v>1</v>
      </c>
      <c r="F22" s="20">
        <v>2</v>
      </c>
      <c r="G22" s="20"/>
      <c r="H22" s="20"/>
      <c r="I22" s="54" t="s">
        <v>108</v>
      </c>
      <c r="J22" s="168"/>
      <c r="K22" s="42" t="s">
        <v>109</v>
      </c>
      <c r="L22" s="168"/>
      <c r="M22" s="168"/>
      <c r="N22" s="168"/>
      <c r="O22" s="168"/>
      <c r="P22" s="168"/>
      <c r="Q22" s="168"/>
      <c r="R22" s="42" t="s">
        <v>110</v>
      </c>
      <c r="S22" s="22">
        <f t="shared" si="12"/>
        <v>3353.5</v>
      </c>
      <c r="T22" s="56">
        <f>+S22/1971</f>
        <v>1.7014205986808726</v>
      </c>
      <c r="U22" s="29" t="str">
        <f t="shared" si="1"/>
        <v>BUENO</v>
      </c>
      <c r="V22" s="24" t="s">
        <v>52</v>
      </c>
      <c r="W22" s="24" t="s">
        <v>53</v>
      </c>
      <c r="X22" s="24" t="s">
        <v>54</v>
      </c>
      <c r="Y22" s="20">
        <v>164.25</v>
      </c>
      <c r="Z22" s="42">
        <v>210</v>
      </c>
      <c r="AA22" s="56">
        <f>210/Y22</f>
        <v>1.2785388127853881</v>
      </c>
      <c r="AB22" s="29" t="str">
        <f t="shared" si="16"/>
        <v>BUENO</v>
      </c>
      <c r="AC22" s="20">
        <v>164.25</v>
      </c>
      <c r="AD22" s="42">
        <v>208</v>
      </c>
      <c r="AE22" s="56">
        <f>208/AC22</f>
        <v>1.2663622526636225</v>
      </c>
      <c r="AF22" s="29" t="str">
        <f t="shared" si="13"/>
        <v>BUENO</v>
      </c>
      <c r="AG22" s="20">
        <v>164.25</v>
      </c>
      <c r="AH22" s="42">
        <v>285.5</v>
      </c>
      <c r="AI22" s="56">
        <f>285.5/AG22</f>
        <v>1.7382039573820396</v>
      </c>
      <c r="AJ22" s="29" t="str">
        <f t="shared" si="14"/>
        <v>BUENO</v>
      </c>
      <c r="AK22" s="20">
        <v>164.25</v>
      </c>
      <c r="AL22" s="42">
        <v>256.5</v>
      </c>
      <c r="AM22" s="56">
        <f>256.5/AK22</f>
        <v>1.5616438356164384</v>
      </c>
      <c r="AN22" s="29" t="str">
        <f t="shared" si="3"/>
        <v>BUENO</v>
      </c>
      <c r="AO22" s="20">
        <v>164.25</v>
      </c>
      <c r="AP22" s="42">
        <v>286.5</v>
      </c>
      <c r="AQ22" s="23">
        <f>286.5/164.25</f>
        <v>1.7442922374429224</v>
      </c>
      <c r="AR22" s="29" t="str">
        <f t="shared" si="4"/>
        <v>BUENO</v>
      </c>
      <c r="AS22" s="20">
        <v>164.25</v>
      </c>
      <c r="AT22" s="42">
        <v>265</v>
      </c>
      <c r="AU22" s="23">
        <f>265/AS22</f>
        <v>1.6133942161339421</v>
      </c>
      <c r="AV22" s="29" t="str">
        <f t="shared" si="11"/>
        <v>BUENO</v>
      </c>
      <c r="AW22" s="20">
        <v>164.25</v>
      </c>
      <c r="AX22" s="42">
        <v>298.5</v>
      </c>
      <c r="AY22" s="23">
        <f>298.5/164.25</f>
        <v>1.817351598173516</v>
      </c>
      <c r="AZ22" s="29" t="str">
        <f t="shared" si="5"/>
        <v>BUENO</v>
      </c>
      <c r="BA22" s="20">
        <v>164.25</v>
      </c>
      <c r="BB22" s="20">
        <v>267</v>
      </c>
      <c r="BC22" s="23">
        <f t="shared" si="22"/>
        <v>1.6255707762557077</v>
      </c>
      <c r="BD22" s="29" t="str">
        <f t="shared" si="6"/>
        <v>BUENO</v>
      </c>
      <c r="BE22" s="20">
        <v>164.25</v>
      </c>
      <c r="BF22" s="20">
        <v>356.5</v>
      </c>
      <c r="BG22" s="23">
        <f>+BF22/BE22</f>
        <v>2.1704718417047184</v>
      </c>
      <c r="BH22" s="29" t="str">
        <f t="shared" si="7"/>
        <v>BUENO</v>
      </c>
      <c r="BI22" s="20">
        <v>164.25</v>
      </c>
      <c r="BJ22" s="20">
        <v>281</v>
      </c>
      <c r="BK22" s="23">
        <f>+BJ22/BI22</f>
        <v>1.7108066971080669</v>
      </c>
      <c r="BL22" s="29" t="str">
        <f t="shared" si="15"/>
        <v>BUENO</v>
      </c>
      <c r="BM22" s="20">
        <v>164.25</v>
      </c>
      <c r="BN22" s="58">
        <v>437</v>
      </c>
      <c r="BO22" s="30">
        <f>+BN22/BM22</f>
        <v>2.6605783866057839</v>
      </c>
      <c r="BP22" s="29" t="str">
        <f t="shared" si="20"/>
        <v>BUENO</v>
      </c>
      <c r="BQ22" s="20">
        <v>164.25</v>
      </c>
      <c r="BR22" s="58">
        <v>202</v>
      </c>
      <c r="BS22" s="30">
        <f>+BR22/BQ22</f>
        <v>1.2298325722983257</v>
      </c>
      <c r="BT22" s="29" t="str">
        <f t="shared" si="10"/>
        <v>BUENO</v>
      </c>
      <c r="BU22" s="34"/>
    </row>
    <row r="23" spans="1:73" ht="49.5" customHeight="1">
      <c r="A23" s="171"/>
      <c r="B23" s="172"/>
      <c r="C23" s="175"/>
      <c r="D23" s="40"/>
      <c r="E23" s="20"/>
      <c r="F23" s="20">
        <v>2</v>
      </c>
      <c r="G23" s="20"/>
      <c r="H23" s="20"/>
      <c r="I23" s="54" t="s">
        <v>111</v>
      </c>
      <c r="J23" s="168" t="s">
        <v>112</v>
      </c>
      <c r="K23" s="42" t="s">
        <v>113</v>
      </c>
      <c r="L23" s="168" t="s">
        <v>88</v>
      </c>
      <c r="M23" s="41" t="s">
        <v>48</v>
      </c>
      <c r="N23" s="168" t="s">
        <v>100</v>
      </c>
      <c r="O23" s="168" t="s">
        <v>114</v>
      </c>
      <c r="P23" s="168" t="s">
        <v>89</v>
      </c>
      <c r="Q23" s="20" t="s">
        <v>115</v>
      </c>
      <c r="R23" s="55" t="s">
        <v>116</v>
      </c>
      <c r="S23" s="22">
        <f t="shared" si="12"/>
        <v>20</v>
      </c>
      <c r="T23" s="56">
        <f>+S23/11</f>
        <v>1.8181818181818181</v>
      </c>
      <c r="U23" s="29" t="str">
        <f t="shared" si="1"/>
        <v>BUENO</v>
      </c>
      <c r="V23" s="24" t="s">
        <v>52</v>
      </c>
      <c r="W23" s="24" t="s">
        <v>53</v>
      </c>
      <c r="X23" s="24" t="s">
        <v>117</v>
      </c>
      <c r="Y23" s="20">
        <v>1</v>
      </c>
      <c r="Z23" s="42">
        <v>2</v>
      </c>
      <c r="AA23" s="56">
        <f>2/1</f>
        <v>2</v>
      </c>
      <c r="AB23" s="29" t="str">
        <f t="shared" si="16"/>
        <v>BUENO</v>
      </c>
      <c r="AC23" s="20">
        <v>1</v>
      </c>
      <c r="AD23" s="42">
        <v>2</v>
      </c>
      <c r="AE23" s="56">
        <f>2/1</f>
        <v>2</v>
      </c>
      <c r="AF23" s="29" t="str">
        <f t="shared" si="13"/>
        <v>BUENO</v>
      </c>
      <c r="AG23" s="20">
        <v>1</v>
      </c>
      <c r="AH23" s="42">
        <v>1</v>
      </c>
      <c r="AI23" s="56">
        <f>1/AG23</f>
        <v>1</v>
      </c>
      <c r="AJ23" s="29" t="str">
        <f t="shared" si="14"/>
        <v>BUENO</v>
      </c>
      <c r="AK23" s="20">
        <v>1</v>
      </c>
      <c r="AL23" s="42">
        <v>1</v>
      </c>
      <c r="AM23" s="56">
        <f>1/AK23</f>
        <v>1</v>
      </c>
      <c r="AN23" s="29" t="str">
        <f t="shared" si="3"/>
        <v>BUENO</v>
      </c>
      <c r="AO23" s="20">
        <v>1</v>
      </c>
      <c r="AP23" s="42">
        <v>1</v>
      </c>
      <c r="AQ23" s="56">
        <f>1/AO23</f>
        <v>1</v>
      </c>
      <c r="AR23" s="29" t="str">
        <f t="shared" si="4"/>
        <v>BUENO</v>
      </c>
      <c r="AS23" s="20">
        <v>1</v>
      </c>
      <c r="AT23" s="42">
        <v>1</v>
      </c>
      <c r="AU23" s="23">
        <v>1</v>
      </c>
      <c r="AV23" s="29" t="str">
        <f t="shared" si="11"/>
        <v>BUENO</v>
      </c>
      <c r="AW23" s="20">
        <v>1</v>
      </c>
      <c r="AX23" s="42">
        <v>1</v>
      </c>
      <c r="AY23" s="23">
        <f>1/AW23</f>
        <v>1</v>
      </c>
      <c r="AZ23" s="29" t="str">
        <f t="shared" si="5"/>
        <v>BUENO</v>
      </c>
      <c r="BA23" s="20">
        <v>1</v>
      </c>
      <c r="BB23" s="20">
        <v>2</v>
      </c>
      <c r="BC23" s="23">
        <f t="shared" si="22"/>
        <v>2</v>
      </c>
      <c r="BD23" s="29" t="str">
        <f t="shared" si="6"/>
        <v>BUENO</v>
      </c>
      <c r="BE23" s="20">
        <v>1</v>
      </c>
      <c r="BF23" s="20">
        <v>2</v>
      </c>
      <c r="BG23" s="23">
        <f>+BF23/BE23</f>
        <v>2</v>
      </c>
      <c r="BH23" s="29" t="str">
        <f t="shared" si="7"/>
        <v>BUENO</v>
      </c>
      <c r="BI23" s="20">
        <v>1</v>
      </c>
      <c r="BJ23" s="20">
        <v>2</v>
      </c>
      <c r="BK23" s="23">
        <f>+BJ23/BI23</f>
        <v>2</v>
      </c>
      <c r="BL23" s="29" t="str">
        <f t="shared" si="15"/>
        <v>BUENO</v>
      </c>
      <c r="BM23" s="20">
        <v>1</v>
      </c>
      <c r="BN23" s="58">
        <v>2</v>
      </c>
      <c r="BO23" s="30">
        <f>+BN23/BM23</f>
        <v>2</v>
      </c>
      <c r="BP23" s="29" t="str">
        <f t="shared" si="20"/>
        <v>BUENO</v>
      </c>
      <c r="BQ23" s="58">
        <v>2</v>
      </c>
      <c r="BR23" s="58">
        <v>3</v>
      </c>
      <c r="BS23" s="30">
        <f>+BR23/BQ23</f>
        <v>1.5</v>
      </c>
      <c r="BT23" s="29" t="str">
        <f t="shared" si="10"/>
        <v>BUENO</v>
      </c>
      <c r="BU23" s="34"/>
    </row>
    <row r="24" spans="1:73" ht="49.5" customHeight="1">
      <c r="A24" s="171"/>
      <c r="B24" s="172"/>
      <c r="C24" s="175"/>
      <c r="D24" s="40"/>
      <c r="E24" s="20"/>
      <c r="F24" s="20">
        <v>2</v>
      </c>
      <c r="G24" s="20"/>
      <c r="H24" s="20"/>
      <c r="I24" s="54" t="s">
        <v>118</v>
      </c>
      <c r="J24" s="168"/>
      <c r="K24" s="42" t="s">
        <v>113</v>
      </c>
      <c r="L24" s="168"/>
      <c r="M24" s="41" t="s">
        <v>48</v>
      </c>
      <c r="N24" s="168"/>
      <c r="O24" s="168"/>
      <c r="P24" s="168"/>
      <c r="Q24" s="20" t="s">
        <v>115</v>
      </c>
      <c r="R24" s="55" t="s">
        <v>116</v>
      </c>
      <c r="S24" s="22">
        <f t="shared" si="12"/>
        <v>12</v>
      </c>
      <c r="T24" s="56">
        <f>+S24/11</f>
        <v>1.0909090909090908</v>
      </c>
      <c r="U24" s="29" t="str">
        <f t="shared" si="1"/>
        <v>BUENO</v>
      </c>
      <c r="V24" s="24" t="s">
        <v>52</v>
      </c>
      <c r="W24" s="24" t="s">
        <v>53</v>
      </c>
      <c r="X24" s="24" t="s">
        <v>54</v>
      </c>
      <c r="Y24" s="20">
        <v>1</v>
      </c>
      <c r="Z24" s="42">
        <v>1</v>
      </c>
      <c r="AA24" s="56">
        <f>1/Y24</f>
        <v>1</v>
      </c>
      <c r="AB24" s="29" t="str">
        <f t="shared" si="16"/>
        <v>BUENO</v>
      </c>
      <c r="AC24" s="20">
        <v>1</v>
      </c>
      <c r="AD24" s="42">
        <v>2</v>
      </c>
      <c r="AE24" s="56">
        <f>2/1</f>
        <v>2</v>
      </c>
      <c r="AF24" s="29" t="str">
        <f t="shared" si="13"/>
        <v>BUENO</v>
      </c>
      <c r="AG24" s="20">
        <v>1</v>
      </c>
      <c r="AH24" s="42">
        <v>1</v>
      </c>
      <c r="AI24" s="56">
        <f>1/AG24</f>
        <v>1</v>
      </c>
      <c r="AJ24" s="29" t="str">
        <f t="shared" si="14"/>
        <v>BUENO</v>
      </c>
      <c r="AK24" s="20">
        <v>1</v>
      </c>
      <c r="AL24" s="42">
        <v>1</v>
      </c>
      <c r="AM24" s="56">
        <f>1/AK24</f>
        <v>1</v>
      </c>
      <c r="AN24" s="29" t="str">
        <f t="shared" si="3"/>
        <v>BUENO</v>
      </c>
      <c r="AO24" s="20">
        <v>1</v>
      </c>
      <c r="AP24" s="42">
        <v>1</v>
      </c>
      <c r="AQ24" s="56">
        <f>1/AO24</f>
        <v>1</v>
      </c>
      <c r="AR24" s="29" t="str">
        <f t="shared" si="4"/>
        <v>BUENO</v>
      </c>
      <c r="AS24" s="20">
        <v>1</v>
      </c>
      <c r="AT24" s="42">
        <v>1</v>
      </c>
      <c r="AU24" s="23">
        <v>1</v>
      </c>
      <c r="AV24" s="29" t="str">
        <f t="shared" si="11"/>
        <v>BUENO</v>
      </c>
      <c r="AW24" s="20">
        <v>1</v>
      </c>
      <c r="AX24" s="42">
        <v>0</v>
      </c>
      <c r="AY24" s="23">
        <v>0</v>
      </c>
      <c r="AZ24" s="29" t="str">
        <f t="shared" si="5"/>
        <v>MALO</v>
      </c>
      <c r="BA24" s="20">
        <v>1</v>
      </c>
      <c r="BB24" s="20">
        <v>1</v>
      </c>
      <c r="BC24" s="23">
        <f t="shared" si="22"/>
        <v>1</v>
      </c>
      <c r="BD24" s="29" t="str">
        <f t="shared" si="6"/>
        <v>BUENO</v>
      </c>
      <c r="BE24" s="20">
        <v>1</v>
      </c>
      <c r="BF24" s="20">
        <v>1</v>
      </c>
      <c r="BG24" s="23">
        <f>+BF24/BE24</f>
        <v>1</v>
      </c>
      <c r="BH24" s="29" t="str">
        <f t="shared" si="7"/>
        <v>BUENO</v>
      </c>
      <c r="BI24" s="20">
        <v>1</v>
      </c>
      <c r="BJ24" s="20">
        <v>1</v>
      </c>
      <c r="BK24" s="23">
        <f>+BJ24/BI24</f>
        <v>1</v>
      </c>
      <c r="BL24" s="29" t="str">
        <f t="shared" si="15"/>
        <v>BUENO</v>
      </c>
      <c r="BM24" s="20">
        <v>1</v>
      </c>
      <c r="BN24" s="58">
        <v>1</v>
      </c>
      <c r="BO24" s="30">
        <f>+BN24/BM24</f>
        <v>1</v>
      </c>
      <c r="BP24" s="29" t="str">
        <f t="shared" si="20"/>
        <v>BUENO</v>
      </c>
      <c r="BQ24" s="58">
        <v>1</v>
      </c>
      <c r="BR24" s="58">
        <v>1</v>
      </c>
      <c r="BS24" s="30">
        <f>+BR24/BQ24</f>
        <v>1</v>
      </c>
      <c r="BT24" s="29" t="str">
        <f t="shared" si="10"/>
        <v>BUENO</v>
      </c>
      <c r="BU24" s="34"/>
    </row>
    <row r="25" spans="1:73" ht="42.75" customHeight="1">
      <c r="A25" s="171"/>
      <c r="B25" s="172"/>
      <c r="C25" s="175"/>
      <c r="D25" s="40"/>
      <c r="E25" s="20">
        <v>1</v>
      </c>
      <c r="F25" s="20"/>
      <c r="G25" s="20"/>
      <c r="H25" s="20"/>
      <c r="I25" s="54" t="s">
        <v>119</v>
      </c>
      <c r="J25" s="168"/>
      <c r="K25" s="42" t="s">
        <v>120</v>
      </c>
      <c r="L25" s="168"/>
      <c r="M25" s="41" t="s">
        <v>70</v>
      </c>
      <c r="N25" s="168"/>
      <c r="O25" s="168"/>
      <c r="P25" s="168"/>
      <c r="Q25" s="20" t="s">
        <v>121</v>
      </c>
      <c r="R25" s="42" t="s">
        <v>122</v>
      </c>
      <c r="S25" s="22">
        <f t="shared" si="12"/>
        <v>4</v>
      </c>
      <c r="T25" s="56">
        <f>+S25/4</f>
        <v>1</v>
      </c>
      <c r="U25" s="29" t="str">
        <f t="shared" si="1"/>
        <v>BUENO</v>
      </c>
      <c r="V25" s="24" t="s">
        <v>52</v>
      </c>
      <c r="W25" s="24" t="s">
        <v>53</v>
      </c>
      <c r="X25" s="24" t="s">
        <v>54</v>
      </c>
      <c r="Y25" s="20">
        <v>0</v>
      </c>
      <c r="Z25" s="42">
        <v>0</v>
      </c>
      <c r="AA25" s="20">
        <v>0</v>
      </c>
      <c r="AB25" s="20"/>
      <c r="AC25" s="20">
        <v>0</v>
      </c>
      <c r="AD25" s="42">
        <v>0</v>
      </c>
      <c r="AE25" s="20">
        <v>0</v>
      </c>
      <c r="AF25" s="20">
        <v>0</v>
      </c>
      <c r="AG25" s="20">
        <v>0</v>
      </c>
      <c r="AH25" s="42">
        <v>0</v>
      </c>
      <c r="AI25" s="20">
        <v>0</v>
      </c>
      <c r="AJ25" s="20">
        <v>0</v>
      </c>
      <c r="AK25" s="20">
        <v>0</v>
      </c>
      <c r="AL25" s="42">
        <v>0</v>
      </c>
      <c r="AM25" s="20">
        <v>0</v>
      </c>
      <c r="AN25" s="29" t="str">
        <f t="shared" si="3"/>
        <v/>
      </c>
      <c r="AO25" s="20">
        <v>4</v>
      </c>
      <c r="AP25" s="42">
        <v>4</v>
      </c>
      <c r="AQ25" s="56">
        <f>+AP25/AO25</f>
        <v>1</v>
      </c>
      <c r="AR25" s="29" t="str">
        <f t="shared" si="4"/>
        <v>BUENO</v>
      </c>
      <c r="AS25" s="20">
        <v>0</v>
      </c>
      <c r="AT25" s="42">
        <v>0</v>
      </c>
      <c r="AU25" s="20">
        <v>0</v>
      </c>
      <c r="AV25" s="60"/>
      <c r="AW25" s="20">
        <v>0</v>
      </c>
      <c r="AX25" s="42">
        <v>0</v>
      </c>
      <c r="AY25" s="20">
        <v>0</v>
      </c>
      <c r="AZ25" s="60"/>
      <c r="BA25" s="20">
        <v>0</v>
      </c>
      <c r="BB25" s="20">
        <v>0</v>
      </c>
      <c r="BC25" s="42">
        <v>0</v>
      </c>
      <c r="BD25" s="29"/>
      <c r="BE25" s="20">
        <v>0</v>
      </c>
      <c r="BF25" s="20">
        <v>0</v>
      </c>
      <c r="BG25" s="20">
        <v>0</v>
      </c>
      <c r="BH25" s="29"/>
      <c r="BI25" s="20">
        <v>0</v>
      </c>
      <c r="BJ25" s="20">
        <v>0</v>
      </c>
      <c r="BK25" s="20">
        <v>0</v>
      </c>
      <c r="BL25" s="23"/>
      <c r="BM25" s="20">
        <v>0</v>
      </c>
      <c r="BN25" s="58">
        <v>0</v>
      </c>
      <c r="BO25" s="58">
        <v>0</v>
      </c>
      <c r="BP25" s="58"/>
      <c r="BQ25" s="58">
        <v>0</v>
      </c>
      <c r="BR25" s="58">
        <v>0</v>
      </c>
      <c r="BS25" s="58">
        <v>0</v>
      </c>
      <c r="BT25" s="39"/>
      <c r="BU25" s="34"/>
    </row>
    <row r="26" spans="1:73" ht="49.5" customHeight="1">
      <c r="A26" s="171"/>
      <c r="B26" s="172"/>
      <c r="C26" s="175"/>
      <c r="D26" s="40"/>
      <c r="E26" s="20"/>
      <c r="F26" s="20"/>
      <c r="G26" s="20">
        <v>3</v>
      </c>
      <c r="H26" s="20"/>
      <c r="I26" s="54" t="s">
        <v>123</v>
      </c>
      <c r="J26" s="168" t="s">
        <v>124</v>
      </c>
      <c r="K26" s="42" t="s">
        <v>125</v>
      </c>
      <c r="L26" s="168" t="s">
        <v>88</v>
      </c>
      <c r="M26" s="41" t="s">
        <v>48</v>
      </c>
      <c r="N26" s="168" t="s">
        <v>100</v>
      </c>
      <c r="O26" s="168" t="s">
        <v>49</v>
      </c>
      <c r="P26" s="168" t="s">
        <v>89</v>
      </c>
      <c r="Q26" s="20" t="s">
        <v>126</v>
      </c>
      <c r="R26" s="55" t="s">
        <v>127</v>
      </c>
      <c r="S26" s="22">
        <f t="shared" si="12"/>
        <v>18</v>
      </c>
      <c r="T26" s="56">
        <f>+S26/15</f>
        <v>1.2</v>
      </c>
      <c r="U26" s="29" t="str">
        <f t="shared" si="1"/>
        <v>BUENO</v>
      </c>
      <c r="V26" s="24" t="s">
        <v>128</v>
      </c>
      <c r="W26" s="24" t="s">
        <v>129</v>
      </c>
      <c r="X26" s="24" t="s">
        <v>130</v>
      </c>
      <c r="Y26" s="20">
        <v>0</v>
      </c>
      <c r="Z26" s="42">
        <v>0</v>
      </c>
      <c r="AA26" s="20">
        <v>0</v>
      </c>
      <c r="AB26" s="20"/>
      <c r="AC26" s="20">
        <v>13</v>
      </c>
      <c r="AD26" s="42">
        <v>13</v>
      </c>
      <c r="AE26" s="37">
        <f>+AD26/AC26</f>
        <v>1</v>
      </c>
      <c r="AF26" s="29" t="str">
        <f t="shared" si="13"/>
        <v>BUENO</v>
      </c>
      <c r="AG26" s="20">
        <v>1</v>
      </c>
      <c r="AH26" s="42">
        <v>1</v>
      </c>
      <c r="AI26" s="37">
        <v>1</v>
      </c>
      <c r="AJ26" s="29" t="str">
        <f t="shared" si="14"/>
        <v>BUENO</v>
      </c>
      <c r="AK26" s="20">
        <v>3</v>
      </c>
      <c r="AL26" s="42">
        <v>3</v>
      </c>
      <c r="AM26" s="37">
        <f>+AL26/AK26</f>
        <v>1</v>
      </c>
      <c r="AN26" s="29" t="str">
        <f t="shared" si="3"/>
        <v>BUENO</v>
      </c>
      <c r="AO26" s="61">
        <v>0</v>
      </c>
      <c r="AP26" s="62">
        <v>0</v>
      </c>
      <c r="AQ26" s="23">
        <v>0</v>
      </c>
      <c r="AR26" s="29" t="str">
        <f t="shared" si="4"/>
        <v/>
      </c>
      <c r="AS26" s="20">
        <v>0</v>
      </c>
      <c r="AT26" s="42">
        <v>0</v>
      </c>
      <c r="AU26" s="20">
        <v>0</v>
      </c>
      <c r="AV26" s="29"/>
      <c r="AW26" s="20">
        <v>0</v>
      </c>
      <c r="AX26" s="42">
        <v>0</v>
      </c>
      <c r="AY26" s="20">
        <v>0</v>
      </c>
      <c r="AZ26" s="29"/>
      <c r="BA26" s="20">
        <v>0</v>
      </c>
      <c r="BB26" s="20">
        <v>0</v>
      </c>
      <c r="BC26" s="23"/>
      <c r="BD26" s="29"/>
      <c r="BE26" s="20">
        <v>1</v>
      </c>
      <c r="BF26" s="42">
        <v>1</v>
      </c>
      <c r="BG26" s="23">
        <f>+BF26/BE26</f>
        <v>1</v>
      </c>
      <c r="BH26" s="29" t="str">
        <f t="shared" ref="BH26:BH29" si="23">IF(BG26&gt;=80%,"BUENO",IF(BG26&gt;=66%,"REGULAR",IF(BG26&gt;=0%,"MALO","")))</f>
        <v>BUENO</v>
      </c>
      <c r="BI26" s="20">
        <v>0</v>
      </c>
      <c r="BJ26" s="20">
        <v>0</v>
      </c>
      <c r="BK26" s="20">
        <v>0</v>
      </c>
      <c r="BL26" s="23"/>
      <c r="BM26" s="20">
        <v>0</v>
      </c>
      <c r="BN26" s="20">
        <v>0</v>
      </c>
      <c r="BO26" s="20">
        <v>0</v>
      </c>
      <c r="BP26" s="39"/>
      <c r="BQ26" s="20">
        <v>0</v>
      </c>
      <c r="BR26" s="20">
        <v>0</v>
      </c>
      <c r="BS26" s="20">
        <v>0</v>
      </c>
      <c r="BT26" s="39"/>
      <c r="BU26" s="34"/>
    </row>
    <row r="27" spans="1:73" ht="49.5" customHeight="1">
      <c r="A27" s="171"/>
      <c r="B27" s="172"/>
      <c r="C27" s="175"/>
      <c r="D27" s="40"/>
      <c r="E27" s="20"/>
      <c r="F27" s="20">
        <v>2</v>
      </c>
      <c r="G27" s="20">
        <v>3</v>
      </c>
      <c r="H27" s="20"/>
      <c r="I27" s="54" t="s">
        <v>131</v>
      </c>
      <c r="J27" s="168"/>
      <c r="K27" s="42" t="s">
        <v>132</v>
      </c>
      <c r="L27" s="168"/>
      <c r="M27" s="41" t="s">
        <v>48</v>
      </c>
      <c r="N27" s="168"/>
      <c r="O27" s="168"/>
      <c r="P27" s="168"/>
      <c r="Q27" s="20" t="s">
        <v>133</v>
      </c>
      <c r="R27" s="55" t="s">
        <v>134</v>
      </c>
      <c r="S27" s="22">
        <f t="shared" si="12"/>
        <v>10</v>
      </c>
      <c r="T27" s="56">
        <f>+S27/6</f>
        <v>1.6666666666666667</v>
      </c>
      <c r="U27" s="29" t="str">
        <f t="shared" si="1"/>
        <v>BUENO</v>
      </c>
      <c r="V27" s="24" t="s">
        <v>52</v>
      </c>
      <c r="W27" s="24" t="s">
        <v>53</v>
      </c>
      <c r="X27" s="24" t="s">
        <v>54</v>
      </c>
      <c r="Y27" s="20">
        <v>0</v>
      </c>
      <c r="Z27" s="42">
        <v>0</v>
      </c>
      <c r="AA27" s="42">
        <v>0</v>
      </c>
      <c r="AB27" s="63"/>
      <c r="AC27" s="20">
        <v>1</v>
      </c>
      <c r="AD27" s="42">
        <v>1</v>
      </c>
      <c r="AE27" s="56">
        <f>+AD27/AC27</f>
        <v>1</v>
      </c>
      <c r="AF27" s="29" t="str">
        <f t="shared" si="13"/>
        <v>BUENO</v>
      </c>
      <c r="AG27" s="20">
        <v>1</v>
      </c>
      <c r="AH27" s="42">
        <v>1</v>
      </c>
      <c r="AI27" s="56">
        <f>+AH27/AG27</f>
        <v>1</v>
      </c>
      <c r="AJ27" s="29" t="str">
        <f t="shared" si="14"/>
        <v>BUENO</v>
      </c>
      <c r="AK27" s="20">
        <v>1</v>
      </c>
      <c r="AL27" s="42">
        <v>1</v>
      </c>
      <c r="AM27" s="55">
        <v>1</v>
      </c>
      <c r="AN27" s="29" t="str">
        <f t="shared" si="3"/>
        <v>BUENO</v>
      </c>
      <c r="AO27" s="20">
        <v>1</v>
      </c>
      <c r="AP27" s="42">
        <v>2</v>
      </c>
      <c r="AQ27" s="23">
        <f>+AP27/AO27</f>
        <v>2</v>
      </c>
      <c r="AR27" s="29" t="str">
        <f t="shared" si="4"/>
        <v>BUENO</v>
      </c>
      <c r="AS27" s="20">
        <v>1</v>
      </c>
      <c r="AT27" s="42">
        <v>1</v>
      </c>
      <c r="AU27" s="23">
        <v>1</v>
      </c>
      <c r="AV27" s="29" t="str">
        <f t="shared" si="11"/>
        <v>BUENO</v>
      </c>
      <c r="AW27" s="20">
        <v>1</v>
      </c>
      <c r="AX27" s="42">
        <v>0</v>
      </c>
      <c r="AY27" s="23">
        <f>+AX27/AW27</f>
        <v>0</v>
      </c>
      <c r="AZ27" s="29"/>
      <c r="BA27" s="20">
        <v>1</v>
      </c>
      <c r="BB27" s="20">
        <v>1</v>
      </c>
      <c r="BC27" s="23">
        <f t="shared" si="22"/>
        <v>1</v>
      </c>
      <c r="BD27" s="29" t="str">
        <f t="shared" si="6"/>
        <v>BUENO</v>
      </c>
      <c r="BE27" s="20">
        <v>3</v>
      </c>
      <c r="BF27" s="20">
        <v>3</v>
      </c>
      <c r="BG27" s="23">
        <f>+BF27/BE27</f>
        <v>1</v>
      </c>
      <c r="BH27" s="29" t="str">
        <f t="shared" si="23"/>
        <v>BUENO</v>
      </c>
      <c r="BI27" s="20">
        <v>0</v>
      </c>
      <c r="BJ27" s="20">
        <v>0</v>
      </c>
      <c r="BK27" s="20">
        <v>0</v>
      </c>
      <c r="BL27" s="23"/>
      <c r="BM27" s="20">
        <v>0</v>
      </c>
      <c r="BN27" s="20">
        <v>0</v>
      </c>
      <c r="BO27" s="20">
        <v>0</v>
      </c>
      <c r="BP27" s="39"/>
      <c r="BQ27" s="20">
        <v>0</v>
      </c>
      <c r="BR27" s="20">
        <v>0</v>
      </c>
      <c r="BS27" s="20">
        <v>0</v>
      </c>
      <c r="BT27" s="39"/>
      <c r="BU27" s="34"/>
    </row>
    <row r="28" spans="1:73" ht="49.5" customHeight="1">
      <c r="A28" s="171"/>
      <c r="B28" s="172"/>
      <c r="C28" s="175"/>
      <c r="D28" s="40"/>
      <c r="E28" s="20"/>
      <c r="F28" s="20">
        <v>2</v>
      </c>
      <c r="G28" s="20">
        <v>3</v>
      </c>
      <c r="H28" s="20"/>
      <c r="I28" s="54" t="s">
        <v>135</v>
      </c>
      <c r="J28" s="168"/>
      <c r="K28" s="42" t="s">
        <v>136</v>
      </c>
      <c r="L28" s="168"/>
      <c r="M28" s="41" t="s">
        <v>48</v>
      </c>
      <c r="N28" s="168"/>
      <c r="O28" s="168"/>
      <c r="P28" s="168"/>
      <c r="Q28" s="20" t="s">
        <v>137</v>
      </c>
      <c r="R28" s="55" t="s">
        <v>138</v>
      </c>
      <c r="S28" s="22">
        <f t="shared" si="12"/>
        <v>14</v>
      </c>
      <c r="T28" s="56">
        <f>+S28/7.2</f>
        <v>1.9444444444444444</v>
      </c>
      <c r="U28" s="29" t="str">
        <f t="shared" si="1"/>
        <v>BUENO</v>
      </c>
      <c r="V28" s="24" t="s">
        <v>52</v>
      </c>
      <c r="W28" s="24" t="s">
        <v>53</v>
      </c>
      <c r="X28" s="24" t="s">
        <v>54</v>
      </c>
      <c r="Y28" s="20">
        <v>0</v>
      </c>
      <c r="Z28" s="42">
        <v>0</v>
      </c>
      <c r="AA28" s="55">
        <v>0</v>
      </c>
      <c r="AB28" s="27"/>
      <c r="AC28" s="20">
        <v>2</v>
      </c>
      <c r="AD28" s="42">
        <v>2</v>
      </c>
      <c r="AE28" s="56">
        <f>+AD28/AC28</f>
        <v>1</v>
      </c>
      <c r="AF28" s="29" t="str">
        <f t="shared" si="13"/>
        <v>BUENO</v>
      </c>
      <c r="AG28" s="20">
        <v>2</v>
      </c>
      <c r="AH28" s="42">
        <v>2</v>
      </c>
      <c r="AI28" s="55">
        <f>+AH28/AG28</f>
        <v>1</v>
      </c>
      <c r="AJ28" s="29" t="str">
        <f t="shared" si="14"/>
        <v>BUENO</v>
      </c>
      <c r="AK28" s="20">
        <v>2</v>
      </c>
      <c r="AL28" s="42">
        <v>2</v>
      </c>
      <c r="AM28" s="56">
        <f>+AL28/AK28</f>
        <v>1</v>
      </c>
      <c r="AN28" s="29" t="str">
        <f t="shared" si="3"/>
        <v>BUENO</v>
      </c>
      <c r="AO28" s="20">
        <v>2</v>
      </c>
      <c r="AP28" s="42">
        <v>2</v>
      </c>
      <c r="AQ28" s="23">
        <f>+AP28/AO28</f>
        <v>1</v>
      </c>
      <c r="AR28" s="29" t="str">
        <f t="shared" si="4"/>
        <v>BUENO</v>
      </c>
      <c r="AS28" s="20">
        <v>2</v>
      </c>
      <c r="AT28" s="42">
        <v>2</v>
      </c>
      <c r="AU28" s="23">
        <f>+AT28/AS28</f>
        <v>1</v>
      </c>
      <c r="AV28" s="29" t="str">
        <f t="shared" si="11"/>
        <v>BUENO</v>
      </c>
      <c r="AW28" s="20">
        <v>0</v>
      </c>
      <c r="AX28" s="42">
        <v>0</v>
      </c>
      <c r="AY28" s="23">
        <v>0</v>
      </c>
      <c r="AZ28" s="29"/>
      <c r="BA28" s="20">
        <v>2</v>
      </c>
      <c r="BB28" s="20">
        <v>2</v>
      </c>
      <c r="BC28" s="23">
        <f t="shared" si="22"/>
        <v>1</v>
      </c>
      <c r="BD28" s="29" t="str">
        <f t="shared" si="6"/>
        <v>BUENO</v>
      </c>
      <c r="BE28" s="20">
        <v>2</v>
      </c>
      <c r="BF28" s="20">
        <v>2</v>
      </c>
      <c r="BG28" s="23">
        <f>+BF28/BE28</f>
        <v>1</v>
      </c>
      <c r="BH28" s="29" t="str">
        <f t="shared" si="23"/>
        <v>BUENO</v>
      </c>
      <c r="BI28" s="20">
        <v>0</v>
      </c>
      <c r="BJ28" s="20">
        <v>0</v>
      </c>
      <c r="BK28" s="20">
        <v>0</v>
      </c>
      <c r="BL28" s="23"/>
      <c r="BM28" s="20">
        <v>0</v>
      </c>
      <c r="BN28" s="20">
        <v>0</v>
      </c>
      <c r="BO28" s="20">
        <v>0</v>
      </c>
      <c r="BP28" s="39"/>
      <c r="BQ28" s="20">
        <v>0</v>
      </c>
      <c r="BR28" s="20">
        <v>0</v>
      </c>
      <c r="BS28" s="20">
        <v>0</v>
      </c>
      <c r="BT28" s="39"/>
      <c r="BU28" s="34"/>
    </row>
    <row r="29" spans="1:73" ht="132" customHeight="1">
      <c r="A29" s="171"/>
      <c r="B29" s="172"/>
      <c r="C29" s="175"/>
      <c r="D29" s="40"/>
      <c r="E29" s="20"/>
      <c r="F29" s="20">
        <v>2</v>
      </c>
      <c r="G29" s="20">
        <v>3</v>
      </c>
      <c r="H29" s="20"/>
      <c r="I29" s="54" t="s">
        <v>139</v>
      </c>
      <c r="J29" s="168"/>
      <c r="K29" s="42" t="s">
        <v>140</v>
      </c>
      <c r="L29" s="168"/>
      <c r="M29" s="41" t="s">
        <v>70</v>
      </c>
      <c r="N29" s="168"/>
      <c r="O29" s="168"/>
      <c r="P29" s="168"/>
      <c r="Q29" s="20" t="s">
        <v>141</v>
      </c>
      <c r="R29" s="55" t="s">
        <v>142</v>
      </c>
      <c r="S29" s="64">
        <f>+AA29+AE29+AI29+BC29+BG29+BK29</f>
        <v>16069296937</v>
      </c>
      <c r="T29" s="55">
        <f>+S29/1000000000</f>
        <v>16.069296937000001</v>
      </c>
      <c r="U29" s="29" t="str">
        <f t="shared" si="1"/>
        <v>BUENO</v>
      </c>
      <c r="V29" s="24" t="s">
        <v>143</v>
      </c>
      <c r="W29" s="24" t="s">
        <v>144</v>
      </c>
      <c r="X29" s="24" t="s">
        <v>145</v>
      </c>
      <c r="Y29" s="20"/>
      <c r="Z29" s="42"/>
      <c r="AA29" s="65">
        <v>1357500000</v>
      </c>
      <c r="AB29" s="29" t="str">
        <f t="shared" ref="AB29" si="24">IF(AA29&gt;=80%,"BUENO",IF(AA29&gt;=66%,"REGULAR",IF(AA29&gt;=0.00001%,"MALO","")))</f>
        <v>BUENO</v>
      </c>
      <c r="AC29" s="20"/>
      <c r="AD29" s="66"/>
      <c r="AE29" s="65">
        <v>64437996</v>
      </c>
      <c r="AF29" s="29" t="str">
        <f t="shared" si="13"/>
        <v>BUENO</v>
      </c>
      <c r="AG29" s="20"/>
      <c r="AH29" s="66"/>
      <c r="AI29" s="65">
        <v>174840413</v>
      </c>
      <c r="AJ29" s="29" t="str">
        <f t="shared" si="14"/>
        <v>BUENO</v>
      </c>
      <c r="AK29" s="20"/>
      <c r="AL29" s="42"/>
      <c r="AM29" s="42"/>
      <c r="AN29" s="29" t="str">
        <f t="shared" si="3"/>
        <v/>
      </c>
      <c r="AO29" s="42"/>
      <c r="AP29" s="42"/>
      <c r="AQ29" s="42"/>
      <c r="AR29" s="29" t="str">
        <f t="shared" si="4"/>
        <v/>
      </c>
      <c r="AS29" s="42"/>
      <c r="AT29" s="42"/>
      <c r="AU29" s="42"/>
      <c r="AV29" s="29" t="str">
        <f t="shared" si="11"/>
        <v/>
      </c>
      <c r="AW29" s="42"/>
      <c r="AX29" s="42"/>
      <c r="AY29" s="42"/>
      <c r="AZ29" s="29"/>
      <c r="BA29" s="20"/>
      <c r="BB29" s="67"/>
      <c r="BC29" s="67">
        <f>318520000+90695850+385875000+117230160+887459820</f>
        <v>1799780830</v>
      </c>
      <c r="BD29" s="29" t="str">
        <f t="shared" si="6"/>
        <v>BUENO</v>
      </c>
      <c r="BE29" s="20"/>
      <c r="BF29" s="20"/>
      <c r="BG29" s="67">
        <f>121430000+147656250+543753000+255522750+693273600+121940000+95025000+149120000+9545516341+414477000+331023757</f>
        <v>12418737698</v>
      </c>
      <c r="BH29" s="29" t="str">
        <f t="shared" si="23"/>
        <v>BUENO</v>
      </c>
      <c r="BI29" s="20"/>
      <c r="BJ29" s="20"/>
      <c r="BK29" s="67">
        <v>254000000</v>
      </c>
      <c r="BL29" s="29" t="str">
        <f t="shared" ref="BL29:BL31" si="25">IF(BK29&gt;=80%,"BUENO",IF(BK29&gt;=66%,"REGULAR",IF(BK29&gt;=0%,"MALO","")))</f>
        <v>BUENO</v>
      </c>
      <c r="BM29" s="20"/>
      <c r="BN29" s="39"/>
      <c r="BO29" s="39"/>
      <c r="BP29" s="39"/>
      <c r="BQ29" s="39"/>
      <c r="BR29" s="39"/>
      <c r="BS29" s="39"/>
      <c r="BT29" s="39"/>
      <c r="BU29" s="34" t="s">
        <v>146</v>
      </c>
    </row>
    <row r="30" spans="1:73" ht="49.5" customHeight="1">
      <c r="A30" s="171"/>
      <c r="B30" s="172"/>
      <c r="C30" s="175"/>
      <c r="D30" s="40"/>
      <c r="E30" s="20"/>
      <c r="F30" s="20">
        <v>2</v>
      </c>
      <c r="G30" s="20">
        <v>3</v>
      </c>
      <c r="H30" s="20"/>
      <c r="I30" s="54" t="s">
        <v>147</v>
      </c>
      <c r="J30" s="168"/>
      <c r="K30" s="42" t="s">
        <v>148</v>
      </c>
      <c r="L30" s="168"/>
      <c r="M30" s="41" t="s">
        <v>48</v>
      </c>
      <c r="N30" s="168"/>
      <c r="O30" s="168"/>
      <c r="P30" s="168"/>
      <c r="Q30" s="20" t="s">
        <v>149</v>
      </c>
      <c r="R30" s="55" t="s">
        <v>150</v>
      </c>
      <c r="S30" s="22">
        <f t="shared" ref="S30:S38" si="26">+Z30+AD30+AH30+AL30+AP30+AT30+AX30+BB30+BF30+BJ30+BN30+BR30</f>
        <v>555</v>
      </c>
      <c r="T30" s="56">
        <f>+S30/131.4</f>
        <v>4.2237442922374431</v>
      </c>
      <c r="U30" s="29" t="str">
        <f t="shared" si="1"/>
        <v>BUENO</v>
      </c>
      <c r="V30" s="68">
        <v>0</v>
      </c>
      <c r="W30" s="68">
        <v>0.01</v>
      </c>
      <c r="X30" s="68">
        <v>0.02</v>
      </c>
      <c r="Y30" s="20">
        <v>0</v>
      </c>
      <c r="Z30" s="42">
        <v>0</v>
      </c>
      <c r="AA30" s="42">
        <v>0</v>
      </c>
      <c r="AB30" s="63"/>
      <c r="AC30" s="20">
        <v>10.95</v>
      </c>
      <c r="AD30" s="42">
        <v>8</v>
      </c>
      <c r="AE30" s="56">
        <f>8/AC30</f>
        <v>0.73059360730593614</v>
      </c>
      <c r="AF30" s="29" t="str">
        <f t="shared" si="13"/>
        <v>REGULAR</v>
      </c>
      <c r="AG30" s="20">
        <v>0</v>
      </c>
      <c r="AH30" s="42">
        <v>0</v>
      </c>
      <c r="AI30" s="42">
        <v>0</v>
      </c>
      <c r="AJ30" s="63">
        <v>0</v>
      </c>
      <c r="AK30" s="20">
        <v>10.95</v>
      </c>
      <c r="AL30" s="42">
        <v>7.5</v>
      </c>
      <c r="AM30" s="56">
        <f>+AL30/AK30</f>
        <v>0.68493150684931514</v>
      </c>
      <c r="AN30" s="29" t="str">
        <f t="shared" si="3"/>
        <v>REGULAR</v>
      </c>
      <c r="AO30" s="20">
        <v>10.95</v>
      </c>
      <c r="AP30" s="42">
        <v>0</v>
      </c>
      <c r="AQ30" s="23">
        <v>0</v>
      </c>
      <c r="AR30" s="29" t="str">
        <f t="shared" si="4"/>
        <v/>
      </c>
      <c r="AS30" s="20">
        <v>10.95</v>
      </c>
      <c r="AT30" s="42">
        <v>6</v>
      </c>
      <c r="AU30" s="23">
        <f>6/10.95</f>
        <v>0.54794520547945214</v>
      </c>
      <c r="AV30" s="29" t="str">
        <f t="shared" si="11"/>
        <v>MALO</v>
      </c>
      <c r="AW30" s="20">
        <v>10.95</v>
      </c>
      <c r="AX30" s="42">
        <f>15.5+45+6</f>
        <v>66.5</v>
      </c>
      <c r="AY30" s="23">
        <f>+AX30/AW30</f>
        <v>6.0730593607305936</v>
      </c>
      <c r="AZ30" s="29" t="str">
        <f t="shared" si="5"/>
        <v>BUENO</v>
      </c>
      <c r="BA30" s="20">
        <v>10.95</v>
      </c>
      <c r="BB30" s="20">
        <f>26+9+7+7+1.5</f>
        <v>50.5</v>
      </c>
      <c r="BC30" s="23">
        <f t="shared" si="22"/>
        <v>4.6118721461187215</v>
      </c>
      <c r="BD30" s="29" t="str">
        <f t="shared" si="6"/>
        <v>BUENO</v>
      </c>
      <c r="BE30" s="20">
        <v>10.95</v>
      </c>
      <c r="BF30" s="20">
        <f>22+12.5+13+6+1</f>
        <v>54.5</v>
      </c>
      <c r="BG30" s="23">
        <f>+BF30/BE30</f>
        <v>4.9771689497716896</v>
      </c>
      <c r="BH30" s="29" t="str">
        <f t="shared" si="7"/>
        <v>BUENO</v>
      </c>
      <c r="BI30" s="20">
        <v>10.95</v>
      </c>
      <c r="BJ30" s="20">
        <f>17+1.5+1</f>
        <v>19.5</v>
      </c>
      <c r="BK30" s="23">
        <f>+BJ30/BI30</f>
        <v>1.7808219178082192</v>
      </c>
      <c r="BL30" s="29" t="str">
        <f t="shared" si="25"/>
        <v>BUENO</v>
      </c>
      <c r="BM30" s="20">
        <v>10.95</v>
      </c>
      <c r="BN30" s="58">
        <f>316+5.5+1+2+2</f>
        <v>326.5</v>
      </c>
      <c r="BO30" s="30">
        <f>+BN30/BM30</f>
        <v>29.817351598173516</v>
      </c>
      <c r="BP30" s="29" t="str">
        <f t="shared" ref="BP30:BP37" si="27">IF(BO30&gt;=80%,"BUENO",IF(BO30&gt;=66%,"REGULAR",IF(BO30&gt;=0%,"MALO","")))</f>
        <v>BUENO</v>
      </c>
      <c r="BQ30" s="20">
        <v>10.95</v>
      </c>
      <c r="BR30" s="58">
        <f>12+2+2</f>
        <v>16</v>
      </c>
      <c r="BS30" s="30">
        <f>+BR30/BQ30</f>
        <v>1.4611872146118723</v>
      </c>
      <c r="BT30" s="29" t="str">
        <f t="shared" ref="BT30:BT31" si="28">IF(BS30&gt;=80%,"BUENO",IF(BS30&gt;=66%,"REGULAR",IF(BS30&gt;=0%,"MALO","")))</f>
        <v>BUENO</v>
      </c>
      <c r="BU30" s="34"/>
    </row>
    <row r="31" spans="1:73" ht="49.5" customHeight="1">
      <c r="A31" s="171"/>
      <c r="B31" s="172"/>
      <c r="C31" s="175"/>
      <c r="D31" s="40"/>
      <c r="E31" s="20"/>
      <c r="F31" s="20">
        <v>2</v>
      </c>
      <c r="G31" s="20">
        <v>3</v>
      </c>
      <c r="H31" s="20"/>
      <c r="I31" s="54" t="s">
        <v>151</v>
      </c>
      <c r="J31" s="168"/>
      <c r="K31" s="42" t="s">
        <v>152</v>
      </c>
      <c r="L31" s="168"/>
      <c r="M31" s="41" t="s">
        <v>48</v>
      </c>
      <c r="N31" s="168"/>
      <c r="O31" s="168"/>
      <c r="P31" s="168"/>
      <c r="Q31" s="20" t="s">
        <v>90</v>
      </c>
      <c r="R31" s="55" t="s">
        <v>153</v>
      </c>
      <c r="S31" s="22">
        <f t="shared" si="26"/>
        <v>1474</v>
      </c>
      <c r="T31" s="56">
        <f>+S31/1380</f>
        <v>1.0681159420289854</v>
      </c>
      <c r="U31" s="29" t="str">
        <f t="shared" si="1"/>
        <v>BUENO</v>
      </c>
      <c r="V31" s="24" t="s">
        <v>154</v>
      </c>
      <c r="W31" s="24" t="s">
        <v>155</v>
      </c>
      <c r="X31" s="24" t="s">
        <v>156</v>
      </c>
      <c r="Y31" s="20">
        <v>0</v>
      </c>
      <c r="Z31" s="42">
        <v>0</v>
      </c>
      <c r="AA31" s="42">
        <v>0</v>
      </c>
      <c r="AB31" s="63"/>
      <c r="AC31" s="20">
        <v>0</v>
      </c>
      <c r="AD31" s="42">
        <v>0</v>
      </c>
      <c r="AE31" s="42">
        <v>0</v>
      </c>
      <c r="AF31" s="63">
        <v>0</v>
      </c>
      <c r="AG31" s="20">
        <v>34</v>
      </c>
      <c r="AH31" s="42">
        <v>34</v>
      </c>
      <c r="AI31" s="56">
        <f>+AH31/AG31</f>
        <v>1</v>
      </c>
      <c r="AJ31" s="29" t="str">
        <f t="shared" si="14"/>
        <v>BUENO</v>
      </c>
      <c r="AK31" s="20">
        <v>512</v>
      </c>
      <c r="AL31" s="42">
        <v>512</v>
      </c>
      <c r="AM31" s="56">
        <f>+AL31/AK31</f>
        <v>1</v>
      </c>
      <c r="AN31" s="29" t="str">
        <f t="shared" si="3"/>
        <v>BUENO</v>
      </c>
      <c r="AO31" s="20">
        <v>80</v>
      </c>
      <c r="AP31" s="42">
        <v>80</v>
      </c>
      <c r="AQ31" s="23">
        <f>+AP31/AO31</f>
        <v>1</v>
      </c>
      <c r="AR31" s="29" t="str">
        <f t="shared" si="4"/>
        <v>BUENO</v>
      </c>
      <c r="AS31" s="20">
        <v>48</v>
      </c>
      <c r="AT31" s="42">
        <v>48</v>
      </c>
      <c r="AU31" s="23">
        <f>+AT31/AS31</f>
        <v>1</v>
      </c>
      <c r="AV31" s="29" t="str">
        <f t="shared" si="11"/>
        <v>BUENO</v>
      </c>
      <c r="AW31" s="20">
        <v>640</v>
      </c>
      <c r="AX31" s="42">
        <v>640</v>
      </c>
      <c r="AY31" s="23">
        <f>+AX31/AW31</f>
        <v>1</v>
      </c>
      <c r="AZ31" s="29" t="str">
        <f t="shared" si="5"/>
        <v>BUENO</v>
      </c>
      <c r="BA31" s="20">
        <v>62</v>
      </c>
      <c r="BB31" s="20">
        <v>62</v>
      </c>
      <c r="BC31" s="23">
        <f t="shared" si="22"/>
        <v>1</v>
      </c>
      <c r="BD31" s="29" t="str">
        <f t="shared" si="6"/>
        <v>BUENO</v>
      </c>
      <c r="BE31" s="20">
        <v>39</v>
      </c>
      <c r="BF31" s="20">
        <v>39</v>
      </c>
      <c r="BG31" s="23">
        <f t="shared" ref="BG31:BG32" si="29">+BF31/BE31</f>
        <v>1</v>
      </c>
      <c r="BH31" s="29" t="str">
        <f t="shared" si="7"/>
        <v>BUENO</v>
      </c>
      <c r="BI31" s="20">
        <v>22</v>
      </c>
      <c r="BJ31" s="20">
        <v>22</v>
      </c>
      <c r="BK31" s="23">
        <f>+BJ31/BJ31</f>
        <v>1</v>
      </c>
      <c r="BL31" s="29" t="str">
        <f t="shared" si="25"/>
        <v>BUENO</v>
      </c>
      <c r="BM31" s="20">
        <v>7</v>
      </c>
      <c r="BN31" s="58">
        <v>7</v>
      </c>
      <c r="BO31" s="30">
        <f>+BN31/BM31</f>
        <v>1</v>
      </c>
      <c r="BP31" s="29" t="str">
        <f t="shared" si="27"/>
        <v>BUENO</v>
      </c>
      <c r="BQ31" s="58">
        <v>30</v>
      </c>
      <c r="BR31" s="58">
        <v>30</v>
      </c>
      <c r="BS31" s="30">
        <f>+BR31/BQ31</f>
        <v>1</v>
      </c>
      <c r="BT31" s="29" t="str">
        <f t="shared" si="28"/>
        <v>BUENO</v>
      </c>
      <c r="BU31" s="34"/>
    </row>
    <row r="32" spans="1:73" ht="49.5" customHeight="1">
      <c r="A32" s="171"/>
      <c r="B32" s="172"/>
      <c r="C32" s="175"/>
      <c r="D32" s="40"/>
      <c r="E32" s="20"/>
      <c r="F32" s="20">
        <v>2</v>
      </c>
      <c r="G32" s="20">
        <v>3</v>
      </c>
      <c r="H32" s="20"/>
      <c r="I32" s="54" t="s">
        <v>157</v>
      </c>
      <c r="J32" s="168"/>
      <c r="K32" s="42" t="s">
        <v>158</v>
      </c>
      <c r="L32" s="168"/>
      <c r="M32" s="41" t="s">
        <v>48</v>
      </c>
      <c r="N32" s="168"/>
      <c r="O32" s="168"/>
      <c r="P32" s="168"/>
      <c r="Q32" s="20" t="s">
        <v>159</v>
      </c>
      <c r="R32" s="55" t="s">
        <v>160</v>
      </c>
      <c r="S32" s="22">
        <f t="shared" si="26"/>
        <v>42</v>
      </c>
      <c r="T32" s="56">
        <f>+S32/33</f>
        <v>1.2727272727272727</v>
      </c>
      <c r="U32" s="29" t="str">
        <f t="shared" si="1"/>
        <v>BUENO</v>
      </c>
      <c r="V32" s="24" t="s">
        <v>154</v>
      </c>
      <c r="W32" s="24" t="s">
        <v>155</v>
      </c>
      <c r="X32" s="24" t="s">
        <v>156</v>
      </c>
      <c r="Y32" s="20">
        <v>8</v>
      </c>
      <c r="Z32" s="42">
        <v>8</v>
      </c>
      <c r="AA32" s="55">
        <f>+Z32/Y32</f>
        <v>1</v>
      </c>
      <c r="AB32" s="29" t="str">
        <f t="shared" ref="AB32:AB37" si="30">IF(AA32&gt;=80%,"BUENO",IF(AA32&gt;=66%,"REGULAR",IF(AA32&gt;=0.00001%,"MALO","")))</f>
        <v>BUENO</v>
      </c>
      <c r="AC32" s="20">
        <v>2</v>
      </c>
      <c r="AD32" s="42">
        <v>2</v>
      </c>
      <c r="AE32" s="55">
        <v>1</v>
      </c>
      <c r="AF32" s="29" t="str">
        <f t="shared" si="13"/>
        <v>BUENO</v>
      </c>
      <c r="AG32" s="20">
        <v>3</v>
      </c>
      <c r="AH32" s="42">
        <v>3</v>
      </c>
      <c r="AI32" s="56">
        <f>3/AG32</f>
        <v>1</v>
      </c>
      <c r="AJ32" s="29" t="str">
        <f t="shared" si="14"/>
        <v>BUENO</v>
      </c>
      <c r="AK32" s="20">
        <v>1</v>
      </c>
      <c r="AL32" s="42">
        <v>1</v>
      </c>
      <c r="AM32" s="55">
        <v>1</v>
      </c>
      <c r="AN32" s="29" t="str">
        <f t="shared" si="3"/>
        <v>BUENO</v>
      </c>
      <c r="AO32" s="20">
        <v>11</v>
      </c>
      <c r="AP32" s="42">
        <v>11</v>
      </c>
      <c r="AQ32" s="23">
        <f>+AP32/AO32</f>
        <v>1</v>
      </c>
      <c r="AR32" s="29" t="str">
        <f t="shared" si="4"/>
        <v>BUENO</v>
      </c>
      <c r="AS32" s="42">
        <v>0</v>
      </c>
      <c r="AT32" s="42">
        <v>0</v>
      </c>
      <c r="AU32" s="55">
        <v>0</v>
      </c>
      <c r="AV32" s="29"/>
      <c r="AW32" s="42">
        <v>0</v>
      </c>
      <c r="AX32" s="42">
        <v>0</v>
      </c>
      <c r="AY32" s="42">
        <v>0</v>
      </c>
      <c r="AZ32" s="29"/>
      <c r="BA32" s="20">
        <v>6</v>
      </c>
      <c r="BB32" s="20">
        <v>6</v>
      </c>
      <c r="BC32" s="23">
        <f t="shared" si="22"/>
        <v>1</v>
      </c>
      <c r="BD32" s="29" t="str">
        <f t="shared" si="6"/>
        <v>BUENO</v>
      </c>
      <c r="BE32" s="20">
        <v>11</v>
      </c>
      <c r="BF32" s="20">
        <v>11</v>
      </c>
      <c r="BG32" s="23">
        <f t="shared" si="29"/>
        <v>1</v>
      </c>
      <c r="BH32" s="29" t="str">
        <f t="shared" si="7"/>
        <v>BUENO</v>
      </c>
      <c r="BI32" s="20">
        <v>0</v>
      </c>
      <c r="BJ32" s="20">
        <v>0</v>
      </c>
      <c r="BK32" s="20">
        <v>0</v>
      </c>
      <c r="BL32" s="29"/>
      <c r="BM32" s="20">
        <v>0</v>
      </c>
      <c r="BN32" s="20">
        <v>0</v>
      </c>
      <c r="BO32" s="20">
        <v>0</v>
      </c>
      <c r="BP32" s="39"/>
      <c r="BQ32" s="20">
        <v>0</v>
      </c>
      <c r="BR32" s="20">
        <v>0</v>
      </c>
      <c r="BS32" s="20">
        <v>0</v>
      </c>
      <c r="BT32" s="39"/>
      <c r="BU32" s="34"/>
    </row>
    <row r="33" spans="1:73" ht="50.25" customHeight="1">
      <c r="A33" s="171"/>
      <c r="B33" s="172"/>
      <c r="C33" s="175"/>
      <c r="D33" s="40"/>
      <c r="E33" s="20"/>
      <c r="F33" s="20">
        <v>2</v>
      </c>
      <c r="G33" s="20">
        <v>3</v>
      </c>
      <c r="H33" s="20"/>
      <c r="I33" s="54" t="s">
        <v>161</v>
      </c>
      <c r="J33" s="168" t="s">
        <v>162</v>
      </c>
      <c r="K33" s="42" t="s">
        <v>163</v>
      </c>
      <c r="L33" s="168" t="s">
        <v>88</v>
      </c>
      <c r="M33" s="168" t="s">
        <v>48</v>
      </c>
      <c r="N33" s="168" t="s">
        <v>100</v>
      </c>
      <c r="O33" s="20" t="s">
        <v>114</v>
      </c>
      <c r="P33" s="168" t="s">
        <v>89</v>
      </c>
      <c r="Q33" s="20" t="s">
        <v>164</v>
      </c>
      <c r="R33" s="55" t="s">
        <v>165</v>
      </c>
      <c r="S33" s="22">
        <f t="shared" si="26"/>
        <v>2.5</v>
      </c>
      <c r="T33" s="56">
        <f>+S33/2</f>
        <v>1.25</v>
      </c>
      <c r="U33" s="29" t="str">
        <f t="shared" si="1"/>
        <v>BUENO</v>
      </c>
      <c r="V33" s="24" t="s">
        <v>166</v>
      </c>
      <c r="W33" s="24" t="s">
        <v>167</v>
      </c>
      <c r="X33" s="24" t="s">
        <v>168</v>
      </c>
      <c r="Y33" s="20">
        <v>0</v>
      </c>
      <c r="Z33" s="42">
        <v>0</v>
      </c>
      <c r="AA33" s="42">
        <v>0</v>
      </c>
      <c r="AB33" s="63"/>
      <c r="AC33" s="20">
        <v>0</v>
      </c>
      <c r="AD33" s="42">
        <v>0</v>
      </c>
      <c r="AE33" s="42">
        <v>0</v>
      </c>
      <c r="AF33" s="63"/>
      <c r="AG33" s="20">
        <v>0</v>
      </c>
      <c r="AH33" s="42">
        <v>0</v>
      </c>
      <c r="AI33" s="42">
        <v>0</v>
      </c>
      <c r="AJ33" s="63"/>
      <c r="AK33" s="20">
        <v>0</v>
      </c>
      <c r="AL33" s="42">
        <v>0</v>
      </c>
      <c r="AM33" s="42">
        <v>0</v>
      </c>
      <c r="AN33" s="29"/>
      <c r="AO33" s="20">
        <v>0</v>
      </c>
      <c r="AP33" s="42">
        <v>0</v>
      </c>
      <c r="AQ33" s="42">
        <v>0</v>
      </c>
      <c r="AR33" s="29" t="str">
        <f t="shared" si="4"/>
        <v/>
      </c>
      <c r="AS33" s="20">
        <v>0</v>
      </c>
      <c r="AT33" s="42">
        <v>0</v>
      </c>
      <c r="AU33" s="42">
        <v>0</v>
      </c>
      <c r="AV33" s="29"/>
      <c r="AW33" s="20">
        <v>0</v>
      </c>
      <c r="AX33" s="42">
        <v>0</v>
      </c>
      <c r="AY33" s="42">
        <v>0</v>
      </c>
      <c r="AZ33" s="29"/>
      <c r="BA33" s="20">
        <v>0</v>
      </c>
      <c r="BB33" s="42">
        <v>0</v>
      </c>
      <c r="BC33" s="42">
        <v>0</v>
      </c>
      <c r="BD33" s="29"/>
      <c r="BE33" s="20">
        <v>0</v>
      </c>
      <c r="BF33" s="42">
        <v>0</v>
      </c>
      <c r="BG33" s="42">
        <v>0</v>
      </c>
      <c r="BH33" s="29"/>
      <c r="BI33" s="20">
        <v>0</v>
      </c>
      <c r="BJ33" s="42">
        <v>0</v>
      </c>
      <c r="BK33" s="42">
        <v>0</v>
      </c>
      <c r="BL33" s="29"/>
      <c r="BM33" s="20">
        <v>2</v>
      </c>
      <c r="BN33" s="42">
        <v>2.5</v>
      </c>
      <c r="BO33" s="56">
        <f>+BN33/BM33</f>
        <v>1.25</v>
      </c>
      <c r="BP33" s="29" t="str">
        <f t="shared" si="27"/>
        <v>BUENO</v>
      </c>
      <c r="BQ33" s="20">
        <v>0</v>
      </c>
      <c r="BR33" s="42">
        <v>0</v>
      </c>
      <c r="BS33" s="42">
        <v>0</v>
      </c>
      <c r="BT33" s="39"/>
      <c r="BU33" s="34"/>
    </row>
    <row r="34" spans="1:73" ht="185.25" customHeight="1">
      <c r="A34" s="171"/>
      <c r="B34" s="172"/>
      <c r="C34" s="175"/>
      <c r="D34" s="40"/>
      <c r="E34" s="20">
        <v>1</v>
      </c>
      <c r="F34" s="20">
        <v>2</v>
      </c>
      <c r="G34" s="20"/>
      <c r="H34" s="20"/>
      <c r="I34" s="54" t="s">
        <v>169</v>
      </c>
      <c r="J34" s="168"/>
      <c r="K34" s="42" t="s">
        <v>170</v>
      </c>
      <c r="L34" s="168"/>
      <c r="M34" s="168"/>
      <c r="N34" s="168"/>
      <c r="O34" s="20" t="s">
        <v>83</v>
      </c>
      <c r="P34" s="168"/>
      <c r="Q34" s="20" t="s">
        <v>171</v>
      </c>
      <c r="R34" s="55" t="s">
        <v>172</v>
      </c>
      <c r="S34" s="22">
        <f t="shared" si="26"/>
        <v>5</v>
      </c>
      <c r="T34" s="56">
        <f>+S34/3</f>
        <v>1.6666666666666667</v>
      </c>
      <c r="U34" s="29" t="str">
        <f t="shared" si="1"/>
        <v>BUENO</v>
      </c>
      <c r="V34" s="24" t="s">
        <v>52</v>
      </c>
      <c r="W34" s="24" t="s">
        <v>173</v>
      </c>
      <c r="X34" s="24" t="s">
        <v>54</v>
      </c>
      <c r="Y34" s="20">
        <v>1</v>
      </c>
      <c r="Z34" s="42">
        <v>1</v>
      </c>
      <c r="AA34" s="55">
        <v>1</v>
      </c>
      <c r="AB34" s="29" t="str">
        <f t="shared" si="30"/>
        <v>BUENO</v>
      </c>
      <c r="AC34" s="42">
        <v>1</v>
      </c>
      <c r="AD34" s="42">
        <v>1</v>
      </c>
      <c r="AE34" s="56">
        <f>1/AC34</f>
        <v>1</v>
      </c>
      <c r="AF34" s="29" t="str">
        <f t="shared" si="13"/>
        <v>BUENO</v>
      </c>
      <c r="AG34" s="20">
        <v>0</v>
      </c>
      <c r="AH34" s="42">
        <v>0</v>
      </c>
      <c r="AI34" s="56">
        <v>0</v>
      </c>
      <c r="AJ34" s="27"/>
      <c r="AK34" s="20"/>
      <c r="AL34" s="42"/>
      <c r="AM34" s="55"/>
      <c r="AN34" s="29"/>
      <c r="AO34" s="42">
        <v>1</v>
      </c>
      <c r="AP34" s="42">
        <v>1</v>
      </c>
      <c r="AQ34" s="23">
        <f>+AP34/AO34</f>
        <v>1</v>
      </c>
      <c r="AR34" s="29" t="str">
        <f t="shared" si="4"/>
        <v>BUENO</v>
      </c>
      <c r="AS34" s="20"/>
      <c r="AT34" s="42"/>
      <c r="AU34" s="37"/>
      <c r="AV34" s="29"/>
      <c r="AW34" s="20"/>
      <c r="AX34" s="42"/>
      <c r="AY34" s="37"/>
      <c r="AZ34" s="29"/>
      <c r="BA34" s="20"/>
      <c r="BB34" s="20"/>
      <c r="BC34" s="23"/>
      <c r="BD34" s="29"/>
      <c r="BE34" s="20">
        <v>1</v>
      </c>
      <c r="BF34" s="20">
        <v>1</v>
      </c>
      <c r="BG34" s="23">
        <f>+BF34/BE34</f>
        <v>1</v>
      </c>
      <c r="BH34" s="29" t="str">
        <f t="shared" si="7"/>
        <v>BUENO</v>
      </c>
      <c r="BI34" s="20"/>
      <c r="BJ34" s="20"/>
      <c r="BK34" s="20"/>
      <c r="BL34" s="29"/>
      <c r="BM34" s="20">
        <v>1</v>
      </c>
      <c r="BN34" s="58">
        <v>1</v>
      </c>
      <c r="BO34" s="30">
        <f>+BN34/BM34</f>
        <v>1</v>
      </c>
      <c r="BP34" s="29" t="str">
        <f t="shared" si="27"/>
        <v>BUENO</v>
      </c>
      <c r="BQ34" s="58">
        <v>0</v>
      </c>
      <c r="BR34" s="58">
        <v>0</v>
      </c>
      <c r="BS34" s="58">
        <v>0</v>
      </c>
      <c r="BT34" s="39"/>
      <c r="BU34" s="34"/>
    </row>
    <row r="35" spans="1:73" ht="70.5" customHeight="1">
      <c r="A35" s="171"/>
      <c r="B35" s="172"/>
      <c r="C35" s="175"/>
      <c r="D35" s="40"/>
      <c r="E35" s="20"/>
      <c r="F35" s="20">
        <v>2</v>
      </c>
      <c r="G35" s="20"/>
      <c r="H35" s="20"/>
      <c r="I35" s="54" t="s">
        <v>174</v>
      </c>
      <c r="J35" s="168"/>
      <c r="K35" s="42" t="s">
        <v>175</v>
      </c>
      <c r="L35" s="168"/>
      <c r="M35" s="168"/>
      <c r="N35" s="168"/>
      <c r="O35" s="20" t="s">
        <v>83</v>
      </c>
      <c r="P35" s="168"/>
      <c r="Q35" s="20" t="s">
        <v>176</v>
      </c>
      <c r="R35" s="55" t="s">
        <v>177</v>
      </c>
      <c r="S35" s="22">
        <f t="shared" si="26"/>
        <v>42</v>
      </c>
      <c r="T35" s="56">
        <f>+S35/16</f>
        <v>2.625</v>
      </c>
      <c r="U35" s="29" t="str">
        <f t="shared" si="1"/>
        <v>BUENO</v>
      </c>
      <c r="V35" s="24" t="s">
        <v>154</v>
      </c>
      <c r="W35" s="24" t="s">
        <v>155</v>
      </c>
      <c r="X35" s="24" t="s">
        <v>156</v>
      </c>
      <c r="Y35" s="20">
        <v>5</v>
      </c>
      <c r="Z35" s="42">
        <v>5</v>
      </c>
      <c r="AA35" s="56">
        <f>+Z35/Y35</f>
        <v>1</v>
      </c>
      <c r="AB35" s="29" t="str">
        <f t="shared" si="30"/>
        <v>BUENO</v>
      </c>
      <c r="AC35" s="42">
        <v>4</v>
      </c>
      <c r="AD35" s="42">
        <v>4</v>
      </c>
      <c r="AE35" s="56">
        <f>+AD35/AC35</f>
        <v>1</v>
      </c>
      <c r="AF35" s="29" t="str">
        <f t="shared" si="13"/>
        <v>BUENO</v>
      </c>
      <c r="AG35" s="20">
        <v>1</v>
      </c>
      <c r="AH35" s="42">
        <v>1</v>
      </c>
      <c r="AI35" s="56">
        <f>1/AG35</f>
        <v>1</v>
      </c>
      <c r="AJ35" s="29" t="str">
        <f t="shared" ref="AJ35:AJ40" si="31">IF(AI35&gt;=80%,"BUENO",IF(AI35&gt;=66%,"REGULAR",IF(AI35&gt;=0.00001%,"MALO","")))</f>
        <v>BUENO</v>
      </c>
      <c r="AK35" s="20">
        <v>4</v>
      </c>
      <c r="AL35" s="42">
        <v>4</v>
      </c>
      <c r="AM35" s="56">
        <f>+AL35/AK35</f>
        <v>1</v>
      </c>
      <c r="AN35" s="29" t="str">
        <f t="shared" si="3"/>
        <v>BUENO</v>
      </c>
      <c r="AO35" s="42">
        <v>6</v>
      </c>
      <c r="AP35" s="42">
        <v>6</v>
      </c>
      <c r="AQ35" s="23">
        <f>+AP35/AO35</f>
        <v>1</v>
      </c>
      <c r="AR35" s="29" t="str">
        <f t="shared" si="4"/>
        <v>BUENO</v>
      </c>
      <c r="AS35" s="20">
        <v>1</v>
      </c>
      <c r="AT35" s="42">
        <v>1</v>
      </c>
      <c r="AU35" s="37">
        <v>1</v>
      </c>
      <c r="AV35" s="29" t="str">
        <f t="shared" si="11"/>
        <v>BUENO</v>
      </c>
      <c r="AW35" s="20">
        <v>4</v>
      </c>
      <c r="AX35" s="42">
        <v>4</v>
      </c>
      <c r="AY35" s="23">
        <f>+AX35/AW35</f>
        <v>1</v>
      </c>
      <c r="AZ35" s="29" t="str">
        <f t="shared" si="5"/>
        <v>BUENO</v>
      </c>
      <c r="BA35" s="20">
        <v>4</v>
      </c>
      <c r="BB35" s="20">
        <v>4</v>
      </c>
      <c r="BC35" s="23">
        <f t="shared" si="22"/>
        <v>1</v>
      </c>
      <c r="BD35" s="29" t="str">
        <f t="shared" si="6"/>
        <v>BUENO</v>
      </c>
      <c r="BE35" s="20">
        <v>6</v>
      </c>
      <c r="BF35" s="20">
        <v>6</v>
      </c>
      <c r="BG35" s="23">
        <f>+BF35/BE35</f>
        <v>1</v>
      </c>
      <c r="BH35" s="29" t="str">
        <f t="shared" si="7"/>
        <v>BUENO</v>
      </c>
      <c r="BI35" s="20">
        <v>0</v>
      </c>
      <c r="BJ35" s="20">
        <v>0</v>
      </c>
      <c r="BK35" s="20">
        <v>0</v>
      </c>
      <c r="BL35" s="29"/>
      <c r="BM35" s="20">
        <v>7</v>
      </c>
      <c r="BN35" s="58">
        <v>7</v>
      </c>
      <c r="BO35" s="30">
        <f>+BN35/BM35</f>
        <v>1</v>
      </c>
      <c r="BP35" s="29" t="str">
        <f t="shared" si="27"/>
        <v>BUENO</v>
      </c>
      <c r="BQ35" s="58">
        <v>0</v>
      </c>
      <c r="BR35" s="58">
        <v>0</v>
      </c>
      <c r="BS35" s="58">
        <v>0</v>
      </c>
      <c r="BT35" s="39"/>
      <c r="BU35" s="34"/>
    </row>
    <row r="36" spans="1:73" ht="67.5" customHeight="1">
      <c r="A36" s="171"/>
      <c r="B36" s="172"/>
      <c r="C36" s="175"/>
      <c r="D36" s="40"/>
      <c r="E36" s="20"/>
      <c r="F36" s="20"/>
      <c r="G36" s="20">
        <v>3</v>
      </c>
      <c r="H36" s="20"/>
      <c r="I36" s="54" t="s">
        <v>178</v>
      </c>
      <c r="J36" s="168" t="s">
        <v>179</v>
      </c>
      <c r="K36" s="42" t="s">
        <v>180</v>
      </c>
      <c r="L36" s="20" t="s">
        <v>88</v>
      </c>
      <c r="M36" s="20" t="s">
        <v>48</v>
      </c>
      <c r="N36" s="20" t="s">
        <v>100</v>
      </c>
      <c r="O36" s="20" t="s">
        <v>114</v>
      </c>
      <c r="P36" s="20" t="s">
        <v>95</v>
      </c>
      <c r="Q36" s="20" t="s">
        <v>181</v>
      </c>
      <c r="R36" s="55" t="s">
        <v>182</v>
      </c>
      <c r="S36" s="22">
        <f t="shared" si="26"/>
        <v>112</v>
      </c>
      <c r="T36" s="56">
        <f>+S36/36</f>
        <v>3.1111111111111112</v>
      </c>
      <c r="U36" s="29" t="str">
        <f t="shared" si="1"/>
        <v>BUENO</v>
      </c>
      <c r="V36" s="24" t="s">
        <v>128</v>
      </c>
      <c r="W36" s="24" t="s">
        <v>129</v>
      </c>
      <c r="X36" s="24" t="s">
        <v>130</v>
      </c>
      <c r="Y36" s="20">
        <v>2</v>
      </c>
      <c r="Z36" s="42">
        <v>2</v>
      </c>
      <c r="AA36" s="56">
        <f>+Z36/Y36</f>
        <v>1</v>
      </c>
      <c r="AB36" s="29" t="str">
        <f t="shared" si="30"/>
        <v>BUENO</v>
      </c>
      <c r="AC36" s="42">
        <v>15</v>
      </c>
      <c r="AD36" s="42">
        <v>15</v>
      </c>
      <c r="AE36" s="56">
        <f>+AD36/AC36</f>
        <v>1</v>
      </c>
      <c r="AF36" s="29" t="str">
        <f t="shared" si="13"/>
        <v>BUENO</v>
      </c>
      <c r="AG36" s="20">
        <v>2</v>
      </c>
      <c r="AH36" s="42">
        <v>2</v>
      </c>
      <c r="AI36" s="55">
        <f>+AH36/AG36</f>
        <v>1</v>
      </c>
      <c r="AJ36" s="29" t="str">
        <f t="shared" si="31"/>
        <v>BUENO</v>
      </c>
      <c r="AK36" s="20">
        <v>6</v>
      </c>
      <c r="AL36" s="42">
        <v>6</v>
      </c>
      <c r="AM36" s="56">
        <f>AL36/AK36</f>
        <v>1</v>
      </c>
      <c r="AN36" s="29" t="str">
        <f t="shared" si="3"/>
        <v>BUENO</v>
      </c>
      <c r="AO36" s="42">
        <v>10</v>
      </c>
      <c r="AP36" s="42">
        <v>10</v>
      </c>
      <c r="AQ36" s="23">
        <f>+AP36/AO36</f>
        <v>1</v>
      </c>
      <c r="AR36" s="29" t="str">
        <f t="shared" si="4"/>
        <v>BUENO</v>
      </c>
      <c r="AS36" s="20">
        <v>9</v>
      </c>
      <c r="AT36" s="42">
        <v>9</v>
      </c>
      <c r="AU36" s="23">
        <f>+AT36/AS36</f>
        <v>1</v>
      </c>
      <c r="AV36" s="29" t="str">
        <f t="shared" si="11"/>
        <v>BUENO</v>
      </c>
      <c r="AW36" s="20">
        <v>14</v>
      </c>
      <c r="AX36" s="42">
        <v>14</v>
      </c>
      <c r="AY36" s="23">
        <f>+AX36/AW36</f>
        <v>1</v>
      </c>
      <c r="AZ36" s="29" t="str">
        <f t="shared" si="5"/>
        <v>BUENO</v>
      </c>
      <c r="BA36" s="20">
        <v>9</v>
      </c>
      <c r="BB36" s="20">
        <v>9</v>
      </c>
      <c r="BC36" s="23">
        <f t="shared" si="22"/>
        <v>1</v>
      </c>
      <c r="BD36" s="29" t="str">
        <f t="shared" si="6"/>
        <v>BUENO</v>
      </c>
      <c r="BE36" s="20">
        <v>9</v>
      </c>
      <c r="BF36" s="20">
        <v>9</v>
      </c>
      <c r="BG36" s="23">
        <f>+BF36/BE36</f>
        <v>1</v>
      </c>
      <c r="BH36" s="29" t="str">
        <f t="shared" si="7"/>
        <v>BUENO</v>
      </c>
      <c r="BI36" s="20">
        <v>5</v>
      </c>
      <c r="BJ36" s="20">
        <v>5</v>
      </c>
      <c r="BK36" s="23">
        <f>+BJ36/BI36</f>
        <v>1</v>
      </c>
      <c r="BL36" s="29" t="str">
        <f t="shared" ref="BL36:BL43" si="32">IF(BK36&gt;=80%,"BUENO",IF(BK36&gt;=66%,"REGULAR",IF(BK36&gt;=0%,"MALO","")))</f>
        <v>BUENO</v>
      </c>
      <c r="BM36" s="20">
        <v>17</v>
      </c>
      <c r="BN36" s="58">
        <v>17</v>
      </c>
      <c r="BO36" s="30">
        <f>+BN36/BM36</f>
        <v>1</v>
      </c>
      <c r="BP36" s="29" t="str">
        <f t="shared" si="27"/>
        <v>BUENO</v>
      </c>
      <c r="BQ36" s="58">
        <v>14</v>
      </c>
      <c r="BR36" s="58">
        <v>14</v>
      </c>
      <c r="BS36" s="30">
        <f>+BR36/BQ36</f>
        <v>1</v>
      </c>
      <c r="BT36" s="29" t="str">
        <f t="shared" ref="BT36:BT50" si="33">IF(BS36&gt;=80%,"BUENO",IF(BS36&gt;=66%,"REGULAR",IF(BS36&gt;=0%,"MALO","")))</f>
        <v>BUENO</v>
      </c>
      <c r="BU36" s="34"/>
    </row>
    <row r="37" spans="1:73" ht="56.25" customHeight="1">
      <c r="A37" s="171"/>
      <c r="B37" s="172"/>
      <c r="C37" s="175"/>
      <c r="D37" s="40"/>
      <c r="E37" s="20"/>
      <c r="F37" s="20"/>
      <c r="G37" s="20">
        <v>3</v>
      </c>
      <c r="H37" s="20"/>
      <c r="I37" s="54" t="s">
        <v>183</v>
      </c>
      <c r="J37" s="168"/>
      <c r="K37" s="42" t="s">
        <v>170</v>
      </c>
      <c r="L37" s="20" t="s">
        <v>88</v>
      </c>
      <c r="M37" s="20" t="s">
        <v>48</v>
      </c>
      <c r="N37" s="20" t="s">
        <v>100</v>
      </c>
      <c r="O37" s="20" t="s">
        <v>114</v>
      </c>
      <c r="P37" s="20" t="s">
        <v>95</v>
      </c>
      <c r="Q37" s="20" t="s">
        <v>184</v>
      </c>
      <c r="R37" s="55" t="s">
        <v>185</v>
      </c>
      <c r="S37" s="22">
        <f t="shared" si="26"/>
        <v>60</v>
      </c>
      <c r="T37" s="56">
        <f>+S37/13</f>
        <v>4.615384615384615</v>
      </c>
      <c r="U37" s="29" t="str">
        <f t="shared" si="1"/>
        <v>BUENO</v>
      </c>
      <c r="V37" s="24" t="s">
        <v>52</v>
      </c>
      <c r="W37" s="24" t="s">
        <v>53</v>
      </c>
      <c r="X37" s="24" t="s">
        <v>54</v>
      </c>
      <c r="Y37" s="20">
        <v>4</v>
      </c>
      <c r="Z37" s="42">
        <v>4</v>
      </c>
      <c r="AA37" s="56">
        <f>+Z37/Y37</f>
        <v>1</v>
      </c>
      <c r="AB37" s="29" t="str">
        <f t="shared" si="30"/>
        <v>BUENO</v>
      </c>
      <c r="AC37" s="42">
        <v>2</v>
      </c>
      <c r="AD37" s="42">
        <v>2</v>
      </c>
      <c r="AE37" s="55">
        <v>1</v>
      </c>
      <c r="AF37" s="29" t="str">
        <f t="shared" si="13"/>
        <v>BUENO</v>
      </c>
      <c r="AG37" s="20">
        <v>3</v>
      </c>
      <c r="AH37" s="42">
        <v>3</v>
      </c>
      <c r="AI37" s="56">
        <f>+AH37/AG37</f>
        <v>1</v>
      </c>
      <c r="AJ37" s="29" t="str">
        <f t="shared" si="31"/>
        <v>BUENO</v>
      </c>
      <c r="AK37" s="20">
        <v>5</v>
      </c>
      <c r="AL37" s="42">
        <v>5</v>
      </c>
      <c r="AM37" s="56">
        <f>AL37/AK37</f>
        <v>1</v>
      </c>
      <c r="AN37" s="29" t="str">
        <f t="shared" si="3"/>
        <v>BUENO</v>
      </c>
      <c r="AO37" s="42">
        <v>4</v>
      </c>
      <c r="AP37" s="42">
        <v>4</v>
      </c>
      <c r="AQ37" s="23">
        <f>+AP37/AO37</f>
        <v>1</v>
      </c>
      <c r="AR37" s="29" t="str">
        <f t="shared" si="4"/>
        <v>BUENO</v>
      </c>
      <c r="AS37" s="20">
        <v>6</v>
      </c>
      <c r="AT37" s="42">
        <v>6</v>
      </c>
      <c r="AU37" s="23">
        <f>+AT37/AS37</f>
        <v>1</v>
      </c>
      <c r="AV37" s="29" t="str">
        <f t="shared" si="11"/>
        <v>BUENO</v>
      </c>
      <c r="AW37" s="20">
        <v>6</v>
      </c>
      <c r="AX37" s="42">
        <v>6</v>
      </c>
      <c r="AY37" s="23">
        <f>+AX37/AW37</f>
        <v>1</v>
      </c>
      <c r="AZ37" s="29" t="str">
        <f t="shared" si="5"/>
        <v>BUENO</v>
      </c>
      <c r="BA37" s="20">
        <v>6</v>
      </c>
      <c r="BB37" s="20">
        <v>6</v>
      </c>
      <c r="BC37" s="23">
        <f t="shared" si="22"/>
        <v>1</v>
      </c>
      <c r="BD37" s="29" t="str">
        <f t="shared" si="6"/>
        <v>BUENO</v>
      </c>
      <c r="BE37" s="20">
        <v>4</v>
      </c>
      <c r="BF37" s="20">
        <v>4</v>
      </c>
      <c r="BG37" s="23">
        <f>+BF37/BE37</f>
        <v>1</v>
      </c>
      <c r="BH37" s="29" t="str">
        <f t="shared" si="7"/>
        <v>BUENO</v>
      </c>
      <c r="BI37" s="20">
        <v>9</v>
      </c>
      <c r="BJ37" s="20">
        <v>9</v>
      </c>
      <c r="BK37" s="23">
        <f>+BJ37/BI37</f>
        <v>1</v>
      </c>
      <c r="BL37" s="29" t="str">
        <f t="shared" si="32"/>
        <v>BUENO</v>
      </c>
      <c r="BM37" s="20">
        <v>9</v>
      </c>
      <c r="BN37" s="58">
        <v>9</v>
      </c>
      <c r="BO37" s="30">
        <f>+BN37/BM37</f>
        <v>1</v>
      </c>
      <c r="BP37" s="29" t="str">
        <f t="shared" si="27"/>
        <v>BUENO</v>
      </c>
      <c r="BQ37" s="58">
        <v>2</v>
      </c>
      <c r="BR37" s="58">
        <v>2</v>
      </c>
      <c r="BS37" s="30">
        <f>+BR37/BQ37</f>
        <v>1</v>
      </c>
      <c r="BT37" s="29" t="str">
        <f t="shared" si="33"/>
        <v>BUENO</v>
      </c>
      <c r="BU37" s="34"/>
    </row>
    <row r="38" spans="1:73" ht="99" customHeight="1">
      <c r="A38" s="171"/>
      <c r="B38" s="172"/>
      <c r="C38" s="180" t="s">
        <v>186</v>
      </c>
      <c r="D38" s="40"/>
      <c r="E38" s="20">
        <v>1</v>
      </c>
      <c r="F38" s="20"/>
      <c r="G38" s="20"/>
      <c r="H38" s="20"/>
      <c r="I38" s="41" t="s">
        <v>187</v>
      </c>
      <c r="J38" s="20" t="s">
        <v>188</v>
      </c>
      <c r="K38" s="42" t="s">
        <v>189</v>
      </c>
      <c r="L38" s="42" t="s">
        <v>187</v>
      </c>
      <c r="M38" s="42" t="s">
        <v>48</v>
      </c>
      <c r="N38" s="20" t="s">
        <v>190</v>
      </c>
      <c r="O38" s="20" t="s">
        <v>49</v>
      </c>
      <c r="P38" s="20" t="s">
        <v>50</v>
      </c>
      <c r="Q38" s="20" t="s">
        <v>191</v>
      </c>
      <c r="R38" s="22">
        <v>12000</v>
      </c>
      <c r="S38" s="22">
        <f t="shared" si="26"/>
        <v>11800</v>
      </c>
      <c r="T38" s="56">
        <f>+S38/R38</f>
        <v>0.98333333333333328</v>
      </c>
      <c r="U38" s="29" t="str">
        <f t="shared" si="1"/>
        <v>BUENO</v>
      </c>
      <c r="V38" s="24" t="s">
        <v>52</v>
      </c>
      <c r="W38" s="24" t="s">
        <v>53</v>
      </c>
      <c r="X38" s="24" t="s">
        <v>54</v>
      </c>
      <c r="Y38" s="20"/>
      <c r="Z38" s="20"/>
      <c r="AA38" s="20"/>
      <c r="AB38" s="35"/>
      <c r="AC38" s="20"/>
      <c r="AD38" s="20"/>
      <c r="AE38" s="20"/>
      <c r="AF38" s="35"/>
      <c r="AG38" s="58">
        <v>1200</v>
      </c>
      <c r="AH38" s="58">
        <v>1000</v>
      </c>
      <c r="AI38" s="30">
        <v>0.83333333333333337</v>
      </c>
      <c r="AJ38" s="29" t="str">
        <f t="shared" si="31"/>
        <v>BUENO</v>
      </c>
      <c r="AK38" s="58">
        <v>1200</v>
      </c>
      <c r="AL38" s="58">
        <v>1200</v>
      </c>
      <c r="AM38" s="30">
        <v>1</v>
      </c>
      <c r="AN38" s="29" t="str">
        <f t="shared" si="3"/>
        <v>BUENO</v>
      </c>
      <c r="AO38" s="58">
        <v>1200</v>
      </c>
      <c r="AP38" s="58">
        <v>1200</v>
      </c>
      <c r="AQ38" s="30">
        <v>1</v>
      </c>
      <c r="AR38" s="29" t="str">
        <f t="shared" si="4"/>
        <v>BUENO</v>
      </c>
      <c r="AS38" s="58">
        <v>1200</v>
      </c>
      <c r="AT38" s="58">
        <v>1200</v>
      </c>
      <c r="AU38" s="23">
        <v>1</v>
      </c>
      <c r="AV38" s="29" t="str">
        <f t="shared" si="11"/>
        <v>BUENO</v>
      </c>
      <c r="AW38" s="58">
        <v>1200</v>
      </c>
      <c r="AX38" s="58">
        <v>1200</v>
      </c>
      <c r="AY38" s="23">
        <v>1</v>
      </c>
      <c r="AZ38" s="29" t="str">
        <f t="shared" si="5"/>
        <v>BUENO</v>
      </c>
      <c r="BA38" s="20">
        <v>1200</v>
      </c>
      <c r="BB38" s="20">
        <v>1200</v>
      </c>
      <c r="BC38" s="23">
        <v>1</v>
      </c>
      <c r="BD38" s="29" t="str">
        <f t="shared" si="6"/>
        <v>BUENO</v>
      </c>
      <c r="BE38" s="58">
        <v>1200</v>
      </c>
      <c r="BF38" s="20">
        <v>1200</v>
      </c>
      <c r="BG38" s="23">
        <v>1</v>
      </c>
      <c r="BH38" s="29" t="str">
        <f t="shared" si="7"/>
        <v>BUENO</v>
      </c>
      <c r="BI38" s="58">
        <v>1200</v>
      </c>
      <c r="BJ38" s="58">
        <v>1200</v>
      </c>
      <c r="BK38" s="23">
        <v>1</v>
      </c>
      <c r="BL38" s="29" t="str">
        <f t="shared" si="32"/>
        <v>BUENO</v>
      </c>
      <c r="BM38" s="58">
        <v>1200</v>
      </c>
      <c r="BN38" s="69">
        <v>1200</v>
      </c>
      <c r="BO38" s="23">
        <v>1</v>
      </c>
      <c r="BP38" s="69"/>
      <c r="BQ38" s="58">
        <v>1200</v>
      </c>
      <c r="BR38" s="69">
        <v>1200</v>
      </c>
      <c r="BS38" s="23">
        <v>1</v>
      </c>
      <c r="BT38" s="29" t="str">
        <f t="shared" si="33"/>
        <v>BUENO</v>
      </c>
      <c r="BU38" s="34"/>
    </row>
    <row r="39" spans="1:73" ht="87.75" customHeight="1">
      <c r="A39" s="171"/>
      <c r="B39" s="172"/>
      <c r="C39" s="180"/>
      <c r="D39" s="40"/>
      <c r="E39" s="20">
        <v>1</v>
      </c>
      <c r="F39" s="20"/>
      <c r="G39" s="20"/>
      <c r="H39" s="20"/>
      <c r="I39" s="41" t="s">
        <v>192</v>
      </c>
      <c r="J39" s="20" t="s">
        <v>193</v>
      </c>
      <c r="K39" s="42" t="s">
        <v>194</v>
      </c>
      <c r="L39" s="42" t="s">
        <v>195</v>
      </c>
      <c r="M39" s="42" t="s">
        <v>196</v>
      </c>
      <c r="N39" s="20" t="s">
        <v>197</v>
      </c>
      <c r="O39" s="20" t="s">
        <v>114</v>
      </c>
      <c r="P39" s="20" t="s">
        <v>78</v>
      </c>
      <c r="Q39" s="20" t="s">
        <v>79</v>
      </c>
      <c r="R39" s="37">
        <v>1</v>
      </c>
      <c r="S39" s="37">
        <f>+AVERAGE(AI39,AU39,BG39,BS39)</f>
        <v>1</v>
      </c>
      <c r="T39" s="56">
        <f>+S39/R39</f>
        <v>1</v>
      </c>
      <c r="U39" s="29" t="str">
        <f t="shared" si="1"/>
        <v>BUENO</v>
      </c>
      <c r="V39" s="24" t="s">
        <v>52</v>
      </c>
      <c r="W39" s="24" t="s">
        <v>53</v>
      </c>
      <c r="X39" s="24" t="s">
        <v>54</v>
      </c>
      <c r="Y39" s="20"/>
      <c r="Z39" s="20"/>
      <c r="AA39" s="20"/>
      <c r="AB39" s="35"/>
      <c r="AC39" s="20"/>
      <c r="AD39" s="20"/>
      <c r="AE39" s="20"/>
      <c r="AF39" s="35"/>
      <c r="AG39" s="23">
        <v>1</v>
      </c>
      <c r="AH39" s="70" t="s">
        <v>198</v>
      </c>
      <c r="AI39" s="37">
        <f>1468/1468</f>
        <v>1</v>
      </c>
      <c r="AJ39" s="29" t="str">
        <f t="shared" si="31"/>
        <v>BUENO</v>
      </c>
      <c r="AK39" s="20"/>
      <c r="AL39" s="20"/>
      <c r="AM39" s="20"/>
      <c r="AN39" s="29" t="str">
        <f t="shared" si="3"/>
        <v/>
      </c>
      <c r="AO39" s="20"/>
      <c r="AP39" s="20"/>
      <c r="AQ39" s="20"/>
      <c r="AR39" s="29" t="str">
        <f t="shared" si="4"/>
        <v/>
      </c>
      <c r="AS39" s="37">
        <v>1</v>
      </c>
      <c r="AT39" s="70" t="s">
        <v>199</v>
      </c>
      <c r="AU39" s="23">
        <f>1557/1557</f>
        <v>1</v>
      </c>
      <c r="AV39" s="29" t="str">
        <f t="shared" si="11"/>
        <v>BUENO</v>
      </c>
      <c r="AW39" s="20"/>
      <c r="AX39" s="20"/>
      <c r="AY39" s="20"/>
      <c r="AZ39" s="29"/>
      <c r="BA39" s="20"/>
      <c r="BB39" s="20"/>
      <c r="BC39" s="20"/>
      <c r="BD39" s="29"/>
      <c r="BE39" s="23">
        <v>1</v>
      </c>
      <c r="BF39" s="71" t="s">
        <v>200</v>
      </c>
      <c r="BG39" s="23">
        <f>1339/1339</f>
        <v>1</v>
      </c>
      <c r="BH39" s="29" t="str">
        <f t="shared" si="7"/>
        <v>BUENO</v>
      </c>
      <c r="BI39" s="20"/>
      <c r="BJ39" s="20"/>
      <c r="BK39" s="20"/>
      <c r="BL39" s="35"/>
      <c r="BM39" s="20"/>
      <c r="BN39" s="20"/>
      <c r="BO39" s="20"/>
      <c r="BP39" s="35"/>
      <c r="BQ39" s="30">
        <v>1</v>
      </c>
      <c r="BR39" s="58" t="s">
        <v>201</v>
      </c>
      <c r="BS39" s="30">
        <v>1</v>
      </c>
      <c r="BT39" s="29" t="str">
        <f t="shared" si="33"/>
        <v>BUENO</v>
      </c>
      <c r="BU39" s="34"/>
    </row>
    <row r="40" spans="1:73" ht="293.25" customHeight="1">
      <c r="A40" s="171"/>
      <c r="B40" s="172"/>
      <c r="C40" s="181" t="s">
        <v>202</v>
      </c>
      <c r="D40" s="40"/>
      <c r="E40" s="20">
        <v>1</v>
      </c>
      <c r="F40" s="20"/>
      <c r="G40" s="20"/>
      <c r="H40" s="20"/>
      <c r="I40" s="41" t="s">
        <v>203</v>
      </c>
      <c r="J40" s="20" t="s">
        <v>204</v>
      </c>
      <c r="K40" s="20" t="s">
        <v>205</v>
      </c>
      <c r="L40" s="20" t="s">
        <v>206</v>
      </c>
      <c r="M40" s="20" t="s">
        <v>207</v>
      </c>
      <c r="N40" s="20" t="s">
        <v>208</v>
      </c>
      <c r="O40" s="20" t="s">
        <v>49</v>
      </c>
      <c r="P40" s="20" t="s">
        <v>78</v>
      </c>
      <c r="Q40" s="20" t="s">
        <v>209</v>
      </c>
      <c r="R40" s="37">
        <v>1</v>
      </c>
      <c r="S40" s="72">
        <f>+AVERAGE(AA40,AE40,AI40,AM40,AQ40,AU40,AY40,BC40,BG40,BK40,BO40,BS40)</f>
        <v>0.99503501721734722</v>
      </c>
      <c r="T40" s="37">
        <f>+S40/R40</f>
        <v>0.99503501721734722</v>
      </c>
      <c r="U40" s="29" t="str">
        <f t="shared" si="1"/>
        <v>BUENO</v>
      </c>
      <c r="V40" s="24" t="s">
        <v>52</v>
      </c>
      <c r="W40" s="24" t="s">
        <v>53</v>
      </c>
      <c r="X40" s="24" t="s">
        <v>54</v>
      </c>
      <c r="Y40" s="73">
        <v>1</v>
      </c>
      <c r="Z40" s="20" t="s">
        <v>210</v>
      </c>
      <c r="AA40" s="72">
        <f>(1-(180+120)/(31*24*60))</f>
        <v>0.99327956989247312</v>
      </c>
      <c r="AB40" s="29" t="str">
        <f t="shared" ref="AB40" si="34">IF(AA40&gt;=80%,"BUENO",IF(AA40&gt;=66%,"REGULAR",IF(AA40&gt;=0.00001%,"MALO","")))</f>
        <v>BUENO</v>
      </c>
      <c r="AC40" s="73">
        <v>1</v>
      </c>
      <c r="AD40" s="20" t="s">
        <v>211</v>
      </c>
      <c r="AE40" s="72">
        <f>(1-(4*60+3*60+4*60+2*60+4*60+15)/(29*24*60))</f>
        <v>0.97521551724137934</v>
      </c>
      <c r="AF40" s="29" t="str">
        <f t="shared" ref="AF40:AF43" si="35">IF(AE40&gt;=80%,"BUENO",IF(AE40&gt;=66%,"REGULAR",IF(AE40&gt;=0.00001%,"MALO","")))</f>
        <v>BUENO</v>
      </c>
      <c r="AG40" s="58">
        <v>100</v>
      </c>
      <c r="AH40" s="20" t="s">
        <v>212</v>
      </c>
      <c r="AI40" s="72">
        <f>(1-(5+8+9+10+8+4)/(31*24*60))</f>
        <v>0.9990143369175627</v>
      </c>
      <c r="AJ40" s="29" t="str">
        <f t="shared" si="31"/>
        <v>BUENO</v>
      </c>
      <c r="AK40" s="73">
        <v>1</v>
      </c>
      <c r="AL40" s="20" t="s">
        <v>213</v>
      </c>
      <c r="AM40" s="72">
        <f>(1-(47)/(30*24*60))</f>
        <v>0.99891203703703701</v>
      </c>
      <c r="AN40" s="29" t="str">
        <f t="shared" si="3"/>
        <v>BUENO</v>
      </c>
      <c r="AO40" s="73">
        <v>1</v>
      </c>
      <c r="AP40" s="58"/>
      <c r="AQ40" s="37">
        <v>1</v>
      </c>
      <c r="AR40" s="29" t="str">
        <f t="shared" si="4"/>
        <v>BUENO</v>
      </c>
      <c r="AS40" s="73">
        <v>1</v>
      </c>
      <c r="AT40" s="58"/>
      <c r="AU40" s="37">
        <v>1</v>
      </c>
      <c r="AV40" s="29" t="str">
        <f t="shared" si="11"/>
        <v>BUENO</v>
      </c>
      <c r="AW40" s="73">
        <v>1</v>
      </c>
      <c r="AX40" s="58"/>
      <c r="AY40" s="72">
        <v>0.9838709677419355</v>
      </c>
      <c r="AZ40" s="29" t="str">
        <f t="shared" si="5"/>
        <v>BUENO</v>
      </c>
      <c r="BA40" s="73">
        <v>1</v>
      </c>
      <c r="BB40" s="58"/>
      <c r="BC40" s="72">
        <f>(1-(150)/(30*24*60))</f>
        <v>0.99652777777777779</v>
      </c>
      <c r="BD40" s="29" t="str">
        <f t="shared" si="6"/>
        <v>BUENO</v>
      </c>
      <c r="BE40" s="30">
        <v>1</v>
      </c>
      <c r="BF40" s="39"/>
      <c r="BG40" s="74">
        <v>0.99870000000000003</v>
      </c>
      <c r="BH40" s="29" t="str">
        <f t="shared" si="7"/>
        <v>BUENO</v>
      </c>
      <c r="BI40" s="30">
        <v>1</v>
      </c>
      <c r="BJ40" s="39"/>
      <c r="BK40" s="74">
        <v>0.99509999999999998</v>
      </c>
      <c r="BL40" s="29" t="str">
        <f t="shared" si="32"/>
        <v>BUENO</v>
      </c>
      <c r="BM40" s="30">
        <v>1</v>
      </c>
      <c r="BN40" s="39"/>
      <c r="BO40" s="74">
        <v>0.99980000000000002</v>
      </c>
      <c r="BP40" s="29" t="str">
        <f t="shared" ref="BP40:BP43" si="36">IF(BO40&gt;=80%,"BUENO",IF(BO40&gt;=66%,"REGULAR",IF(BO40&gt;=0%,"MALO","")))</f>
        <v>BUENO</v>
      </c>
      <c r="BQ40" s="30">
        <v>1</v>
      </c>
      <c r="BR40" s="39"/>
      <c r="BS40" s="30">
        <v>1</v>
      </c>
      <c r="BT40" s="29" t="str">
        <f t="shared" si="33"/>
        <v>BUENO</v>
      </c>
      <c r="BU40" s="34"/>
    </row>
    <row r="41" spans="1:73" ht="115.5" customHeight="1">
      <c r="A41" s="171"/>
      <c r="B41" s="172"/>
      <c r="C41" s="181"/>
      <c r="D41" s="40"/>
      <c r="E41" s="20">
        <v>1</v>
      </c>
      <c r="F41" s="20"/>
      <c r="G41" s="20"/>
      <c r="H41" s="20"/>
      <c r="I41" s="41" t="s">
        <v>214</v>
      </c>
      <c r="J41" s="20" t="s">
        <v>215</v>
      </c>
      <c r="K41" s="20" t="s">
        <v>216</v>
      </c>
      <c r="L41" s="20" t="s">
        <v>217</v>
      </c>
      <c r="M41" s="20" t="s">
        <v>218</v>
      </c>
      <c r="N41" s="20" t="s">
        <v>208</v>
      </c>
      <c r="O41" s="20" t="s">
        <v>49</v>
      </c>
      <c r="P41" s="20" t="s">
        <v>95</v>
      </c>
      <c r="Q41" s="20" t="s">
        <v>219</v>
      </c>
      <c r="R41" s="22">
        <v>4</v>
      </c>
      <c r="S41" s="22">
        <v>0</v>
      </c>
      <c r="T41" s="23">
        <v>0</v>
      </c>
      <c r="U41" s="29" t="s">
        <v>372</v>
      </c>
      <c r="V41" s="24" t="s">
        <v>52</v>
      </c>
      <c r="W41" s="24" t="s">
        <v>53</v>
      </c>
      <c r="X41" s="24" t="s">
        <v>54</v>
      </c>
      <c r="Y41" s="39"/>
      <c r="Z41" s="30"/>
      <c r="AA41" s="58"/>
      <c r="AB41" s="75"/>
      <c r="AC41" s="58"/>
      <c r="AD41" s="58"/>
      <c r="AE41" s="58"/>
      <c r="AF41" s="75"/>
      <c r="AG41" s="58"/>
      <c r="AH41" s="58"/>
      <c r="AI41" s="58"/>
      <c r="AJ41" s="75"/>
      <c r="AK41" s="58"/>
      <c r="AL41" s="58"/>
      <c r="AM41" s="58"/>
      <c r="AN41" s="29" t="str">
        <f t="shared" si="3"/>
        <v/>
      </c>
      <c r="AO41" s="58">
        <v>0</v>
      </c>
      <c r="AP41" s="58">
        <v>0</v>
      </c>
      <c r="AQ41" s="30">
        <v>0</v>
      </c>
      <c r="AR41" s="29" t="str">
        <f t="shared" si="4"/>
        <v/>
      </c>
      <c r="AS41" s="58">
        <v>0</v>
      </c>
      <c r="AT41" s="58">
        <v>0</v>
      </c>
      <c r="AU41" s="30">
        <v>0</v>
      </c>
      <c r="AV41" s="29" t="str">
        <f t="shared" si="11"/>
        <v/>
      </c>
      <c r="AW41" s="58">
        <v>2</v>
      </c>
      <c r="AX41" s="58">
        <v>2</v>
      </c>
      <c r="AY41" s="30">
        <v>0</v>
      </c>
      <c r="AZ41" s="29" t="str">
        <f t="shared" si="5"/>
        <v>MALO</v>
      </c>
      <c r="BA41" s="58">
        <v>0</v>
      </c>
      <c r="BB41" s="58">
        <v>0</v>
      </c>
      <c r="BC41" s="30">
        <v>0</v>
      </c>
      <c r="BD41" s="29" t="str">
        <f t="shared" si="6"/>
        <v>MALO</v>
      </c>
      <c r="BE41" s="58">
        <v>0</v>
      </c>
      <c r="BF41" s="58">
        <v>0</v>
      </c>
      <c r="BG41" s="30">
        <v>0</v>
      </c>
      <c r="BH41" s="29" t="str">
        <f t="shared" si="7"/>
        <v>MALO</v>
      </c>
      <c r="BI41" s="58">
        <v>0</v>
      </c>
      <c r="BJ41" s="58">
        <v>0</v>
      </c>
      <c r="BK41" s="30">
        <v>0</v>
      </c>
      <c r="BL41" s="58"/>
      <c r="BM41" s="58">
        <v>0</v>
      </c>
      <c r="BN41" s="58">
        <v>0</v>
      </c>
      <c r="BO41" s="30">
        <v>0</v>
      </c>
      <c r="BP41" s="58"/>
      <c r="BQ41" s="58">
        <v>0</v>
      </c>
      <c r="BR41" s="58">
        <v>0</v>
      </c>
      <c r="BS41" s="30">
        <v>0</v>
      </c>
      <c r="BT41" s="58"/>
      <c r="BU41" s="76" t="s">
        <v>560</v>
      </c>
    </row>
    <row r="42" spans="1:73" ht="66" customHeight="1">
      <c r="A42" s="171"/>
      <c r="B42" s="172"/>
      <c r="C42" s="181"/>
      <c r="D42" s="40"/>
      <c r="E42" s="20">
        <v>1</v>
      </c>
      <c r="F42" s="20"/>
      <c r="G42" s="20"/>
      <c r="H42" s="20"/>
      <c r="I42" s="41" t="s">
        <v>220</v>
      </c>
      <c r="J42" s="20" t="s">
        <v>221</v>
      </c>
      <c r="K42" s="20" t="s">
        <v>222</v>
      </c>
      <c r="L42" s="20" t="s">
        <v>223</v>
      </c>
      <c r="M42" s="20" t="s">
        <v>207</v>
      </c>
      <c r="N42" s="20" t="s">
        <v>224</v>
      </c>
      <c r="O42" s="20" t="s">
        <v>49</v>
      </c>
      <c r="P42" s="20" t="s">
        <v>78</v>
      </c>
      <c r="Q42" s="20" t="s">
        <v>225</v>
      </c>
      <c r="R42" s="37">
        <v>1</v>
      </c>
      <c r="S42" s="72">
        <f>+AVERAGE(AA42,AE42,AI42,AM42,AQ42,AU42,AY42,BC42,BG42,BK42,BO42,BS42)</f>
        <v>0.99183333333333323</v>
      </c>
      <c r="T42" s="37">
        <f>+S42/R42</f>
        <v>0.99183333333333323</v>
      </c>
      <c r="U42" s="29" t="str">
        <f t="shared" si="1"/>
        <v>BUENO</v>
      </c>
      <c r="V42" s="24" t="s">
        <v>52</v>
      </c>
      <c r="W42" s="24" t="s">
        <v>53</v>
      </c>
      <c r="X42" s="24" t="s">
        <v>54</v>
      </c>
      <c r="Y42" s="37">
        <v>0.98</v>
      </c>
      <c r="Z42" s="20"/>
      <c r="AA42" s="37">
        <v>0.95399999999999996</v>
      </c>
      <c r="AB42" s="29" t="str">
        <f t="shared" ref="AB42:AB43" si="37">IF(AA42&gt;=80%,"BUENO",IF(AA42&gt;=66%,"REGULAR",IF(AA42&gt;=0.00001%,"MALO","")))</f>
        <v>BUENO</v>
      </c>
      <c r="AC42" s="37">
        <v>0.98</v>
      </c>
      <c r="AD42" s="20"/>
      <c r="AE42" s="37">
        <v>0.99219999999999997</v>
      </c>
      <c r="AF42" s="29" t="str">
        <f t="shared" si="35"/>
        <v>BUENO</v>
      </c>
      <c r="AG42" s="37">
        <v>0.98</v>
      </c>
      <c r="AH42" s="58"/>
      <c r="AI42" s="37">
        <v>0.99280000000000002</v>
      </c>
      <c r="AJ42" s="29" t="str">
        <f t="shared" ref="AJ42:AJ43" si="38">IF(AI42&gt;=80%,"BUENO",IF(AI42&gt;=66%,"REGULAR",IF(AI42&gt;=0.00001%,"MALO","")))</f>
        <v>BUENO</v>
      </c>
      <c r="AK42" s="37">
        <v>0.98</v>
      </c>
      <c r="AL42" s="20"/>
      <c r="AM42" s="37">
        <v>0.99439999999999995</v>
      </c>
      <c r="AN42" s="29" t="str">
        <f t="shared" si="3"/>
        <v>BUENO</v>
      </c>
      <c r="AO42" s="37">
        <v>0.98</v>
      </c>
      <c r="AP42" s="23"/>
      <c r="AQ42" s="37">
        <v>0.99580000000000002</v>
      </c>
      <c r="AR42" s="29" t="str">
        <f t="shared" si="4"/>
        <v>BUENO</v>
      </c>
      <c r="AS42" s="37">
        <v>0.98</v>
      </c>
      <c r="AT42" s="39"/>
      <c r="AU42" s="37">
        <v>0.99639999999999995</v>
      </c>
      <c r="AV42" s="29" t="str">
        <f t="shared" si="11"/>
        <v>BUENO</v>
      </c>
      <c r="AW42" s="37">
        <v>0.98</v>
      </c>
      <c r="AX42" s="20"/>
      <c r="AY42" s="37">
        <v>0.99970000000000003</v>
      </c>
      <c r="AZ42" s="29" t="str">
        <f t="shared" si="5"/>
        <v>BUENO</v>
      </c>
      <c r="BA42" s="37">
        <v>0.98</v>
      </c>
      <c r="BB42" s="23"/>
      <c r="BC42" s="37">
        <v>0.99960000000000004</v>
      </c>
      <c r="BD42" s="29" t="str">
        <f t="shared" si="6"/>
        <v>BUENO</v>
      </c>
      <c r="BE42" s="37">
        <v>0.98</v>
      </c>
      <c r="BF42" s="39"/>
      <c r="BG42" s="37">
        <v>0.99</v>
      </c>
      <c r="BH42" s="29" t="str">
        <f t="shared" si="7"/>
        <v>BUENO</v>
      </c>
      <c r="BI42" s="37">
        <v>0.98</v>
      </c>
      <c r="BJ42" s="39"/>
      <c r="BK42" s="37">
        <v>0.99</v>
      </c>
      <c r="BL42" s="29" t="str">
        <f t="shared" si="32"/>
        <v>BUENO</v>
      </c>
      <c r="BM42" s="37">
        <v>0.98</v>
      </c>
      <c r="BN42" s="39"/>
      <c r="BO42" s="37">
        <v>1</v>
      </c>
      <c r="BP42" s="29" t="str">
        <f t="shared" si="36"/>
        <v>BUENO</v>
      </c>
      <c r="BQ42" s="37">
        <v>0.98</v>
      </c>
      <c r="BR42" s="39"/>
      <c r="BS42" s="77">
        <v>0.99709999999999999</v>
      </c>
      <c r="BT42" s="29" t="str">
        <f t="shared" si="33"/>
        <v>BUENO</v>
      </c>
      <c r="BU42" s="34"/>
    </row>
    <row r="43" spans="1:73" ht="115.5" customHeight="1">
      <c r="A43" s="171"/>
      <c r="B43" s="172"/>
      <c r="C43" s="181"/>
      <c r="D43" s="40"/>
      <c r="E43" s="20">
        <v>1</v>
      </c>
      <c r="F43" s="20"/>
      <c r="G43" s="20"/>
      <c r="H43" s="20"/>
      <c r="I43" s="41" t="s">
        <v>226</v>
      </c>
      <c r="J43" s="20" t="s">
        <v>221</v>
      </c>
      <c r="K43" s="20" t="s">
        <v>222</v>
      </c>
      <c r="L43" s="20" t="s">
        <v>223</v>
      </c>
      <c r="M43" s="20" t="s">
        <v>207</v>
      </c>
      <c r="N43" s="20" t="s">
        <v>224</v>
      </c>
      <c r="O43" s="20" t="s">
        <v>49</v>
      </c>
      <c r="P43" s="20" t="s">
        <v>78</v>
      </c>
      <c r="Q43" s="20" t="s">
        <v>225</v>
      </c>
      <c r="R43" s="37">
        <v>1</v>
      </c>
      <c r="S43" s="72">
        <f>+AVERAGE(AA43,AE43,AI43,AM43,AQ43,AU43,AY43,BC43,BG43,BK43,BO43,BS43)</f>
        <v>0.94193333333333318</v>
      </c>
      <c r="T43" s="37">
        <f>+S43/R43</f>
        <v>0.94193333333333318</v>
      </c>
      <c r="U43" s="29" t="str">
        <f t="shared" si="1"/>
        <v>BUENO</v>
      </c>
      <c r="V43" s="24" t="s">
        <v>52</v>
      </c>
      <c r="W43" s="24" t="s">
        <v>53</v>
      </c>
      <c r="X43" s="24" t="s">
        <v>54</v>
      </c>
      <c r="Y43" s="37">
        <v>0.85</v>
      </c>
      <c r="Z43" s="20"/>
      <c r="AA43" s="37">
        <v>0.94179999999999997</v>
      </c>
      <c r="AB43" s="29" t="str">
        <f t="shared" si="37"/>
        <v>BUENO</v>
      </c>
      <c r="AC43" s="37">
        <v>0.85</v>
      </c>
      <c r="AD43" s="20"/>
      <c r="AE43" s="37">
        <v>0.94330000000000003</v>
      </c>
      <c r="AF43" s="29" t="str">
        <f t="shared" si="35"/>
        <v>BUENO</v>
      </c>
      <c r="AG43" s="37">
        <v>0.85</v>
      </c>
      <c r="AH43" s="58"/>
      <c r="AI43" s="37">
        <v>0.94320000000000004</v>
      </c>
      <c r="AJ43" s="29" t="str">
        <f t="shared" si="38"/>
        <v>BUENO</v>
      </c>
      <c r="AK43" s="37">
        <v>0.85</v>
      </c>
      <c r="AL43" s="20"/>
      <c r="AM43" s="37">
        <v>0.94140000000000001</v>
      </c>
      <c r="AN43" s="29" t="str">
        <f t="shared" si="3"/>
        <v>BUENO</v>
      </c>
      <c r="AO43" s="37">
        <v>0.85</v>
      </c>
      <c r="AP43" s="23"/>
      <c r="AQ43" s="37">
        <v>0.93340000000000001</v>
      </c>
      <c r="AR43" s="29" t="str">
        <f t="shared" si="4"/>
        <v>BUENO</v>
      </c>
      <c r="AS43" s="37">
        <v>0.85</v>
      </c>
      <c r="AT43" s="39"/>
      <c r="AU43" s="37">
        <v>0.93640000000000001</v>
      </c>
      <c r="AV43" s="29" t="str">
        <f t="shared" si="11"/>
        <v>BUENO</v>
      </c>
      <c r="AW43" s="37">
        <v>0.85</v>
      </c>
      <c r="AX43" s="20"/>
      <c r="AY43" s="37">
        <v>0.94920000000000004</v>
      </c>
      <c r="AZ43" s="29" t="str">
        <f t="shared" si="5"/>
        <v>BUENO</v>
      </c>
      <c r="BA43" s="37">
        <v>0.85</v>
      </c>
      <c r="BB43" s="23"/>
      <c r="BC43" s="37">
        <v>0.94920000000000004</v>
      </c>
      <c r="BD43" s="29" t="str">
        <f t="shared" si="6"/>
        <v>BUENO</v>
      </c>
      <c r="BE43" s="37">
        <v>0.85</v>
      </c>
      <c r="BF43" s="39"/>
      <c r="BG43" s="37">
        <v>0.94</v>
      </c>
      <c r="BH43" s="29" t="str">
        <f t="shared" si="7"/>
        <v>BUENO</v>
      </c>
      <c r="BI43" s="37">
        <v>0.85</v>
      </c>
      <c r="BJ43" s="39"/>
      <c r="BK43" s="37">
        <v>0.94</v>
      </c>
      <c r="BL43" s="29" t="str">
        <f t="shared" si="32"/>
        <v>BUENO</v>
      </c>
      <c r="BM43" s="37">
        <v>0.85</v>
      </c>
      <c r="BN43" s="39"/>
      <c r="BO43" s="37">
        <v>0.95</v>
      </c>
      <c r="BP43" s="29" t="str">
        <f t="shared" si="36"/>
        <v>BUENO</v>
      </c>
      <c r="BQ43" s="37">
        <v>0.85</v>
      </c>
      <c r="BR43" s="39"/>
      <c r="BS43" s="77">
        <v>0.93530000000000002</v>
      </c>
      <c r="BT43" s="29" t="str">
        <f t="shared" si="33"/>
        <v>BUENO</v>
      </c>
      <c r="BU43" s="34"/>
    </row>
    <row r="44" spans="1:73" ht="99" customHeight="1">
      <c r="A44" s="171"/>
      <c r="B44" s="172"/>
      <c r="C44" s="181"/>
      <c r="D44" s="182" t="s">
        <v>227</v>
      </c>
      <c r="E44" s="20">
        <v>1</v>
      </c>
      <c r="F44" s="20"/>
      <c r="G44" s="20"/>
      <c r="H44" s="20"/>
      <c r="I44" s="78" t="s">
        <v>228</v>
      </c>
      <c r="J44" s="20" t="s">
        <v>229</v>
      </c>
      <c r="K44" s="20" t="s">
        <v>230</v>
      </c>
      <c r="L44" s="20" t="s">
        <v>231</v>
      </c>
      <c r="M44" s="20" t="s">
        <v>70</v>
      </c>
      <c r="N44" s="20" t="s">
        <v>232</v>
      </c>
      <c r="O44" s="20" t="s">
        <v>83</v>
      </c>
      <c r="P44" s="20" t="s">
        <v>233</v>
      </c>
      <c r="Q44" s="20" t="s">
        <v>225</v>
      </c>
      <c r="R44" s="24">
        <v>6</v>
      </c>
      <c r="S44" s="22">
        <f>+Z44+AD44+AH44+AL44+AP44+AT44+AX44+BB44+BF44+BJ44+BN44+BR44</f>
        <v>6</v>
      </c>
      <c r="T44" s="122">
        <f>+S44/R44</f>
        <v>1</v>
      </c>
      <c r="U44" s="29" t="str">
        <f t="shared" si="1"/>
        <v>BUENO</v>
      </c>
      <c r="V44" s="24" t="s">
        <v>52</v>
      </c>
      <c r="W44" s="24" t="s">
        <v>53</v>
      </c>
      <c r="X44" s="24" t="s">
        <v>54</v>
      </c>
      <c r="Y44" s="20"/>
      <c r="Z44" s="20"/>
      <c r="AA44" s="20"/>
      <c r="AB44" s="20"/>
      <c r="AC44" s="20"/>
      <c r="AD44" s="20"/>
      <c r="AE44" s="20"/>
      <c r="AF44" s="20"/>
      <c r="AG44" s="20"/>
      <c r="AH44" s="20"/>
      <c r="AI44" s="20"/>
      <c r="AJ44" s="20"/>
      <c r="AK44" s="20"/>
      <c r="AL44" s="20"/>
      <c r="AM44" s="20"/>
      <c r="AN44" s="29" t="str">
        <f t="shared" si="3"/>
        <v/>
      </c>
      <c r="AO44" s="58"/>
      <c r="AP44" s="58"/>
      <c r="AQ44" s="58"/>
      <c r="AR44" s="29" t="str">
        <f t="shared" si="4"/>
        <v/>
      </c>
      <c r="AS44" s="58"/>
      <c r="AT44" s="58"/>
      <c r="AU44" s="58"/>
      <c r="AV44" s="29" t="str">
        <f t="shared" si="11"/>
        <v/>
      </c>
      <c r="AW44" s="58"/>
      <c r="AX44" s="58"/>
      <c r="AY44" s="58"/>
      <c r="AZ44" s="29"/>
      <c r="BA44" s="58"/>
      <c r="BB44" s="58"/>
      <c r="BC44" s="58"/>
      <c r="BD44" s="29"/>
      <c r="BE44" s="58"/>
      <c r="BF44" s="58"/>
      <c r="BG44" s="58"/>
      <c r="BH44" s="29"/>
      <c r="BI44" s="58"/>
      <c r="BJ44" s="58"/>
      <c r="BK44" s="58"/>
      <c r="BL44" s="73"/>
      <c r="BM44" s="58"/>
      <c r="BN44" s="58"/>
      <c r="BO44" s="58"/>
      <c r="BP44" s="73"/>
      <c r="BQ44" s="58">
        <v>7</v>
      </c>
      <c r="BR44" s="58">
        <v>6</v>
      </c>
      <c r="BS44" s="30">
        <v>0.8571428571428571</v>
      </c>
      <c r="BT44" s="29" t="str">
        <f t="shared" si="33"/>
        <v>BUENO</v>
      </c>
      <c r="BU44" s="34"/>
    </row>
    <row r="45" spans="1:73" ht="115.5" customHeight="1">
      <c r="A45" s="171"/>
      <c r="B45" s="172"/>
      <c r="C45" s="181"/>
      <c r="D45" s="182"/>
      <c r="E45" s="20">
        <v>1</v>
      </c>
      <c r="F45" s="20"/>
      <c r="G45" s="20"/>
      <c r="H45" s="20"/>
      <c r="I45" s="78" t="s">
        <v>234</v>
      </c>
      <c r="J45" s="20" t="s">
        <v>235</v>
      </c>
      <c r="K45" s="20" t="s">
        <v>236</v>
      </c>
      <c r="L45" s="20" t="s">
        <v>231</v>
      </c>
      <c r="M45" s="20" t="s">
        <v>70</v>
      </c>
      <c r="N45" s="20" t="s">
        <v>232</v>
      </c>
      <c r="O45" s="20" t="s">
        <v>114</v>
      </c>
      <c r="P45" s="20" t="s">
        <v>233</v>
      </c>
      <c r="Q45" s="20" t="s">
        <v>237</v>
      </c>
      <c r="R45" s="24">
        <v>3</v>
      </c>
      <c r="S45" s="22">
        <f>+Z45+AD45+AH45+AL45+AP45+AT45+AX45+BB45+BF45+BJ45+BN45+BR45</f>
        <v>3</v>
      </c>
      <c r="T45" s="122">
        <f>+S45/R45</f>
        <v>1</v>
      </c>
      <c r="U45" s="29" t="str">
        <f t="shared" si="1"/>
        <v>BUENO</v>
      </c>
      <c r="V45" s="24" t="s">
        <v>52</v>
      </c>
      <c r="W45" s="24" t="s">
        <v>53</v>
      </c>
      <c r="X45" s="24" t="s">
        <v>54</v>
      </c>
      <c r="Y45" s="20"/>
      <c r="Z45" s="20"/>
      <c r="AA45" s="20"/>
      <c r="AB45" s="20"/>
      <c r="AC45" s="20"/>
      <c r="AD45" s="20"/>
      <c r="AE45" s="20"/>
      <c r="AF45" s="20"/>
      <c r="AG45" s="20"/>
      <c r="AH45" s="20"/>
      <c r="AI45" s="20"/>
      <c r="AJ45" s="20"/>
      <c r="AK45" s="20"/>
      <c r="AL45" s="20"/>
      <c r="AM45" s="20"/>
      <c r="AN45" s="29" t="str">
        <f t="shared" si="3"/>
        <v/>
      </c>
      <c r="AO45" s="58">
        <v>0</v>
      </c>
      <c r="AP45" s="58">
        <v>0</v>
      </c>
      <c r="AQ45" s="58">
        <v>0</v>
      </c>
      <c r="AR45" s="29" t="str">
        <f t="shared" si="4"/>
        <v/>
      </c>
      <c r="AS45" s="58">
        <v>0</v>
      </c>
      <c r="AT45" s="58">
        <v>0</v>
      </c>
      <c r="AU45" s="58">
        <v>0</v>
      </c>
      <c r="AV45" s="29" t="str">
        <f t="shared" si="11"/>
        <v/>
      </c>
      <c r="AW45" s="58">
        <v>0</v>
      </c>
      <c r="AX45" s="58">
        <v>0</v>
      </c>
      <c r="AY45" s="58">
        <v>0</v>
      </c>
      <c r="AZ45" s="29"/>
      <c r="BA45" s="58">
        <v>0</v>
      </c>
      <c r="BB45" s="58">
        <v>0</v>
      </c>
      <c r="BC45" s="58">
        <v>0</v>
      </c>
      <c r="BD45" s="29"/>
      <c r="BE45" s="58">
        <v>0</v>
      </c>
      <c r="BF45" s="58">
        <v>0</v>
      </c>
      <c r="BG45" s="58">
        <v>0</v>
      </c>
      <c r="BH45" s="29"/>
      <c r="BI45" s="58">
        <v>0</v>
      </c>
      <c r="BJ45" s="58">
        <v>0</v>
      </c>
      <c r="BK45" s="58">
        <v>0</v>
      </c>
      <c r="BL45" s="73"/>
      <c r="BM45" s="58">
        <v>0</v>
      </c>
      <c r="BN45" s="58">
        <v>0</v>
      </c>
      <c r="BO45" s="58">
        <v>0</v>
      </c>
      <c r="BP45" s="73">
        <v>0</v>
      </c>
      <c r="BQ45" s="58">
        <v>3</v>
      </c>
      <c r="BR45" s="58">
        <v>3</v>
      </c>
      <c r="BS45" s="30">
        <v>1</v>
      </c>
      <c r="BT45" s="29" t="str">
        <f t="shared" si="33"/>
        <v>BUENO</v>
      </c>
      <c r="BU45" s="34"/>
    </row>
    <row r="46" spans="1:73" ht="132" customHeight="1">
      <c r="A46" s="171"/>
      <c r="B46" s="172"/>
      <c r="C46" s="181"/>
      <c r="D46" s="182"/>
      <c r="E46" s="20">
        <v>1</v>
      </c>
      <c r="F46" s="20"/>
      <c r="G46" s="20"/>
      <c r="H46" s="20"/>
      <c r="I46" s="78" t="s">
        <v>238</v>
      </c>
      <c r="J46" s="20" t="s">
        <v>239</v>
      </c>
      <c r="K46" s="20" t="s">
        <v>240</v>
      </c>
      <c r="L46" s="20" t="s">
        <v>231</v>
      </c>
      <c r="M46" s="20" t="s">
        <v>70</v>
      </c>
      <c r="N46" s="20" t="s">
        <v>232</v>
      </c>
      <c r="O46" s="20" t="s">
        <v>49</v>
      </c>
      <c r="P46" s="20" t="s">
        <v>233</v>
      </c>
      <c r="Q46" s="20" t="s">
        <v>241</v>
      </c>
      <c r="R46" s="24" t="s">
        <v>242</v>
      </c>
      <c r="S46" s="123">
        <f>+Z46+AD46+AH46+AL46+AP46+AT46+AX46+BB46+BF46+BJ46+BN46+BR46</f>
        <v>0.5</v>
      </c>
      <c r="T46" s="122">
        <f>+S46/1</f>
        <v>0.5</v>
      </c>
      <c r="U46" s="29" t="str">
        <f t="shared" si="1"/>
        <v>MALO</v>
      </c>
      <c r="V46" s="24" t="s">
        <v>52</v>
      </c>
      <c r="W46" s="24" t="s">
        <v>53</v>
      </c>
      <c r="X46" s="24" t="s">
        <v>54</v>
      </c>
      <c r="Y46" s="20"/>
      <c r="Z46" s="20"/>
      <c r="AA46" s="20"/>
      <c r="AB46" s="20"/>
      <c r="AC46" s="20"/>
      <c r="AD46" s="20"/>
      <c r="AE46" s="20"/>
      <c r="AF46" s="20"/>
      <c r="AG46" s="20"/>
      <c r="AH46" s="20"/>
      <c r="AI46" s="20"/>
      <c r="AJ46" s="20"/>
      <c r="AK46" s="20"/>
      <c r="AL46" s="20"/>
      <c r="AM46" s="20"/>
      <c r="AN46" s="29" t="str">
        <f t="shared" si="3"/>
        <v/>
      </c>
      <c r="AO46" s="58">
        <v>0</v>
      </c>
      <c r="AP46" s="58">
        <v>0</v>
      </c>
      <c r="AQ46" s="58">
        <v>0</v>
      </c>
      <c r="AR46" s="29" t="str">
        <f t="shared" si="4"/>
        <v/>
      </c>
      <c r="AS46" s="58">
        <v>0</v>
      </c>
      <c r="AT46" s="58">
        <v>0</v>
      </c>
      <c r="AU46" s="58">
        <v>0</v>
      </c>
      <c r="AV46" s="29" t="str">
        <f t="shared" si="11"/>
        <v/>
      </c>
      <c r="AW46" s="58">
        <v>0</v>
      </c>
      <c r="AX46" s="58">
        <v>0</v>
      </c>
      <c r="AY46" s="58">
        <v>0</v>
      </c>
      <c r="AZ46" s="29"/>
      <c r="BA46" s="58">
        <v>0</v>
      </c>
      <c r="BB46" s="58">
        <v>0</v>
      </c>
      <c r="BC46" s="58">
        <v>0</v>
      </c>
      <c r="BD46" s="29"/>
      <c r="BE46" s="58">
        <v>0</v>
      </c>
      <c r="BF46" s="58">
        <v>0</v>
      </c>
      <c r="BG46" s="58">
        <v>0</v>
      </c>
      <c r="BH46" s="29"/>
      <c r="BI46" s="58">
        <v>0</v>
      </c>
      <c r="BJ46" s="58">
        <v>0</v>
      </c>
      <c r="BK46" s="58">
        <v>0</v>
      </c>
      <c r="BL46" s="73"/>
      <c r="BM46" s="58">
        <v>0</v>
      </c>
      <c r="BN46" s="58">
        <v>0</v>
      </c>
      <c r="BO46" s="58">
        <v>0</v>
      </c>
      <c r="BP46" s="73">
        <v>0</v>
      </c>
      <c r="BQ46" s="24">
        <v>1</v>
      </c>
      <c r="BR46" s="58">
        <v>0.5</v>
      </c>
      <c r="BS46" s="30">
        <f>+BR46/BQ46</f>
        <v>0.5</v>
      </c>
      <c r="BT46" s="29" t="str">
        <f t="shared" si="33"/>
        <v>MALO</v>
      </c>
      <c r="BU46" s="76" t="s">
        <v>243</v>
      </c>
    </row>
    <row r="47" spans="1:73" ht="66" customHeight="1">
      <c r="A47" s="171"/>
      <c r="B47" s="172"/>
      <c r="C47" s="181"/>
      <c r="D47" s="182"/>
      <c r="E47" s="20">
        <v>1</v>
      </c>
      <c r="F47" s="20"/>
      <c r="G47" s="20"/>
      <c r="H47" s="20"/>
      <c r="I47" s="78" t="s">
        <v>244</v>
      </c>
      <c r="J47" s="20" t="s">
        <v>245</v>
      </c>
      <c r="K47" s="20" t="s">
        <v>230</v>
      </c>
      <c r="L47" s="20" t="s">
        <v>231</v>
      </c>
      <c r="M47" s="20" t="s">
        <v>70</v>
      </c>
      <c r="N47" s="20" t="s">
        <v>232</v>
      </c>
      <c r="O47" s="20" t="s">
        <v>49</v>
      </c>
      <c r="P47" s="20" t="s">
        <v>233</v>
      </c>
      <c r="Q47" s="20" t="s">
        <v>237</v>
      </c>
      <c r="R47" s="24">
        <v>8</v>
      </c>
      <c r="S47" s="22">
        <f>+Z47+AD47+AH47+AL47+AP47+AT47+AX47+BB47+BF47+BJ47+BN47+BR47</f>
        <v>8</v>
      </c>
      <c r="T47" s="122">
        <f>+S47/R47</f>
        <v>1</v>
      </c>
      <c r="U47" s="29" t="str">
        <f t="shared" si="1"/>
        <v>BUENO</v>
      </c>
      <c r="V47" s="24" t="s">
        <v>52</v>
      </c>
      <c r="W47" s="24" t="s">
        <v>53</v>
      </c>
      <c r="X47" s="24" t="s">
        <v>54</v>
      </c>
      <c r="Y47" s="20"/>
      <c r="Z47" s="20"/>
      <c r="AA47" s="20"/>
      <c r="AB47" s="20"/>
      <c r="AC47" s="20"/>
      <c r="AD47" s="20"/>
      <c r="AE47" s="20"/>
      <c r="AF47" s="20"/>
      <c r="AG47" s="20"/>
      <c r="AH47" s="20"/>
      <c r="AI47" s="20"/>
      <c r="AJ47" s="20"/>
      <c r="AK47" s="20"/>
      <c r="AL47" s="20"/>
      <c r="AM47" s="20"/>
      <c r="AN47" s="29" t="str">
        <f t="shared" si="3"/>
        <v/>
      </c>
      <c r="AO47" s="58">
        <v>0</v>
      </c>
      <c r="AP47" s="58">
        <v>0</v>
      </c>
      <c r="AQ47" s="58">
        <v>0</v>
      </c>
      <c r="AR47" s="29" t="str">
        <f t="shared" si="4"/>
        <v/>
      </c>
      <c r="AS47" s="58">
        <v>0</v>
      </c>
      <c r="AT47" s="58">
        <v>0</v>
      </c>
      <c r="AU47" s="58">
        <v>0</v>
      </c>
      <c r="AV47" s="29" t="str">
        <f t="shared" si="11"/>
        <v/>
      </c>
      <c r="AW47" s="58">
        <v>0</v>
      </c>
      <c r="AX47" s="58">
        <v>0</v>
      </c>
      <c r="AY47" s="58">
        <v>0</v>
      </c>
      <c r="AZ47" s="29"/>
      <c r="BA47" s="58">
        <v>0</v>
      </c>
      <c r="BB47" s="58">
        <v>0</v>
      </c>
      <c r="BC47" s="58">
        <v>0</v>
      </c>
      <c r="BD47" s="29"/>
      <c r="BE47" s="58">
        <v>0</v>
      </c>
      <c r="BF47" s="58">
        <v>0</v>
      </c>
      <c r="BG47" s="58">
        <v>0</v>
      </c>
      <c r="BH47" s="29"/>
      <c r="BI47" s="58">
        <v>0</v>
      </c>
      <c r="BJ47" s="58">
        <v>0</v>
      </c>
      <c r="BK47" s="58">
        <v>0</v>
      </c>
      <c r="BL47" s="73"/>
      <c r="BM47" s="58">
        <v>0</v>
      </c>
      <c r="BN47" s="58">
        <v>0</v>
      </c>
      <c r="BO47" s="58">
        <v>0</v>
      </c>
      <c r="BP47" s="73">
        <v>0</v>
      </c>
      <c r="BQ47" s="20">
        <v>1</v>
      </c>
      <c r="BR47" s="58">
        <v>8</v>
      </c>
      <c r="BS47" s="30">
        <v>8</v>
      </c>
      <c r="BT47" s="29" t="str">
        <f t="shared" si="33"/>
        <v>BUENO</v>
      </c>
      <c r="BU47" s="34"/>
    </row>
    <row r="48" spans="1:73" ht="75.75" customHeight="1">
      <c r="A48" s="171"/>
      <c r="B48" s="172"/>
      <c r="C48" s="181"/>
      <c r="D48" s="182"/>
      <c r="E48" s="20">
        <v>1</v>
      </c>
      <c r="F48" s="20"/>
      <c r="G48" s="20"/>
      <c r="H48" s="20"/>
      <c r="I48" s="79" t="s">
        <v>246</v>
      </c>
      <c r="J48" s="20" t="s">
        <v>247</v>
      </c>
      <c r="K48" s="20" t="s">
        <v>248</v>
      </c>
      <c r="L48" s="20" t="s">
        <v>231</v>
      </c>
      <c r="M48" s="20" t="s">
        <v>70</v>
      </c>
      <c r="N48" s="20" t="s">
        <v>232</v>
      </c>
      <c r="O48" s="20" t="s">
        <v>49</v>
      </c>
      <c r="P48" s="20" t="s">
        <v>233</v>
      </c>
      <c r="Q48" s="20" t="s">
        <v>249</v>
      </c>
      <c r="R48" s="24" t="s">
        <v>250</v>
      </c>
      <c r="S48" s="23">
        <f>+AVERAGE(AQ48,AU48,AY48,BC48,BG48,BK48,BO48,BS48)</f>
        <v>0.97727272727272729</v>
      </c>
      <c r="T48" s="122">
        <f>+S48/90%</f>
        <v>1.0858585858585859</v>
      </c>
      <c r="U48" s="29" t="str">
        <f t="shared" si="1"/>
        <v>BUENO</v>
      </c>
      <c r="V48" s="24" t="s">
        <v>52</v>
      </c>
      <c r="W48" s="24" t="s">
        <v>53</v>
      </c>
      <c r="X48" s="24" t="s">
        <v>54</v>
      </c>
      <c r="Y48" s="20"/>
      <c r="Z48" s="20"/>
      <c r="AA48" s="20"/>
      <c r="AB48" s="20"/>
      <c r="AC48" s="20"/>
      <c r="AD48" s="20"/>
      <c r="AE48" s="20"/>
      <c r="AF48" s="20"/>
      <c r="AG48" s="20"/>
      <c r="AH48" s="20"/>
      <c r="AI48" s="20"/>
      <c r="AJ48" s="20"/>
      <c r="AK48" s="20"/>
      <c r="AL48" s="20"/>
      <c r="AM48" s="20"/>
      <c r="AN48" s="29" t="str">
        <f t="shared" si="3"/>
        <v/>
      </c>
      <c r="AO48" s="20">
        <v>44</v>
      </c>
      <c r="AP48" s="20">
        <v>42</v>
      </c>
      <c r="AQ48" s="23">
        <f>+AP48/AO48</f>
        <v>0.95454545454545459</v>
      </c>
      <c r="AR48" s="29" t="str">
        <f t="shared" si="4"/>
        <v>BUENO</v>
      </c>
      <c r="AS48" s="20">
        <v>44</v>
      </c>
      <c r="AT48" s="20">
        <v>42</v>
      </c>
      <c r="AU48" s="23">
        <f>+AT48/AS48</f>
        <v>0.95454545454545459</v>
      </c>
      <c r="AV48" s="29" t="str">
        <f t="shared" si="11"/>
        <v>BUENO</v>
      </c>
      <c r="AW48" s="20">
        <v>44</v>
      </c>
      <c r="AX48" s="20">
        <v>42</v>
      </c>
      <c r="AY48" s="23">
        <f>+AX48/AW48</f>
        <v>0.95454545454545459</v>
      </c>
      <c r="AZ48" s="29" t="str">
        <f t="shared" si="5"/>
        <v>BUENO</v>
      </c>
      <c r="BA48" s="58">
        <v>42</v>
      </c>
      <c r="BB48" s="58">
        <v>42</v>
      </c>
      <c r="BC48" s="73">
        <f>+BB48/BA48</f>
        <v>1</v>
      </c>
      <c r="BD48" s="29" t="str">
        <f t="shared" si="6"/>
        <v>BUENO</v>
      </c>
      <c r="BE48" s="58">
        <v>42</v>
      </c>
      <c r="BF48" s="58">
        <v>42</v>
      </c>
      <c r="BG48" s="73">
        <f>+BF48/BE48</f>
        <v>1</v>
      </c>
      <c r="BH48" s="29" t="str">
        <f t="shared" si="7"/>
        <v>BUENO</v>
      </c>
      <c r="BI48" s="58">
        <v>42</v>
      </c>
      <c r="BJ48" s="58">
        <v>42</v>
      </c>
      <c r="BK48" s="73">
        <f>+BJ48/BI48</f>
        <v>1</v>
      </c>
      <c r="BL48" s="29" t="str">
        <f t="shared" ref="BL48:BL51" si="39">IF(BK48&gt;=80%,"BUENO",IF(BK48&gt;=66%,"REGULAR",IF(BK48&gt;=0%,"MALO","")))</f>
        <v>BUENO</v>
      </c>
      <c r="BM48" s="58">
        <v>42</v>
      </c>
      <c r="BN48" s="58">
        <v>42</v>
      </c>
      <c r="BO48" s="73">
        <f>+BN48/BM48</f>
        <v>1</v>
      </c>
      <c r="BP48" s="29" t="str">
        <f t="shared" ref="BP48:BP49" si="40">IF(BO48&gt;=80%,"BUENO",IF(BO48&gt;=66%,"REGULAR",IF(BO48&gt;=0%,"MALO","")))</f>
        <v>BUENO</v>
      </c>
      <c r="BQ48" s="58">
        <v>44</v>
      </c>
      <c r="BR48" s="58">
        <v>42</v>
      </c>
      <c r="BS48" s="73">
        <v>0.95454545454545459</v>
      </c>
      <c r="BT48" s="29" t="str">
        <f t="shared" si="33"/>
        <v>BUENO</v>
      </c>
      <c r="BU48" s="34"/>
    </row>
    <row r="49" spans="1:73" ht="65.25" customHeight="1">
      <c r="A49" s="171"/>
      <c r="B49" s="172"/>
      <c r="C49" s="181"/>
      <c r="D49" s="40"/>
      <c r="E49" s="20">
        <v>1</v>
      </c>
      <c r="F49" s="20"/>
      <c r="G49" s="20"/>
      <c r="H49" s="20"/>
      <c r="I49" s="79" t="s">
        <v>251</v>
      </c>
      <c r="J49" s="20" t="s">
        <v>252</v>
      </c>
      <c r="K49" s="20" t="s">
        <v>253</v>
      </c>
      <c r="L49" s="20" t="s">
        <v>206</v>
      </c>
      <c r="M49" s="20" t="s">
        <v>207</v>
      </c>
      <c r="N49" s="20" t="s">
        <v>232</v>
      </c>
      <c r="O49" s="20" t="s">
        <v>49</v>
      </c>
      <c r="P49" s="20" t="s">
        <v>78</v>
      </c>
      <c r="Q49" s="20" t="s">
        <v>209</v>
      </c>
      <c r="R49" s="37">
        <v>1</v>
      </c>
      <c r="S49" s="72">
        <f>+AVERAGE(AA49,AE49,AI49,AM49,AQ49,AU49,AY49,BC49,BG49,BK49,BO49,BS49)</f>
        <v>0.9855666666666667</v>
      </c>
      <c r="T49" s="37">
        <f t="shared" ref="T49:T58" si="41">+S49/R49</f>
        <v>0.9855666666666667</v>
      </c>
      <c r="U49" s="29" t="str">
        <f t="shared" si="1"/>
        <v>BUENO</v>
      </c>
      <c r="V49" s="24" t="s">
        <v>52</v>
      </c>
      <c r="W49" s="24" t="s">
        <v>53</v>
      </c>
      <c r="X49" s="24" t="s">
        <v>54</v>
      </c>
      <c r="Y49" s="37">
        <v>1</v>
      </c>
      <c r="Z49" s="69" t="s">
        <v>254</v>
      </c>
      <c r="AA49" s="30">
        <v>1</v>
      </c>
      <c r="AB49" s="29" t="str">
        <f t="shared" ref="AB49" si="42">IF(AA49&gt;=80%,"BUENO",IF(AA49&gt;=66%,"REGULAR",IF(AA49&gt;=0.00001%,"MALO","")))</f>
        <v>BUENO</v>
      </c>
      <c r="AC49" s="37">
        <v>1</v>
      </c>
      <c r="AD49" s="69" t="s">
        <v>255</v>
      </c>
      <c r="AE49" s="30">
        <v>1</v>
      </c>
      <c r="AF49" s="29" t="str">
        <f t="shared" ref="AF49" si="43">IF(AE49&gt;=80%,"BUENO",IF(AE49&gt;=66%,"REGULAR",IF(AE49&gt;=0.00001%,"MALO","")))</f>
        <v>BUENO</v>
      </c>
      <c r="AG49" s="37">
        <v>1</v>
      </c>
      <c r="AH49" s="69" t="s">
        <v>255</v>
      </c>
      <c r="AI49" s="73">
        <v>1</v>
      </c>
      <c r="AJ49" s="29" t="str">
        <f t="shared" ref="AJ49:AJ50" si="44">IF(AI49&gt;=80%,"BUENO",IF(AI49&gt;=66%,"REGULAR",IF(AI49&gt;=0.00001%,"MALO","")))</f>
        <v>BUENO</v>
      </c>
      <c r="AK49" s="37">
        <v>1</v>
      </c>
      <c r="AL49" s="69" t="s">
        <v>255</v>
      </c>
      <c r="AM49" s="73">
        <v>1</v>
      </c>
      <c r="AN49" s="29" t="str">
        <f t="shared" si="3"/>
        <v>BUENO</v>
      </c>
      <c r="AO49" s="37">
        <v>1</v>
      </c>
      <c r="AP49" s="69" t="s">
        <v>255</v>
      </c>
      <c r="AQ49" s="73">
        <v>1</v>
      </c>
      <c r="AR49" s="29" t="str">
        <f t="shared" si="4"/>
        <v>BUENO</v>
      </c>
      <c r="AS49" s="37">
        <v>1</v>
      </c>
      <c r="AT49" s="23" t="s">
        <v>256</v>
      </c>
      <c r="AU49" s="72">
        <v>0.99990000000000001</v>
      </c>
      <c r="AV49" s="29" t="str">
        <f t="shared" si="11"/>
        <v>BUENO</v>
      </c>
      <c r="AW49" s="37">
        <v>1</v>
      </c>
      <c r="AX49" s="23" t="s">
        <v>256</v>
      </c>
      <c r="AY49" s="72">
        <v>0.99990000000000001</v>
      </c>
      <c r="AZ49" s="29" t="str">
        <f t="shared" si="5"/>
        <v>BUENO</v>
      </c>
      <c r="BA49" s="80">
        <v>1</v>
      </c>
      <c r="BB49" s="37" t="s">
        <v>257</v>
      </c>
      <c r="BC49" s="72">
        <v>0.99990000000000001</v>
      </c>
      <c r="BD49" s="29" t="str">
        <f t="shared" si="6"/>
        <v>BUENO</v>
      </c>
      <c r="BE49" s="80">
        <v>1</v>
      </c>
      <c r="BF49" s="37" t="s">
        <v>258</v>
      </c>
      <c r="BG49" s="72">
        <v>0.99990000000000001</v>
      </c>
      <c r="BH49" s="29" t="str">
        <f t="shared" si="7"/>
        <v>BUENO</v>
      </c>
      <c r="BI49" s="80">
        <v>1</v>
      </c>
      <c r="BJ49" s="37" t="s">
        <v>259</v>
      </c>
      <c r="BK49" s="72">
        <v>0.995</v>
      </c>
      <c r="BL49" s="29" t="str">
        <f t="shared" si="39"/>
        <v>BUENO</v>
      </c>
      <c r="BM49" s="37">
        <v>1</v>
      </c>
      <c r="BN49" s="58" t="s">
        <v>260</v>
      </c>
      <c r="BO49" s="30">
        <v>0.99890000000000001</v>
      </c>
      <c r="BP49" s="29" t="str">
        <f t="shared" si="40"/>
        <v>BUENO</v>
      </c>
      <c r="BQ49" s="37">
        <v>1</v>
      </c>
      <c r="BR49" s="37" t="s">
        <v>261</v>
      </c>
      <c r="BS49" s="30">
        <v>0.83330000000000004</v>
      </c>
      <c r="BT49" s="29" t="str">
        <f t="shared" si="33"/>
        <v>BUENO</v>
      </c>
      <c r="BU49" s="34"/>
    </row>
    <row r="50" spans="1:73" ht="134.44999999999999" customHeight="1">
      <c r="A50" s="183" t="s">
        <v>262</v>
      </c>
      <c r="B50" s="174" t="s">
        <v>263</v>
      </c>
      <c r="C50" s="184" t="s">
        <v>264</v>
      </c>
      <c r="D50" s="40"/>
      <c r="E50" s="20">
        <v>1</v>
      </c>
      <c r="F50" s="20"/>
      <c r="G50" s="20"/>
      <c r="H50" s="20"/>
      <c r="I50" s="41" t="s">
        <v>265</v>
      </c>
      <c r="J50" s="42" t="s">
        <v>266</v>
      </c>
      <c r="K50" s="20" t="s">
        <v>267</v>
      </c>
      <c r="L50" s="20" t="s">
        <v>88</v>
      </c>
      <c r="M50" s="20" t="s">
        <v>196</v>
      </c>
      <c r="N50" s="20" t="s">
        <v>268</v>
      </c>
      <c r="O50" s="20" t="s">
        <v>49</v>
      </c>
      <c r="P50" s="20" t="s">
        <v>78</v>
      </c>
      <c r="Q50" s="20" t="s">
        <v>269</v>
      </c>
      <c r="R50" s="37">
        <v>1</v>
      </c>
      <c r="S50" s="37">
        <f>+BS50</f>
        <v>1.1399999999999999</v>
      </c>
      <c r="T50" s="37">
        <f t="shared" si="41"/>
        <v>1.1399999999999999</v>
      </c>
      <c r="U50" s="29" t="str">
        <f t="shared" si="1"/>
        <v>BUENO</v>
      </c>
      <c r="V50" s="24" t="s">
        <v>52</v>
      </c>
      <c r="W50" s="24" t="s">
        <v>53</v>
      </c>
      <c r="X50" s="24" t="s">
        <v>54</v>
      </c>
      <c r="Y50" s="20"/>
      <c r="Z50" s="20"/>
      <c r="AA50" s="20"/>
      <c r="AB50" s="20"/>
      <c r="AC50" s="20"/>
      <c r="AD50" s="20"/>
      <c r="AE50" s="20"/>
      <c r="AF50" s="20"/>
      <c r="AG50" s="37">
        <v>0.1</v>
      </c>
      <c r="AH50" s="37">
        <v>7.0000000000000007E-2</v>
      </c>
      <c r="AI50" s="23">
        <f>+AH50/AG50</f>
        <v>0.70000000000000007</v>
      </c>
      <c r="AJ50" s="29" t="str">
        <f t="shared" si="44"/>
        <v>REGULAR</v>
      </c>
      <c r="AK50" s="20"/>
      <c r="AL50" s="20"/>
      <c r="AM50" s="20"/>
      <c r="AN50" s="29" t="str">
        <f t="shared" si="3"/>
        <v/>
      </c>
      <c r="AO50" s="20"/>
      <c r="AP50" s="20"/>
      <c r="AQ50" s="20"/>
      <c r="AR50" s="29" t="str">
        <f t="shared" si="4"/>
        <v/>
      </c>
      <c r="AS50" s="37">
        <v>0.4</v>
      </c>
      <c r="AT50" s="37">
        <v>0.28999999999999998</v>
      </c>
      <c r="AU50" s="23">
        <f>+AT50/AS50</f>
        <v>0.72499999999999987</v>
      </c>
      <c r="AV50" s="29" t="str">
        <f t="shared" si="11"/>
        <v>REGULAR</v>
      </c>
      <c r="AW50" s="20"/>
      <c r="AX50" s="20"/>
      <c r="AY50" s="20"/>
      <c r="AZ50" s="29"/>
      <c r="BA50" s="20"/>
      <c r="BB50" s="20"/>
      <c r="BC50" s="20"/>
      <c r="BD50" s="29"/>
      <c r="BE50" s="37">
        <v>0.75</v>
      </c>
      <c r="BF50" s="37">
        <v>0.52</v>
      </c>
      <c r="BG50" s="23">
        <f>+BF50/BE50</f>
        <v>0.69333333333333336</v>
      </c>
      <c r="BH50" s="29" t="str">
        <f t="shared" si="7"/>
        <v>REGULAR</v>
      </c>
      <c r="BI50" s="20"/>
      <c r="BJ50" s="20"/>
      <c r="BK50" s="20"/>
      <c r="BL50" s="20"/>
      <c r="BM50" s="20"/>
      <c r="BN50" s="20"/>
      <c r="BO50" s="20"/>
      <c r="BP50" s="20"/>
      <c r="BQ50" s="73">
        <v>1</v>
      </c>
      <c r="BR50" s="73">
        <v>1.1399999999999999</v>
      </c>
      <c r="BS50" s="30">
        <f>+BR50/BQ50</f>
        <v>1.1399999999999999</v>
      </c>
      <c r="BT50" s="29" t="str">
        <f t="shared" si="33"/>
        <v>BUENO</v>
      </c>
      <c r="BU50" s="76" t="s">
        <v>563</v>
      </c>
    </row>
    <row r="51" spans="1:73" ht="82.5" customHeight="1">
      <c r="A51" s="183"/>
      <c r="B51" s="174"/>
      <c r="C51" s="184"/>
      <c r="D51" s="40"/>
      <c r="E51" s="20"/>
      <c r="F51" s="20"/>
      <c r="G51" s="20"/>
      <c r="H51" s="20">
        <v>4</v>
      </c>
      <c r="I51" s="41" t="s">
        <v>270</v>
      </c>
      <c r="J51" s="20" t="s">
        <v>271</v>
      </c>
      <c r="K51" s="42" t="s">
        <v>272</v>
      </c>
      <c r="L51" s="20"/>
      <c r="M51" s="20" t="s">
        <v>218</v>
      </c>
      <c r="N51" s="20" t="s">
        <v>268</v>
      </c>
      <c r="O51" s="20" t="s">
        <v>49</v>
      </c>
      <c r="P51" s="20" t="s">
        <v>273</v>
      </c>
      <c r="Q51" s="42" t="s">
        <v>274</v>
      </c>
      <c r="R51" s="37">
        <v>1</v>
      </c>
      <c r="S51" s="37">
        <f>+BK51</f>
        <v>1</v>
      </c>
      <c r="T51" s="37">
        <f t="shared" si="41"/>
        <v>1</v>
      </c>
      <c r="U51" s="29" t="str">
        <f t="shared" si="1"/>
        <v>BUENO</v>
      </c>
      <c r="V51" s="24" t="s">
        <v>52</v>
      </c>
      <c r="W51" s="24" t="s">
        <v>53</v>
      </c>
      <c r="X51" s="24" t="s">
        <v>54</v>
      </c>
      <c r="Y51" s="20"/>
      <c r="Z51" s="20"/>
      <c r="AA51" s="20"/>
      <c r="AB51" s="35"/>
      <c r="AC51" s="20"/>
      <c r="AD51" s="20"/>
      <c r="AE51" s="20"/>
      <c r="AF51" s="35"/>
      <c r="AG51" s="35"/>
      <c r="AH51" s="35"/>
      <c r="AI51" s="35"/>
      <c r="AJ51" s="35"/>
      <c r="AK51" s="20"/>
      <c r="AL51" s="20"/>
      <c r="AM51" s="20"/>
      <c r="AN51" s="29" t="str">
        <f t="shared" si="3"/>
        <v/>
      </c>
      <c r="AO51" s="20"/>
      <c r="AP51" s="20"/>
      <c r="AQ51" s="20"/>
      <c r="AR51" s="29" t="str">
        <f t="shared" si="4"/>
        <v/>
      </c>
      <c r="AS51" s="20"/>
      <c r="AT51" s="20"/>
      <c r="AU51" s="20"/>
      <c r="AV51" s="29" t="str">
        <f t="shared" si="11"/>
        <v/>
      </c>
      <c r="AW51" s="20"/>
      <c r="AX51" s="20"/>
      <c r="AY51" s="20"/>
      <c r="AZ51" s="29"/>
      <c r="BA51" s="20"/>
      <c r="BB51" s="20"/>
      <c r="BC51" s="20"/>
      <c r="BD51" s="29"/>
      <c r="BE51" s="20"/>
      <c r="BF51" s="20"/>
      <c r="BG51" s="20"/>
      <c r="BH51" s="29"/>
      <c r="BI51" s="20">
        <v>1</v>
      </c>
      <c r="BJ51" s="20">
        <v>1</v>
      </c>
      <c r="BK51" s="23">
        <f>+BJ51/BI51</f>
        <v>1</v>
      </c>
      <c r="BL51" s="29" t="str">
        <f t="shared" si="39"/>
        <v>BUENO</v>
      </c>
      <c r="BM51" s="20"/>
      <c r="BN51" s="20"/>
      <c r="BO51" s="20"/>
      <c r="BP51" s="20"/>
      <c r="BQ51" s="39"/>
      <c r="BR51" s="39"/>
      <c r="BS51" s="39"/>
      <c r="BT51" s="39"/>
      <c r="BU51" s="34"/>
    </row>
    <row r="52" spans="1:73" ht="364.9" customHeight="1">
      <c r="A52" s="183"/>
      <c r="B52" s="174"/>
      <c r="C52" s="185" t="s">
        <v>275</v>
      </c>
      <c r="D52" s="40"/>
      <c r="E52" s="20">
        <v>1</v>
      </c>
      <c r="F52" s="20"/>
      <c r="G52" s="20"/>
      <c r="H52" s="20">
        <v>4</v>
      </c>
      <c r="I52" s="41" t="s">
        <v>276</v>
      </c>
      <c r="J52" s="20" t="s">
        <v>277</v>
      </c>
      <c r="K52" s="20" t="s">
        <v>278</v>
      </c>
      <c r="L52" s="20" t="s">
        <v>279</v>
      </c>
      <c r="M52" s="20" t="s">
        <v>280</v>
      </c>
      <c r="N52" s="20" t="s">
        <v>281</v>
      </c>
      <c r="O52" s="20" t="s">
        <v>114</v>
      </c>
      <c r="P52" s="20" t="s">
        <v>78</v>
      </c>
      <c r="Q52" s="20" t="s">
        <v>274</v>
      </c>
      <c r="R52" s="37">
        <v>1</v>
      </c>
      <c r="S52" s="72">
        <f>+AVERAGE(AE52,AI52,AM52,AQ52,AU52,AY52,BC52,BG52,BK52,BO52,BS52)</f>
        <v>0.89404512959636417</v>
      </c>
      <c r="T52" s="37">
        <f t="shared" si="41"/>
        <v>0.89404512959636417</v>
      </c>
      <c r="U52" s="29" t="str">
        <f t="shared" si="1"/>
        <v>BUENO</v>
      </c>
      <c r="V52" s="24" t="s">
        <v>52</v>
      </c>
      <c r="W52" s="24" t="s">
        <v>53</v>
      </c>
      <c r="X52" s="24" t="s">
        <v>54</v>
      </c>
      <c r="Y52" s="20">
        <v>0</v>
      </c>
      <c r="Z52" s="20">
        <v>0</v>
      </c>
      <c r="AA52" s="20">
        <v>0</v>
      </c>
      <c r="AB52" s="35"/>
      <c r="AC52" s="20">
        <v>17</v>
      </c>
      <c r="AD52" s="20" t="s">
        <v>282</v>
      </c>
      <c r="AE52" s="23">
        <f>16/17*100%</f>
        <v>0.94117647058823528</v>
      </c>
      <c r="AF52" s="29" t="str">
        <f t="shared" ref="AF52:AF53" si="45">IF(AE52&gt;=80%,"BUENO",IF(AE52&gt;=66%,"REGULAR",IF(AE52&gt;=0.00001%,"MALO","")))</f>
        <v>BUENO</v>
      </c>
      <c r="AG52" s="20">
        <v>61</v>
      </c>
      <c r="AH52" s="20" t="s">
        <v>283</v>
      </c>
      <c r="AI52" s="23">
        <f>52/61*100%</f>
        <v>0.85245901639344257</v>
      </c>
      <c r="AJ52" s="29" t="str">
        <f t="shared" ref="AJ52:AJ53" si="46">IF(AI52&gt;=80%,"BUENO",IF(AI52&gt;=66%,"REGULAR",IF(AI52&gt;=0.00001%,"MALO","")))</f>
        <v>BUENO</v>
      </c>
      <c r="AK52" s="20">
        <v>18</v>
      </c>
      <c r="AL52" s="20" t="s">
        <v>284</v>
      </c>
      <c r="AM52" s="23">
        <f>16/18*100%</f>
        <v>0.88888888888888884</v>
      </c>
      <c r="AN52" s="29" t="str">
        <f t="shared" si="3"/>
        <v>BUENO</v>
      </c>
      <c r="AO52" s="20">
        <v>23</v>
      </c>
      <c r="AP52" s="20" t="s">
        <v>285</v>
      </c>
      <c r="AQ52" s="23">
        <f>21/23*100%</f>
        <v>0.91304347826086951</v>
      </c>
      <c r="AR52" s="29" t="str">
        <f t="shared" si="4"/>
        <v>BUENO</v>
      </c>
      <c r="AS52" s="20">
        <v>16</v>
      </c>
      <c r="AT52" s="20" t="s">
        <v>286</v>
      </c>
      <c r="AU52" s="23">
        <f>15/16*100%</f>
        <v>0.9375</v>
      </c>
      <c r="AV52" s="29" t="str">
        <f t="shared" si="11"/>
        <v>BUENO</v>
      </c>
      <c r="AW52" s="20">
        <v>14</v>
      </c>
      <c r="AX52" s="20" t="s">
        <v>287</v>
      </c>
      <c r="AY52" s="23">
        <v>0.93</v>
      </c>
      <c r="AZ52" s="29" t="str">
        <f t="shared" si="5"/>
        <v>BUENO</v>
      </c>
      <c r="BA52" s="20">
        <v>20</v>
      </c>
      <c r="BB52" s="20" t="s">
        <v>288</v>
      </c>
      <c r="BC52" s="23">
        <v>0.85</v>
      </c>
      <c r="BD52" s="29" t="str">
        <f t="shared" si="6"/>
        <v>BUENO</v>
      </c>
      <c r="BE52" s="20">
        <v>23</v>
      </c>
      <c r="BF52" s="20" t="s">
        <v>289</v>
      </c>
      <c r="BG52" s="23">
        <v>1</v>
      </c>
      <c r="BH52" s="29" t="str">
        <f t="shared" si="7"/>
        <v>BUENO</v>
      </c>
      <c r="BI52" s="58">
        <v>21</v>
      </c>
      <c r="BJ52" s="58" t="s">
        <v>290</v>
      </c>
      <c r="BK52" s="30">
        <f>19/21</f>
        <v>0.90476190476190477</v>
      </c>
      <c r="BL52" s="29" t="str">
        <f t="shared" ref="BL52:BL53" si="47">IF(BK52&gt;=80%,"BUENO",IF(BK52&gt;=66%,"REGULAR",IF(BK52&gt;=0%,"MALO","")))</f>
        <v>BUENO</v>
      </c>
      <c r="BM52" s="58">
        <v>20</v>
      </c>
      <c r="BN52" s="58" t="s">
        <v>291</v>
      </c>
      <c r="BO52" s="30">
        <f>19/20</f>
        <v>0.95</v>
      </c>
      <c r="BP52" s="58"/>
      <c r="BQ52" s="58">
        <v>12</v>
      </c>
      <c r="BR52" s="58" t="s">
        <v>292</v>
      </c>
      <c r="BS52" s="30">
        <f>8/12</f>
        <v>0.66666666666666663</v>
      </c>
      <c r="BT52" s="29" t="str">
        <f t="shared" ref="BT52:BT54" si="48">IF(BS52&gt;=80%,"BUENO",IF(BS52&gt;=66%,"REGULAR",IF(BS52&gt;=0%,"MALO","")))</f>
        <v>REGULAR</v>
      </c>
      <c r="BU52" s="76" t="s">
        <v>293</v>
      </c>
    </row>
    <row r="53" spans="1:73" ht="64.5" customHeight="1">
      <c r="A53" s="183"/>
      <c r="B53" s="174"/>
      <c r="C53" s="185"/>
      <c r="D53" s="40"/>
      <c r="E53" s="20">
        <v>1</v>
      </c>
      <c r="F53" s="20"/>
      <c r="G53" s="20"/>
      <c r="H53" s="20"/>
      <c r="I53" s="41" t="s">
        <v>294</v>
      </c>
      <c r="J53" s="20" t="s">
        <v>295</v>
      </c>
      <c r="K53" s="20" t="s">
        <v>296</v>
      </c>
      <c r="L53" s="20" t="s">
        <v>279</v>
      </c>
      <c r="M53" s="20" t="s">
        <v>280</v>
      </c>
      <c r="N53" s="20" t="s">
        <v>281</v>
      </c>
      <c r="O53" s="20" t="s">
        <v>114</v>
      </c>
      <c r="P53" s="20" t="s">
        <v>78</v>
      </c>
      <c r="Q53" s="20" t="s">
        <v>274</v>
      </c>
      <c r="R53" s="37">
        <v>1</v>
      </c>
      <c r="S53" s="72">
        <f>+AVERAGE(AE53,AI53,AM53,AQ53,AU53,AY53,BC53,BG53,BK53,BO53,BS53)</f>
        <v>1.518327272727273</v>
      </c>
      <c r="T53" s="37">
        <f t="shared" si="41"/>
        <v>1.518327272727273</v>
      </c>
      <c r="U53" s="29" t="str">
        <f t="shared" si="1"/>
        <v>BUENO</v>
      </c>
      <c r="V53" s="24" t="s">
        <v>52</v>
      </c>
      <c r="W53" s="24" t="s">
        <v>53</v>
      </c>
      <c r="X53" s="24" t="s">
        <v>54</v>
      </c>
      <c r="Y53" s="20">
        <v>0</v>
      </c>
      <c r="Z53" s="20">
        <v>0</v>
      </c>
      <c r="AA53" s="81">
        <v>0</v>
      </c>
      <c r="AB53" s="75"/>
      <c r="AC53" s="20">
        <v>10000</v>
      </c>
      <c r="AD53" s="20">
        <v>13308</v>
      </c>
      <c r="AE53" s="23">
        <f>AD53/AC53</f>
        <v>1.3308</v>
      </c>
      <c r="AF53" s="29" t="str">
        <f t="shared" si="45"/>
        <v>BUENO</v>
      </c>
      <c r="AG53" s="61">
        <v>10000</v>
      </c>
      <c r="AH53" s="61">
        <v>11781</v>
      </c>
      <c r="AI53" s="77">
        <f>AH53/AG53</f>
        <v>1.1780999999999999</v>
      </c>
      <c r="AJ53" s="29" t="str">
        <f t="shared" si="46"/>
        <v>BUENO</v>
      </c>
      <c r="AK53" s="61">
        <v>10000</v>
      </c>
      <c r="AL53" s="61">
        <v>21240</v>
      </c>
      <c r="AM53" s="37">
        <f>AL53/AK53</f>
        <v>2.1240000000000001</v>
      </c>
      <c r="AN53" s="29" t="str">
        <f t="shared" si="3"/>
        <v>BUENO</v>
      </c>
      <c r="AO53" s="61">
        <v>10000</v>
      </c>
      <c r="AP53" s="61">
        <v>15668</v>
      </c>
      <c r="AQ53" s="37">
        <f>AP53/AO53</f>
        <v>1.5668</v>
      </c>
      <c r="AR53" s="29" t="str">
        <f t="shared" si="4"/>
        <v>BUENO</v>
      </c>
      <c r="AS53" s="61">
        <v>10000</v>
      </c>
      <c r="AT53" s="61">
        <v>11325</v>
      </c>
      <c r="AU53" s="73">
        <f>AT53/AS53</f>
        <v>1.1325000000000001</v>
      </c>
      <c r="AV53" s="29" t="str">
        <f t="shared" si="11"/>
        <v>BUENO</v>
      </c>
      <c r="AW53" s="82">
        <v>10000</v>
      </c>
      <c r="AX53" s="82">
        <v>14466</v>
      </c>
      <c r="AY53" s="30">
        <f>AX53/AW53</f>
        <v>1.4466000000000001</v>
      </c>
      <c r="AZ53" s="29" t="str">
        <f t="shared" si="5"/>
        <v>BUENO</v>
      </c>
      <c r="BA53" s="82">
        <v>10000</v>
      </c>
      <c r="BB53" s="82">
        <v>15661</v>
      </c>
      <c r="BC53" s="30">
        <f>BB53/BA53</f>
        <v>1.5661</v>
      </c>
      <c r="BD53" s="29" t="str">
        <f t="shared" si="6"/>
        <v>BUENO</v>
      </c>
      <c r="BE53" s="82">
        <v>10000</v>
      </c>
      <c r="BF53" s="82">
        <v>15492</v>
      </c>
      <c r="BG53" s="30">
        <f>BF53/BE53</f>
        <v>1.5491999999999999</v>
      </c>
      <c r="BH53" s="29" t="str">
        <f t="shared" si="7"/>
        <v>BUENO</v>
      </c>
      <c r="BI53" s="82">
        <v>10000</v>
      </c>
      <c r="BJ53" s="82">
        <v>16368</v>
      </c>
      <c r="BK53" s="30">
        <f>+BJ53/BI53</f>
        <v>1.6368</v>
      </c>
      <c r="BL53" s="29" t="str">
        <f t="shared" si="47"/>
        <v>BUENO</v>
      </c>
      <c r="BM53" s="82">
        <v>10000</v>
      </c>
      <c r="BN53" s="82">
        <v>15037</v>
      </c>
      <c r="BO53" s="30">
        <f>+BN53/BM53</f>
        <v>1.5037</v>
      </c>
      <c r="BP53" s="82"/>
      <c r="BQ53" s="82">
        <v>10000</v>
      </c>
      <c r="BR53" s="82">
        <v>16670</v>
      </c>
      <c r="BS53" s="30">
        <f>+BR53/BQ53</f>
        <v>1.667</v>
      </c>
      <c r="BT53" s="29" t="str">
        <f t="shared" si="48"/>
        <v>BUENO</v>
      </c>
      <c r="BU53" s="34"/>
    </row>
    <row r="54" spans="1:73" ht="49.5" customHeight="1">
      <c r="A54" s="183"/>
      <c r="B54" s="174"/>
      <c r="C54" s="186" t="s">
        <v>0</v>
      </c>
      <c r="D54" s="40"/>
      <c r="E54" s="20"/>
      <c r="F54" s="20"/>
      <c r="G54" s="20"/>
      <c r="H54" s="20">
        <v>4</v>
      </c>
      <c r="I54" s="41" t="s">
        <v>297</v>
      </c>
      <c r="J54" s="20" t="s">
        <v>298</v>
      </c>
      <c r="K54" s="20" t="s">
        <v>299</v>
      </c>
      <c r="L54" s="20" t="s">
        <v>300</v>
      </c>
      <c r="M54" s="20" t="s">
        <v>218</v>
      </c>
      <c r="N54" s="20" t="s">
        <v>268</v>
      </c>
      <c r="O54" s="20" t="s">
        <v>83</v>
      </c>
      <c r="P54" s="20" t="s">
        <v>78</v>
      </c>
      <c r="Q54" s="20" t="s">
        <v>274</v>
      </c>
      <c r="R54" s="37">
        <v>1</v>
      </c>
      <c r="S54" s="72">
        <v>0.89859999999999995</v>
      </c>
      <c r="T54" s="37">
        <f t="shared" si="41"/>
        <v>0.89859999999999995</v>
      </c>
      <c r="U54" s="29" t="str">
        <f t="shared" si="1"/>
        <v>BUENO</v>
      </c>
      <c r="V54" s="24" t="s">
        <v>52</v>
      </c>
      <c r="W54" s="24" t="s">
        <v>53</v>
      </c>
      <c r="X54" s="24" t="s">
        <v>54</v>
      </c>
      <c r="Y54" s="20"/>
      <c r="Z54" s="20"/>
      <c r="AA54" s="20"/>
      <c r="AB54" s="35"/>
      <c r="AC54" s="20"/>
      <c r="AD54" s="20"/>
      <c r="AE54" s="20"/>
      <c r="AF54" s="35"/>
      <c r="AG54" s="20"/>
      <c r="AH54" s="58"/>
      <c r="AI54" s="20"/>
      <c r="AJ54" s="35"/>
      <c r="AK54" s="20"/>
      <c r="AL54" s="20"/>
      <c r="AM54" s="20"/>
      <c r="AN54" s="29" t="str">
        <f t="shared" si="3"/>
        <v/>
      </c>
      <c r="AO54" s="20"/>
      <c r="AP54" s="20"/>
      <c r="AQ54" s="20"/>
      <c r="AR54" s="29" t="str">
        <f t="shared" si="4"/>
        <v/>
      </c>
      <c r="AS54" s="20"/>
      <c r="AT54" s="20"/>
      <c r="AU54" s="20"/>
      <c r="AV54" s="29" t="str">
        <f t="shared" si="11"/>
        <v/>
      </c>
      <c r="AW54" s="20"/>
      <c r="AX54" s="20"/>
      <c r="AY54" s="20"/>
      <c r="AZ54" s="29"/>
      <c r="BA54" s="20"/>
      <c r="BB54" s="20"/>
      <c r="BC54" s="20"/>
      <c r="BD54" s="29"/>
      <c r="BE54" s="20"/>
      <c r="BF54" s="20"/>
      <c r="BG54" s="20"/>
      <c r="BH54" s="29"/>
      <c r="BI54" s="20"/>
      <c r="BJ54" s="20"/>
      <c r="BK54" s="20"/>
      <c r="BL54" s="20"/>
      <c r="BM54" s="20"/>
      <c r="BN54" s="20"/>
      <c r="BO54" s="20"/>
      <c r="BP54" s="20"/>
      <c r="BQ54" s="39"/>
      <c r="BR54" s="39"/>
      <c r="BS54" s="74">
        <v>0.86860000000000004</v>
      </c>
      <c r="BT54" s="29" t="str">
        <f t="shared" si="48"/>
        <v>BUENO</v>
      </c>
      <c r="BU54" s="34"/>
    </row>
    <row r="55" spans="1:73" ht="49.5" customHeight="1">
      <c r="A55" s="183"/>
      <c r="B55" s="174"/>
      <c r="C55" s="186"/>
      <c r="D55" s="40"/>
      <c r="E55" s="20">
        <v>1</v>
      </c>
      <c r="F55" s="20">
        <v>2</v>
      </c>
      <c r="G55" s="20">
        <v>3</v>
      </c>
      <c r="H55" s="20">
        <v>4</v>
      </c>
      <c r="I55" s="41" t="s">
        <v>303</v>
      </c>
      <c r="J55" s="85" t="s">
        <v>304</v>
      </c>
      <c r="K55" s="42" t="s">
        <v>305</v>
      </c>
      <c r="L55" s="20" t="s">
        <v>300</v>
      </c>
      <c r="M55" s="20" t="s">
        <v>218</v>
      </c>
      <c r="N55" s="20" t="s">
        <v>302</v>
      </c>
      <c r="O55" s="20" t="s">
        <v>49</v>
      </c>
      <c r="P55" s="20" t="s">
        <v>306</v>
      </c>
      <c r="Q55" s="20" t="s">
        <v>274</v>
      </c>
      <c r="R55" s="37">
        <v>1</v>
      </c>
      <c r="S55" s="37">
        <f>+BK55</f>
        <v>1</v>
      </c>
      <c r="T55" s="37">
        <f t="shared" si="41"/>
        <v>1</v>
      </c>
      <c r="U55" s="29" t="str">
        <f t="shared" si="1"/>
        <v>BUENO</v>
      </c>
      <c r="V55" s="24" t="s">
        <v>52</v>
      </c>
      <c r="W55" s="24" t="s">
        <v>53</v>
      </c>
      <c r="X55" s="24" t="s">
        <v>54</v>
      </c>
      <c r="Y55" s="20"/>
      <c r="Z55" s="20"/>
      <c r="AA55" s="20"/>
      <c r="AB55" s="35"/>
      <c r="AC55" s="20"/>
      <c r="AD55" s="20"/>
      <c r="AE55" s="20"/>
      <c r="AF55" s="35"/>
      <c r="AG55" s="20"/>
      <c r="AH55" s="58"/>
      <c r="AI55" s="20"/>
      <c r="AJ55" s="35"/>
      <c r="AK55" s="20"/>
      <c r="AL55" s="20"/>
      <c r="AM55" s="20"/>
      <c r="AN55" s="29" t="str">
        <f t="shared" si="3"/>
        <v/>
      </c>
      <c r="AO55" s="20"/>
      <c r="AP55" s="20"/>
      <c r="AQ55" s="20"/>
      <c r="AR55" s="29" t="str">
        <f t="shared" si="4"/>
        <v/>
      </c>
      <c r="AS55" s="20"/>
      <c r="AT55" s="20"/>
      <c r="AU55" s="20"/>
      <c r="AV55" s="29" t="str">
        <f t="shared" si="11"/>
        <v/>
      </c>
      <c r="AW55" s="20"/>
      <c r="AX55" s="20"/>
      <c r="AY55" s="20"/>
      <c r="AZ55" s="29"/>
      <c r="BA55" s="20"/>
      <c r="BB55" s="20"/>
      <c r="BC55" s="20"/>
      <c r="BD55" s="29"/>
      <c r="BE55" s="20"/>
      <c r="BF55" s="20"/>
      <c r="BG55" s="20"/>
      <c r="BH55" s="29"/>
      <c r="BI55" s="20">
        <v>1</v>
      </c>
      <c r="BJ55" s="20">
        <v>1</v>
      </c>
      <c r="BK55" s="23">
        <f>+BI55/BJ55</f>
        <v>1</v>
      </c>
      <c r="BL55" s="29" t="str">
        <f t="shared" ref="BL55" si="49">IF(BK55&gt;=80%,"BUENO",IF(BK55&gt;=66%,"REGULAR",IF(BK55&gt;=0%,"MALO","")))</f>
        <v>BUENO</v>
      </c>
      <c r="BM55" s="20"/>
      <c r="BN55" s="20"/>
      <c r="BO55" s="20"/>
      <c r="BP55" s="20"/>
      <c r="BQ55" s="39"/>
      <c r="BR55" s="39"/>
      <c r="BS55" s="39"/>
      <c r="BT55" s="39"/>
      <c r="BU55" s="34"/>
    </row>
    <row r="56" spans="1:73" ht="49.5" customHeight="1">
      <c r="A56" s="205" t="s">
        <v>307</v>
      </c>
      <c r="B56" s="174" t="s">
        <v>308</v>
      </c>
      <c r="C56" s="187" t="s">
        <v>309</v>
      </c>
      <c r="D56" s="40"/>
      <c r="E56" s="20">
        <v>1</v>
      </c>
      <c r="F56" s="20"/>
      <c r="G56" s="20"/>
      <c r="H56" s="20">
        <v>4</v>
      </c>
      <c r="I56" s="41" t="s">
        <v>310</v>
      </c>
      <c r="J56" s="20" t="s">
        <v>311</v>
      </c>
      <c r="K56" s="20" t="s">
        <v>312</v>
      </c>
      <c r="L56" s="20" t="s">
        <v>313</v>
      </c>
      <c r="M56" s="20" t="s">
        <v>314</v>
      </c>
      <c r="N56" s="20" t="s">
        <v>315</v>
      </c>
      <c r="O56" s="20" t="s">
        <v>83</v>
      </c>
      <c r="P56" s="20" t="s">
        <v>78</v>
      </c>
      <c r="Q56" s="20" t="s">
        <v>316</v>
      </c>
      <c r="R56" s="37">
        <v>0.95</v>
      </c>
      <c r="S56" s="37">
        <f t="shared" ref="S56:S61" si="50">+AVERAGE(AI56,AU56,BG56,BS56)</f>
        <v>0.95819444444444446</v>
      </c>
      <c r="T56" s="37">
        <f t="shared" si="41"/>
        <v>1.0086257309941522</v>
      </c>
      <c r="U56" s="29" t="str">
        <f t="shared" si="1"/>
        <v>BUENO</v>
      </c>
      <c r="V56" s="24" t="s">
        <v>52</v>
      </c>
      <c r="W56" s="24" t="s">
        <v>173</v>
      </c>
      <c r="X56" s="24" t="s">
        <v>317</v>
      </c>
      <c r="Y56" s="20"/>
      <c r="Z56" s="20"/>
      <c r="AA56" s="20"/>
      <c r="AB56" s="35"/>
      <c r="AC56" s="20"/>
      <c r="AD56" s="20"/>
      <c r="AE56" s="20"/>
      <c r="AF56" s="35"/>
      <c r="AG56" s="45">
        <v>72</v>
      </c>
      <c r="AH56" s="86" t="s">
        <v>318</v>
      </c>
      <c r="AI56" s="87">
        <v>0.97</v>
      </c>
      <c r="AJ56" s="29" t="str">
        <f t="shared" ref="AJ56:AJ68" si="51">IF(AI56&gt;=80%,"BUENO",IF(AI56&gt;=66%,"REGULAR",IF(AI56&gt;=0.00001%,"MALO","")))</f>
        <v>BUENO</v>
      </c>
      <c r="AK56" s="20"/>
      <c r="AL56" s="20"/>
      <c r="AM56" s="20"/>
      <c r="AN56" s="29" t="str">
        <f t="shared" si="3"/>
        <v/>
      </c>
      <c r="AO56" s="20"/>
      <c r="AP56" s="20"/>
      <c r="AQ56" s="20"/>
      <c r="AR56" s="29" t="str">
        <f t="shared" si="4"/>
        <v/>
      </c>
      <c r="AS56" s="83">
        <v>72</v>
      </c>
      <c r="AT56" s="20" t="s">
        <v>319</v>
      </c>
      <c r="AU56" s="37">
        <v>0.96</v>
      </c>
      <c r="AV56" s="29" t="str">
        <f t="shared" si="11"/>
        <v>BUENO</v>
      </c>
      <c r="AW56" s="20"/>
      <c r="AX56" s="20"/>
      <c r="AY56" s="20"/>
      <c r="AZ56" s="29"/>
      <c r="BA56" s="20"/>
      <c r="BB56" s="20"/>
      <c r="BC56" s="20"/>
      <c r="BD56" s="29"/>
      <c r="BE56" s="20">
        <v>72</v>
      </c>
      <c r="BF56" s="20">
        <v>68</v>
      </c>
      <c r="BG56" s="23">
        <f t="shared" ref="BG56:BG61" si="52">BF56/BE56</f>
        <v>0.94444444444444442</v>
      </c>
      <c r="BH56" s="29" t="str">
        <f t="shared" si="7"/>
        <v>BUENO</v>
      </c>
      <c r="BI56" s="20"/>
      <c r="BJ56" s="20"/>
      <c r="BK56" s="20"/>
      <c r="BL56" s="20"/>
      <c r="BM56" s="20"/>
      <c r="BN56" s="20"/>
      <c r="BO56" s="20"/>
      <c r="BP56" s="20"/>
      <c r="BQ56" s="58">
        <v>72</v>
      </c>
      <c r="BR56" s="58">
        <v>69</v>
      </c>
      <c r="BS56" s="30">
        <f>+BR56/BQ56</f>
        <v>0.95833333333333337</v>
      </c>
      <c r="BT56" s="29" t="str">
        <f t="shared" ref="BT56:BT86" si="53">IF(BS56&gt;=80%,"BUENO",IF(BS56&gt;=66%,"REGULAR",IF(BS56&gt;=0%,"MALO","")))</f>
        <v>BUENO</v>
      </c>
      <c r="BU56" s="34"/>
    </row>
    <row r="57" spans="1:73" ht="231" customHeight="1">
      <c r="A57" s="205"/>
      <c r="B57" s="174"/>
      <c r="C57" s="187"/>
      <c r="D57" s="40"/>
      <c r="E57" s="20"/>
      <c r="F57" s="20"/>
      <c r="G57" s="20"/>
      <c r="H57" s="20">
        <v>4</v>
      </c>
      <c r="I57" s="41" t="s">
        <v>320</v>
      </c>
      <c r="J57" s="20" t="s">
        <v>321</v>
      </c>
      <c r="K57" s="20" t="s">
        <v>322</v>
      </c>
      <c r="L57" s="20" t="s">
        <v>313</v>
      </c>
      <c r="M57" s="20" t="s">
        <v>70</v>
      </c>
      <c r="N57" s="20" t="s">
        <v>315</v>
      </c>
      <c r="O57" s="20" t="s">
        <v>114</v>
      </c>
      <c r="P57" s="20" t="s">
        <v>78</v>
      </c>
      <c r="Q57" s="20" t="s">
        <v>323</v>
      </c>
      <c r="R57" s="37">
        <v>0.85</v>
      </c>
      <c r="S57" s="37">
        <f t="shared" si="50"/>
        <v>1</v>
      </c>
      <c r="T57" s="37">
        <f t="shared" si="41"/>
        <v>1.1764705882352942</v>
      </c>
      <c r="U57" s="29" t="str">
        <f t="shared" si="1"/>
        <v>BUENO</v>
      </c>
      <c r="V57" s="24" t="s">
        <v>154</v>
      </c>
      <c r="W57" s="24" t="s">
        <v>155</v>
      </c>
      <c r="X57" s="24" t="s">
        <v>324</v>
      </c>
      <c r="Y57" s="20"/>
      <c r="Z57" s="20"/>
      <c r="AA57" s="20"/>
      <c r="AB57" s="35"/>
      <c r="AC57" s="20"/>
      <c r="AD57" s="20"/>
      <c r="AE57" s="20"/>
      <c r="AF57" s="35"/>
      <c r="AG57" s="20">
        <v>63</v>
      </c>
      <c r="AH57" s="86" t="s">
        <v>325</v>
      </c>
      <c r="AI57" s="88">
        <v>1</v>
      </c>
      <c r="AJ57" s="29" t="str">
        <f t="shared" si="51"/>
        <v>BUENO</v>
      </c>
      <c r="AK57" s="20"/>
      <c r="AL57" s="20"/>
      <c r="AM57" s="20"/>
      <c r="AN57" s="29" t="str">
        <f t="shared" si="3"/>
        <v/>
      </c>
      <c r="AO57" s="20"/>
      <c r="AP57" s="20"/>
      <c r="AQ57" s="20"/>
      <c r="AR57" s="29" t="str">
        <f t="shared" si="4"/>
        <v/>
      </c>
      <c r="AS57" s="20">
        <v>63</v>
      </c>
      <c r="AT57" s="86" t="s">
        <v>325</v>
      </c>
      <c r="AU57" s="88">
        <v>1</v>
      </c>
      <c r="AV57" s="29" t="str">
        <f t="shared" si="11"/>
        <v>BUENO</v>
      </c>
      <c r="AW57" s="20"/>
      <c r="AX57" s="20"/>
      <c r="AY57" s="20"/>
      <c r="AZ57" s="29"/>
      <c r="BA57" s="20"/>
      <c r="BB57" s="20"/>
      <c r="BC57" s="20"/>
      <c r="BD57" s="29"/>
      <c r="BE57" s="20">
        <v>63</v>
      </c>
      <c r="BF57" s="20">
        <v>63</v>
      </c>
      <c r="BG57" s="23">
        <f t="shared" si="52"/>
        <v>1</v>
      </c>
      <c r="BH57" s="29" t="str">
        <f t="shared" si="7"/>
        <v>BUENO</v>
      </c>
      <c r="BI57" s="20"/>
      <c r="BJ57" s="20"/>
      <c r="BK57" s="20"/>
      <c r="BL57" s="20"/>
      <c r="BM57" s="20"/>
      <c r="BN57" s="20"/>
      <c r="BO57" s="20"/>
      <c r="BP57" s="20"/>
      <c r="BQ57" s="20">
        <v>63</v>
      </c>
      <c r="BR57" s="20">
        <v>63</v>
      </c>
      <c r="BS57" s="23">
        <f t="shared" ref="BS57" si="54">BR57/BQ57</f>
        <v>1</v>
      </c>
      <c r="BT57" s="29" t="str">
        <f t="shared" si="53"/>
        <v>BUENO</v>
      </c>
      <c r="BU57" s="34"/>
    </row>
    <row r="58" spans="1:73" ht="82.5" customHeight="1">
      <c r="A58" s="205"/>
      <c r="B58" s="174"/>
      <c r="C58" s="187"/>
      <c r="D58" s="40"/>
      <c r="E58" s="20"/>
      <c r="F58" s="20"/>
      <c r="G58" s="20"/>
      <c r="H58" s="20">
        <v>4</v>
      </c>
      <c r="I58" s="41" t="s">
        <v>326</v>
      </c>
      <c r="J58" s="20" t="s">
        <v>327</v>
      </c>
      <c r="K58" s="20" t="s">
        <v>328</v>
      </c>
      <c r="L58" s="20" t="s">
        <v>329</v>
      </c>
      <c r="M58" s="20" t="s">
        <v>330</v>
      </c>
      <c r="N58" s="20" t="s">
        <v>315</v>
      </c>
      <c r="O58" s="20" t="s">
        <v>114</v>
      </c>
      <c r="P58" s="20" t="s">
        <v>273</v>
      </c>
      <c r="Q58" s="20" t="s">
        <v>331</v>
      </c>
      <c r="R58" s="37">
        <v>0.8</v>
      </c>
      <c r="S58" s="37">
        <f t="shared" si="50"/>
        <v>1.03125</v>
      </c>
      <c r="T58" s="37">
        <f t="shared" si="41"/>
        <v>1.2890625</v>
      </c>
      <c r="U58" s="29" t="str">
        <f t="shared" si="1"/>
        <v>BUENO</v>
      </c>
      <c r="V58" s="24" t="s">
        <v>154</v>
      </c>
      <c r="W58" s="24" t="s">
        <v>155</v>
      </c>
      <c r="X58" s="24" t="s">
        <v>332</v>
      </c>
      <c r="Y58" s="20"/>
      <c r="Z58" s="20"/>
      <c r="AA58" s="20"/>
      <c r="AB58" s="35"/>
      <c r="AC58" s="20"/>
      <c r="AD58" s="20"/>
      <c r="AE58" s="20"/>
      <c r="AF58" s="35"/>
      <c r="AG58" s="20">
        <v>3</v>
      </c>
      <c r="AH58" s="82">
        <v>3</v>
      </c>
      <c r="AI58" s="37">
        <v>1</v>
      </c>
      <c r="AJ58" s="29" t="str">
        <f t="shared" si="51"/>
        <v>BUENO</v>
      </c>
      <c r="AK58" s="20"/>
      <c r="AL58" s="20"/>
      <c r="AM58" s="20"/>
      <c r="AN58" s="29" t="str">
        <f t="shared" si="3"/>
        <v/>
      </c>
      <c r="AO58" s="20"/>
      <c r="AP58" s="20"/>
      <c r="AQ58" s="20"/>
      <c r="AR58" s="29" t="str">
        <f t="shared" si="4"/>
        <v/>
      </c>
      <c r="AS58" s="20">
        <v>2</v>
      </c>
      <c r="AT58" s="20" t="s">
        <v>333</v>
      </c>
      <c r="AU58" s="37">
        <v>1</v>
      </c>
      <c r="AV58" s="29" t="str">
        <f t="shared" si="11"/>
        <v>BUENO</v>
      </c>
      <c r="AW58" s="20"/>
      <c r="AX58" s="20"/>
      <c r="AY58" s="20"/>
      <c r="AZ58" s="29"/>
      <c r="BA58" s="20"/>
      <c r="BB58" s="20"/>
      <c r="BC58" s="20"/>
      <c r="BD58" s="29"/>
      <c r="BE58" s="20">
        <v>8</v>
      </c>
      <c r="BF58" s="20">
        <v>9</v>
      </c>
      <c r="BG58" s="23">
        <f t="shared" si="52"/>
        <v>1.125</v>
      </c>
      <c r="BH58" s="29" t="str">
        <f t="shared" si="7"/>
        <v>BUENO</v>
      </c>
      <c r="BI58" s="20"/>
      <c r="BJ58" s="20"/>
      <c r="BK58" s="20"/>
      <c r="BL58" s="20"/>
      <c r="BM58" s="20"/>
      <c r="BN58" s="20"/>
      <c r="BO58" s="20"/>
      <c r="BP58" s="20"/>
      <c r="BQ58" s="58">
        <v>8</v>
      </c>
      <c r="BR58" s="58">
        <v>8</v>
      </c>
      <c r="BS58" s="30">
        <f>+BQ58/BR58</f>
        <v>1</v>
      </c>
      <c r="BT58" s="29" t="str">
        <f t="shared" si="53"/>
        <v>BUENO</v>
      </c>
      <c r="BU58" s="34"/>
    </row>
    <row r="59" spans="1:73" ht="49.5" customHeight="1">
      <c r="A59" s="205"/>
      <c r="B59" s="174"/>
      <c r="C59" s="187"/>
      <c r="D59" s="40"/>
      <c r="E59" s="20"/>
      <c r="F59" s="20"/>
      <c r="G59" s="20"/>
      <c r="H59" s="20">
        <v>4</v>
      </c>
      <c r="I59" s="41" t="s">
        <v>334</v>
      </c>
      <c r="J59" s="20" t="s">
        <v>335</v>
      </c>
      <c r="K59" s="20" t="s">
        <v>336</v>
      </c>
      <c r="L59" s="20" t="s">
        <v>337</v>
      </c>
      <c r="M59" s="20" t="s">
        <v>196</v>
      </c>
      <c r="N59" s="20" t="s">
        <v>315</v>
      </c>
      <c r="O59" s="20" t="s">
        <v>114</v>
      </c>
      <c r="P59" s="20" t="s">
        <v>273</v>
      </c>
      <c r="Q59" s="20" t="s">
        <v>338</v>
      </c>
      <c r="R59" s="37">
        <v>0.9</v>
      </c>
      <c r="S59" s="37">
        <f t="shared" si="50"/>
        <v>0.97499999999999998</v>
      </c>
      <c r="T59" s="37">
        <f t="shared" ref="T59:T60" si="55">+S59/R59</f>
        <v>1.0833333333333333</v>
      </c>
      <c r="U59" s="29" t="str">
        <f t="shared" si="1"/>
        <v>BUENO</v>
      </c>
      <c r="V59" s="24" t="s">
        <v>52</v>
      </c>
      <c r="W59" s="24" t="s">
        <v>53</v>
      </c>
      <c r="X59" s="24" t="s">
        <v>117</v>
      </c>
      <c r="Y59" s="20"/>
      <c r="Z59" s="20"/>
      <c r="AA59" s="20"/>
      <c r="AB59" s="35"/>
      <c r="AC59" s="20"/>
      <c r="AD59" s="20"/>
      <c r="AE59" s="20"/>
      <c r="AF59" s="35"/>
      <c r="AG59" s="20">
        <v>2</v>
      </c>
      <c r="AH59" s="58">
        <v>2</v>
      </c>
      <c r="AI59" s="37">
        <v>1</v>
      </c>
      <c r="AJ59" s="29" t="str">
        <f t="shared" si="51"/>
        <v>BUENO</v>
      </c>
      <c r="AK59" s="20"/>
      <c r="AL59" s="20"/>
      <c r="AM59" s="20"/>
      <c r="AN59" s="29" t="str">
        <f t="shared" si="3"/>
        <v/>
      </c>
      <c r="AO59" s="20"/>
      <c r="AP59" s="20"/>
      <c r="AQ59" s="20"/>
      <c r="AR59" s="29" t="str">
        <f t="shared" si="4"/>
        <v/>
      </c>
      <c r="AS59" s="20">
        <v>2</v>
      </c>
      <c r="AT59" s="20" t="s">
        <v>333</v>
      </c>
      <c r="AU59" s="37">
        <v>1</v>
      </c>
      <c r="AV59" s="29" t="str">
        <f t="shared" si="11"/>
        <v>BUENO</v>
      </c>
      <c r="AW59" s="20"/>
      <c r="AX59" s="20"/>
      <c r="AY59" s="20"/>
      <c r="AZ59" s="29"/>
      <c r="BA59" s="20"/>
      <c r="BB59" s="20"/>
      <c r="BC59" s="20"/>
      <c r="BD59" s="29"/>
      <c r="BE59" s="20">
        <v>5</v>
      </c>
      <c r="BF59" s="20">
        <v>5</v>
      </c>
      <c r="BG59" s="23">
        <f t="shared" si="52"/>
        <v>1</v>
      </c>
      <c r="BH59" s="29" t="str">
        <f t="shared" si="7"/>
        <v>BUENO</v>
      </c>
      <c r="BI59" s="20"/>
      <c r="BJ59" s="20"/>
      <c r="BK59" s="20"/>
      <c r="BL59" s="20"/>
      <c r="BM59" s="20"/>
      <c r="BN59" s="20"/>
      <c r="BO59" s="20"/>
      <c r="BP59" s="20"/>
      <c r="BQ59" s="58">
        <v>5</v>
      </c>
      <c r="BR59" s="58">
        <v>4.5</v>
      </c>
      <c r="BS59" s="30">
        <f>+BR59/BQ59</f>
        <v>0.9</v>
      </c>
      <c r="BT59" s="29" t="str">
        <f t="shared" si="53"/>
        <v>BUENO</v>
      </c>
      <c r="BU59" s="34"/>
    </row>
    <row r="60" spans="1:73" ht="66" customHeight="1">
      <c r="A60" s="205"/>
      <c r="B60" s="174"/>
      <c r="C60" s="187"/>
      <c r="D60" s="40"/>
      <c r="E60" s="20"/>
      <c r="F60" s="20"/>
      <c r="G60" s="20"/>
      <c r="H60" s="20">
        <v>4</v>
      </c>
      <c r="I60" s="41" t="s">
        <v>339</v>
      </c>
      <c r="J60" s="20" t="s">
        <v>340</v>
      </c>
      <c r="K60" s="20" t="s">
        <v>341</v>
      </c>
      <c r="L60" s="20" t="s">
        <v>342</v>
      </c>
      <c r="M60" s="20" t="s">
        <v>343</v>
      </c>
      <c r="N60" s="20" t="s">
        <v>315</v>
      </c>
      <c r="O60" s="20" t="s">
        <v>114</v>
      </c>
      <c r="P60" s="20" t="s">
        <v>273</v>
      </c>
      <c r="Q60" s="20" t="s">
        <v>331</v>
      </c>
      <c r="R60" s="37">
        <v>0.9</v>
      </c>
      <c r="S60" s="37">
        <f t="shared" si="50"/>
        <v>1</v>
      </c>
      <c r="T60" s="37">
        <f t="shared" si="55"/>
        <v>1.1111111111111112</v>
      </c>
      <c r="U60" s="29" t="str">
        <f t="shared" si="1"/>
        <v>BUENO</v>
      </c>
      <c r="V60" s="24" t="s">
        <v>52</v>
      </c>
      <c r="W60" s="24" t="s">
        <v>53</v>
      </c>
      <c r="X60" s="24" t="s">
        <v>117</v>
      </c>
      <c r="Y60" s="20"/>
      <c r="Z60" s="20"/>
      <c r="AA60" s="20"/>
      <c r="AB60" s="35"/>
      <c r="AC60" s="20"/>
      <c r="AD60" s="20"/>
      <c r="AE60" s="20"/>
      <c r="AF60" s="35"/>
      <c r="AG60" s="45">
        <v>10</v>
      </c>
      <c r="AH60" s="45">
        <v>10</v>
      </c>
      <c r="AI60" s="47">
        <v>1</v>
      </c>
      <c r="AJ60" s="29" t="str">
        <f t="shared" si="51"/>
        <v>BUENO</v>
      </c>
      <c r="AK60" s="20"/>
      <c r="AL60" s="20"/>
      <c r="AM60" s="20"/>
      <c r="AN60" s="29" t="str">
        <f t="shared" si="3"/>
        <v/>
      </c>
      <c r="AO60" s="20"/>
      <c r="AP60" s="20"/>
      <c r="AQ60" s="20"/>
      <c r="AR60" s="29" t="str">
        <f t="shared" si="4"/>
        <v/>
      </c>
      <c r="AS60" s="20">
        <v>11</v>
      </c>
      <c r="AT60" s="20" t="s">
        <v>344</v>
      </c>
      <c r="AU60" s="37">
        <v>1</v>
      </c>
      <c r="AV60" s="29" t="str">
        <f t="shared" si="11"/>
        <v>BUENO</v>
      </c>
      <c r="AW60" s="20"/>
      <c r="AX60" s="20"/>
      <c r="AY60" s="20"/>
      <c r="AZ60" s="29"/>
      <c r="BA60" s="20"/>
      <c r="BB60" s="20"/>
      <c r="BC60" s="20"/>
      <c r="BD60" s="29"/>
      <c r="BE60" s="20">
        <v>16</v>
      </c>
      <c r="BF60" s="20">
        <v>16</v>
      </c>
      <c r="BG60" s="23">
        <f t="shared" si="52"/>
        <v>1</v>
      </c>
      <c r="BH60" s="29" t="str">
        <f t="shared" si="7"/>
        <v>BUENO</v>
      </c>
      <c r="BI60" s="20"/>
      <c r="BJ60" s="20"/>
      <c r="BK60" s="20"/>
      <c r="BL60" s="20"/>
      <c r="BM60" s="20"/>
      <c r="BN60" s="20"/>
      <c r="BO60" s="20"/>
      <c r="BP60" s="20"/>
      <c r="BQ60" s="58">
        <v>7</v>
      </c>
      <c r="BR60" s="58">
        <v>7</v>
      </c>
      <c r="BS60" s="30">
        <f>+BR60/BQ60</f>
        <v>1</v>
      </c>
      <c r="BT60" s="29" t="str">
        <f t="shared" si="53"/>
        <v>BUENO</v>
      </c>
      <c r="BU60" s="34"/>
    </row>
    <row r="61" spans="1:73" ht="66" customHeight="1">
      <c r="A61" s="205"/>
      <c r="B61" s="174"/>
      <c r="C61" s="187"/>
      <c r="D61" s="40"/>
      <c r="E61" s="20"/>
      <c r="F61" s="20"/>
      <c r="G61" s="20"/>
      <c r="H61" s="20"/>
      <c r="I61" s="168" t="s">
        <v>345</v>
      </c>
      <c r="J61" s="168" t="s">
        <v>346</v>
      </c>
      <c r="K61" s="86" t="s">
        <v>347</v>
      </c>
      <c r="L61" s="89" t="s">
        <v>313</v>
      </c>
      <c r="M61" s="90" t="s">
        <v>196</v>
      </c>
      <c r="N61" s="89" t="s">
        <v>315</v>
      </c>
      <c r="O61" s="86" t="s">
        <v>114</v>
      </c>
      <c r="P61" s="86" t="s">
        <v>78</v>
      </c>
      <c r="Q61" s="89" t="s">
        <v>348</v>
      </c>
      <c r="R61" s="88">
        <v>0.1</v>
      </c>
      <c r="S61" s="37">
        <f t="shared" si="50"/>
        <v>0.11941780821917808</v>
      </c>
      <c r="T61" s="88">
        <v>0.9</v>
      </c>
      <c r="U61" s="29" t="str">
        <f t="shared" si="1"/>
        <v>BUENO</v>
      </c>
      <c r="V61" s="90" t="s">
        <v>349</v>
      </c>
      <c r="W61" s="90" t="s">
        <v>350</v>
      </c>
      <c r="X61" s="90" t="s">
        <v>351</v>
      </c>
      <c r="Y61" s="20"/>
      <c r="Z61" s="20"/>
      <c r="AA61" s="20"/>
      <c r="AB61" s="35"/>
      <c r="AC61" s="20"/>
      <c r="AD61" s="20"/>
      <c r="AE61" s="20"/>
      <c r="AF61" s="35"/>
      <c r="AG61" s="45">
        <v>0</v>
      </c>
      <c r="AH61" s="86" t="s">
        <v>352</v>
      </c>
      <c r="AI61" s="88">
        <v>7.0000000000000007E-2</v>
      </c>
      <c r="AJ61" s="29" t="s">
        <v>35</v>
      </c>
      <c r="AK61" s="20"/>
      <c r="AL61" s="20"/>
      <c r="AM61" s="20"/>
      <c r="AN61" s="29" t="str">
        <f t="shared" si="3"/>
        <v/>
      </c>
      <c r="AO61" s="20"/>
      <c r="AP61" s="20"/>
      <c r="AQ61" s="20"/>
      <c r="AR61" s="29" t="str">
        <f t="shared" si="4"/>
        <v/>
      </c>
      <c r="AS61" s="20">
        <v>0</v>
      </c>
      <c r="AT61" s="91" t="s">
        <v>353</v>
      </c>
      <c r="AU61" s="88">
        <v>0.12</v>
      </c>
      <c r="AV61" s="29" t="str">
        <f t="shared" si="11"/>
        <v>MALO</v>
      </c>
      <c r="AW61" s="20"/>
      <c r="AX61" s="20"/>
      <c r="AY61" s="20"/>
      <c r="AZ61" s="29"/>
      <c r="BA61" s="20"/>
      <c r="BB61" s="20"/>
      <c r="BC61" s="20"/>
      <c r="BD61" s="29"/>
      <c r="BE61" s="20">
        <v>73</v>
      </c>
      <c r="BF61" s="20">
        <v>11</v>
      </c>
      <c r="BG61" s="23">
        <f t="shared" si="52"/>
        <v>0.15068493150684931</v>
      </c>
      <c r="BH61" s="29" t="str">
        <f t="shared" si="7"/>
        <v>MALO</v>
      </c>
      <c r="BI61" s="20"/>
      <c r="BJ61" s="20"/>
      <c r="BK61" s="20"/>
      <c r="BL61" s="20"/>
      <c r="BM61" s="20"/>
      <c r="BN61" s="20"/>
      <c r="BO61" s="20"/>
      <c r="BP61" s="20"/>
      <c r="BQ61" s="58">
        <v>0</v>
      </c>
      <c r="BR61" s="92" t="s">
        <v>354</v>
      </c>
      <c r="BS61" s="30">
        <f>10/73</f>
        <v>0.13698630136986301</v>
      </c>
      <c r="BT61" s="29" t="str">
        <f t="shared" si="53"/>
        <v>MALO</v>
      </c>
      <c r="BU61" s="34"/>
    </row>
    <row r="62" spans="1:73" ht="148.5" customHeight="1">
      <c r="A62" s="205"/>
      <c r="B62" s="174"/>
      <c r="C62" s="187"/>
      <c r="D62" s="40"/>
      <c r="E62" s="20"/>
      <c r="F62" s="20"/>
      <c r="G62" s="20"/>
      <c r="H62" s="20">
        <v>4</v>
      </c>
      <c r="I62" s="168"/>
      <c r="J62" s="168"/>
      <c r="K62" s="86" t="s">
        <v>355</v>
      </c>
      <c r="L62" s="89" t="s">
        <v>313</v>
      </c>
      <c r="M62" s="90" t="s">
        <v>196</v>
      </c>
      <c r="N62" s="89" t="s">
        <v>315</v>
      </c>
      <c r="O62" s="86" t="s">
        <v>114</v>
      </c>
      <c r="P62" s="86" t="s">
        <v>78</v>
      </c>
      <c r="Q62" s="89" t="s">
        <v>348</v>
      </c>
      <c r="R62" s="88">
        <v>0.03</v>
      </c>
      <c r="S62" s="37">
        <v>0</v>
      </c>
      <c r="T62" s="88">
        <v>1</v>
      </c>
      <c r="U62" s="29" t="str">
        <f t="shared" si="1"/>
        <v>BUENO</v>
      </c>
      <c r="V62" s="90" t="s">
        <v>356</v>
      </c>
      <c r="W62" s="93">
        <v>0.02</v>
      </c>
      <c r="X62" s="93">
        <v>0.03</v>
      </c>
      <c r="Y62" s="20"/>
      <c r="Z62" s="20"/>
      <c r="AA62" s="20"/>
      <c r="AB62" s="35"/>
      <c r="AC62" s="20"/>
      <c r="AD62" s="20"/>
      <c r="AE62" s="20"/>
      <c r="AF62" s="35"/>
      <c r="AG62" s="20">
        <v>0</v>
      </c>
      <c r="AH62" s="86" t="s">
        <v>357</v>
      </c>
      <c r="AI62" s="88">
        <v>1</v>
      </c>
      <c r="AJ62" s="29" t="str">
        <f t="shared" si="51"/>
        <v>BUENO</v>
      </c>
      <c r="AK62" s="20"/>
      <c r="AL62" s="20"/>
      <c r="AM62" s="20"/>
      <c r="AN62" s="29" t="str">
        <f t="shared" si="3"/>
        <v/>
      </c>
      <c r="AO62" s="20"/>
      <c r="AP62" s="20"/>
      <c r="AQ62" s="20"/>
      <c r="AR62" s="29" t="str">
        <f t="shared" si="4"/>
        <v/>
      </c>
      <c r="AS62" s="20">
        <v>0</v>
      </c>
      <c r="AT62" s="86" t="s">
        <v>357</v>
      </c>
      <c r="AU62" s="88">
        <v>1</v>
      </c>
      <c r="AV62" s="29" t="str">
        <f t="shared" si="11"/>
        <v>BUENO</v>
      </c>
      <c r="AW62" s="20"/>
      <c r="AX62" s="20"/>
      <c r="AY62" s="20"/>
      <c r="AZ62" s="29"/>
      <c r="BA62" s="20"/>
      <c r="BB62" s="20"/>
      <c r="BC62" s="20"/>
      <c r="BD62" s="29"/>
      <c r="BE62" s="20">
        <v>0</v>
      </c>
      <c r="BF62" s="20" t="s">
        <v>358</v>
      </c>
      <c r="BG62" s="23">
        <v>1</v>
      </c>
      <c r="BH62" s="29" t="str">
        <f t="shared" si="7"/>
        <v>BUENO</v>
      </c>
      <c r="BI62" s="20"/>
      <c r="BJ62" s="20"/>
      <c r="BK62" s="20"/>
      <c r="BL62" s="20"/>
      <c r="BM62" s="20"/>
      <c r="BN62" s="20"/>
      <c r="BO62" s="20"/>
      <c r="BP62" s="20"/>
      <c r="BQ62" s="58">
        <v>0</v>
      </c>
      <c r="BR62" s="58" t="s">
        <v>358</v>
      </c>
      <c r="BS62" s="73">
        <v>1</v>
      </c>
      <c r="BT62" s="29" t="str">
        <f t="shared" si="53"/>
        <v>BUENO</v>
      </c>
      <c r="BU62" s="34"/>
    </row>
    <row r="63" spans="1:73" ht="113.25" customHeight="1">
      <c r="A63" s="205"/>
      <c r="B63" s="174"/>
      <c r="C63" s="188" t="s">
        <v>359</v>
      </c>
      <c r="D63" s="40"/>
      <c r="E63" s="20">
        <v>1</v>
      </c>
      <c r="F63" s="20"/>
      <c r="G63" s="20"/>
      <c r="H63" s="20"/>
      <c r="I63" s="41" t="s">
        <v>360</v>
      </c>
      <c r="J63" s="125" t="s">
        <v>570</v>
      </c>
      <c r="K63" s="20" t="s">
        <v>564</v>
      </c>
      <c r="L63" s="20" t="s">
        <v>361</v>
      </c>
      <c r="M63" s="20" t="s">
        <v>196</v>
      </c>
      <c r="N63" s="20" t="s">
        <v>362</v>
      </c>
      <c r="O63" s="20" t="s">
        <v>49</v>
      </c>
      <c r="P63" s="20" t="s">
        <v>363</v>
      </c>
      <c r="Q63" s="20" t="s">
        <v>364</v>
      </c>
      <c r="R63" s="37">
        <v>0.75</v>
      </c>
      <c r="S63" s="37">
        <f t="shared" ref="S63:S70" si="56">+AVERAGE(AI63,AU63,BG63,BS63)</f>
        <v>-2.0441468861875611</v>
      </c>
      <c r="T63" s="37">
        <f>+S63/R63</f>
        <v>-2.7255291815834148</v>
      </c>
      <c r="U63" s="29" t="s">
        <v>372</v>
      </c>
      <c r="V63" s="24" t="s">
        <v>365</v>
      </c>
      <c r="W63" s="24" t="s">
        <v>366</v>
      </c>
      <c r="X63" s="24" t="s">
        <v>367</v>
      </c>
      <c r="Y63" s="20"/>
      <c r="Z63" s="20"/>
      <c r="AA63" s="20"/>
      <c r="AB63" s="35"/>
      <c r="AC63" s="20"/>
      <c r="AD63" s="20"/>
      <c r="AE63" s="20"/>
      <c r="AF63" s="35"/>
      <c r="AG63" s="94">
        <v>18.75</v>
      </c>
      <c r="AH63" s="70" t="s">
        <v>368</v>
      </c>
      <c r="AI63" s="23">
        <v>0.37799469904326227</v>
      </c>
      <c r="AJ63" s="29" t="str">
        <f t="shared" si="51"/>
        <v>MALO</v>
      </c>
      <c r="AK63" s="20"/>
      <c r="AL63" s="20"/>
      <c r="AM63" s="20"/>
      <c r="AN63" s="29" t="str">
        <f t="shared" si="3"/>
        <v/>
      </c>
      <c r="AO63" s="20"/>
      <c r="AP63" s="20"/>
      <c r="AQ63" s="20"/>
      <c r="AR63" s="29" t="str">
        <f t="shared" si="4"/>
        <v/>
      </c>
      <c r="AS63" s="94">
        <v>18.75</v>
      </c>
      <c r="AT63" s="70" t="s">
        <v>369</v>
      </c>
      <c r="AU63" s="23">
        <v>1.6738932324778086</v>
      </c>
      <c r="AV63" s="29" t="str">
        <f t="shared" si="11"/>
        <v>BUENO</v>
      </c>
      <c r="AW63" s="20"/>
      <c r="AX63" s="20"/>
      <c r="AY63" s="20"/>
      <c r="AZ63" s="29"/>
      <c r="BA63" s="20"/>
      <c r="BB63" s="20"/>
      <c r="BC63" s="20"/>
      <c r="BD63" s="29"/>
      <c r="BE63" s="23">
        <v>18.75</v>
      </c>
      <c r="BF63" s="23" t="s">
        <v>370</v>
      </c>
      <c r="BG63" s="23">
        <v>2.9357751735161113</v>
      </c>
      <c r="BH63" s="29" t="str">
        <f t="shared" si="7"/>
        <v>BUENO</v>
      </c>
      <c r="BI63" s="20"/>
      <c r="BJ63" s="20"/>
      <c r="BK63" s="20"/>
      <c r="BL63" s="20"/>
      <c r="BM63" s="20"/>
      <c r="BN63" s="20"/>
      <c r="BO63" s="20"/>
      <c r="BP63" s="20"/>
      <c r="BQ63" s="20">
        <v>18.75</v>
      </c>
      <c r="BR63" s="20" t="s">
        <v>371</v>
      </c>
      <c r="BS63" s="23">
        <v>-13.164250649787427</v>
      </c>
      <c r="BT63" s="29" t="s">
        <v>372</v>
      </c>
      <c r="BU63" s="79" t="s">
        <v>571</v>
      </c>
    </row>
    <row r="64" spans="1:73" ht="90.75" customHeight="1">
      <c r="A64" s="205"/>
      <c r="B64" s="174"/>
      <c r="C64" s="188"/>
      <c r="D64" s="40"/>
      <c r="E64" s="20">
        <v>1</v>
      </c>
      <c r="F64" s="20"/>
      <c r="G64" s="20"/>
      <c r="H64" s="20"/>
      <c r="I64" s="41" t="s">
        <v>373</v>
      </c>
      <c r="J64" s="20" t="s">
        <v>374</v>
      </c>
      <c r="K64" s="20" t="s">
        <v>375</v>
      </c>
      <c r="L64" s="168" t="s">
        <v>376</v>
      </c>
      <c r="M64" s="20" t="s">
        <v>196</v>
      </c>
      <c r="N64" s="20" t="s">
        <v>377</v>
      </c>
      <c r="O64" s="20" t="s">
        <v>49</v>
      </c>
      <c r="P64" s="20" t="s">
        <v>363</v>
      </c>
      <c r="Q64" s="20" t="s">
        <v>274</v>
      </c>
      <c r="R64" s="37">
        <v>0.9</v>
      </c>
      <c r="S64" s="37">
        <f>BS64</f>
        <v>0.87</v>
      </c>
      <c r="T64" s="37">
        <f t="shared" ref="T64:T68" si="57">+S64/R64</f>
        <v>0.96666666666666667</v>
      </c>
      <c r="U64" s="29" t="str">
        <f t="shared" si="1"/>
        <v>BUENO</v>
      </c>
      <c r="V64" s="24" t="s">
        <v>52</v>
      </c>
      <c r="W64" s="24" t="s">
        <v>53</v>
      </c>
      <c r="X64" s="24" t="s">
        <v>117</v>
      </c>
      <c r="Y64" s="20"/>
      <c r="Z64" s="20"/>
      <c r="AA64" s="20"/>
      <c r="AB64" s="35"/>
      <c r="AC64" s="20"/>
      <c r="AD64" s="20"/>
      <c r="AE64" s="20"/>
      <c r="AF64" s="35"/>
      <c r="AG64" s="37">
        <v>0.22500000000000001</v>
      </c>
      <c r="AH64" s="20" t="s">
        <v>375</v>
      </c>
      <c r="AI64" s="37">
        <v>0.26</v>
      </c>
      <c r="AJ64" s="29" t="str">
        <f t="shared" si="51"/>
        <v>MALO</v>
      </c>
      <c r="AK64" s="20"/>
      <c r="AL64" s="20"/>
      <c r="AM64" s="20"/>
      <c r="AN64" s="29" t="str">
        <f t="shared" si="3"/>
        <v/>
      </c>
      <c r="AO64" s="20"/>
      <c r="AP64" s="20"/>
      <c r="AQ64" s="20"/>
      <c r="AR64" s="29" t="str">
        <f t="shared" si="4"/>
        <v/>
      </c>
      <c r="AS64" s="23">
        <v>0.4</v>
      </c>
      <c r="AT64" s="20" t="s">
        <v>378</v>
      </c>
      <c r="AU64" s="37">
        <v>0.42359999999999998</v>
      </c>
      <c r="AV64" s="29" t="str">
        <f t="shared" si="11"/>
        <v>MALO</v>
      </c>
      <c r="AW64" s="20"/>
      <c r="AX64" s="20"/>
      <c r="AY64" s="20"/>
      <c r="AZ64" s="29"/>
      <c r="BA64" s="20"/>
      <c r="BB64" s="20"/>
      <c r="BC64" s="20"/>
      <c r="BD64" s="29"/>
      <c r="BE64" s="23">
        <v>0.5</v>
      </c>
      <c r="BF64" s="95" t="s">
        <v>379</v>
      </c>
      <c r="BG64" s="23">
        <v>0.58260000000000001</v>
      </c>
      <c r="BH64" s="29" t="str">
        <f t="shared" si="7"/>
        <v>MALO</v>
      </c>
      <c r="BI64" s="20"/>
      <c r="BJ64" s="20"/>
      <c r="BK64" s="20"/>
      <c r="BL64" s="20"/>
      <c r="BM64" s="20"/>
      <c r="BN64" s="20"/>
      <c r="BO64" s="20"/>
      <c r="BP64" s="20"/>
      <c r="BQ64" s="23">
        <v>0.9</v>
      </c>
      <c r="BR64" s="20" t="s">
        <v>380</v>
      </c>
      <c r="BS64" s="23">
        <v>0.87</v>
      </c>
      <c r="BT64" s="29" t="str">
        <f t="shared" si="53"/>
        <v>BUENO</v>
      </c>
      <c r="BU64" s="76" t="s">
        <v>565</v>
      </c>
    </row>
    <row r="65" spans="1:73" ht="63" customHeight="1">
      <c r="A65" s="205"/>
      <c r="B65" s="174"/>
      <c r="C65" s="188"/>
      <c r="D65" s="40"/>
      <c r="E65" s="20">
        <v>1</v>
      </c>
      <c r="F65" s="20"/>
      <c r="G65" s="20"/>
      <c r="H65" s="20"/>
      <c r="I65" s="41" t="s">
        <v>381</v>
      </c>
      <c r="J65" s="41" t="s">
        <v>382</v>
      </c>
      <c r="K65" s="20" t="s">
        <v>383</v>
      </c>
      <c r="L65" s="168"/>
      <c r="M65" s="20" t="s">
        <v>196</v>
      </c>
      <c r="N65" s="20" t="s">
        <v>377</v>
      </c>
      <c r="O65" s="20" t="s">
        <v>49</v>
      </c>
      <c r="P65" s="20" t="s">
        <v>363</v>
      </c>
      <c r="Q65" s="20" t="s">
        <v>384</v>
      </c>
      <c r="R65" s="37">
        <v>0.9</v>
      </c>
      <c r="S65" s="37">
        <f>BS65</f>
        <v>0.9425</v>
      </c>
      <c r="T65" s="37">
        <f t="shared" si="57"/>
        <v>1.0472222222222223</v>
      </c>
      <c r="U65" s="29" t="str">
        <f t="shared" si="1"/>
        <v>BUENO</v>
      </c>
      <c r="V65" s="24" t="s">
        <v>52</v>
      </c>
      <c r="W65" s="24" t="s">
        <v>53</v>
      </c>
      <c r="X65" s="24" t="s">
        <v>117</v>
      </c>
      <c r="Y65" s="20"/>
      <c r="Z65" s="20"/>
      <c r="AA65" s="20"/>
      <c r="AB65" s="35"/>
      <c r="AC65" s="20"/>
      <c r="AD65" s="20"/>
      <c r="AE65" s="20"/>
      <c r="AF65" s="35"/>
      <c r="AG65" s="37">
        <v>0.22500000000000001</v>
      </c>
      <c r="AH65" s="20" t="s">
        <v>383</v>
      </c>
      <c r="AI65" s="37">
        <v>0.34</v>
      </c>
      <c r="AJ65" s="29" t="str">
        <f t="shared" si="51"/>
        <v>MALO</v>
      </c>
      <c r="AK65" s="20"/>
      <c r="AL65" s="20"/>
      <c r="AM65" s="20"/>
      <c r="AN65" s="29" t="str">
        <f t="shared" si="3"/>
        <v/>
      </c>
      <c r="AO65" s="20"/>
      <c r="AP65" s="20"/>
      <c r="AQ65" s="20"/>
      <c r="AR65" s="29" t="str">
        <f t="shared" si="4"/>
        <v/>
      </c>
      <c r="AS65" s="23">
        <v>0.4</v>
      </c>
      <c r="AT65" s="20" t="s">
        <v>385</v>
      </c>
      <c r="AU65" s="37">
        <v>0.5</v>
      </c>
      <c r="AV65" s="29" t="str">
        <f t="shared" si="11"/>
        <v>MALO</v>
      </c>
      <c r="AW65" s="20"/>
      <c r="AX65" s="20"/>
      <c r="AY65" s="20"/>
      <c r="AZ65" s="29"/>
      <c r="BA65" s="20"/>
      <c r="BB65" s="20"/>
      <c r="BC65" s="20"/>
      <c r="BD65" s="29"/>
      <c r="BE65" s="23">
        <v>0.6</v>
      </c>
      <c r="BF65" s="95" t="s">
        <v>386</v>
      </c>
      <c r="BG65" s="23">
        <v>0.62890000000000001</v>
      </c>
      <c r="BH65" s="29" t="str">
        <f t="shared" si="7"/>
        <v>MALO</v>
      </c>
      <c r="BI65" s="20"/>
      <c r="BJ65" s="20"/>
      <c r="BK65" s="20"/>
      <c r="BL65" s="20"/>
      <c r="BM65" s="20"/>
      <c r="BN65" s="20"/>
      <c r="BO65" s="20"/>
      <c r="BP65" s="20"/>
      <c r="BQ65" s="23">
        <v>0.9</v>
      </c>
      <c r="BR65" s="20" t="s">
        <v>387</v>
      </c>
      <c r="BS65" s="23">
        <v>0.9425</v>
      </c>
      <c r="BT65" s="29" t="str">
        <f t="shared" si="53"/>
        <v>BUENO</v>
      </c>
      <c r="BU65" s="34"/>
    </row>
    <row r="66" spans="1:73" ht="115.5" customHeight="1">
      <c r="A66" s="205"/>
      <c r="B66" s="174"/>
      <c r="C66" s="188"/>
      <c r="D66" s="40"/>
      <c r="E66" s="20">
        <v>1</v>
      </c>
      <c r="F66" s="20"/>
      <c r="G66" s="20"/>
      <c r="H66" s="20"/>
      <c r="I66" s="41" t="s">
        <v>388</v>
      </c>
      <c r="J66" s="20" t="s">
        <v>389</v>
      </c>
      <c r="K66" s="20" t="s">
        <v>390</v>
      </c>
      <c r="L66" s="20" t="s">
        <v>391</v>
      </c>
      <c r="M66" s="20" t="s">
        <v>196</v>
      </c>
      <c r="N66" s="20" t="s">
        <v>362</v>
      </c>
      <c r="O66" s="20" t="s">
        <v>49</v>
      </c>
      <c r="P66" s="20" t="s">
        <v>363</v>
      </c>
      <c r="Q66" s="20" t="s">
        <v>392</v>
      </c>
      <c r="R66" s="37">
        <v>0.9</v>
      </c>
      <c r="S66" s="37">
        <f t="shared" si="56"/>
        <v>0.16603559331558565</v>
      </c>
      <c r="T66" s="37">
        <f t="shared" si="57"/>
        <v>0.18448399257287293</v>
      </c>
      <c r="U66" s="29" t="str">
        <f t="shared" si="1"/>
        <v>MALO</v>
      </c>
      <c r="V66" s="24" t="s">
        <v>52</v>
      </c>
      <c r="W66" s="24" t="s">
        <v>53</v>
      </c>
      <c r="X66" s="24" t="s">
        <v>117</v>
      </c>
      <c r="Y66" s="20"/>
      <c r="Z66" s="20"/>
      <c r="AA66" s="20"/>
      <c r="AB66" s="35"/>
      <c r="AC66" s="20"/>
      <c r="AD66" s="20"/>
      <c r="AE66" s="20"/>
      <c r="AF66" s="35"/>
      <c r="AG66" s="94">
        <v>22.5</v>
      </c>
      <c r="AH66" s="70" t="s">
        <v>393</v>
      </c>
      <c r="AI66" s="23">
        <v>-7.3177860237550602E-2</v>
      </c>
      <c r="AJ66" s="29" t="s">
        <v>372</v>
      </c>
      <c r="AK66" s="20"/>
      <c r="AL66" s="20"/>
      <c r="AM66" s="20"/>
      <c r="AN66" s="29" t="str">
        <f t="shared" si="3"/>
        <v/>
      </c>
      <c r="AO66" s="20"/>
      <c r="AP66" s="20"/>
      <c r="AQ66" s="20"/>
      <c r="AR66" s="29" t="str">
        <f t="shared" si="4"/>
        <v/>
      </c>
      <c r="AS66" s="94">
        <v>22.5</v>
      </c>
      <c r="AT66" s="70" t="s">
        <v>394</v>
      </c>
      <c r="AU66" s="23">
        <v>0.13822598942998482</v>
      </c>
      <c r="AV66" s="29" t="str">
        <f t="shared" si="11"/>
        <v>MALO</v>
      </c>
      <c r="AW66" s="20"/>
      <c r="AX66" s="20"/>
      <c r="AY66" s="20"/>
      <c r="AZ66" s="29"/>
      <c r="BA66" s="20"/>
      <c r="BB66" s="20"/>
      <c r="BC66" s="20"/>
      <c r="BD66" s="29"/>
      <c r="BE66" s="23">
        <v>22.5</v>
      </c>
      <c r="BF66" s="23" t="s">
        <v>395</v>
      </c>
      <c r="BG66" s="23">
        <v>0.24772067087458258</v>
      </c>
      <c r="BH66" s="29" t="str">
        <f t="shared" si="7"/>
        <v>MALO</v>
      </c>
      <c r="BI66" s="20"/>
      <c r="BJ66" s="20"/>
      <c r="BK66" s="20"/>
      <c r="BL66" s="20"/>
      <c r="BM66" s="20"/>
      <c r="BN66" s="20"/>
      <c r="BO66" s="20"/>
      <c r="BP66" s="20"/>
      <c r="BQ66" s="20">
        <v>22.5</v>
      </c>
      <c r="BR66" s="20" t="s">
        <v>396</v>
      </c>
      <c r="BS66" s="23">
        <v>0.35137357319532586</v>
      </c>
      <c r="BT66" s="29" t="str">
        <f t="shared" si="53"/>
        <v>MALO</v>
      </c>
      <c r="BU66" s="79" t="s">
        <v>571</v>
      </c>
    </row>
    <row r="67" spans="1:73" ht="78.75" customHeight="1">
      <c r="A67" s="205"/>
      <c r="B67" s="174"/>
      <c r="C67" s="188"/>
      <c r="D67" s="40"/>
      <c r="E67" s="20">
        <v>1</v>
      </c>
      <c r="F67" s="20"/>
      <c r="G67" s="20"/>
      <c r="H67" s="20"/>
      <c r="I67" s="41" t="s">
        <v>397</v>
      </c>
      <c r="J67" s="20" t="s">
        <v>398</v>
      </c>
      <c r="K67" s="20" t="s">
        <v>399</v>
      </c>
      <c r="L67" s="20" t="s">
        <v>391</v>
      </c>
      <c r="M67" s="20" t="s">
        <v>196</v>
      </c>
      <c r="N67" s="20" t="s">
        <v>362</v>
      </c>
      <c r="O67" s="20" t="s">
        <v>49</v>
      </c>
      <c r="P67" s="20" t="s">
        <v>363</v>
      </c>
      <c r="Q67" s="20" t="s">
        <v>392</v>
      </c>
      <c r="R67" s="37">
        <v>0.2</v>
      </c>
      <c r="S67" s="37">
        <f t="shared" si="56"/>
        <v>0.11167666043654856</v>
      </c>
      <c r="T67" s="37">
        <f t="shared" si="57"/>
        <v>0.55838330218274279</v>
      </c>
      <c r="U67" s="29" t="str">
        <f t="shared" si="1"/>
        <v>MALO</v>
      </c>
      <c r="V67" s="24" t="s">
        <v>143</v>
      </c>
      <c r="W67" s="24" t="s">
        <v>144</v>
      </c>
      <c r="X67" s="24" t="s">
        <v>145</v>
      </c>
      <c r="Y67" s="20"/>
      <c r="Z67" s="20"/>
      <c r="AA67" s="20"/>
      <c r="AB67" s="35"/>
      <c r="AC67" s="20"/>
      <c r="AD67" s="20"/>
      <c r="AE67" s="20"/>
      <c r="AF67" s="35"/>
      <c r="AG67" s="94">
        <v>5</v>
      </c>
      <c r="AH67" s="70" t="s">
        <v>400</v>
      </c>
      <c r="AI67" s="23">
        <v>-3.302859922833061E-2</v>
      </c>
      <c r="AJ67" s="29" t="s">
        <v>372</v>
      </c>
      <c r="AK67" s="20"/>
      <c r="AL67" s="20"/>
      <c r="AM67" s="20"/>
      <c r="AN67" s="29" t="str">
        <f t="shared" si="3"/>
        <v/>
      </c>
      <c r="AO67" s="20"/>
      <c r="AP67" s="20"/>
      <c r="AQ67" s="20"/>
      <c r="AR67" s="29" t="str">
        <f t="shared" si="4"/>
        <v/>
      </c>
      <c r="AS67" s="94">
        <v>5</v>
      </c>
      <c r="AT67" s="70" t="s">
        <v>401</v>
      </c>
      <c r="AU67" s="23">
        <v>0.10654897814023269</v>
      </c>
      <c r="AV67" s="29" t="str">
        <f t="shared" si="11"/>
        <v>MALO</v>
      </c>
      <c r="AW67" s="20"/>
      <c r="AX67" s="20"/>
      <c r="AY67" s="20"/>
      <c r="AZ67" s="29"/>
      <c r="BA67" s="20"/>
      <c r="BB67" s="20"/>
      <c r="BC67" s="20"/>
      <c r="BD67" s="29"/>
      <c r="BE67" s="23">
        <v>5</v>
      </c>
      <c r="BF67" s="23" t="s">
        <v>402</v>
      </c>
      <c r="BG67" s="23">
        <v>0.16473391439966928</v>
      </c>
      <c r="BH67" s="29" t="str">
        <f t="shared" si="7"/>
        <v>MALO</v>
      </c>
      <c r="BI67" s="20"/>
      <c r="BJ67" s="20"/>
      <c r="BK67" s="20"/>
      <c r="BL67" s="20"/>
      <c r="BM67" s="20"/>
      <c r="BN67" s="20"/>
      <c r="BO67" s="20"/>
      <c r="BP67" s="20"/>
      <c r="BQ67" s="20">
        <v>5</v>
      </c>
      <c r="BR67" s="20" t="s">
        <v>403</v>
      </c>
      <c r="BS67" s="23">
        <v>0.20845234843462285</v>
      </c>
      <c r="BT67" s="29" t="str">
        <f t="shared" si="53"/>
        <v>MALO</v>
      </c>
      <c r="BU67" s="79" t="s">
        <v>571</v>
      </c>
    </row>
    <row r="68" spans="1:73" ht="94.5" customHeight="1">
      <c r="A68" s="205"/>
      <c r="B68" s="174"/>
      <c r="C68" s="188"/>
      <c r="D68" s="40"/>
      <c r="E68" s="20">
        <v>1</v>
      </c>
      <c r="F68" s="20"/>
      <c r="G68" s="20"/>
      <c r="H68" s="20"/>
      <c r="I68" s="41" t="s">
        <v>404</v>
      </c>
      <c r="J68" s="20" t="s">
        <v>405</v>
      </c>
      <c r="K68" s="20" t="s">
        <v>406</v>
      </c>
      <c r="L68" s="20" t="s">
        <v>391</v>
      </c>
      <c r="M68" s="20" t="s">
        <v>196</v>
      </c>
      <c r="N68" s="20" t="s">
        <v>407</v>
      </c>
      <c r="O68" s="20" t="s">
        <v>114</v>
      </c>
      <c r="P68" s="20" t="s">
        <v>363</v>
      </c>
      <c r="Q68" s="20" t="s">
        <v>408</v>
      </c>
      <c r="R68" s="37">
        <v>0.9</v>
      </c>
      <c r="S68" s="37">
        <f t="shared" si="56"/>
        <v>1.907797005917959</v>
      </c>
      <c r="T68" s="37">
        <f t="shared" si="57"/>
        <v>2.1197744510199543</v>
      </c>
      <c r="U68" s="29" t="str">
        <f t="shared" si="1"/>
        <v>BUENO</v>
      </c>
      <c r="V68" s="24" t="s">
        <v>52</v>
      </c>
      <c r="W68" s="24" t="s">
        <v>53</v>
      </c>
      <c r="X68" s="24" t="s">
        <v>117</v>
      </c>
      <c r="Y68" s="20"/>
      <c r="Z68" s="20"/>
      <c r="AA68" s="20"/>
      <c r="AB68" s="35"/>
      <c r="AC68" s="20"/>
      <c r="AD68" s="20"/>
      <c r="AE68" s="20"/>
      <c r="AF68" s="35"/>
      <c r="AG68" s="94">
        <v>22.5</v>
      </c>
      <c r="AH68" s="70" t="s">
        <v>409</v>
      </c>
      <c r="AI68" s="23">
        <v>7.2400000000000006E-2</v>
      </c>
      <c r="AJ68" s="29" t="str">
        <f t="shared" si="51"/>
        <v>MALO</v>
      </c>
      <c r="AK68" s="20"/>
      <c r="AL68" s="20"/>
      <c r="AM68" s="20"/>
      <c r="AN68" s="29" t="str">
        <f t="shared" si="3"/>
        <v/>
      </c>
      <c r="AO68" s="20"/>
      <c r="AP68" s="20"/>
      <c r="AQ68" s="20"/>
      <c r="AR68" s="29" t="str">
        <f t="shared" si="4"/>
        <v/>
      </c>
      <c r="AS68" s="94">
        <v>22.5</v>
      </c>
      <c r="AT68" s="70" t="s">
        <v>410</v>
      </c>
      <c r="AU68" s="23">
        <v>3.5664896322581092</v>
      </c>
      <c r="AV68" s="29" t="str">
        <f t="shared" si="11"/>
        <v>BUENO</v>
      </c>
      <c r="AW68" s="20"/>
      <c r="AX68" s="20"/>
      <c r="AY68" s="20"/>
      <c r="AZ68" s="29"/>
      <c r="BA68" s="20"/>
      <c r="BB68" s="20"/>
      <c r="BC68" s="20"/>
      <c r="BD68" s="29"/>
      <c r="BE68" s="23">
        <v>22.5</v>
      </c>
      <c r="BF68" s="23" t="s">
        <v>411</v>
      </c>
      <c r="BG68" s="23">
        <v>2.3988575456704333</v>
      </c>
      <c r="BH68" s="29" t="str">
        <f t="shared" si="7"/>
        <v>BUENO</v>
      </c>
      <c r="BI68" s="20"/>
      <c r="BJ68" s="20"/>
      <c r="BK68" s="20"/>
      <c r="BL68" s="20"/>
      <c r="BM68" s="20"/>
      <c r="BN68" s="20"/>
      <c r="BO68" s="20"/>
      <c r="BP68" s="20"/>
      <c r="BQ68" s="20">
        <v>22.5</v>
      </c>
      <c r="BR68" s="20" t="s">
        <v>412</v>
      </c>
      <c r="BS68" s="23">
        <v>1.5934408457432934</v>
      </c>
      <c r="BT68" s="29" t="str">
        <f t="shared" si="53"/>
        <v>BUENO</v>
      </c>
      <c r="BU68" s="34"/>
    </row>
    <row r="69" spans="1:73" ht="94.5" customHeight="1">
      <c r="A69" s="205"/>
      <c r="B69" s="174"/>
      <c r="C69" s="188"/>
      <c r="D69" s="40"/>
      <c r="E69" s="20">
        <v>1</v>
      </c>
      <c r="F69" s="20"/>
      <c r="G69" s="20"/>
      <c r="H69" s="20"/>
      <c r="I69" s="41" t="s">
        <v>413</v>
      </c>
      <c r="J69" s="20" t="s">
        <v>414</v>
      </c>
      <c r="K69" s="20" t="s">
        <v>415</v>
      </c>
      <c r="L69" s="20" t="s">
        <v>391</v>
      </c>
      <c r="M69" s="20" t="s">
        <v>196</v>
      </c>
      <c r="N69" s="20" t="s">
        <v>407</v>
      </c>
      <c r="O69" s="20" t="s">
        <v>114</v>
      </c>
      <c r="P69" s="20" t="s">
        <v>363</v>
      </c>
      <c r="Q69" s="20" t="s">
        <v>416</v>
      </c>
      <c r="R69" s="37">
        <v>0</v>
      </c>
      <c r="S69" s="37">
        <f t="shared" si="56"/>
        <v>-0.4491313851971333</v>
      </c>
      <c r="T69" s="37">
        <v>-0.45</v>
      </c>
      <c r="U69" s="29" t="s">
        <v>372</v>
      </c>
      <c r="V69" s="24" t="s">
        <v>54</v>
      </c>
      <c r="W69" s="24" t="s">
        <v>53</v>
      </c>
      <c r="X69" s="24" t="s">
        <v>52</v>
      </c>
      <c r="Y69" s="20"/>
      <c r="Z69" s="20"/>
      <c r="AA69" s="20"/>
      <c r="AB69" s="35"/>
      <c r="AC69" s="20"/>
      <c r="AD69" s="20"/>
      <c r="AE69" s="20"/>
      <c r="AF69" s="35"/>
      <c r="AG69" s="94">
        <v>25</v>
      </c>
      <c r="AH69" s="70" t="s">
        <v>417</v>
      </c>
      <c r="AI69" s="23">
        <v>-3.1135553127580473</v>
      </c>
      <c r="AJ69" s="29" t="s">
        <v>372</v>
      </c>
      <c r="AK69" s="20"/>
      <c r="AL69" s="20"/>
      <c r="AM69" s="20"/>
      <c r="AN69" s="29" t="str">
        <f t="shared" si="3"/>
        <v/>
      </c>
      <c r="AO69" s="20"/>
      <c r="AP69" s="20"/>
      <c r="AQ69" s="20"/>
      <c r="AR69" s="29" t="str">
        <f t="shared" si="4"/>
        <v/>
      </c>
      <c r="AS69" s="94">
        <v>25</v>
      </c>
      <c r="AT69" s="70" t="s">
        <v>418</v>
      </c>
      <c r="AU69" s="23">
        <v>0.362502413909637</v>
      </c>
      <c r="AV69" s="29" t="str">
        <f t="shared" si="11"/>
        <v>MALO</v>
      </c>
      <c r="AW69" s="20"/>
      <c r="AX69" s="20"/>
      <c r="AY69" s="20"/>
      <c r="AZ69" s="29"/>
      <c r="BA69" s="20"/>
      <c r="BB69" s="20"/>
      <c r="BC69" s="20"/>
      <c r="BD69" s="29"/>
      <c r="BE69" s="23">
        <v>25</v>
      </c>
      <c r="BF69" s="23" t="s">
        <v>419</v>
      </c>
      <c r="BG69" s="23">
        <v>0.66950543323952483</v>
      </c>
      <c r="BH69" s="29" t="str">
        <f t="shared" si="7"/>
        <v>REGULAR</v>
      </c>
      <c r="BI69" s="20"/>
      <c r="BJ69" s="20"/>
      <c r="BK69" s="20"/>
      <c r="BL69" s="20"/>
      <c r="BM69" s="20"/>
      <c r="BN69" s="20"/>
      <c r="BO69" s="20"/>
      <c r="BP69" s="20"/>
      <c r="BQ69" s="20">
        <v>25</v>
      </c>
      <c r="BR69" s="20" t="s">
        <v>420</v>
      </c>
      <c r="BS69" s="23">
        <v>0.28502192482035249</v>
      </c>
      <c r="BT69" s="29" t="str">
        <f t="shared" si="53"/>
        <v>MALO</v>
      </c>
      <c r="BU69" s="79" t="s">
        <v>571</v>
      </c>
    </row>
    <row r="70" spans="1:73" ht="49.5" customHeight="1">
      <c r="A70" s="205"/>
      <c r="B70" s="174"/>
      <c r="C70" s="201" t="s">
        <v>421</v>
      </c>
      <c r="D70" s="40"/>
      <c r="E70" s="20">
        <v>1</v>
      </c>
      <c r="F70" s="20"/>
      <c r="G70" s="20"/>
      <c r="H70" s="20"/>
      <c r="I70" s="41" t="s">
        <v>422</v>
      </c>
      <c r="J70" s="20" t="s">
        <v>423</v>
      </c>
      <c r="K70" s="20" t="s">
        <v>424</v>
      </c>
      <c r="L70" s="20" t="s">
        <v>425</v>
      </c>
      <c r="M70" s="20" t="s">
        <v>76</v>
      </c>
      <c r="N70" s="20" t="s">
        <v>301</v>
      </c>
      <c r="O70" s="20" t="s">
        <v>49</v>
      </c>
      <c r="P70" s="20" t="s">
        <v>78</v>
      </c>
      <c r="Q70" s="20" t="s">
        <v>274</v>
      </c>
      <c r="R70" s="37">
        <v>0.8</v>
      </c>
      <c r="S70" s="37">
        <f t="shared" si="56"/>
        <v>0.77500000000000002</v>
      </c>
      <c r="T70" s="37">
        <f t="shared" ref="T70:T75" si="58">+S70/R70</f>
        <v>0.96875</v>
      </c>
      <c r="U70" s="29" t="str">
        <f t="shared" si="1"/>
        <v>BUENO</v>
      </c>
      <c r="V70" s="24" t="s">
        <v>154</v>
      </c>
      <c r="W70" s="24" t="s">
        <v>155</v>
      </c>
      <c r="X70" s="24" t="s">
        <v>332</v>
      </c>
      <c r="Y70" s="20"/>
      <c r="Z70" s="20"/>
      <c r="AA70" s="20"/>
      <c r="AB70" s="35"/>
      <c r="AC70" s="20"/>
      <c r="AD70" s="20"/>
      <c r="AE70" s="20"/>
      <c r="AF70" s="35"/>
      <c r="AG70" s="20"/>
      <c r="AH70" s="58"/>
      <c r="AI70" s="20"/>
      <c r="AJ70" s="35"/>
      <c r="AK70" s="20"/>
      <c r="AL70" s="20"/>
      <c r="AM70" s="20"/>
      <c r="AN70" s="29" t="str">
        <f t="shared" ref="AN70:AN86" si="59">IF(AM70&gt;=80%,"BUENO",IF(AM70&gt;=66%,"REGULAR",IF(AM70&gt;=0.00001%,"MALO","")))</f>
        <v/>
      </c>
      <c r="AO70" s="20"/>
      <c r="AP70" s="20"/>
      <c r="AQ70" s="20"/>
      <c r="AR70" s="29" t="str">
        <f t="shared" ref="AR70:AR86" si="60">IF(AQ70&gt;=80%,"BUENO",IF(AQ70&gt;=66%,"REGULAR",IF(AQ70&gt;=0.00001%,"MALO","")))</f>
        <v/>
      </c>
      <c r="AS70" s="24" t="s">
        <v>332</v>
      </c>
      <c r="AT70" s="96" t="s">
        <v>426</v>
      </c>
      <c r="AU70" s="23">
        <f>0.75*100%</f>
        <v>0.75</v>
      </c>
      <c r="AV70" s="29" t="str">
        <f t="shared" si="11"/>
        <v>REGULAR</v>
      </c>
      <c r="AW70" s="20"/>
      <c r="AX70" s="20"/>
      <c r="AY70" s="20"/>
      <c r="AZ70" s="29"/>
      <c r="BA70" s="20"/>
      <c r="BB70" s="20"/>
      <c r="BC70" s="20"/>
      <c r="BD70" s="29"/>
      <c r="BE70" s="20"/>
      <c r="BF70" s="20"/>
      <c r="BG70" s="20"/>
      <c r="BH70" s="29"/>
      <c r="BI70" s="20"/>
      <c r="BJ70" s="20"/>
      <c r="BK70" s="20"/>
      <c r="BL70" s="20"/>
      <c r="BM70" s="20"/>
      <c r="BN70" s="20"/>
      <c r="BO70" s="20"/>
      <c r="BP70" s="20"/>
      <c r="BQ70" s="58" t="s">
        <v>332</v>
      </c>
      <c r="BR70" s="58" t="s">
        <v>427</v>
      </c>
      <c r="BS70" s="30">
        <v>0.8</v>
      </c>
      <c r="BT70" s="29" t="str">
        <f t="shared" si="53"/>
        <v>BUENO</v>
      </c>
      <c r="BU70" s="34"/>
    </row>
    <row r="71" spans="1:73" ht="66" customHeight="1">
      <c r="A71" s="205"/>
      <c r="B71" s="174"/>
      <c r="C71" s="201"/>
      <c r="D71" s="40"/>
      <c r="E71" s="20">
        <v>1</v>
      </c>
      <c r="F71" s="20"/>
      <c r="G71" s="20"/>
      <c r="H71" s="20"/>
      <c r="I71" s="41" t="s">
        <v>428</v>
      </c>
      <c r="J71" s="20" t="s">
        <v>429</v>
      </c>
      <c r="K71" s="20" t="s">
        <v>430</v>
      </c>
      <c r="L71" s="20" t="s">
        <v>431</v>
      </c>
      <c r="M71" s="20" t="s">
        <v>48</v>
      </c>
      <c r="N71" s="20" t="s">
        <v>301</v>
      </c>
      <c r="O71" s="20" t="s">
        <v>114</v>
      </c>
      <c r="P71" s="20" t="s">
        <v>78</v>
      </c>
      <c r="Q71" s="20" t="s">
        <v>274</v>
      </c>
      <c r="R71" s="37">
        <v>0.8</v>
      </c>
      <c r="S71" s="72">
        <f>+AVERAGE(AE71,AI71,AM71,AQ71,AU71,AY71,BC71,BG71,BK71,BO71,BS71)</f>
        <v>0.97461791157482436</v>
      </c>
      <c r="T71" s="37">
        <f t="shared" si="58"/>
        <v>1.2182723894685303</v>
      </c>
      <c r="U71" s="29" t="str">
        <f t="shared" si="1"/>
        <v>BUENO</v>
      </c>
      <c r="V71" s="24" t="s">
        <v>154</v>
      </c>
      <c r="W71" s="24" t="s">
        <v>155</v>
      </c>
      <c r="X71" s="24" t="s">
        <v>332</v>
      </c>
      <c r="Y71" s="37">
        <v>0.8</v>
      </c>
      <c r="Z71" s="20" t="s">
        <v>432</v>
      </c>
      <c r="AA71" s="37">
        <v>1</v>
      </c>
      <c r="AB71" s="29" t="str">
        <f t="shared" ref="AB71" si="61">IF(AA71&gt;=80%,"BUENO",IF(AA71&gt;=66%,"REGULAR",IF(AA71&gt;=0.00001%,"MALO","")))</f>
        <v>BUENO</v>
      </c>
      <c r="AC71" s="37">
        <v>0.8</v>
      </c>
      <c r="AD71" s="97">
        <v>0.96739130434782605</v>
      </c>
      <c r="AE71" s="23">
        <v>0.96</v>
      </c>
      <c r="AF71" s="29" t="str">
        <f t="shared" ref="AF71" si="62">IF(AE71&gt;=80%,"BUENO",IF(AE71&gt;=66%,"REGULAR",IF(AE71&gt;=0.00001%,"MALO","")))</f>
        <v>BUENO</v>
      </c>
      <c r="AG71" s="37">
        <v>0.8</v>
      </c>
      <c r="AH71" s="58" t="s">
        <v>433</v>
      </c>
      <c r="AI71" s="84">
        <v>0.98</v>
      </c>
      <c r="AJ71" s="29" t="str">
        <f t="shared" ref="AJ71:AJ73" si="63">IF(AI71&gt;=80%,"BUENO",IF(AI71&gt;=66%,"REGULAR",IF(AI71&gt;=0.00001%,"MALO","")))</f>
        <v>BUENO</v>
      </c>
      <c r="AK71" s="37">
        <v>0.8</v>
      </c>
      <c r="AL71" s="20" t="s">
        <v>434</v>
      </c>
      <c r="AM71" s="23">
        <f>0.98314606741573*100%</f>
        <v>0.98314606741572996</v>
      </c>
      <c r="AN71" s="29" t="str">
        <f t="shared" si="59"/>
        <v>BUENO</v>
      </c>
      <c r="AO71" s="24" t="s">
        <v>332</v>
      </c>
      <c r="AP71" s="98" t="s">
        <v>435</v>
      </c>
      <c r="AQ71" s="23">
        <f>0.97037037037037*100%</f>
        <v>0.97037037037036999</v>
      </c>
      <c r="AR71" s="29" t="str">
        <f t="shared" si="60"/>
        <v>BUENO</v>
      </c>
      <c r="AS71" s="24" t="s">
        <v>332</v>
      </c>
      <c r="AT71" s="99" t="s">
        <v>436</v>
      </c>
      <c r="AU71" s="23">
        <v>0.98</v>
      </c>
      <c r="AV71" s="29" t="str">
        <f>IF(AU71&gt;=80%,"BUENO",IF(AU71&gt;=66%,"REGULAR",IF(AU71&gt;=0%,"MALO","")))</f>
        <v>BUENO</v>
      </c>
      <c r="AW71" s="73" t="s">
        <v>332</v>
      </c>
      <c r="AX71" s="58" t="s">
        <v>437</v>
      </c>
      <c r="AY71" s="30">
        <v>0.97391304347826091</v>
      </c>
      <c r="AZ71" s="29" t="str">
        <f t="shared" ref="AZ71:AZ72" si="64">IF(AY71&gt;=80%,"BUENO",IF(AY71&gt;=66%,"REGULAR",IF(AY71&gt;=0%,"MALO","")))</f>
        <v>BUENO</v>
      </c>
      <c r="BA71" s="73" t="s">
        <v>332</v>
      </c>
      <c r="BB71" s="30" t="s">
        <v>438</v>
      </c>
      <c r="BC71" s="30">
        <v>0.95454545454545459</v>
      </c>
      <c r="BD71" s="29" t="str">
        <f t="shared" ref="BD71" si="65">IF(BC71&gt;=80%,"BUENO",IF(BC71&gt;=66%,"REGULAR",IF(BC71&gt;=0%,"MALO","")))</f>
        <v>BUENO</v>
      </c>
      <c r="BE71" s="73" t="s">
        <v>332</v>
      </c>
      <c r="BF71" s="30" t="s">
        <v>439</v>
      </c>
      <c r="BG71" s="30">
        <v>0.99230769230769234</v>
      </c>
      <c r="BH71" s="29" t="str">
        <f t="shared" ref="BH71:BH82" si="66">IF(BG71&gt;=80%,"BUENO",IF(BG71&gt;=66%,"REGULAR",IF(BG71&gt;=0%,"MALO","")))</f>
        <v>BUENO</v>
      </c>
      <c r="BI71" s="73" t="s">
        <v>332</v>
      </c>
      <c r="BJ71" s="58" t="s">
        <v>440</v>
      </c>
      <c r="BK71" s="30">
        <v>0.97368421052631582</v>
      </c>
      <c r="BL71" s="29" t="str">
        <f t="shared" ref="BL71:BL72" si="67">IF(BK71&gt;=80%,"BUENO",IF(BK71&gt;=66%,"REGULAR",IF(BK71&gt;=0%,"MALO","")))</f>
        <v>BUENO</v>
      </c>
      <c r="BM71" s="58" t="s">
        <v>332</v>
      </c>
      <c r="BN71" s="58" t="s">
        <v>441</v>
      </c>
      <c r="BO71" s="30">
        <v>1</v>
      </c>
      <c r="BP71" s="29" t="str">
        <f t="shared" ref="BP71:BP72" si="68">IF(BO71&gt;=80%,"BUENO",IF(BO71&gt;=66%,"REGULAR",IF(BO71&gt;=0%,"MALO","")))</f>
        <v>BUENO</v>
      </c>
      <c r="BQ71" s="58" t="s">
        <v>332</v>
      </c>
      <c r="BR71" s="58" t="s">
        <v>442</v>
      </c>
      <c r="BS71" s="30">
        <v>0.95283018867924529</v>
      </c>
      <c r="BT71" s="29" t="str">
        <f t="shared" si="53"/>
        <v>BUENO</v>
      </c>
      <c r="BU71" s="34"/>
    </row>
    <row r="72" spans="1:73" ht="66" customHeight="1">
      <c r="A72" s="205"/>
      <c r="B72" s="174"/>
      <c r="C72" s="201"/>
      <c r="D72" s="40"/>
      <c r="E72" s="20">
        <v>1</v>
      </c>
      <c r="F72" s="20"/>
      <c r="G72" s="20"/>
      <c r="H72" s="20"/>
      <c r="I72" s="41" t="s">
        <v>443</v>
      </c>
      <c r="J72" s="20" t="s">
        <v>444</v>
      </c>
      <c r="K72" s="20" t="s">
        <v>445</v>
      </c>
      <c r="L72" s="20" t="s">
        <v>446</v>
      </c>
      <c r="M72" s="20" t="s">
        <v>48</v>
      </c>
      <c r="N72" s="20" t="s">
        <v>301</v>
      </c>
      <c r="O72" s="20" t="s">
        <v>114</v>
      </c>
      <c r="P72" s="20" t="s">
        <v>78</v>
      </c>
      <c r="Q72" s="20" t="s">
        <v>274</v>
      </c>
      <c r="R72" s="37">
        <v>0.9</v>
      </c>
      <c r="S72" s="72">
        <f>+AVERAGE(AE72,AI72,AM72,AQ72,AU72,AY72,BC72,BG72,BK72,BO72,BS72)</f>
        <v>0.97103947154521697</v>
      </c>
      <c r="T72" s="37">
        <f t="shared" si="58"/>
        <v>1.0789327461613523</v>
      </c>
      <c r="U72" s="29" t="str">
        <f t="shared" si="1"/>
        <v>BUENO</v>
      </c>
      <c r="V72" s="24" t="s">
        <v>52</v>
      </c>
      <c r="W72" s="24" t="s">
        <v>53</v>
      </c>
      <c r="X72" s="24" t="s">
        <v>117</v>
      </c>
      <c r="Y72" s="20"/>
      <c r="Z72" s="20"/>
      <c r="AA72" s="20"/>
      <c r="AB72" s="35"/>
      <c r="AC72" s="20"/>
      <c r="AD72" s="20"/>
      <c r="AE72" s="20"/>
      <c r="AF72" s="35"/>
      <c r="AG72" s="37">
        <v>0.9</v>
      </c>
      <c r="AH72" s="58" t="s">
        <v>447</v>
      </c>
      <c r="AI72" s="23">
        <f>1-(3/184)*100%</f>
        <v>0.98369565217391308</v>
      </c>
      <c r="AJ72" s="29" t="str">
        <f t="shared" si="63"/>
        <v>BUENO</v>
      </c>
      <c r="AK72" s="37">
        <v>0.9</v>
      </c>
      <c r="AL72" s="20" t="s">
        <v>448</v>
      </c>
      <c r="AM72" s="23">
        <f>1-(3/236)*100%</f>
        <v>0.98728813559322037</v>
      </c>
      <c r="AN72" s="29" t="str">
        <f t="shared" si="59"/>
        <v>BUENO</v>
      </c>
      <c r="AO72" s="24" t="s">
        <v>117</v>
      </c>
      <c r="AP72" s="98" t="s">
        <v>449</v>
      </c>
      <c r="AQ72" s="23">
        <f>1-(7/520)*100%</f>
        <v>0.98653846153846159</v>
      </c>
      <c r="AR72" s="29" t="str">
        <f t="shared" si="60"/>
        <v>BUENO</v>
      </c>
      <c r="AS72" s="24" t="s">
        <v>117</v>
      </c>
      <c r="AT72" s="20" t="s">
        <v>450</v>
      </c>
      <c r="AU72" s="23">
        <f>1-(4/185)*100%</f>
        <v>0.97837837837837838</v>
      </c>
      <c r="AV72" s="29" t="str">
        <f t="shared" ref="AV72:AV82" si="69">IF(AU72&gt;=80%,"BUENO",IF(AU72&gt;=66%,"REGULAR",IF(AU72&gt;=0%,"MALO","")))</f>
        <v>BUENO</v>
      </c>
      <c r="AW72" s="73" t="s">
        <v>332</v>
      </c>
      <c r="AX72" s="92" t="s">
        <v>451</v>
      </c>
      <c r="AY72" s="30">
        <v>0.98</v>
      </c>
      <c r="AZ72" s="29" t="str">
        <f t="shared" si="64"/>
        <v>BUENO</v>
      </c>
      <c r="BA72" s="73" t="s">
        <v>117</v>
      </c>
      <c r="BB72" s="30" t="s">
        <v>452</v>
      </c>
      <c r="BC72" s="30">
        <v>0.96705882352941175</v>
      </c>
      <c r="BD72" s="29"/>
      <c r="BE72" s="73" t="s">
        <v>117</v>
      </c>
      <c r="BF72" s="30" t="s">
        <v>453</v>
      </c>
      <c r="BG72" s="30">
        <v>0.93023255813953487</v>
      </c>
      <c r="BH72" s="29" t="str">
        <f t="shared" si="66"/>
        <v>BUENO</v>
      </c>
      <c r="BI72" s="73" t="s">
        <v>117</v>
      </c>
      <c r="BJ72" s="58" t="s">
        <v>454</v>
      </c>
      <c r="BK72" s="30">
        <v>0.95774647887323949</v>
      </c>
      <c r="BL72" s="29" t="str">
        <f t="shared" si="67"/>
        <v>BUENO</v>
      </c>
      <c r="BM72" s="58" t="s">
        <v>117</v>
      </c>
      <c r="BN72" s="58" t="s">
        <v>455</v>
      </c>
      <c r="BO72" s="30">
        <v>0.97841726618705038</v>
      </c>
      <c r="BP72" s="29" t="str">
        <f t="shared" si="68"/>
        <v>BUENO</v>
      </c>
      <c r="BQ72" s="58" t="s">
        <v>117</v>
      </c>
      <c r="BR72" s="58" t="s">
        <v>456</v>
      </c>
      <c r="BS72" s="30">
        <v>0.96103896103896103</v>
      </c>
      <c r="BT72" s="29" t="str">
        <f t="shared" si="53"/>
        <v>BUENO</v>
      </c>
      <c r="BU72" s="34"/>
    </row>
    <row r="73" spans="1:73" ht="72" customHeight="1">
      <c r="A73" s="205"/>
      <c r="B73" s="174"/>
      <c r="C73" s="202" t="s">
        <v>457</v>
      </c>
      <c r="D73" s="40"/>
      <c r="E73" s="20">
        <v>1</v>
      </c>
      <c r="F73" s="20"/>
      <c r="G73" s="20"/>
      <c r="H73" s="20"/>
      <c r="I73" s="41" t="s">
        <v>458</v>
      </c>
      <c r="J73" s="20" t="s">
        <v>459</v>
      </c>
      <c r="K73" s="20" t="s">
        <v>460</v>
      </c>
      <c r="L73" s="20" t="s">
        <v>431</v>
      </c>
      <c r="M73" s="20" t="s">
        <v>196</v>
      </c>
      <c r="N73" s="20" t="s">
        <v>461</v>
      </c>
      <c r="O73" s="20" t="s">
        <v>83</v>
      </c>
      <c r="P73" s="20" t="s">
        <v>462</v>
      </c>
      <c r="Q73" s="20" t="s">
        <v>463</v>
      </c>
      <c r="R73" s="37">
        <v>0.85</v>
      </c>
      <c r="S73" s="37">
        <f>+AVERAGE(AI73,AU73,BG73,BS73)</f>
        <v>0.93828933747412002</v>
      </c>
      <c r="T73" s="37">
        <f t="shared" si="58"/>
        <v>1.1038698087930825</v>
      </c>
      <c r="U73" s="29" t="str">
        <f t="shared" si="1"/>
        <v>BUENO</v>
      </c>
      <c r="V73" s="24" t="s">
        <v>154</v>
      </c>
      <c r="W73" s="24" t="s">
        <v>155</v>
      </c>
      <c r="X73" s="24" t="s">
        <v>324</v>
      </c>
      <c r="Y73" s="20"/>
      <c r="Z73" s="20"/>
      <c r="AA73" s="20"/>
      <c r="AB73" s="35"/>
      <c r="AC73" s="20"/>
      <c r="AD73" s="20"/>
      <c r="AE73" s="20"/>
      <c r="AF73" s="35"/>
      <c r="AG73" s="37">
        <v>0.85</v>
      </c>
      <c r="AH73" s="20" t="s">
        <v>464</v>
      </c>
      <c r="AI73" s="37">
        <v>0.85</v>
      </c>
      <c r="AJ73" s="29" t="str">
        <f t="shared" si="63"/>
        <v>BUENO</v>
      </c>
      <c r="AK73" s="20"/>
      <c r="AL73" s="20"/>
      <c r="AM73" s="20"/>
      <c r="AN73" s="29" t="str">
        <f t="shared" si="59"/>
        <v/>
      </c>
      <c r="AO73" s="20"/>
      <c r="AP73" s="20"/>
      <c r="AQ73" s="20"/>
      <c r="AR73" s="29" t="str">
        <f t="shared" si="60"/>
        <v/>
      </c>
      <c r="AS73" s="37">
        <v>0.85</v>
      </c>
      <c r="AT73" s="61" t="s">
        <v>465</v>
      </c>
      <c r="AU73" s="84">
        <v>0.95499999999999996</v>
      </c>
      <c r="AV73" s="29" t="str">
        <f t="shared" si="69"/>
        <v>BUENO</v>
      </c>
      <c r="AW73" s="20"/>
      <c r="AX73" s="20"/>
      <c r="AY73" s="20"/>
      <c r="AZ73" s="29"/>
      <c r="BA73" s="20"/>
      <c r="BB73" s="20"/>
      <c r="BC73" s="20"/>
      <c r="BD73" s="29"/>
      <c r="BE73" s="73">
        <v>0.8</v>
      </c>
      <c r="BF73" s="23">
        <f>+(221+121)/350</f>
        <v>0.97714285714285709</v>
      </c>
      <c r="BG73" s="23">
        <f>+BF73</f>
        <v>0.97714285714285709</v>
      </c>
      <c r="BH73" s="29" t="str">
        <f t="shared" si="66"/>
        <v>BUENO</v>
      </c>
      <c r="BI73" s="20"/>
      <c r="BJ73" s="20"/>
      <c r="BK73" s="20"/>
      <c r="BL73" s="20"/>
      <c r="BM73" s="20"/>
      <c r="BN73" s="20"/>
      <c r="BO73" s="20"/>
      <c r="BP73" s="20"/>
      <c r="BQ73" s="20">
        <v>0.85</v>
      </c>
      <c r="BR73" s="20" t="s">
        <v>466</v>
      </c>
      <c r="BS73" s="23">
        <v>0.97101449275362317</v>
      </c>
      <c r="BT73" s="29" t="str">
        <f t="shared" si="53"/>
        <v>BUENO</v>
      </c>
      <c r="BU73" s="34"/>
    </row>
    <row r="74" spans="1:73" ht="90.75" customHeight="1">
      <c r="A74" s="205"/>
      <c r="B74" s="174"/>
      <c r="C74" s="202"/>
      <c r="D74" s="40"/>
      <c r="E74" s="20">
        <v>1</v>
      </c>
      <c r="F74" s="20"/>
      <c r="G74" s="20"/>
      <c r="H74" s="20"/>
      <c r="I74" s="41" t="s">
        <v>467</v>
      </c>
      <c r="J74" s="20" t="s">
        <v>468</v>
      </c>
      <c r="K74" s="20" t="s">
        <v>469</v>
      </c>
      <c r="L74" s="20" t="s">
        <v>470</v>
      </c>
      <c r="M74" s="20" t="s">
        <v>76</v>
      </c>
      <c r="N74" s="20" t="s">
        <v>461</v>
      </c>
      <c r="O74" s="20" t="s">
        <v>114</v>
      </c>
      <c r="P74" s="20" t="s">
        <v>273</v>
      </c>
      <c r="Q74" s="20" t="s">
        <v>274</v>
      </c>
      <c r="R74" s="37">
        <v>1</v>
      </c>
      <c r="S74" s="37">
        <f>+BS74</f>
        <v>1</v>
      </c>
      <c r="T74" s="37">
        <f t="shared" si="58"/>
        <v>1</v>
      </c>
      <c r="U74" s="29" t="str">
        <f t="shared" ref="U74:U86" si="70">IF(T74&gt;=80%,"BUENO",IF(T74&gt;=66%,"REGULAR",IF(T74&gt;=0.00001%,"MALO","")))</f>
        <v>BUENO</v>
      </c>
      <c r="V74" s="24" t="s">
        <v>52</v>
      </c>
      <c r="W74" s="24" t="s">
        <v>53</v>
      </c>
      <c r="X74" s="24" t="s">
        <v>54</v>
      </c>
      <c r="Y74" s="20"/>
      <c r="Z74" s="20"/>
      <c r="AA74" s="20"/>
      <c r="AB74" s="35"/>
      <c r="AC74" s="20"/>
      <c r="AD74" s="20"/>
      <c r="AE74" s="20"/>
      <c r="AF74" s="35"/>
      <c r="AG74" s="20"/>
      <c r="AH74" s="58"/>
      <c r="AI74" s="20"/>
      <c r="AJ74" s="35"/>
      <c r="AK74" s="20"/>
      <c r="AL74" s="20"/>
      <c r="AM74" s="20"/>
      <c r="AN74" s="29" t="str">
        <f t="shared" si="59"/>
        <v/>
      </c>
      <c r="AO74" s="20"/>
      <c r="AP74" s="20"/>
      <c r="AQ74" s="20"/>
      <c r="AR74" s="29" t="str">
        <f t="shared" si="60"/>
        <v/>
      </c>
      <c r="AS74" s="37"/>
      <c r="AT74" s="37"/>
      <c r="AU74" s="37"/>
      <c r="AV74" s="29"/>
      <c r="AW74" s="20"/>
      <c r="AX74" s="20"/>
      <c r="AY74" s="20"/>
      <c r="AZ74" s="29"/>
      <c r="BA74" s="20"/>
      <c r="BB74" s="20"/>
      <c r="BC74" s="20"/>
      <c r="BD74" s="29"/>
      <c r="BE74" s="20"/>
      <c r="BF74" s="20"/>
      <c r="BG74" s="37">
        <v>0.57999999999999996</v>
      </c>
      <c r="BH74" s="21"/>
      <c r="BI74" s="20"/>
      <c r="BJ74" s="20"/>
      <c r="BK74" s="20"/>
      <c r="BL74" s="20"/>
      <c r="BM74" s="20"/>
      <c r="BN74" s="20"/>
      <c r="BO74" s="20"/>
      <c r="BP74" s="20"/>
      <c r="BQ74" s="100"/>
      <c r="BR74" s="100"/>
      <c r="BS74" s="37">
        <v>1</v>
      </c>
      <c r="BT74" s="29" t="str">
        <f t="shared" si="53"/>
        <v>BUENO</v>
      </c>
      <c r="BU74" s="34"/>
    </row>
    <row r="75" spans="1:73" ht="56.25" customHeight="1">
      <c r="A75" s="205"/>
      <c r="B75" s="174" t="s">
        <v>471</v>
      </c>
      <c r="C75" s="203" t="s">
        <v>472</v>
      </c>
      <c r="D75" s="40"/>
      <c r="E75" s="20"/>
      <c r="F75" s="20"/>
      <c r="G75" s="20">
        <v>3</v>
      </c>
      <c r="H75" s="20"/>
      <c r="I75" s="41" t="s">
        <v>473</v>
      </c>
      <c r="J75" s="20" t="s">
        <v>474</v>
      </c>
      <c r="K75" s="20" t="s">
        <v>475</v>
      </c>
      <c r="L75" s="20" t="s">
        <v>476</v>
      </c>
      <c r="M75" s="20" t="s">
        <v>196</v>
      </c>
      <c r="N75" s="20" t="s">
        <v>477</v>
      </c>
      <c r="O75" s="20" t="s">
        <v>114</v>
      </c>
      <c r="P75" s="20" t="s">
        <v>78</v>
      </c>
      <c r="Q75" s="20" t="s">
        <v>478</v>
      </c>
      <c r="R75" s="37">
        <v>1</v>
      </c>
      <c r="S75" s="37">
        <f t="shared" ref="S75:S80" si="71">+AVERAGE(AU75,BG75,BS75)</f>
        <v>1</v>
      </c>
      <c r="T75" s="37">
        <f t="shared" si="58"/>
        <v>1</v>
      </c>
      <c r="U75" s="29" t="str">
        <f t="shared" si="70"/>
        <v>BUENO</v>
      </c>
      <c r="V75" s="24" t="s">
        <v>52</v>
      </c>
      <c r="W75" s="24" t="s">
        <v>53</v>
      </c>
      <c r="X75" s="24" t="s">
        <v>54</v>
      </c>
      <c r="Y75" s="20"/>
      <c r="Z75" s="20"/>
      <c r="AA75" s="20"/>
      <c r="AB75" s="35"/>
      <c r="AC75" s="20"/>
      <c r="AD75" s="20"/>
      <c r="AE75" s="20"/>
      <c r="AF75" s="35"/>
      <c r="AG75" s="37"/>
      <c r="AH75" s="20"/>
      <c r="AI75" s="20"/>
      <c r="AJ75" s="20"/>
      <c r="AK75" s="20"/>
      <c r="AL75" s="20"/>
      <c r="AM75" s="20"/>
      <c r="AN75" s="29" t="str">
        <f t="shared" si="59"/>
        <v/>
      </c>
      <c r="AO75" s="20"/>
      <c r="AP75" s="20"/>
      <c r="AQ75" s="20"/>
      <c r="AR75" s="29" t="str">
        <f t="shared" si="60"/>
        <v/>
      </c>
      <c r="AS75" s="37">
        <v>1</v>
      </c>
      <c r="AT75" s="20" t="s">
        <v>479</v>
      </c>
      <c r="AU75" s="23">
        <v>1</v>
      </c>
      <c r="AV75" s="29" t="str">
        <f t="shared" si="69"/>
        <v>BUENO</v>
      </c>
      <c r="AW75" s="20"/>
      <c r="AX75" s="20"/>
      <c r="AY75" s="20"/>
      <c r="AZ75" s="29"/>
      <c r="BA75" s="20"/>
      <c r="BB75" s="20"/>
      <c r="BC75" s="20"/>
      <c r="BD75" s="29"/>
      <c r="BE75" s="37">
        <v>1</v>
      </c>
      <c r="BF75" s="20" t="s">
        <v>480</v>
      </c>
      <c r="BG75" s="23">
        <v>1</v>
      </c>
      <c r="BH75" s="29" t="str">
        <f t="shared" si="66"/>
        <v>BUENO</v>
      </c>
      <c r="BI75" s="20"/>
      <c r="BJ75" s="20"/>
      <c r="BK75" s="20"/>
      <c r="BL75" s="20"/>
      <c r="BM75" s="20"/>
      <c r="BN75" s="20"/>
      <c r="BO75" s="20"/>
      <c r="BP75" s="20"/>
      <c r="BQ75" s="58">
        <v>1</v>
      </c>
      <c r="BR75" s="20" t="s">
        <v>481</v>
      </c>
      <c r="BS75" s="30">
        <v>1</v>
      </c>
      <c r="BT75" s="29" t="str">
        <f t="shared" si="53"/>
        <v>BUENO</v>
      </c>
      <c r="BU75" s="76" t="s">
        <v>482</v>
      </c>
    </row>
    <row r="76" spans="1:73" ht="117.75" customHeight="1">
      <c r="A76" s="205"/>
      <c r="B76" s="174"/>
      <c r="C76" s="203"/>
      <c r="D76" s="40"/>
      <c r="E76" s="20"/>
      <c r="F76" s="20"/>
      <c r="G76" s="20">
        <v>3</v>
      </c>
      <c r="H76" s="20"/>
      <c r="I76" s="41" t="s">
        <v>483</v>
      </c>
      <c r="J76" s="20" t="s">
        <v>484</v>
      </c>
      <c r="K76" s="20" t="s">
        <v>485</v>
      </c>
      <c r="L76" s="20" t="s">
        <v>476</v>
      </c>
      <c r="M76" s="20" t="s">
        <v>196</v>
      </c>
      <c r="N76" s="20" t="s">
        <v>477</v>
      </c>
      <c r="O76" s="20" t="s">
        <v>83</v>
      </c>
      <c r="P76" s="20" t="s">
        <v>78</v>
      </c>
      <c r="Q76" s="20" t="s">
        <v>486</v>
      </c>
      <c r="R76" s="37">
        <v>1</v>
      </c>
      <c r="S76" s="37">
        <f t="shared" si="71"/>
        <v>1</v>
      </c>
      <c r="T76" s="37">
        <f t="shared" ref="T76:T80" si="72">+S76/R76</f>
        <v>1</v>
      </c>
      <c r="U76" s="29" t="str">
        <f t="shared" si="70"/>
        <v>BUENO</v>
      </c>
      <c r="V76" s="24" t="s">
        <v>52</v>
      </c>
      <c r="W76" s="24" t="s">
        <v>53</v>
      </c>
      <c r="X76" s="24" t="s">
        <v>54</v>
      </c>
      <c r="Y76" s="20"/>
      <c r="Z76" s="20"/>
      <c r="AA76" s="20"/>
      <c r="AB76" s="35"/>
      <c r="AC76" s="20"/>
      <c r="AD76" s="20"/>
      <c r="AE76" s="20"/>
      <c r="AF76" s="35"/>
      <c r="AG76" s="37"/>
      <c r="AH76" s="20"/>
      <c r="AI76" s="37"/>
      <c r="AJ76" s="20"/>
      <c r="AK76" s="20"/>
      <c r="AL76" s="20"/>
      <c r="AM76" s="20"/>
      <c r="AN76" s="29" t="str">
        <f t="shared" si="59"/>
        <v/>
      </c>
      <c r="AO76" s="20"/>
      <c r="AP76" s="20"/>
      <c r="AQ76" s="20"/>
      <c r="AR76" s="29" t="str">
        <f t="shared" si="60"/>
        <v/>
      </c>
      <c r="AS76" s="37">
        <v>1</v>
      </c>
      <c r="AT76" s="20" t="s">
        <v>487</v>
      </c>
      <c r="AU76" s="23">
        <v>1</v>
      </c>
      <c r="AV76" s="29" t="str">
        <f t="shared" si="69"/>
        <v>BUENO</v>
      </c>
      <c r="AW76" s="20"/>
      <c r="AX76" s="20"/>
      <c r="AY76" s="20"/>
      <c r="AZ76" s="29"/>
      <c r="BA76" s="20"/>
      <c r="BB76" s="20"/>
      <c r="BC76" s="20"/>
      <c r="BD76" s="29"/>
      <c r="BE76" s="37">
        <v>1</v>
      </c>
      <c r="BF76" s="20" t="s">
        <v>488</v>
      </c>
      <c r="BG76" s="23">
        <v>1</v>
      </c>
      <c r="BH76" s="29" t="str">
        <f t="shared" si="66"/>
        <v>BUENO</v>
      </c>
      <c r="BI76" s="20"/>
      <c r="BJ76" s="20"/>
      <c r="BK76" s="20"/>
      <c r="BL76" s="20"/>
      <c r="BM76" s="20"/>
      <c r="BN76" s="20"/>
      <c r="BO76" s="20"/>
      <c r="BP76" s="20"/>
      <c r="BQ76" s="58">
        <v>1</v>
      </c>
      <c r="BR76" s="20" t="s">
        <v>441</v>
      </c>
      <c r="BS76" s="30">
        <v>1</v>
      </c>
      <c r="BT76" s="29" t="str">
        <f t="shared" si="53"/>
        <v>BUENO</v>
      </c>
      <c r="BU76" s="76" t="s">
        <v>482</v>
      </c>
    </row>
    <row r="77" spans="1:73" ht="145.5" customHeight="1">
      <c r="A77" s="205"/>
      <c r="B77" s="174"/>
      <c r="C77" s="101" t="s">
        <v>489</v>
      </c>
      <c r="D77" s="40"/>
      <c r="E77" s="20"/>
      <c r="F77" s="20"/>
      <c r="G77" s="20">
        <v>3</v>
      </c>
      <c r="H77" s="20"/>
      <c r="I77" s="41" t="s">
        <v>490</v>
      </c>
      <c r="J77" s="20" t="s">
        <v>491</v>
      </c>
      <c r="K77" s="20" t="s">
        <v>492</v>
      </c>
      <c r="L77" s="20" t="s">
        <v>476</v>
      </c>
      <c r="M77" s="20" t="s">
        <v>196</v>
      </c>
      <c r="N77" s="20" t="s">
        <v>477</v>
      </c>
      <c r="O77" s="20" t="s">
        <v>114</v>
      </c>
      <c r="P77" s="20" t="s">
        <v>78</v>
      </c>
      <c r="Q77" s="20" t="s">
        <v>493</v>
      </c>
      <c r="R77" s="37">
        <v>1</v>
      </c>
      <c r="S77" s="37">
        <f t="shared" si="71"/>
        <v>1</v>
      </c>
      <c r="T77" s="37">
        <f t="shared" si="72"/>
        <v>1</v>
      </c>
      <c r="U77" s="29" t="str">
        <f t="shared" si="70"/>
        <v>BUENO</v>
      </c>
      <c r="V77" s="24" t="s">
        <v>52</v>
      </c>
      <c r="W77" s="24" t="s">
        <v>53</v>
      </c>
      <c r="X77" s="24" t="s">
        <v>54</v>
      </c>
      <c r="Y77" s="37"/>
      <c r="Z77" s="20"/>
      <c r="AA77" s="20"/>
      <c r="AB77" s="35"/>
      <c r="AC77" s="20"/>
      <c r="AD77" s="20"/>
      <c r="AE77" s="20"/>
      <c r="AF77" s="35"/>
      <c r="AG77" s="37"/>
      <c r="AH77" s="20"/>
      <c r="AI77" s="37"/>
      <c r="AJ77" s="20"/>
      <c r="AK77" s="20"/>
      <c r="AL77" s="20"/>
      <c r="AM77" s="20"/>
      <c r="AN77" s="29" t="str">
        <f t="shared" si="59"/>
        <v/>
      </c>
      <c r="AO77" s="20"/>
      <c r="AP77" s="20"/>
      <c r="AQ77" s="20"/>
      <c r="AR77" s="29" t="str">
        <f t="shared" si="60"/>
        <v/>
      </c>
      <c r="AS77" s="37">
        <v>1</v>
      </c>
      <c r="AT77" s="70" t="s">
        <v>494</v>
      </c>
      <c r="AU77" s="23">
        <v>1</v>
      </c>
      <c r="AV77" s="29" t="str">
        <f t="shared" si="69"/>
        <v>BUENO</v>
      </c>
      <c r="AW77" s="20"/>
      <c r="AX77" s="20"/>
      <c r="AY77" s="20"/>
      <c r="AZ77" s="29"/>
      <c r="BA77" s="20"/>
      <c r="BB77" s="20"/>
      <c r="BC77" s="20"/>
      <c r="BD77" s="29"/>
      <c r="BE77" s="37">
        <v>1</v>
      </c>
      <c r="BF77" s="20" t="s">
        <v>495</v>
      </c>
      <c r="BG77" s="23">
        <v>1</v>
      </c>
      <c r="BH77" s="29" t="str">
        <f t="shared" si="66"/>
        <v>BUENO</v>
      </c>
      <c r="BI77" s="20"/>
      <c r="BJ77" s="20"/>
      <c r="BK77" s="20"/>
      <c r="BL77" s="20"/>
      <c r="BM77" s="20"/>
      <c r="BN77" s="20"/>
      <c r="BO77" s="20"/>
      <c r="BP77" s="20"/>
      <c r="BQ77" s="58">
        <v>1</v>
      </c>
      <c r="BR77" s="70" t="s">
        <v>496</v>
      </c>
      <c r="BS77" s="30">
        <v>1</v>
      </c>
      <c r="BT77" s="29" t="str">
        <f t="shared" si="53"/>
        <v>BUENO</v>
      </c>
      <c r="BU77" s="76" t="s">
        <v>482</v>
      </c>
    </row>
    <row r="78" spans="1:73" ht="66" customHeight="1">
      <c r="A78" s="205"/>
      <c r="B78" s="174"/>
      <c r="C78" s="204" t="s">
        <v>497</v>
      </c>
      <c r="D78" s="40"/>
      <c r="E78" s="20">
        <v>1</v>
      </c>
      <c r="F78" s="20"/>
      <c r="G78" s="20"/>
      <c r="H78" s="20"/>
      <c r="I78" s="41" t="s">
        <v>498</v>
      </c>
      <c r="J78" s="20" t="s">
        <v>499</v>
      </c>
      <c r="K78" s="20" t="s">
        <v>500</v>
      </c>
      <c r="L78" s="20" t="s">
        <v>501</v>
      </c>
      <c r="M78" s="20" t="s">
        <v>330</v>
      </c>
      <c r="N78" s="20" t="s">
        <v>502</v>
      </c>
      <c r="O78" s="20" t="s">
        <v>83</v>
      </c>
      <c r="P78" s="20" t="s">
        <v>503</v>
      </c>
      <c r="Q78" s="20" t="s">
        <v>504</v>
      </c>
      <c r="R78" s="37">
        <v>1</v>
      </c>
      <c r="S78" s="37">
        <f t="shared" si="71"/>
        <v>1</v>
      </c>
      <c r="T78" s="37">
        <f t="shared" si="72"/>
        <v>1</v>
      </c>
      <c r="U78" s="29" t="str">
        <f t="shared" si="70"/>
        <v>BUENO</v>
      </c>
      <c r="V78" s="24" t="s">
        <v>52</v>
      </c>
      <c r="W78" s="24" t="s">
        <v>53</v>
      </c>
      <c r="X78" s="24" t="s">
        <v>54</v>
      </c>
      <c r="Y78" s="20"/>
      <c r="Z78" s="20"/>
      <c r="AA78" s="20"/>
      <c r="AB78" s="35"/>
      <c r="AC78" s="20"/>
      <c r="AD78" s="20"/>
      <c r="AE78" s="20"/>
      <c r="AF78" s="35"/>
      <c r="AG78" s="20"/>
      <c r="AH78" s="20"/>
      <c r="AI78" s="20"/>
      <c r="AJ78" s="20"/>
      <c r="AK78" s="20"/>
      <c r="AL78" s="20"/>
      <c r="AM78" s="20"/>
      <c r="AN78" s="29" t="str">
        <f t="shared" si="59"/>
        <v/>
      </c>
      <c r="AO78" s="20"/>
      <c r="AP78" s="20"/>
      <c r="AQ78" s="20"/>
      <c r="AR78" s="29" t="str">
        <f t="shared" si="60"/>
        <v/>
      </c>
      <c r="AS78" s="37">
        <v>1</v>
      </c>
      <c r="AT78" s="70" t="s">
        <v>494</v>
      </c>
      <c r="AU78" s="23">
        <v>1</v>
      </c>
      <c r="AV78" s="29" t="str">
        <f t="shared" si="69"/>
        <v>BUENO</v>
      </c>
      <c r="AW78" s="20"/>
      <c r="AX78" s="20"/>
      <c r="AY78" s="20"/>
      <c r="AZ78" s="29"/>
      <c r="BA78" s="20"/>
      <c r="BB78" s="20"/>
      <c r="BC78" s="20"/>
      <c r="BD78" s="29"/>
      <c r="BE78" s="37">
        <v>1</v>
      </c>
      <c r="BF78" s="20" t="s">
        <v>505</v>
      </c>
      <c r="BG78" s="23">
        <v>1</v>
      </c>
      <c r="BH78" s="29" t="str">
        <f t="shared" si="66"/>
        <v>BUENO</v>
      </c>
      <c r="BI78" s="20"/>
      <c r="BJ78" s="20"/>
      <c r="BK78" s="20"/>
      <c r="BL78" s="20"/>
      <c r="BM78" s="20"/>
      <c r="BN78" s="20"/>
      <c r="BO78" s="20"/>
      <c r="BP78" s="20"/>
      <c r="BQ78" s="58">
        <v>1</v>
      </c>
      <c r="BR78" s="20" t="s">
        <v>506</v>
      </c>
      <c r="BS78" s="30">
        <v>1</v>
      </c>
      <c r="BT78" s="29" t="str">
        <f t="shared" si="53"/>
        <v>BUENO</v>
      </c>
      <c r="BU78" s="76" t="s">
        <v>482</v>
      </c>
    </row>
    <row r="79" spans="1:73" ht="66" customHeight="1">
      <c r="A79" s="205"/>
      <c r="B79" s="174"/>
      <c r="C79" s="204"/>
      <c r="D79" s="40"/>
      <c r="E79" s="20">
        <v>1</v>
      </c>
      <c r="F79" s="20"/>
      <c r="G79" s="20"/>
      <c r="H79" s="20"/>
      <c r="I79" s="41" t="s">
        <v>507</v>
      </c>
      <c r="J79" s="20" t="s">
        <v>508</v>
      </c>
      <c r="K79" s="20" t="s">
        <v>509</v>
      </c>
      <c r="L79" s="20" t="s">
        <v>501</v>
      </c>
      <c r="M79" s="20" t="s">
        <v>218</v>
      </c>
      <c r="N79" s="20" t="s">
        <v>502</v>
      </c>
      <c r="O79" s="20" t="s">
        <v>49</v>
      </c>
      <c r="P79" s="20" t="s">
        <v>503</v>
      </c>
      <c r="Q79" s="20" t="s">
        <v>510</v>
      </c>
      <c r="R79" s="37">
        <v>1</v>
      </c>
      <c r="S79" s="37">
        <f t="shared" si="71"/>
        <v>0.52939189200000003</v>
      </c>
      <c r="T79" s="37">
        <f t="shared" si="72"/>
        <v>0.52939189200000003</v>
      </c>
      <c r="U79" s="29" t="str">
        <f t="shared" si="70"/>
        <v>MALO</v>
      </c>
      <c r="V79" s="24" t="s">
        <v>52</v>
      </c>
      <c r="W79" s="24" t="s">
        <v>53</v>
      </c>
      <c r="X79" s="24" t="s">
        <v>54</v>
      </c>
      <c r="Y79" s="20"/>
      <c r="Z79" s="20"/>
      <c r="AA79" s="20"/>
      <c r="AB79" s="35"/>
      <c r="AC79" s="20"/>
      <c r="AD79" s="20"/>
      <c r="AE79" s="20"/>
      <c r="AF79" s="35"/>
      <c r="AG79" s="20"/>
      <c r="AH79" s="20"/>
      <c r="AI79" s="20"/>
      <c r="AJ79" s="20"/>
      <c r="AK79" s="20"/>
      <c r="AL79" s="20"/>
      <c r="AM79" s="20"/>
      <c r="AN79" s="29" t="str">
        <f t="shared" si="59"/>
        <v/>
      </c>
      <c r="AO79" s="20"/>
      <c r="AP79" s="20"/>
      <c r="AQ79" s="20"/>
      <c r="AR79" s="29" t="str">
        <f t="shared" si="60"/>
        <v/>
      </c>
      <c r="AS79" s="37">
        <v>1</v>
      </c>
      <c r="AT79" s="20" t="s">
        <v>511</v>
      </c>
      <c r="AU79" s="23">
        <v>0.3125</v>
      </c>
      <c r="AV79" s="29" t="str">
        <f t="shared" si="69"/>
        <v>MALO</v>
      </c>
      <c r="AW79" s="20"/>
      <c r="AX79" s="20"/>
      <c r="AY79" s="20"/>
      <c r="AZ79" s="29"/>
      <c r="BA79" s="20"/>
      <c r="BB79" s="20"/>
      <c r="BC79" s="20"/>
      <c r="BD79" s="29"/>
      <c r="BE79" s="37">
        <v>1</v>
      </c>
      <c r="BF79" s="20" t="s">
        <v>512</v>
      </c>
      <c r="BG79" s="23">
        <v>0.675675676</v>
      </c>
      <c r="BH79" s="29" t="str">
        <f t="shared" si="66"/>
        <v>REGULAR</v>
      </c>
      <c r="BI79" s="20"/>
      <c r="BJ79" s="20"/>
      <c r="BK79" s="20"/>
      <c r="BL79" s="20"/>
      <c r="BM79" s="20"/>
      <c r="BN79" s="20"/>
      <c r="BO79" s="20"/>
      <c r="BP79" s="20"/>
      <c r="BQ79" s="30">
        <v>1</v>
      </c>
      <c r="BR79" s="20" t="s">
        <v>513</v>
      </c>
      <c r="BS79" s="30">
        <v>0.6</v>
      </c>
      <c r="BT79" s="29" t="str">
        <f t="shared" si="53"/>
        <v>MALO</v>
      </c>
      <c r="BU79" s="76" t="s">
        <v>568</v>
      </c>
    </row>
    <row r="80" spans="1:73" ht="90" customHeight="1">
      <c r="A80" s="205"/>
      <c r="B80" s="174"/>
      <c r="C80" s="204"/>
      <c r="D80" s="40"/>
      <c r="E80" s="20">
        <v>1</v>
      </c>
      <c r="F80" s="20"/>
      <c r="G80" s="20"/>
      <c r="H80" s="20"/>
      <c r="I80" s="41" t="s">
        <v>514</v>
      </c>
      <c r="J80" s="20" t="s">
        <v>515</v>
      </c>
      <c r="K80" s="20" t="s">
        <v>516</v>
      </c>
      <c r="L80" s="20" t="s">
        <v>501</v>
      </c>
      <c r="M80" s="20" t="s">
        <v>218</v>
      </c>
      <c r="N80" s="20" t="s">
        <v>502</v>
      </c>
      <c r="O80" s="20" t="s">
        <v>49</v>
      </c>
      <c r="P80" s="20" t="s">
        <v>503</v>
      </c>
      <c r="Q80" s="20" t="s">
        <v>517</v>
      </c>
      <c r="R80" s="37">
        <v>1</v>
      </c>
      <c r="S80" s="37">
        <f t="shared" si="71"/>
        <v>0</v>
      </c>
      <c r="T80" s="37">
        <f t="shared" si="72"/>
        <v>0</v>
      </c>
      <c r="U80" s="29" t="str">
        <f>IF(T80&gt;=0%,"BUENO",IF(T80&gt;=79%,"REGULAR",IF(T80&gt;=100%,"MALO","")))</f>
        <v>BUENO</v>
      </c>
      <c r="V80" s="24" t="s">
        <v>54</v>
      </c>
      <c r="W80" s="24" t="s">
        <v>53</v>
      </c>
      <c r="X80" s="24" t="s">
        <v>52</v>
      </c>
      <c r="Y80" s="20"/>
      <c r="Z80" s="20"/>
      <c r="AA80" s="20"/>
      <c r="AB80" s="35"/>
      <c r="AC80" s="20"/>
      <c r="AD80" s="20"/>
      <c r="AE80" s="20"/>
      <c r="AF80" s="35"/>
      <c r="AG80" s="20"/>
      <c r="AH80" s="20"/>
      <c r="AI80" s="20"/>
      <c r="AJ80" s="20"/>
      <c r="AK80" s="20"/>
      <c r="AL80" s="20"/>
      <c r="AM80" s="20"/>
      <c r="AN80" s="29" t="str">
        <f t="shared" si="59"/>
        <v/>
      </c>
      <c r="AO80" s="20"/>
      <c r="AP80" s="20"/>
      <c r="AQ80" s="20"/>
      <c r="AR80" s="29" t="str">
        <f t="shared" si="60"/>
        <v/>
      </c>
      <c r="AS80" s="37">
        <v>1</v>
      </c>
      <c r="AT80" s="20" t="s">
        <v>518</v>
      </c>
      <c r="AU80" s="23">
        <v>0</v>
      </c>
      <c r="AV80" s="29" t="str">
        <f>IF(AU80&gt;=0%,"BUENO",IF(AU80&gt;=79%,"REGULAR",IF(AU80&gt;=100%,"MALO","")))</f>
        <v>BUENO</v>
      </c>
      <c r="AW80" s="20"/>
      <c r="AX80" s="20"/>
      <c r="AY80" s="20"/>
      <c r="AZ80" s="29"/>
      <c r="BA80" s="20"/>
      <c r="BB80" s="20"/>
      <c r="BC80" s="20"/>
      <c r="BD80" s="29"/>
      <c r="BE80" s="37">
        <v>1</v>
      </c>
      <c r="BF80" s="20" t="s">
        <v>518</v>
      </c>
      <c r="BG80" s="23">
        <v>0</v>
      </c>
      <c r="BH80" s="29" t="str">
        <f>IF(BG80&gt;=0%,"BUENO",IF(BG80&gt;=79%,"REGULAR",IF(BG80&gt;=100%,"MALO","")))</f>
        <v>BUENO</v>
      </c>
      <c r="BI80" s="20"/>
      <c r="BJ80" s="20"/>
      <c r="BK80" s="20"/>
      <c r="BL80" s="20"/>
      <c r="BM80" s="20"/>
      <c r="BN80" s="20"/>
      <c r="BO80" s="20"/>
      <c r="BP80" s="20"/>
      <c r="BQ80" s="30">
        <v>1</v>
      </c>
      <c r="BR80" s="20" t="s">
        <v>518</v>
      </c>
      <c r="BS80" s="30">
        <v>0</v>
      </c>
      <c r="BT80" s="29" t="str">
        <f>IF(BS80&gt;=0%,"BUENO",IF(BS80&gt;=79%,"REGULAR",IF(BS80&gt;=100%,"MALO","")))</f>
        <v>BUENO</v>
      </c>
      <c r="BU80" s="76" t="s">
        <v>569</v>
      </c>
    </row>
    <row r="81" spans="1:73" ht="189.75" customHeight="1">
      <c r="A81" s="195"/>
      <c r="B81" s="174"/>
      <c r="C81" s="102" t="s">
        <v>519</v>
      </c>
      <c r="D81" s="40"/>
      <c r="E81" s="20"/>
      <c r="F81" s="20"/>
      <c r="G81" s="20"/>
      <c r="H81" s="20"/>
      <c r="I81" s="103" t="s">
        <v>520</v>
      </c>
      <c r="J81" s="20" t="s">
        <v>521</v>
      </c>
      <c r="K81" s="20" t="s">
        <v>522</v>
      </c>
      <c r="L81" s="20" t="s">
        <v>523</v>
      </c>
      <c r="M81" s="20" t="s">
        <v>196</v>
      </c>
      <c r="N81" s="20" t="s">
        <v>524</v>
      </c>
      <c r="O81" s="20" t="s">
        <v>49</v>
      </c>
      <c r="P81" s="20" t="s">
        <v>78</v>
      </c>
      <c r="Q81" s="20" t="s">
        <v>525</v>
      </c>
      <c r="R81" s="37">
        <v>1</v>
      </c>
      <c r="S81" s="37">
        <f>+AVERAGE(AU81,AI81,BG81,BS81)</f>
        <v>1</v>
      </c>
      <c r="T81" s="37">
        <f>+S81/R81</f>
        <v>1</v>
      </c>
      <c r="U81" s="29" t="str">
        <f t="shared" si="70"/>
        <v>BUENO</v>
      </c>
      <c r="V81" s="24" t="s">
        <v>52</v>
      </c>
      <c r="W81" s="24" t="s">
        <v>53</v>
      </c>
      <c r="X81" s="24" t="s">
        <v>54</v>
      </c>
      <c r="Y81" s="20"/>
      <c r="Z81" s="20"/>
      <c r="AA81" s="20"/>
      <c r="AB81" s="35"/>
      <c r="AC81" s="20"/>
      <c r="AD81" s="20"/>
      <c r="AE81" s="20"/>
      <c r="AF81" s="35"/>
      <c r="AG81" s="84">
        <v>1</v>
      </c>
      <c r="AH81" s="92" t="s">
        <v>526</v>
      </c>
      <c r="AI81" s="84">
        <f>1466/1466</f>
        <v>1</v>
      </c>
      <c r="AJ81" s="29" t="str">
        <f t="shared" ref="AJ81" si="73">IF(AI81&gt;=80%,"BUENO",IF(AI81&gt;=66%,"REGULAR",IF(AI81&gt;=0%,"MALO","")))</f>
        <v>BUENO</v>
      </c>
      <c r="AK81" s="20"/>
      <c r="AL81" s="20"/>
      <c r="AM81" s="20"/>
      <c r="AN81" s="29" t="str">
        <f t="shared" si="59"/>
        <v/>
      </c>
      <c r="AO81" s="20"/>
      <c r="AP81" s="20"/>
      <c r="AQ81" s="20"/>
      <c r="AR81" s="29" t="str">
        <f t="shared" si="60"/>
        <v/>
      </c>
      <c r="AS81" s="37">
        <v>1</v>
      </c>
      <c r="AT81" s="20" t="s">
        <v>527</v>
      </c>
      <c r="AU81" s="37">
        <v>1</v>
      </c>
      <c r="AV81" s="29" t="str">
        <f t="shared" si="69"/>
        <v>BUENO</v>
      </c>
      <c r="AW81" s="20"/>
      <c r="AX81" s="20"/>
      <c r="AY81" s="20"/>
      <c r="AZ81" s="29"/>
      <c r="BA81" s="20"/>
      <c r="BB81" s="20"/>
      <c r="BC81" s="20"/>
      <c r="BD81" s="29"/>
      <c r="BE81" s="37">
        <v>1</v>
      </c>
      <c r="BF81" s="20" t="s">
        <v>528</v>
      </c>
      <c r="BG81" s="23">
        <v>1</v>
      </c>
      <c r="BH81" s="29" t="str">
        <f t="shared" si="66"/>
        <v>BUENO</v>
      </c>
      <c r="BI81" s="20"/>
      <c r="BJ81" s="20"/>
      <c r="BK81" s="20"/>
      <c r="BL81" s="20"/>
      <c r="BM81" s="20"/>
      <c r="BN81" s="20"/>
      <c r="BO81" s="20"/>
      <c r="BP81" s="20"/>
      <c r="BQ81" s="73">
        <v>1</v>
      </c>
      <c r="BR81" s="58" t="s">
        <v>529</v>
      </c>
      <c r="BS81" s="73">
        <v>1</v>
      </c>
      <c r="BT81" s="29" t="str">
        <f t="shared" si="53"/>
        <v>BUENO</v>
      </c>
      <c r="BU81" s="34"/>
    </row>
    <row r="82" spans="1:73" ht="99" customHeight="1">
      <c r="A82" s="195"/>
      <c r="B82" s="174"/>
      <c r="C82" s="196" t="s">
        <v>530</v>
      </c>
      <c r="D82" s="40"/>
      <c r="E82" s="20"/>
      <c r="F82" s="20"/>
      <c r="G82" s="20"/>
      <c r="H82" s="20">
        <v>4</v>
      </c>
      <c r="I82" s="206" t="s">
        <v>572</v>
      </c>
      <c r="J82" s="57" t="s">
        <v>531</v>
      </c>
      <c r="K82" s="57" t="s">
        <v>532</v>
      </c>
      <c r="L82" s="57" t="s">
        <v>533</v>
      </c>
      <c r="M82" s="57" t="s">
        <v>534</v>
      </c>
      <c r="N82" s="57" t="s">
        <v>535</v>
      </c>
      <c r="O82" s="57" t="s">
        <v>114</v>
      </c>
      <c r="P82" s="57" t="s">
        <v>78</v>
      </c>
      <c r="Q82" s="20" t="s">
        <v>274</v>
      </c>
      <c r="R82" s="37">
        <v>1</v>
      </c>
      <c r="S82" s="37">
        <v>1</v>
      </c>
      <c r="T82" s="37">
        <f>AI82</f>
        <v>1</v>
      </c>
      <c r="U82" s="29" t="str">
        <f t="shared" si="70"/>
        <v>BUENO</v>
      </c>
      <c r="V82" s="24" t="s">
        <v>52</v>
      </c>
      <c r="W82" s="24" t="s">
        <v>53</v>
      </c>
      <c r="X82" s="24" t="s">
        <v>54</v>
      </c>
      <c r="Y82" s="20">
        <v>1</v>
      </c>
      <c r="Z82" s="70" t="s">
        <v>536</v>
      </c>
      <c r="AA82" s="23">
        <f>+Z82/Y82</f>
        <v>0.5</v>
      </c>
      <c r="AB82" s="29" t="str">
        <f t="shared" ref="AB82:AB83" si="74">IF(AA82&gt;=80%,"BUENO",IF(AA82&gt;=66%,"REGULAR",IF(AA82&gt;=0.00001%,"MALO","")))</f>
        <v>MALO</v>
      </c>
      <c r="AC82" s="20">
        <v>1</v>
      </c>
      <c r="AD82" s="70" t="s">
        <v>536</v>
      </c>
      <c r="AE82" s="23">
        <f>+AD82/AC82</f>
        <v>0.5</v>
      </c>
      <c r="AF82" s="29" t="str">
        <f t="shared" ref="AF82:AF83" si="75">IF(AE82&gt;=80%,"BUENO",IF(AE82&gt;=66%,"REGULAR",IF(AE82&gt;=0.00001%,"MALO","")))</f>
        <v>MALO</v>
      </c>
      <c r="AG82" s="20">
        <v>1</v>
      </c>
      <c r="AH82" s="92" t="s">
        <v>537</v>
      </c>
      <c r="AI82" s="23">
        <f>+AH82/AG82</f>
        <v>1</v>
      </c>
      <c r="AJ82" s="29" t="str">
        <f t="shared" ref="AJ82:AJ83" si="76">IF(AI82&gt;=80%,"BUENO",IF(AI82&gt;=66%,"REGULAR",IF(AI82&gt;=0.00001%,"MALO","")))</f>
        <v>BUENO</v>
      </c>
      <c r="AK82" s="20">
        <v>0</v>
      </c>
      <c r="AL82" s="20"/>
      <c r="AM82" s="20"/>
      <c r="AN82" s="29" t="str">
        <f t="shared" si="59"/>
        <v/>
      </c>
      <c r="AO82" s="20">
        <v>0</v>
      </c>
      <c r="AP82" s="20"/>
      <c r="AQ82" s="20"/>
      <c r="AR82" s="29" t="str">
        <f t="shared" si="60"/>
        <v/>
      </c>
      <c r="AS82" s="125">
        <v>1</v>
      </c>
      <c r="AT82" s="92" t="s">
        <v>537</v>
      </c>
      <c r="AU82" s="23">
        <f>+AT82/AS82</f>
        <v>1</v>
      </c>
      <c r="AV82" s="29" t="str">
        <f t="shared" si="69"/>
        <v>BUENO</v>
      </c>
      <c r="AW82" s="20">
        <v>0</v>
      </c>
      <c r="AX82" s="20"/>
      <c r="AY82" s="20"/>
      <c r="AZ82" s="20"/>
      <c r="BA82" s="20">
        <v>0</v>
      </c>
      <c r="BB82" s="20"/>
      <c r="BC82" s="20"/>
      <c r="BD82" s="20"/>
      <c r="BE82" s="125">
        <v>1</v>
      </c>
      <c r="BF82" s="92" t="s">
        <v>537</v>
      </c>
      <c r="BG82" s="23">
        <f>+BF82/BE82</f>
        <v>1</v>
      </c>
      <c r="BH82" s="29" t="str">
        <f t="shared" si="66"/>
        <v>BUENO</v>
      </c>
      <c r="BI82" s="20">
        <v>0</v>
      </c>
      <c r="BJ82" s="20"/>
      <c r="BK82" s="20"/>
      <c r="BL82" s="20"/>
      <c r="BM82" s="20">
        <v>0</v>
      </c>
      <c r="BN82" s="20"/>
      <c r="BO82" s="20"/>
      <c r="BP82" s="20"/>
      <c r="BQ82" s="125">
        <v>1</v>
      </c>
      <c r="BR82" s="92" t="s">
        <v>537</v>
      </c>
      <c r="BS82" s="23">
        <f>+BR82/BQ82</f>
        <v>1</v>
      </c>
      <c r="BT82" s="29" t="str">
        <f t="shared" si="53"/>
        <v>BUENO</v>
      </c>
      <c r="BU82" s="34"/>
    </row>
    <row r="83" spans="1:73" ht="82.5" customHeight="1">
      <c r="A83" s="195"/>
      <c r="B83" s="174"/>
      <c r="C83" s="196"/>
      <c r="D83" s="40"/>
      <c r="E83" s="20"/>
      <c r="F83" s="20"/>
      <c r="G83" s="20"/>
      <c r="H83" s="20">
        <v>4</v>
      </c>
      <c r="I83" s="41" t="s">
        <v>538</v>
      </c>
      <c r="J83" s="20" t="s">
        <v>539</v>
      </c>
      <c r="K83" s="20" t="s">
        <v>540</v>
      </c>
      <c r="L83" s="20" t="s">
        <v>541</v>
      </c>
      <c r="M83" s="20" t="s">
        <v>534</v>
      </c>
      <c r="N83" s="20" t="s">
        <v>535</v>
      </c>
      <c r="O83" s="20" t="s">
        <v>49</v>
      </c>
      <c r="P83" s="20" t="s">
        <v>78</v>
      </c>
      <c r="Q83" s="20" t="s">
        <v>542</v>
      </c>
      <c r="R83" s="37">
        <v>1</v>
      </c>
      <c r="S83" s="37">
        <f>+AVERAGE(AA83,AE83,AI83,AM83,AQ83,AU83,AY83,BC83,BK83,BO83,BS83)</f>
        <v>1</v>
      </c>
      <c r="T83" s="37">
        <f>+S83/R83</f>
        <v>1</v>
      </c>
      <c r="U83" s="29" t="str">
        <f t="shared" si="70"/>
        <v>BUENO</v>
      </c>
      <c r="V83" s="24" t="s">
        <v>52</v>
      </c>
      <c r="W83" s="24" t="s">
        <v>53</v>
      </c>
      <c r="X83" s="24" t="s">
        <v>54</v>
      </c>
      <c r="Y83" s="20">
        <v>1</v>
      </c>
      <c r="Z83" s="70" t="s">
        <v>537</v>
      </c>
      <c r="AA83" s="23">
        <f>+Z83/Y83</f>
        <v>1</v>
      </c>
      <c r="AB83" s="29" t="str">
        <f t="shared" si="74"/>
        <v>BUENO</v>
      </c>
      <c r="AC83" s="20">
        <v>1</v>
      </c>
      <c r="AD83" s="70" t="s">
        <v>537</v>
      </c>
      <c r="AE83" s="23">
        <f>+AD83/AC83</f>
        <v>1</v>
      </c>
      <c r="AF83" s="29" t="str">
        <f t="shared" si="75"/>
        <v>BUENO</v>
      </c>
      <c r="AG83" s="20">
        <v>1</v>
      </c>
      <c r="AH83" s="92" t="s">
        <v>537</v>
      </c>
      <c r="AI83" s="23">
        <f>+AH83/AG83</f>
        <v>1</v>
      </c>
      <c r="AJ83" s="29" t="str">
        <f t="shared" si="76"/>
        <v>BUENO</v>
      </c>
      <c r="AK83" s="20">
        <v>1</v>
      </c>
      <c r="AL83" s="92" t="s">
        <v>537</v>
      </c>
      <c r="AM83" s="23">
        <f>+AL83/AK83</f>
        <v>1</v>
      </c>
      <c r="AN83" s="29" t="str">
        <f t="shared" si="59"/>
        <v>BUENO</v>
      </c>
      <c r="AO83" s="20">
        <v>1</v>
      </c>
      <c r="AP83" s="92" t="s">
        <v>537</v>
      </c>
      <c r="AQ83" s="23">
        <f>+AP83/AO83</f>
        <v>1</v>
      </c>
      <c r="AR83" s="29" t="str">
        <f t="shared" si="60"/>
        <v>BUENO</v>
      </c>
      <c r="AS83" s="20">
        <v>1</v>
      </c>
      <c r="AT83" s="92" t="s">
        <v>537</v>
      </c>
      <c r="AU83" s="23">
        <f>+AT83/AS83</f>
        <v>1</v>
      </c>
      <c r="AV83" s="29" t="str">
        <f t="shared" ref="AV83:AV86" si="77">IF(AU83&gt;=80%,"BUENO",IF(AU83&gt;=66%,"REGULAR",IF(AU83&gt;=0%,"MALO","")))</f>
        <v>BUENO</v>
      </c>
      <c r="AW83" s="20">
        <v>1</v>
      </c>
      <c r="AX83" s="92" t="s">
        <v>537</v>
      </c>
      <c r="AY83" s="23">
        <f>+AX83/AW83</f>
        <v>1</v>
      </c>
      <c r="AZ83" s="29" t="str">
        <f t="shared" ref="AZ83" si="78">IF(AY83&gt;=80%,"BUENO",IF(AY83&gt;=66%,"REGULAR",IF(AY83&gt;=0%,"MALO","")))</f>
        <v>BUENO</v>
      </c>
      <c r="BA83" s="20">
        <v>1</v>
      </c>
      <c r="BB83" s="92" t="s">
        <v>537</v>
      </c>
      <c r="BC83" s="23">
        <f>+BB83/BA83</f>
        <v>1</v>
      </c>
      <c r="BD83" s="29" t="str">
        <f t="shared" ref="BD83" si="79">IF(BC83&gt;=80%,"BUENO",IF(BC83&gt;=66%,"REGULAR",IF(BC83&gt;=0%,"MALO","")))</f>
        <v>BUENO</v>
      </c>
      <c r="BE83" s="20">
        <v>1</v>
      </c>
      <c r="BF83" s="92" t="s">
        <v>537</v>
      </c>
      <c r="BG83" s="23">
        <f>+BF83/BE83</f>
        <v>1</v>
      </c>
      <c r="BH83" s="29" t="str">
        <f t="shared" ref="BH83:BH86" si="80">IF(BG83&gt;=80%,"BUENO",IF(BG83&gt;=66%,"REGULAR",IF(BG83&gt;=0%,"MALO","")))</f>
        <v>BUENO</v>
      </c>
      <c r="BI83" s="20">
        <v>1</v>
      </c>
      <c r="BJ83" s="92" t="s">
        <v>537</v>
      </c>
      <c r="BK83" s="23">
        <f>+BJ83/BI83</f>
        <v>1</v>
      </c>
      <c r="BL83" s="29" t="str">
        <f t="shared" ref="BL83" si="81">IF(BK83&gt;=80%,"BUENO",IF(BK83&gt;=66%,"REGULAR",IF(BK83&gt;=0%,"MALO","")))</f>
        <v>BUENO</v>
      </c>
      <c r="BM83" s="20">
        <v>1</v>
      </c>
      <c r="BN83" s="92" t="s">
        <v>537</v>
      </c>
      <c r="BO83" s="23">
        <f>+BN83/BM83</f>
        <v>1</v>
      </c>
      <c r="BP83" s="29" t="str">
        <f t="shared" ref="BP83" si="82">IF(BO83&gt;=80%,"BUENO",IF(BO83&gt;=66%,"REGULAR",IF(BO83&gt;=0%,"MALO","")))</f>
        <v>BUENO</v>
      </c>
      <c r="BQ83" s="20">
        <v>1</v>
      </c>
      <c r="BR83" s="92" t="s">
        <v>537</v>
      </c>
      <c r="BS83" s="23">
        <f>+BR83/BQ83</f>
        <v>1</v>
      </c>
      <c r="BT83" s="29" t="str">
        <f t="shared" si="53"/>
        <v>BUENO</v>
      </c>
      <c r="BU83" s="34"/>
    </row>
    <row r="84" spans="1:73" ht="49.5" customHeight="1">
      <c r="A84" s="195"/>
      <c r="B84" s="174"/>
      <c r="C84" s="196"/>
      <c r="D84" s="40"/>
      <c r="E84" s="20"/>
      <c r="F84" s="20"/>
      <c r="G84" s="20"/>
      <c r="H84" s="20">
        <v>4</v>
      </c>
      <c r="I84" s="41" t="s">
        <v>543</v>
      </c>
      <c r="J84" s="20" t="s">
        <v>544</v>
      </c>
      <c r="K84" s="20" t="s">
        <v>545</v>
      </c>
      <c r="L84" s="20"/>
      <c r="M84" s="20" t="s">
        <v>218</v>
      </c>
      <c r="N84" s="20" t="s">
        <v>535</v>
      </c>
      <c r="O84" s="20" t="s">
        <v>114</v>
      </c>
      <c r="P84" s="20" t="s">
        <v>273</v>
      </c>
      <c r="Q84" s="20" t="s">
        <v>274</v>
      </c>
      <c r="R84" s="37">
        <v>1</v>
      </c>
      <c r="S84" s="37">
        <v>0</v>
      </c>
      <c r="T84" s="37">
        <v>0</v>
      </c>
      <c r="U84" s="29"/>
      <c r="V84" s="24" t="s">
        <v>52</v>
      </c>
      <c r="W84" s="24" t="s">
        <v>53</v>
      </c>
      <c r="X84" s="24" t="s">
        <v>54</v>
      </c>
      <c r="Y84" s="104"/>
      <c r="Z84" s="104"/>
      <c r="AA84" s="104"/>
      <c r="AB84" s="104"/>
      <c r="AC84" s="104"/>
      <c r="AD84" s="104"/>
      <c r="AE84" s="104"/>
      <c r="AF84" s="104"/>
      <c r="AG84" s="105"/>
      <c r="AH84" s="106"/>
      <c r="AI84" s="107"/>
      <c r="AJ84" s="104"/>
      <c r="AK84" s="104"/>
      <c r="AL84" s="104"/>
      <c r="AM84" s="104"/>
      <c r="AN84" s="29" t="str">
        <f t="shared" si="59"/>
        <v/>
      </c>
      <c r="AO84" s="104"/>
      <c r="AP84" s="104"/>
      <c r="AQ84" s="104"/>
      <c r="AR84" s="29" t="str">
        <f t="shared" si="60"/>
        <v/>
      </c>
      <c r="AS84" s="105"/>
      <c r="AT84" s="106"/>
      <c r="AU84" s="107"/>
      <c r="AV84" s="29"/>
      <c r="AW84" s="104"/>
      <c r="AX84" s="104"/>
      <c r="AY84" s="104"/>
      <c r="AZ84" s="104"/>
      <c r="BA84" s="104"/>
      <c r="BB84" s="104"/>
      <c r="BC84" s="104"/>
      <c r="BD84" s="104"/>
      <c r="BE84" s="105"/>
      <c r="BF84" s="106"/>
      <c r="BG84" s="108"/>
      <c r="BH84" s="29"/>
      <c r="BI84" s="104"/>
      <c r="BJ84" s="104"/>
      <c r="BK84" s="104"/>
      <c r="BL84" s="104"/>
      <c r="BM84" s="104"/>
      <c r="BN84" s="104"/>
      <c r="BO84" s="104"/>
      <c r="BP84" s="104"/>
      <c r="BQ84" s="105"/>
      <c r="BR84" s="109"/>
      <c r="BS84" s="107"/>
      <c r="BT84" s="104"/>
      <c r="BU84" s="126" t="s">
        <v>566</v>
      </c>
    </row>
    <row r="85" spans="1:73" ht="66" customHeight="1">
      <c r="A85" s="195"/>
      <c r="B85" s="174"/>
      <c r="C85" s="196"/>
      <c r="D85" s="40"/>
      <c r="E85" s="20"/>
      <c r="F85" s="20"/>
      <c r="G85" s="20"/>
      <c r="H85" s="20">
        <v>4</v>
      </c>
      <c r="I85" s="41" t="s">
        <v>546</v>
      </c>
      <c r="J85" s="20" t="s">
        <v>547</v>
      </c>
      <c r="K85" s="20" t="s">
        <v>548</v>
      </c>
      <c r="L85" s="20" t="s">
        <v>549</v>
      </c>
      <c r="M85" s="20" t="s">
        <v>196</v>
      </c>
      <c r="N85" s="20" t="s">
        <v>535</v>
      </c>
      <c r="O85" s="20" t="s">
        <v>83</v>
      </c>
      <c r="P85" s="20" t="s">
        <v>78</v>
      </c>
      <c r="Q85" s="20" t="s">
        <v>274</v>
      </c>
      <c r="R85" s="37">
        <v>1</v>
      </c>
      <c r="S85" s="37">
        <f>+AVERAGE(AU85,AI85,BG85,BS85)</f>
        <v>0.903743961352657</v>
      </c>
      <c r="T85" s="37">
        <f t="shared" ref="T85:T86" si="83">+S85/R85</f>
        <v>0.903743961352657</v>
      </c>
      <c r="U85" s="29" t="str">
        <f t="shared" si="70"/>
        <v>BUENO</v>
      </c>
      <c r="V85" s="24" t="s">
        <v>550</v>
      </c>
      <c r="W85" s="24" t="s">
        <v>53</v>
      </c>
      <c r="X85" s="24" t="s">
        <v>54</v>
      </c>
      <c r="Y85" s="104"/>
      <c r="Z85" s="104"/>
      <c r="AA85" s="104"/>
      <c r="AB85" s="104"/>
      <c r="AC85" s="104"/>
      <c r="AD85" s="104"/>
      <c r="AE85" s="104"/>
      <c r="AF85" s="104"/>
      <c r="AG85" s="105">
        <v>10</v>
      </c>
      <c r="AH85" s="110">
        <v>9</v>
      </c>
      <c r="AI85" s="107">
        <f>+AH85/AG85</f>
        <v>0.9</v>
      </c>
      <c r="AJ85" s="29" t="str">
        <f t="shared" ref="AJ85:AJ86" si="84">IF(AI85&gt;=80%,"BUENO",IF(AI85&gt;=66%,"REGULAR",IF(AI85&gt;=0.00001%,"MALO","")))</f>
        <v>BUENO</v>
      </c>
      <c r="AK85" s="104"/>
      <c r="AL85" s="104"/>
      <c r="AM85" s="104"/>
      <c r="AN85" s="29" t="str">
        <f t="shared" si="59"/>
        <v/>
      </c>
      <c r="AO85" s="104"/>
      <c r="AP85" s="104"/>
      <c r="AQ85" s="104"/>
      <c r="AR85" s="29" t="str">
        <f t="shared" si="60"/>
        <v/>
      </c>
      <c r="AS85" s="105">
        <v>18</v>
      </c>
      <c r="AT85" s="106">
        <v>16</v>
      </c>
      <c r="AU85" s="107">
        <f>+AT85/AS85</f>
        <v>0.88888888888888884</v>
      </c>
      <c r="AV85" s="29" t="str">
        <f t="shared" si="77"/>
        <v>BUENO</v>
      </c>
      <c r="AW85" s="104"/>
      <c r="AX85" s="104"/>
      <c r="AY85" s="104"/>
      <c r="AZ85" s="104"/>
      <c r="BA85" s="104"/>
      <c r="BB85" s="104"/>
      <c r="BC85" s="104"/>
      <c r="BD85" s="104"/>
      <c r="BE85" s="105">
        <v>23</v>
      </c>
      <c r="BF85" s="110">
        <v>21</v>
      </c>
      <c r="BG85" s="108">
        <f>+BF85/BE85</f>
        <v>0.91304347826086951</v>
      </c>
      <c r="BH85" s="29" t="str">
        <f t="shared" si="80"/>
        <v>BUENO</v>
      </c>
      <c r="BI85" s="104"/>
      <c r="BJ85" s="104"/>
      <c r="BK85" s="104"/>
      <c r="BL85" s="104"/>
      <c r="BM85" s="104"/>
      <c r="BN85" s="104"/>
      <c r="BO85" s="104"/>
      <c r="BP85" s="104"/>
      <c r="BQ85" s="105">
        <v>23</v>
      </c>
      <c r="BR85" s="109" t="s">
        <v>551</v>
      </c>
      <c r="BS85" s="107">
        <f>+BR85/BQ85</f>
        <v>0.91304347826086951</v>
      </c>
      <c r="BT85" s="29" t="str">
        <f t="shared" si="53"/>
        <v>BUENO</v>
      </c>
      <c r="BU85" s="34"/>
    </row>
    <row r="86" spans="1:73" ht="49.5" customHeight="1">
      <c r="A86" s="195"/>
      <c r="B86" s="174"/>
      <c r="C86" s="196"/>
      <c r="D86" s="40"/>
      <c r="E86" s="20"/>
      <c r="F86" s="20"/>
      <c r="G86" s="20"/>
      <c r="H86" s="20"/>
      <c r="I86" s="41" t="s">
        <v>552</v>
      </c>
      <c r="J86" s="20" t="s">
        <v>553</v>
      </c>
      <c r="K86" s="20" t="s">
        <v>554</v>
      </c>
      <c r="L86" s="20" t="s">
        <v>555</v>
      </c>
      <c r="M86" s="20" t="s">
        <v>196</v>
      </c>
      <c r="N86" s="20" t="s">
        <v>535</v>
      </c>
      <c r="O86" s="20" t="s">
        <v>114</v>
      </c>
      <c r="P86" s="20" t="s">
        <v>78</v>
      </c>
      <c r="Q86" s="20" t="s">
        <v>274</v>
      </c>
      <c r="R86" s="37">
        <v>1</v>
      </c>
      <c r="S86" s="37">
        <f>+AVERAGE(AU86,AI86,BG86,BS86)</f>
        <v>0.92548309178743959</v>
      </c>
      <c r="T86" s="37">
        <f t="shared" si="83"/>
        <v>0.92548309178743959</v>
      </c>
      <c r="U86" s="29" t="str">
        <f t="shared" si="70"/>
        <v>BUENO</v>
      </c>
      <c r="V86" s="24" t="s">
        <v>550</v>
      </c>
      <c r="W86" s="24" t="s">
        <v>53</v>
      </c>
      <c r="X86" s="24" t="s">
        <v>54</v>
      </c>
      <c r="Y86" s="104"/>
      <c r="Z86" s="104"/>
      <c r="AA86" s="104"/>
      <c r="AB86" s="104"/>
      <c r="AC86" s="104"/>
      <c r="AD86" s="104"/>
      <c r="AE86" s="104"/>
      <c r="AF86" s="104"/>
      <c r="AG86" s="105">
        <v>10</v>
      </c>
      <c r="AH86" s="110">
        <v>9</v>
      </c>
      <c r="AI86" s="107">
        <f>+AH86/AG86</f>
        <v>0.9</v>
      </c>
      <c r="AJ86" s="29" t="str">
        <f t="shared" si="84"/>
        <v>BUENO</v>
      </c>
      <c r="AK86" s="104"/>
      <c r="AL86" s="104"/>
      <c r="AM86" s="104"/>
      <c r="AN86" s="29" t="str">
        <f t="shared" si="59"/>
        <v/>
      </c>
      <c r="AO86" s="104"/>
      <c r="AP86" s="104"/>
      <c r="AQ86" s="104"/>
      <c r="AR86" s="29" t="str">
        <f t="shared" si="60"/>
        <v/>
      </c>
      <c r="AS86" s="105">
        <v>18</v>
      </c>
      <c r="AT86" s="106">
        <v>16</v>
      </c>
      <c r="AU86" s="107">
        <f>+AT86/AS86</f>
        <v>0.88888888888888884</v>
      </c>
      <c r="AV86" s="29" t="str">
        <f t="shared" si="77"/>
        <v>BUENO</v>
      </c>
      <c r="AW86" s="104"/>
      <c r="AX86" s="104"/>
      <c r="AY86" s="104"/>
      <c r="AZ86" s="104"/>
      <c r="BA86" s="104"/>
      <c r="BB86" s="104"/>
      <c r="BC86" s="104"/>
      <c r="BD86" s="104"/>
      <c r="BE86" s="105">
        <v>23</v>
      </c>
      <c r="BF86" s="106">
        <v>0.91304347826086951</v>
      </c>
      <c r="BG86" s="108">
        <f>0.91304347826087*100%</f>
        <v>0.91304347826086951</v>
      </c>
      <c r="BH86" s="29" t="str">
        <f t="shared" si="80"/>
        <v>BUENO</v>
      </c>
      <c r="BI86" s="104"/>
      <c r="BJ86" s="104"/>
      <c r="BK86" s="104"/>
      <c r="BL86" s="104"/>
      <c r="BM86" s="104"/>
      <c r="BN86" s="104"/>
      <c r="BO86" s="104"/>
      <c r="BP86" s="104"/>
      <c r="BQ86" s="105">
        <v>23</v>
      </c>
      <c r="BR86" s="109" t="s">
        <v>556</v>
      </c>
      <c r="BS86" s="107">
        <f>1/1</f>
        <v>1</v>
      </c>
      <c r="BT86" s="29" t="str">
        <f t="shared" si="53"/>
        <v>BUENO</v>
      </c>
      <c r="BU86" s="34"/>
    </row>
    <row r="87" spans="1:73" s="1" customFormat="1" ht="39" customHeight="1">
      <c r="A87" s="197"/>
      <c r="B87" s="197"/>
      <c r="C87" s="197"/>
      <c r="D87" s="197"/>
      <c r="E87" s="197"/>
      <c r="F87" s="197"/>
      <c r="G87" s="197"/>
      <c r="H87" s="197"/>
      <c r="I87" s="197"/>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row>
    <row r="88" spans="1:73">
      <c r="A88" s="112"/>
    </row>
    <row r="89" spans="1:73" ht="13.5" thickBot="1">
      <c r="A89" s="112"/>
    </row>
    <row r="90" spans="1:73" s="3" customFormat="1" ht="38.25" customHeight="1" thickBot="1">
      <c r="A90" s="112"/>
      <c r="B90" s="117">
        <v>1</v>
      </c>
      <c r="C90" s="198" t="s">
        <v>567</v>
      </c>
      <c r="D90" s="199"/>
      <c r="E90" s="199"/>
      <c r="F90" s="199"/>
      <c r="G90" s="199"/>
      <c r="H90" s="199"/>
      <c r="I90" s="199"/>
      <c r="J90" s="199"/>
      <c r="K90" s="199"/>
      <c r="L90" s="199"/>
      <c r="M90" s="199"/>
      <c r="N90" s="199"/>
      <c r="O90" s="199"/>
      <c r="P90" s="199"/>
      <c r="Q90" s="199"/>
      <c r="R90" s="200"/>
      <c r="S90" s="118"/>
      <c r="T90" s="118"/>
      <c r="U90" s="118"/>
      <c r="AB90" s="119"/>
      <c r="AF90" s="119"/>
      <c r="AH90" s="1"/>
      <c r="AJ90" s="119"/>
      <c r="AN90" s="119"/>
    </row>
    <row r="91" spans="1:73" s="3" customFormat="1" ht="38.25" customHeight="1" thickBot="1">
      <c r="A91" s="112"/>
      <c r="B91" s="117">
        <v>2</v>
      </c>
      <c r="C91" s="189" t="s">
        <v>557</v>
      </c>
      <c r="D91" s="190"/>
      <c r="E91" s="190"/>
      <c r="F91" s="190"/>
      <c r="G91" s="190"/>
      <c r="H91" s="190"/>
      <c r="I91" s="190"/>
      <c r="J91" s="190"/>
      <c r="K91" s="190"/>
      <c r="L91" s="190"/>
      <c r="M91" s="190"/>
      <c r="N91" s="190"/>
      <c r="O91" s="190"/>
      <c r="P91" s="190"/>
      <c r="Q91" s="190"/>
      <c r="R91" s="191"/>
      <c r="S91" s="118"/>
      <c r="T91" s="118"/>
      <c r="U91" s="118"/>
      <c r="AH91" s="1"/>
    </row>
    <row r="92" spans="1:73" s="3" customFormat="1" ht="38.25" customHeight="1" thickBot="1">
      <c r="A92" s="112"/>
      <c r="B92" s="117">
        <v>3</v>
      </c>
      <c r="C92" s="189" t="s">
        <v>558</v>
      </c>
      <c r="D92" s="190"/>
      <c r="E92" s="190"/>
      <c r="F92" s="190"/>
      <c r="G92" s="190"/>
      <c r="H92" s="190"/>
      <c r="I92" s="190"/>
      <c r="J92" s="190"/>
      <c r="K92" s="190"/>
      <c r="L92" s="190"/>
      <c r="M92" s="190"/>
      <c r="N92" s="190"/>
      <c r="O92" s="190"/>
      <c r="P92" s="190"/>
      <c r="Q92" s="190"/>
      <c r="R92" s="191"/>
      <c r="S92" s="118"/>
      <c r="T92" s="118"/>
      <c r="U92" s="118"/>
      <c r="AH92" s="1"/>
    </row>
    <row r="93" spans="1:73" s="3" customFormat="1" ht="38.25" customHeight="1" thickBot="1">
      <c r="A93" s="120"/>
      <c r="B93" s="117">
        <v>4</v>
      </c>
      <c r="C93" s="192" t="s">
        <v>559</v>
      </c>
      <c r="D93" s="193"/>
      <c r="E93" s="193"/>
      <c r="F93" s="193"/>
      <c r="G93" s="193"/>
      <c r="H93" s="193"/>
      <c r="I93" s="193"/>
      <c r="J93" s="193"/>
      <c r="K93" s="193"/>
      <c r="L93" s="193"/>
      <c r="M93" s="193"/>
      <c r="N93" s="193"/>
      <c r="O93" s="193"/>
      <c r="P93" s="193"/>
      <c r="Q93" s="193"/>
      <c r="R93" s="194"/>
      <c r="S93" s="118"/>
      <c r="T93" s="118"/>
      <c r="U93" s="118"/>
      <c r="AH93" s="1"/>
    </row>
    <row r="95" spans="1:73">
      <c r="A95" s="112"/>
      <c r="B95" s="33"/>
      <c r="C95" s="116"/>
      <c r="AB95" s="33"/>
      <c r="AF95" s="33"/>
      <c r="AJ95" s="33"/>
      <c r="AN95" s="33"/>
    </row>
    <row r="96" spans="1:73">
      <c r="A96" s="112"/>
      <c r="B96" s="33"/>
      <c r="C96" s="116"/>
      <c r="AB96" s="33"/>
      <c r="AF96" s="33"/>
      <c r="AJ96" s="33"/>
      <c r="AN96" s="33"/>
    </row>
    <row r="97" spans="1:40">
      <c r="A97" s="112"/>
      <c r="B97" s="33"/>
      <c r="C97" s="116"/>
      <c r="AB97" s="33"/>
      <c r="AF97" s="33"/>
      <c r="AJ97" s="33"/>
      <c r="AN97" s="33"/>
    </row>
    <row r="98" spans="1:40">
      <c r="A98" s="112"/>
      <c r="B98" s="33"/>
      <c r="C98" s="116"/>
      <c r="AB98" s="33"/>
      <c r="AF98" s="33"/>
      <c r="AJ98" s="33"/>
      <c r="AN98" s="33"/>
    </row>
    <row r="99" spans="1:40">
      <c r="A99" s="112"/>
      <c r="B99" s="33"/>
      <c r="C99" s="116"/>
      <c r="AB99" s="33"/>
      <c r="AF99" s="33"/>
      <c r="AJ99" s="33"/>
      <c r="AN99" s="33"/>
    </row>
    <row r="100" spans="1:40">
      <c r="A100" s="112"/>
      <c r="B100" s="33"/>
      <c r="C100" s="116"/>
      <c r="AB100" s="33"/>
      <c r="AF100" s="33"/>
      <c r="AJ100" s="33"/>
      <c r="AN100" s="33"/>
    </row>
    <row r="101" spans="1:40">
      <c r="A101" s="112"/>
      <c r="B101" s="33"/>
      <c r="C101" s="116"/>
      <c r="AB101" s="33"/>
      <c r="AF101" s="33"/>
      <c r="AJ101" s="33"/>
      <c r="AN101" s="33"/>
    </row>
    <row r="102" spans="1:40">
      <c r="A102" s="112"/>
      <c r="B102" s="33"/>
      <c r="C102" s="116"/>
      <c r="AB102" s="33"/>
      <c r="AF102" s="33"/>
      <c r="AJ102" s="33"/>
      <c r="AN102" s="33"/>
    </row>
    <row r="103" spans="1:40">
      <c r="A103" s="112"/>
      <c r="B103" s="33"/>
      <c r="C103" s="116"/>
      <c r="AB103" s="33"/>
      <c r="AF103" s="33"/>
      <c r="AJ103" s="33"/>
      <c r="AN103" s="33"/>
    </row>
    <row r="104" spans="1:40">
      <c r="A104" s="112"/>
      <c r="B104" s="33"/>
      <c r="C104" s="116"/>
      <c r="AB104" s="33"/>
      <c r="AF104" s="33"/>
      <c r="AJ104" s="33"/>
      <c r="AN104" s="33"/>
    </row>
    <row r="105" spans="1:40">
      <c r="A105" s="112"/>
      <c r="B105" s="33"/>
      <c r="C105" s="116"/>
      <c r="AB105" s="33"/>
      <c r="AF105" s="33"/>
      <c r="AJ105" s="33"/>
      <c r="AN105" s="33"/>
    </row>
    <row r="106" spans="1:40">
      <c r="A106" s="112"/>
      <c r="B106" s="33"/>
      <c r="C106" s="116"/>
      <c r="AB106" s="33"/>
      <c r="AF106" s="33"/>
      <c r="AJ106" s="33"/>
      <c r="AN106" s="33"/>
    </row>
    <row r="107" spans="1:40">
      <c r="A107" s="112"/>
      <c r="B107" s="33"/>
      <c r="C107" s="116"/>
      <c r="AB107" s="33"/>
      <c r="AF107" s="33"/>
      <c r="AJ107" s="33"/>
      <c r="AN107" s="33"/>
    </row>
    <row r="108" spans="1:40">
      <c r="A108" s="112"/>
      <c r="B108" s="33"/>
      <c r="C108" s="116"/>
      <c r="AB108" s="33"/>
      <c r="AF108" s="33"/>
      <c r="AJ108" s="33"/>
      <c r="AN108" s="33"/>
    </row>
    <row r="109" spans="1:40">
      <c r="A109" s="120"/>
      <c r="B109" s="33"/>
      <c r="C109" s="116"/>
      <c r="AB109" s="33"/>
      <c r="AF109" s="33"/>
      <c r="AJ109" s="33"/>
      <c r="AN109" s="33"/>
    </row>
    <row r="111" spans="1:40">
      <c r="A111" s="112"/>
      <c r="B111" s="33"/>
      <c r="C111" s="116"/>
      <c r="AB111" s="33"/>
      <c r="AF111" s="33"/>
      <c r="AJ111" s="33"/>
      <c r="AN111" s="33"/>
    </row>
    <row r="112" spans="1:40">
      <c r="A112" s="112"/>
      <c r="B112" s="33"/>
      <c r="C112" s="116"/>
      <c r="AB112" s="33"/>
      <c r="AF112" s="33"/>
      <c r="AJ112" s="33"/>
      <c r="AN112" s="33"/>
    </row>
    <row r="113" spans="1:40">
      <c r="A113" s="112"/>
      <c r="B113" s="33"/>
      <c r="C113" s="116"/>
      <c r="AB113" s="33"/>
      <c r="AF113" s="33"/>
      <c r="AJ113" s="33"/>
      <c r="AN113" s="33"/>
    </row>
    <row r="114" spans="1:40">
      <c r="A114" s="112"/>
      <c r="B114" s="33"/>
      <c r="C114" s="116"/>
      <c r="AB114" s="33"/>
      <c r="AF114" s="33"/>
      <c r="AJ114" s="33"/>
      <c r="AN114" s="33"/>
    </row>
    <row r="115" spans="1:40">
      <c r="A115" s="112"/>
      <c r="B115" s="33"/>
      <c r="C115" s="116"/>
      <c r="AB115" s="33"/>
      <c r="AF115" s="33"/>
      <c r="AJ115" s="33"/>
      <c r="AN115" s="33"/>
    </row>
    <row r="116" spans="1:40">
      <c r="A116" s="112"/>
      <c r="B116" s="33"/>
      <c r="C116" s="116"/>
      <c r="AB116" s="33"/>
      <c r="AF116" s="33"/>
      <c r="AJ116" s="33"/>
      <c r="AN116" s="33"/>
    </row>
    <row r="117" spans="1:40">
      <c r="A117" s="112"/>
      <c r="B117" s="33"/>
      <c r="C117" s="116"/>
      <c r="AB117" s="33"/>
      <c r="AF117" s="33"/>
      <c r="AJ117" s="33"/>
      <c r="AN117" s="33"/>
    </row>
    <row r="118" spans="1:40">
      <c r="A118" s="112"/>
      <c r="B118" s="33"/>
      <c r="C118" s="116"/>
      <c r="AB118" s="33"/>
      <c r="AF118" s="33"/>
      <c r="AJ118" s="33"/>
      <c r="AN118" s="33"/>
    </row>
    <row r="119" spans="1:40">
      <c r="A119" s="112"/>
      <c r="B119" s="33"/>
      <c r="C119" s="116"/>
      <c r="AB119" s="33"/>
      <c r="AF119" s="33"/>
      <c r="AJ119" s="33"/>
      <c r="AN119" s="33"/>
    </row>
    <row r="120" spans="1:40">
      <c r="A120" s="112"/>
      <c r="B120" s="33"/>
      <c r="C120" s="116"/>
      <c r="AB120" s="33"/>
      <c r="AF120" s="33"/>
      <c r="AJ120" s="33"/>
      <c r="AN120" s="33"/>
    </row>
    <row r="121" spans="1:40">
      <c r="A121" s="112"/>
      <c r="B121" s="33"/>
      <c r="C121" s="116"/>
      <c r="AB121" s="33"/>
      <c r="AF121" s="33"/>
      <c r="AJ121" s="33"/>
      <c r="AN121" s="33"/>
    </row>
    <row r="122" spans="1:40">
      <c r="A122" s="112"/>
      <c r="B122" s="33"/>
      <c r="C122" s="116"/>
      <c r="AB122" s="33"/>
      <c r="AF122" s="33"/>
      <c r="AJ122" s="33"/>
      <c r="AN122" s="33"/>
    </row>
    <row r="123" spans="1:40">
      <c r="A123" s="112"/>
      <c r="B123" s="33"/>
      <c r="C123" s="116"/>
      <c r="AB123" s="33"/>
      <c r="AF123" s="33"/>
      <c r="AJ123" s="33"/>
      <c r="AN123" s="33"/>
    </row>
    <row r="124" spans="1:40">
      <c r="A124" s="112"/>
      <c r="B124" s="33"/>
      <c r="C124" s="116"/>
      <c r="AB124" s="33"/>
      <c r="AF124" s="33"/>
      <c r="AJ124" s="33"/>
      <c r="AN124" s="33"/>
    </row>
    <row r="125" spans="1:40">
      <c r="A125" s="112"/>
      <c r="B125" s="33"/>
      <c r="C125" s="116"/>
      <c r="AB125" s="33"/>
      <c r="AF125" s="33"/>
      <c r="AJ125" s="33"/>
      <c r="AN125" s="33"/>
    </row>
    <row r="126" spans="1:40">
      <c r="A126" s="112"/>
      <c r="B126" s="33"/>
      <c r="C126" s="116"/>
      <c r="AB126" s="33"/>
      <c r="AF126" s="33"/>
      <c r="AJ126" s="33"/>
      <c r="AN126" s="33"/>
    </row>
    <row r="127" spans="1:40">
      <c r="A127" s="112"/>
      <c r="B127" s="33"/>
      <c r="C127" s="116"/>
      <c r="AB127" s="33"/>
      <c r="AF127" s="33"/>
      <c r="AJ127" s="33"/>
      <c r="AN127" s="33"/>
    </row>
    <row r="128" spans="1:40">
      <c r="A128" s="112"/>
      <c r="B128" s="33"/>
      <c r="C128" s="116"/>
      <c r="AB128" s="33"/>
      <c r="AF128" s="33"/>
      <c r="AJ128" s="33"/>
      <c r="AN128" s="33"/>
    </row>
    <row r="129" spans="1:40">
      <c r="A129" s="112"/>
      <c r="B129" s="33"/>
      <c r="C129" s="116"/>
      <c r="AB129" s="33"/>
      <c r="AF129" s="33"/>
      <c r="AJ129" s="33"/>
      <c r="AN129" s="33"/>
    </row>
    <row r="130" spans="1:40">
      <c r="A130" s="112"/>
      <c r="B130" s="33"/>
      <c r="C130" s="116"/>
      <c r="AB130" s="33"/>
      <c r="AF130" s="33"/>
      <c r="AJ130" s="33"/>
      <c r="AN130" s="33"/>
    </row>
    <row r="131" spans="1:40">
      <c r="A131" s="120"/>
      <c r="B131" s="33"/>
      <c r="C131" s="116"/>
      <c r="AB131" s="33"/>
      <c r="AF131" s="33"/>
      <c r="AJ131" s="33"/>
      <c r="AN131" s="33"/>
    </row>
    <row r="133" spans="1:40">
      <c r="A133" s="112"/>
      <c r="B133" s="33"/>
      <c r="C133" s="116"/>
      <c r="AB133" s="33"/>
      <c r="AF133" s="33"/>
      <c r="AJ133" s="33"/>
      <c r="AN133" s="33"/>
    </row>
    <row r="134" spans="1:40">
      <c r="A134" s="112"/>
      <c r="B134" s="33"/>
      <c r="C134" s="116"/>
      <c r="AB134" s="33"/>
      <c r="AF134" s="33"/>
      <c r="AJ134" s="33"/>
      <c r="AN134" s="33"/>
    </row>
    <row r="135" spans="1:40">
      <c r="A135" s="112"/>
      <c r="B135" s="33"/>
      <c r="C135" s="116"/>
      <c r="AB135" s="33"/>
      <c r="AF135" s="33"/>
      <c r="AJ135" s="33"/>
      <c r="AN135" s="33"/>
    </row>
    <row r="136" spans="1:40">
      <c r="A136" s="112"/>
      <c r="B136" s="33"/>
      <c r="C136" s="116"/>
      <c r="AB136" s="33"/>
      <c r="AF136" s="33"/>
      <c r="AJ136" s="33"/>
      <c r="AN136" s="33"/>
    </row>
    <row r="137" spans="1:40">
      <c r="A137" s="112"/>
      <c r="B137" s="33"/>
      <c r="C137" s="116"/>
      <c r="AB137" s="33"/>
      <c r="AF137" s="33"/>
      <c r="AJ137" s="33"/>
      <c r="AN137" s="33"/>
    </row>
    <row r="138" spans="1:40">
      <c r="A138" s="112"/>
      <c r="B138" s="33"/>
      <c r="C138" s="116"/>
      <c r="AB138" s="33"/>
      <c r="AF138" s="33"/>
      <c r="AJ138" s="33"/>
      <c r="AN138" s="33"/>
    </row>
    <row r="139" spans="1:40">
      <c r="A139" s="112"/>
      <c r="B139" s="33"/>
      <c r="C139" s="116"/>
      <c r="AB139" s="33"/>
      <c r="AF139" s="33"/>
      <c r="AJ139" s="33"/>
      <c r="AN139" s="33"/>
    </row>
    <row r="140" spans="1:40">
      <c r="A140" s="112"/>
      <c r="B140" s="33"/>
      <c r="C140" s="116"/>
      <c r="AB140" s="33"/>
      <c r="AF140" s="33"/>
      <c r="AJ140" s="33"/>
      <c r="AN140" s="33"/>
    </row>
    <row r="141" spans="1:40">
      <c r="A141" s="112"/>
      <c r="B141" s="33"/>
      <c r="C141" s="116"/>
      <c r="AB141" s="33"/>
      <c r="AF141" s="33"/>
      <c r="AJ141" s="33"/>
      <c r="AN141" s="33"/>
    </row>
    <row r="142" spans="1:40">
      <c r="A142" s="112"/>
      <c r="B142" s="33"/>
      <c r="C142" s="116"/>
      <c r="AB142" s="33"/>
      <c r="AF142" s="33"/>
      <c r="AJ142" s="33"/>
      <c r="AN142" s="33"/>
    </row>
    <row r="143" spans="1:40">
      <c r="A143" s="112"/>
      <c r="B143" s="33"/>
      <c r="C143" s="116"/>
      <c r="AB143" s="33"/>
      <c r="AF143" s="33"/>
      <c r="AJ143" s="33"/>
      <c r="AN143" s="33"/>
    </row>
    <row r="144" spans="1:40">
      <c r="A144" s="112"/>
      <c r="B144" s="33"/>
      <c r="C144" s="116"/>
      <c r="AB144" s="33"/>
      <c r="AF144" s="33"/>
      <c r="AJ144" s="33"/>
      <c r="AN144" s="33"/>
    </row>
    <row r="145" spans="1:40">
      <c r="A145" s="112"/>
      <c r="B145" s="33"/>
      <c r="C145" s="116"/>
      <c r="AB145" s="33"/>
      <c r="AF145" s="33"/>
      <c r="AJ145" s="33"/>
      <c r="AN145" s="33"/>
    </row>
    <row r="146" spans="1:40">
      <c r="A146" s="112"/>
      <c r="B146" s="33"/>
      <c r="C146" s="116"/>
      <c r="AB146" s="33"/>
      <c r="AF146" s="33"/>
      <c r="AJ146" s="33"/>
      <c r="AN146" s="33"/>
    </row>
    <row r="147" spans="1:40">
      <c r="A147" s="112"/>
      <c r="B147" s="33"/>
      <c r="C147" s="116"/>
      <c r="AB147" s="33"/>
      <c r="AF147" s="33"/>
      <c r="AJ147" s="33"/>
      <c r="AN147" s="33"/>
    </row>
    <row r="148" spans="1:40">
      <c r="A148" s="112"/>
      <c r="B148" s="33"/>
      <c r="C148" s="116"/>
      <c r="AB148" s="33"/>
      <c r="AF148" s="33"/>
      <c r="AJ148" s="33"/>
      <c r="AN148" s="33"/>
    </row>
    <row r="149" spans="1:40">
      <c r="A149" s="120"/>
      <c r="B149" s="33"/>
      <c r="C149" s="116"/>
      <c r="AB149" s="33"/>
      <c r="AF149" s="33"/>
      <c r="AJ149" s="33"/>
      <c r="AN149" s="33"/>
    </row>
    <row r="151" spans="1:40">
      <c r="A151" s="112"/>
      <c r="B151" s="33"/>
      <c r="C151" s="116"/>
      <c r="AB151" s="33"/>
      <c r="AF151" s="33"/>
      <c r="AJ151" s="33"/>
      <c r="AN151" s="33"/>
    </row>
    <row r="152" spans="1:40">
      <c r="A152" s="112"/>
      <c r="B152" s="33"/>
      <c r="C152" s="116"/>
      <c r="AB152" s="33"/>
      <c r="AF152" s="33"/>
      <c r="AJ152" s="33"/>
      <c r="AN152" s="33"/>
    </row>
    <row r="153" spans="1:40">
      <c r="A153" s="112"/>
      <c r="B153" s="33"/>
      <c r="C153" s="116"/>
      <c r="AB153" s="33"/>
      <c r="AF153" s="33"/>
      <c r="AJ153" s="33"/>
      <c r="AN153" s="33"/>
    </row>
    <row r="154" spans="1:40">
      <c r="A154" s="112"/>
      <c r="B154" s="33"/>
      <c r="C154" s="116"/>
      <c r="AB154" s="33"/>
      <c r="AF154" s="33"/>
      <c r="AJ154" s="33"/>
      <c r="AN154" s="33"/>
    </row>
    <row r="155" spans="1:40">
      <c r="A155" s="112"/>
      <c r="B155" s="33"/>
      <c r="C155" s="116"/>
      <c r="AB155" s="33"/>
      <c r="AF155" s="33"/>
      <c r="AJ155" s="33"/>
      <c r="AN155" s="33"/>
    </row>
    <row r="156" spans="1:40">
      <c r="A156" s="120"/>
      <c r="B156" s="33"/>
      <c r="C156" s="116"/>
      <c r="AB156" s="33"/>
      <c r="AF156" s="33"/>
      <c r="AJ156" s="33"/>
      <c r="AN156" s="33"/>
    </row>
    <row r="158" spans="1:40">
      <c r="A158" s="112"/>
      <c r="B158" s="33"/>
      <c r="C158" s="116"/>
      <c r="AB158" s="33"/>
      <c r="AF158" s="33"/>
      <c r="AJ158" s="33"/>
      <c r="AN158" s="33"/>
    </row>
    <row r="159" spans="1:40">
      <c r="A159" s="112"/>
      <c r="B159" s="33"/>
      <c r="C159" s="116"/>
      <c r="AB159" s="33"/>
      <c r="AF159" s="33"/>
      <c r="AJ159" s="33"/>
      <c r="AN159" s="33"/>
    </row>
    <row r="160" spans="1:40">
      <c r="A160" s="112"/>
      <c r="B160" s="33"/>
      <c r="C160" s="116"/>
      <c r="AB160" s="33"/>
      <c r="AF160" s="33"/>
      <c r="AJ160" s="33"/>
      <c r="AN160" s="33"/>
    </row>
    <row r="161" spans="1:40">
      <c r="A161" s="112"/>
      <c r="B161" s="33"/>
      <c r="C161" s="116"/>
      <c r="AB161" s="33"/>
      <c r="AF161" s="33"/>
      <c r="AJ161" s="33"/>
      <c r="AN161" s="33"/>
    </row>
    <row r="162" spans="1:40">
      <c r="A162" s="120"/>
      <c r="B162" s="33"/>
      <c r="C162" s="116"/>
      <c r="AB162" s="33"/>
      <c r="AF162" s="33"/>
      <c r="AJ162" s="33"/>
      <c r="AN162" s="33"/>
    </row>
    <row r="164" spans="1:40">
      <c r="A164" s="112"/>
      <c r="B164" s="33"/>
      <c r="C164" s="116"/>
      <c r="AB164" s="33"/>
      <c r="AF164" s="33"/>
      <c r="AJ164" s="33"/>
      <c r="AN164" s="33"/>
    </row>
    <row r="165" spans="1:40">
      <c r="A165" s="112"/>
      <c r="B165" s="33"/>
      <c r="C165" s="116"/>
      <c r="AB165" s="33"/>
      <c r="AF165" s="33"/>
      <c r="AJ165" s="33"/>
      <c r="AN165" s="33"/>
    </row>
    <row r="166" spans="1:40">
      <c r="A166" s="112"/>
      <c r="B166" s="33"/>
      <c r="C166" s="116"/>
      <c r="AB166" s="33"/>
      <c r="AF166" s="33"/>
      <c r="AJ166" s="33"/>
      <c r="AN166" s="33"/>
    </row>
    <row r="167" spans="1:40">
      <c r="A167" s="112"/>
      <c r="B167" s="33"/>
      <c r="C167" s="116"/>
      <c r="AB167" s="33"/>
      <c r="AF167" s="33"/>
      <c r="AJ167" s="33"/>
      <c r="AN167" s="33"/>
    </row>
    <row r="168" spans="1:40">
      <c r="A168" s="112"/>
      <c r="B168" s="33"/>
      <c r="C168" s="116"/>
      <c r="AB168" s="33"/>
      <c r="AF168" s="33"/>
      <c r="AJ168" s="33"/>
      <c r="AN168" s="33"/>
    </row>
    <row r="169" spans="1:40">
      <c r="A169" s="112"/>
      <c r="B169" s="33"/>
      <c r="C169" s="116"/>
      <c r="AB169" s="33"/>
      <c r="AF169" s="33"/>
      <c r="AJ169" s="33"/>
      <c r="AN169" s="33"/>
    </row>
    <row r="170" spans="1:40">
      <c r="A170" s="112"/>
      <c r="B170" s="33"/>
      <c r="C170" s="116"/>
      <c r="AB170" s="33"/>
      <c r="AF170" s="33"/>
      <c r="AJ170" s="33"/>
      <c r="AN170" s="33"/>
    </row>
    <row r="171" spans="1:40">
      <c r="A171" s="112"/>
      <c r="B171" s="33"/>
      <c r="C171" s="116"/>
      <c r="AB171" s="33"/>
      <c r="AF171" s="33"/>
      <c r="AJ171" s="33"/>
      <c r="AN171" s="33"/>
    </row>
    <row r="172" spans="1:40">
      <c r="A172" s="112"/>
      <c r="B172" s="33"/>
      <c r="C172" s="116"/>
      <c r="AB172" s="33"/>
      <c r="AF172" s="33"/>
      <c r="AJ172" s="33"/>
      <c r="AN172" s="33"/>
    </row>
    <row r="173" spans="1:40">
      <c r="A173" s="112"/>
      <c r="B173" s="33"/>
      <c r="C173" s="116"/>
      <c r="AB173" s="33"/>
      <c r="AF173" s="33"/>
      <c r="AJ173" s="33"/>
      <c r="AN173" s="33"/>
    </row>
    <row r="174" spans="1:40">
      <c r="A174" s="112"/>
      <c r="B174" s="33"/>
      <c r="C174" s="116"/>
      <c r="AB174" s="33"/>
      <c r="AF174" s="33"/>
      <c r="AJ174" s="33"/>
      <c r="AN174" s="33"/>
    </row>
    <row r="175" spans="1:40">
      <c r="A175" s="112"/>
      <c r="B175" s="33"/>
      <c r="C175" s="116"/>
      <c r="AB175" s="33"/>
      <c r="AF175" s="33"/>
      <c r="AJ175" s="33"/>
      <c r="AN175" s="33"/>
    </row>
    <row r="176" spans="1:40">
      <c r="A176" s="112"/>
      <c r="B176" s="33"/>
      <c r="C176" s="116"/>
      <c r="AB176" s="33"/>
      <c r="AF176" s="33"/>
      <c r="AJ176" s="33"/>
      <c r="AN176" s="33"/>
    </row>
    <row r="177" spans="1:40">
      <c r="A177" s="112"/>
      <c r="B177" s="33"/>
      <c r="C177" s="116"/>
      <c r="AB177" s="33"/>
      <c r="AF177" s="33"/>
      <c r="AJ177" s="33"/>
      <c r="AN177" s="33"/>
    </row>
    <row r="178" spans="1:40">
      <c r="A178" s="112"/>
      <c r="B178" s="33"/>
      <c r="C178" s="116"/>
      <c r="AB178" s="33"/>
      <c r="AF178" s="33"/>
      <c r="AJ178" s="33"/>
      <c r="AN178" s="33"/>
    </row>
    <row r="179" spans="1:40">
      <c r="A179" s="112"/>
      <c r="B179" s="33"/>
      <c r="C179" s="116"/>
      <c r="AB179" s="33"/>
      <c r="AF179" s="33"/>
      <c r="AJ179" s="33"/>
      <c r="AN179" s="33"/>
    </row>
    <row r="180" spans="1:40">
      <c r="A180" s="112"/>
      <c r="B180" s="33"/>
      <c r="C180" s="116"/>
      <c r="AB180" s="33"/>
      <c r="AF180" s="33"/>
      <c r="AJ180" s="33"/>
      <c r="AN180" s="33"/>
    </row>
    <row r="181" spans="1:40">
      <c r="A181" s="112"/>
      <c r="B181" s="33"/>
      <c r="C181" s="116"/>
      <c r="AB181" s="33"/>
      <c r="AF181" s="33"/>
      <c r="AJ181" s="33"/>
      <c r="AN181" s="33"/>
    </row>
    <row r="182" spans="1:40">
      <c r="A182" s="112"/>
      <c r="B182" s="33"/>
      <c r="C182" s="116"/>
      <c r="AB182" s="33"/>
      <c r="AF182" s="33"/>
      <c r="AJ182" s="33"/>
      <c r="AN182" s="33"/>
    </row>
    <row r="183" spans="1:40">
      <c r="A183" s="112"/>
      <c r="B183" s="33"/>
      <c r="C183" s="116"/>
      <c r="AB183" s="33"/>
      <c r="AF183" s="33"/>
      <c r="AJ183" s="33"/>
      <c r="AN183" s="33"/>
    </row>
    <row r="184" spans="1:40">
      <c r="A184" s="112"/>
      <c r="B184" s="33"/>
      <c r="C184" s="116"/>
      <c r="AB184" s="33"/>
      <c r="AF184" s="33"/>
      <c r="AJ184" s="33"/>
      <c r="AN184" s="33"/>
    </row>
    <row r="185" spans="1:40">
      <c r="A185" s="112"/>
      <c r="B185" s="33"/>
      <c r="C185" s="116"/>
      <c r="AB185" s="33"/>
      <c r="AF185" s="33"/>
      <c r="AJ185" s="33"/>
      <c r="AN185" s="33"/>
    </row>
    <row r="186" spans="1:40">
      <c r="A186" s="112"/>
      <c r="B186" s="33"/>
      <c r="C186" s="116"/>
      <c r="AB186" s="33"/>
      <c r="AF186" s="33"/>
      <c r="AJ186" s="33"/>
      <c r="AN186" s="33"/>
    </row>
    <row r="187" spans="1:40">
      <c r="A187" s="112"/>
      <c r="B187" s="33"/>
      <c r="C187" s="116"/>
      <c r="AB187" s="33"/>
      <c r="AF187" s="33"/>
      <c r="AJ187" s="33"/>
      <c r="AN187" s="33"/>
    </row>
  </sheetData>
  <autoFilter ref="A9:BU87">
    <filterColumn colId="10" showButton="0"/>
  </autoFilter>
  <mergeCells count="96">
    <mergeCell ref="C92:R92"/>
    <mergeCell ref="C93:R93"/>
    <mergeCell ref="U8:U9"/>
    <mergeCell ref="A81:A86"/>
    <mergeCell ref="B81:B86"/>
    <mergeCell ref="C82:C86"/>
    <mergeCell ref="A87:I87"/>
    <mergeCell ref="C90:R90"/>
    <mergeCell ref="C91:R91"/>
    <mergeCell ref="L64:L65"/>
    <mergeCell ref="C70:C72"/>
    <mergeCell ref="C73:C74"/>
    <mergeCell ref="B75:B80"/>
    <mergeCell ref="C75:C76"/>
    <mergeCell ref="C78:C80"/>
    <mergeCell ref="A56:A80"/>
    <mergeCell ref="B56:B74"/>
    <mergeCell ref="C56:C62"/>
    <mergeCell ref="I61:I62"/>
    <mergeCell ref="J61:J62"/>
    <mergeCell ref="C63:C69"/>
    <mergeCell ref="P33:P35"/>
    <mergeCell ref="C38:C39"/>
    <mergeCell ref="C40:C49"/>
    <mergeCell ref="D44:D48"/>
    <mergeCell ref="A50:A55"/>
    <mergeCell ref="B50:B55"/>
    <mergeCell ref="C50:C51"/>
    <mergeCell ref="C52:C53"/>
    <mergeCell ref="C54:C55"/>
    <mergeCell ref="J36:J37"/>
    <mergeCell ref="J23:J25"/>
    <mergeCell ref="L23:L25"/>
    <mergeCell ref="N23:N25"/>
    <mergeCell ref="O23:O25"/>
    <mergeCell ref="J33:J35"/>
    <mergeCell ref="L33:L35"/>
    <mergeCell ref="M33:M35"/>
    <mergeCell ref="N33:N35"/>
    <mergeCell ref="P23:P25"/>
    <mergeCell ref="J26:J32"/>
    <mergeCell ref="L26:L32"/>
    <mergeCell ref="N26:N32"/>
    <mergeCell ref="O26:O32"/>
    <mergeCell ref="P26:P32"/>
    <mergeCell ref="L19:L22"/>
    <mergeCell ref="M19:M22"/>
    <mergeCell ref="N19:N22"/>
    <mergeCell ref="O19:O22"/>
    <mergeCell ref="P19:P22"/>
    <mergeCell ref="Q19:Q22"/>
    <mergeCell ref="BM8:BP8"/>
    <mergeCell ref="BQ8:BT8"/>
    <mergeCell ref="BU8:BU9"/>
    <mergeCell ref="A10:A49"/>
    <mergeCell ref="B10:B49"/>
    <mergeCell ref="C10:C14"/>
    <mergeCell ref="D10:D14"/>
    <mergeCell ref="J10:J11"/>
    <mergeCell ref="C15:C37"/>
    <mergeCell ref="J19:J22"/>
    <mergeCell ref="AO8:AR8"/>
    <mergeCell ref="AS8:AV8"/>
    <mergeCell ref="AW8:AZ8"/>
    <mergeCell ref="BA8:BD8"/>
    <mergeCell ref="BE8:BH8"/>
    <mergeCell ref="BI8:BL8"/>
    <mergeCell ref="Q7:Q9"/>
    <mergeCell ref="R7:R9"/>
    <mergeCell ref="S7:S9"/>
    <mergeCell ref="T7:T9"/>
    <mergeCell ref="V7:X8"/>
    <mergeCell ref="Y7:BU7"/>
    <mergeCell ref="Y8:AB8"/>
    <mergeCell ref="AC8:AF8"/>
    <mergeCell ref="AG8:AJ8"/>
    <mergeCell ref="AK8:AN8"/>
    <mergeCell ref="P7:P9"/>
    <mergeCell ref="A7:A9"/>
    <mergeCell ref="B7:B9"/>
    <mergeCell ref="C7:C9"/>
    <mergeCell ref="E7:H8"/>
    <mergeCell ref="I7:I9"/>
    <mergeCell ref="J7:J9"/>
    <mergeCell ref="K7:K9"/>
    <mergeCell ref="L7:L9"/>
    <mergeCell ref="M7:M9"/>
    <mergeCell ref="N7:N9"/>
    <mergeCell ref="O7:O9"/>
    <mergeCell ref="A1:B6"/>
    <mergeCell ref="C1:BR4"/>
    <mergeCell ref="BS1:BU2"/>
    <mergeCell ref="BS3:BU4"/>
    <mergeCell ref="C5:AM6"/>
    <mergeCell ref="AN5:BR6"/>
    <mergeCell ref="BS5:BU6"/>
  </mergeCells>
  <conditionalFormatting sqref="AN1:AN9 AR1:AR9 BD1:BD9 AB28 AJ1:AJ9 BL1:BL9 BL39 BH1:BH9 AF1:AF16 AV1:AV9 AZ1:AZ9 BP1:BP9 BR19 BP86:BP65536 AZ86:AZ65536 AF86:AF65536 BH87:BH65536 BL86:BL65536 BD86:BD65536 AR87:AR65536 AN87:AN65536 BT1:BT9 BP25:BP29 AV14 BD84 AZ84 BL15:BL16 BL25:BL28 BL44:BL47 BL84 BP84 BP15:BP18 BT25:BT29 AJ30 BP32 BT32:BT35 AJ41 AZ82 BD82 AF31 BP38:BP39 AJ84 AF25 AF33 AF38:AF39 AF41 AF44:AF48 AF72:AF81 AF84 AJ14:AJ16 AJ25 AJ33:AJ34 AJ44:AJ48 AJ51 AJ70 AJ74:AJ80 BL73:BL82 BP73:BP82 BT82 BT84 BT87:BT65536 AJ87:AJ65536 AV87:AV65536 BL56:BL70 BL54 AF54:AF70 AJ54:AJ55 BT55 AF50:AF51 BL50 BT51 BP44:BP47 BP50:BP70">
    <cfRule type="cellIs" dxfId="395" priority="409" stopIfTrue="1" operator="equal">
      <formula>"REGULAR"</formula>
    </cfRule>
    <cfRule type="cellIs" dxfId="394" priority="410" stopIfTrue="1" operator="equal">
      <formula>"MALO"</formula>
    </cfRule>
    <cfRule type="cellIs" dxfId="393" priority="411" stopIfTrue="1" operator="equal">
      <formula>"BUENO"</formula>
    </cfRule>
  </conditionalFormatting>
  <conditionalFormatting sqref="BG19">
    <cfRule type="cellIs" dxfId="392" priority="406" stopIfTrue="1" operator="equal">
      <formula>"REGULAR"</formula>
    </cfRule>
    <cfRule type="cellIs" dxfId="391" priority="407" stopIfTrue="1" operator="equal">
      <formula>"MALO"</formula>
    </cfRule>
    <cfRule type="cellIs" dxfId="390" priority="408" stopIfTrue="1" operator="equal">
      <formula>"BUENO"</formula>
    </cfRule>
  </conditionalFormatting>
  <conditionalFormatting sqref="BD85 BL85 AF85 AZ85 BP85">
    <cfRule type="cellIs" dxfId="389" priority="403" stopIfTrue="1" operator="equal">
      <formula>"REGULAR"</formula>
    </cfRule>
    <cfRule type="cellIs" dxfId="388" priority="404" stopIfTrue="1" operator="equal">
      <formula>"MALO"</formula>
    </cfRule>
    <cfRule type="cellIs" dxfId="387" priority="405" stopIfTrue="1" operator="equal">
      <formula>"BUENO"</formula>
    </cfRule>
  </conditionalFormatting>
  <conditionalFormatting sqref="AN14:AN16 AR14:AR16 AN25 AN29 AN33:AN34 AN41:AN42 AN44:AN48 AN73:AN82 AN84:AN86 AR26 AR29 AR44:AR47 AR73:AR82 AR84:AR86 AN54:AN70 AR54:AR70 AN50:AN51 AR50:AR51 AZ10:AZ81 BD10:BD81 BH32:BH73 AV17:AV82 BH75:BH82">
    <cfRule type="containsText" dxfId="386" priority="400" operator="containsText" text="REGULAR">
      <formula>NOT(ISERROR(SEARCH("REGULAR",AN10)))</formula>
    </cfRule>
    <cfRule type="containsText" dxfId="385" priority="401" operator="containsText" text="MALO">
      <formula>NOT(ISERROR(SEARCH("MALO",AN10)))</formula>
    </cfRule>
    <cfRule type="containsText" dxfId="384" priority="402" operator="containsText" text="BUENO">
      <formula>NOT(ISERROR(SEARCH("BUENO",AN10)))</formula>
    </cfRule>
  </conditionalFormatting>
  <conditionalFormatting sqref="BP22">
    <cfRule type="containsText" dxfId="383" priority="319" operator="containsText" text="REGULAR">
      <formula>NOT(ISERROR(SEARCH("REGULAR",BP22)))</formula>
    </cfRule>
    <cfRule type="containsText" dxfId="382" priority="320" operator="containsText" text="MALO">
      <formula>NOT(ISERROR(SEARCH("MALO",BP22)))</formula>
    </cfRule>
    <cfRule type="containsText" dxfId="381" priority="321" operator="containsText" text="BUENO">
      <formula>NOT(ISERROR(SEARCH("BUENO",BP22)))</formula>
    </cfRule>
  </conditionalFormatting>
  <conditionalFormatting sqref="AV10">
    <cfRule type="containsText" dxfId="380" priority="397" operator="containsText" text="REGULAR">
      <formula>NOT(ISERROR(SEARCH("REGULAR",AV10)))</formula>
    </cfRule>
    <cfRule type="containsText" dxfId="379" priority="398" operator="containsText" text="MALO">
      <formula>NOT(ISERROR(SEARCH("MALO",AV10)))</formula>
    </cfRule>
    <cfRule type="containsText" dxfId="378" priority="399" operator="containsText" text="BUENO">
      <formula>NOT(ISERROR(SEARCH("BUENO",AV10)))</formula>
    </cfRule>
  </conditionalFormatting>
  <conditionalFormatting sqref="AB71">
    <cfRule type="containsText" dxfId="377" priority="235" operator="containsText" text="REGULAR">
      <formula>NOT(ISERROR(SEARCH("REGULAR",AB71)))</formula>
    </cfRule>
    <cfRule type="containsText" dxfId="376" priority="236" operator="containsText" text="MALO">
      <formula>NOT(ISERROR(SEARCH("MALO",AB71)))</formula>
    </cfRule>
    <cfRule type="containsText" dxfId="375" priority="237" operator="containsText" text="BUENO">
      <formula>NOT(ISERROR(SEARCH("BUENO",AB71)))</formula>
    </cfRule>
  </conditionalFormatting>
  <conditionalFormatting sqref="AV11:AV13">
    <cfRule type="containsText" dxfId="374" priority="394" operator="containsText" text="REGULAR">
      <formula>NOT(ISERROR(SEARCH("REGULAR",AV11)))</formula>
    </cfRule>
    <cfRule type="containsText" dxfId="373" priority="395" operator="containsText" text="MALO">
      <formula>NOT(ISERROR(SEARCH("MALO",AV11)))</formula>
    </cfRule>
    <cfRule type="containsText" dxfId="372" priority="396" operator="containsText" text="BUENO">
      <formula>NOT(ISERROR(SEARCH("BUENO",AV11)))</formula>
    </cfRule>
  </conditionalFormatting>
  <conditionalFormatting sqref="AV15:AV16">
    <cfRule type="containsText" dxfId="371" priority="391" operator="containsText" text="REGULAR">
      <formula>NOT(ISERROR(SEARCH("REGULAR",AV15)))</formula>
    </cfRule>
    <cfRule type="containsText" dxfId="370" priority="392" operator="containsText" text="MALO">
      <formula>NOT(ISERROR(SEARCH("MALO",AV15)))</formula>
    </cfRule>
    <cfRule type="containsText" dxfId="369" priority="393" operator="containsText" text="BUENO">
      <formula>NOT(ISERROR(SEARCH("BUENO",AV15)))</formula>
    </cfRule>
  </conditionalFormatting>
  <conditionalFormatting sqref="AV82:AV86">
    <cfRule type="containsText" dxfId="368" priority="388" operator="containsText" text="REGULAR">
      <formula>NOT(ISERROR(SEARCH("REGULAR",AV82)))</formula>
    </cfRule>
    <cfRule type="containsText" dxfId="367" priority="389" operator="containsText" text="MALO">
      <formula>NOT(ISERROR(SEARCH("MALO",AV82)))</formula>
    </cfRule>
    <cfRule type="containsText" dxfId="366" priority="390" operator="containsText" text="BUENO">
      <formula>NOT(ISERROR(SEARCH("BUENO",AV82)))</formula>
    </cfRule>
  </conditionalFormatting>
  <conditionalFormatting sqref="BD83">
    <cfRule type="containsText" dxfId="365" priority="385" operator="containsText" text="REGULAR">
      <formula>NOT(ISERROR(SEARCH("REGULAR",BD83)))</formula>
    </cfRule>
    <cfRule type="containsText" dxfId="364" priority="386" operator="containsText" text="MALO">
      <formula>NOT(ISERROR(SEARCH("MALO",BD83)))</formula>
    </cfRule>
    <cfRule type="containsText" dxfId="363" priority="387" operator="containsText" text="BUENO">
      <formula>NOT(ISERROR(SEARCH("BUENO",BD83)))</formula>
    </cfRule>
  </conditionalFormatting>
  <conditionalFormatting sqref="AZ83">
    <cfRule type="containsText" dxfId="362" priority="382" operator="containsText" text="REGULAR">
      <formula>NOT(ISERROR(SEARCH("REGULAR",AZ83)))</formula>
    </cfRule>
    <cfRule type="containsText" dxfId="361" priority="383" operator="containsText" text="MALO">
      <formula>NOT(ISERROR(SEARCH("MALO",AZ83)))</formula>
    </cfRule>
    <cfRule type="containsText" dxfId="360" priority="384" operator="containsText" text="BUENO">
      <formula>NOT(ISERROR(SEARCH("BUENO",AZ83)))</formula>
    </cfRule>
  </conditionalFormatting>
  <conditionalFormatting sqref="BH10:BH25 BH27:BH30">
    <cfRule type="containsText" dxfId="359" priority="379" operator="containsText" text="REGULAR">
      <formula>NOT(ISERROR(SEARCH("REGULAR",BH10)))</formula>
    </cfRule>
    <cfRule type="containsText" dxfId="358" priority="380" operator="containsText" text="MALO">
      <formula>NOT(ISERROR(SEARCH("MALO",BH10)))</formula>
    </cfRule>
    <cfRule type="containsText" dxfId="357" priority="381" operator="containsText" text="BUENO">
      <formula>NOT(ISERROR(SEARCH("BUENO",BH10)))</formula>
    </cfRule>
  </conditionalFormatting>
  <conditionalFormatting sqref="BH82:BH86">
    <cfRule type="containsText" dxfId="356" priority="376" operator="containsText" text="REGULAR">
      <formula>NOT(ISERROR(SEARCH("REGULAR",BH82)))</formula>
    </cfRule>
    <cfRule type="containsText" dxfId="355" priority="377" operator="containsText" text="MALO">
      <formula>NOT(ISERROR(SEARCH("MALO",BH82)))</formula>
    </cfRule>
    <cfRule type="containsText" dxfId="354" priority="378" operator="containsText" text="BUENO">
      <formula>NOT(ISERROR(SEARCH("BUENO",BH82)))</formula>
    </cfRule>
  </conditionalFormatting>
  <conditionalFormatting sqref="BL10:BL14">
    <cfRule type="containsText" dxfId="353" priority="373" operator="containsText" text="REGULAR">
      <formula>NOT(ISERROR(SEARCH("REGULAR",BL10)))</formula>
    </cfRule>
    <cfRule type="containsText" dxfId="352" priority="374" operator="containsText" text="MALO">
      <formula>NOT(ISERROR(SEARCH("MALO",BL10)))</formula>
    </cfRule>
    <cfRule type="containsText" dxfId="351" priority="375" operator="containsText" text="BUENO">
      <formula>NOT(ISERROR(SEARCH("BUENO",BL10)))</formula>
    </cfRule>
  </conditionalFormatting>
  <conditionalFormatting sqref="BL17:BL18">
    <cfRule type="containsText" dxfId="350" priority="370" operator="containsText" text="REGULAR">
      <formula>NOT(ISERROR(SEARCH("REGULAR",BL17)))</formula>
    </cfRule>
    <cfRule type="containsText" dxfId="349" priority="371" operator="containsText" text="MALO">
      <formula>NOT(ISERROR(SEARCH("MALO",BL17)))</formula>
    </cfRule>
    <cfRule type="containsText" dxfId="348" priority="372" operator="containsText" text="BUENO">
      <formula>NOT(ISERROR(SEARCH("BUENO",BL17)))</formula>
    </cfRule>
  </conditionalFormatting>
  <conditionalFormatting sqref="BL32:BL35">
    <cfRule type="containsText" dxfId="347" priority="367" operator="containsText" text="REGULAR">
      <formula>NOT(ISERROR(SEARCH("REGULAR",BL32)))</formula>
    </cfRule>
    <cfRule type="containsText" dxfId="346" priority="368" operator="containsText" text="MALO">
      <formula>NOT(ISERROR(SEARCH("MALO",BL32)))</formula>
    </cfRule>
    <cfRule type="containsText" dxfId="345" priority="369" operator="containsText" text="BUENO">
      <formula>NOT(ISERROR(SEARCH("BUENO",BL32)))</formula>
    </cfRule>
  </conditionalFormatting>
  <conditionalFormatting sqref="BL38">
    <cfRule type="containsText" dxfId="344" priority="364" operator="containsText" text="REGULAR">
      <formula>NOT(ISERROR(SEARCH("REGULAR",BL38)))</formula>
    </cfRule>
    <cfRule type="containsText" dxfId="343" priority="365" operator="containsText" text="MALO">
      <formula>NOT(ISERROR(SEARCH("MALO",BL38)))</formula>
    </cfRule>
    <cfRule type="containsText" dxfId="342" priority="366" operator="containsText" text="BUENO">
      <formula>NOT(ISERROR(SEARCH("BUENO",BL38)))</formula>
    </cfRule>
  </conditionalFormatting>
  <conditionalFormatting sqref="BL40">
    <cfRule type="containsText" dxfId="341" priority="361" operator="containsText" text="REGULAR">
      <formula>NOT(ISERROR(SEARCH("REGULAR",BL40)))</formula>
    </cfRule>
    <cfRule type="containsText" dxfId="340" priority="362" operator="containsText" text="MALO">
      <formula>NOT(ISERROR(SEARCH("MALO",BL40)))</formula>
    </cfRule>
    <cfRule type="containsText" dxfId="339" priority="363" operator="containsText" text="BUENO">
      <formula>NOT(ISERROR(SEARCH("BUENO",BL40)))</formula>
    </cfRule>
  </conditionalFormatting>
  <conditionalFormatting sqref="BL52">
    <cfRule type="containsText" dxfId="338" priority="358" operator="containsText" text="REGULAR">
      <formula>NOT(ISERROR(SEARCH("REGULAR",BL52)))</formula>
    </cfRule>
    <cfRule type="containsText" dxfId="337" priority="359" operator="containsText" text="MALO">
      <formula>NOT(ISERROR(SEARCH("MALO",BL52)))</formula>
    </cfRule>
    <cfRule type="containsText" dxfId="336" priority="360" operator="containsText" text="BUENO">
      <formula>NOT(ISERROR(SEARCH("BUENO",BL52)))</formula>
    </cfRule>
  </conditionalFormatting>
  <conditionalFormatting sqref="BL53">
    <cfRule type="containsText" dxfId="335" priority="355" operator="containsText" text="REGULAR">
      <formula>NOT(ISERROR(SEARCH("REGULAR",BL53)))</formula>
    </cfRule>
    <cfRule type="containsText" dxfId="334" priority="356" operator="containsText" text="MALO">
      <formula>NOT(ISERROR(SEARCH("MALO",BL53)))</formula>
    </cfRule>
    <cfRule type="containsText" dxfId="333" priority="357" operator="containsText" text="BUENO">
      <formula>NOT(ISERROR(SEARCH("BUENO",BL53)))</formula>
    </cfRule>
  </conditionalFormatting>
  <conditionalFormatting sqref="BL83">
    <cfRule type="containsText" dxfId="332" priority="352" operator="containsText" text="REGULAR">
      <formula>NOT(ISERROR(SEARCH("REGULAR",BL83)))</formula>
    </cfRule>
    <cfRule type="containsText" dxfId="331" priority="353" operator="containsText" text="MALO">
      <formula>NOT(ISERROR(SEARCH("MALO",BL83)))</formula>
    </cfRule>
    <cfRule type="containsText" dxfId="330" priority="354" operator="containsText" text="BUENO">
      <formula>NOT(ISERROR(SEARCH("BUENO",BL83)))</formula>
    </cfRule>
  </conditionalFormatting>
  <conditionalFormatting sqref="BP83">
    <cfRule type="containsText" dxfId="329" priority="349" operator="containsText" text="REGULAR">
      <formula>NOT(ISERROR(SEARCH("REGULAR",BP83)))</formula>
    </cfRule>
    <cfRule type="containsText" dxfId="328" priority="350" operator="containsText" text="MALO">
      <formula>NOT(ISERROR(SEARCH("MALO",BP83)))</formula>
    </cfRule>
    <cfRule type="containsText" dxfId="327" priority="351" operator="containsText" text="BUENO">
      <formula>NOT(ISERROR(SEARCH("BUENO",BP83)))</formula>
    </cfRule>
  </conditionalFormatting>
  <conditionalFormatting sqref="BP10:BP13">
    <cfRule type="containsText" dxfId="326" priority="346" operator="containsText" text="REGULAR">
      <formula>NOT(ISERROR(SEARCH("REGULAR",BP10)))</formula>
    </cfRule>
    <cfRule type="containsText" dxfId="325" priority="347" operator="containsText" text="MALO">
      <formula>NOT(ISERROR(SEARCH("MALO",BP10)))</formula>
    </cfRule>
    <cfRule type="containsText" dxfId="324" priority="348" operator="containsText" text="BUENO">
      <formula>NOT(ISERROR(SEARCH("BUENO",BP10)))</formula>
    </cfRule>
  </conditionalFormatting>
  <conditionalFormatting sqref="BK19">
    <cfRule type="cellIs" dxfId="323" priority="343" stopIfTrue="1" operator="equal">
      <formula>"REGULAR"</formula>
    </cfRule>
    <cfRule type="cellIs" dxfId="322" priority="344" stopIfTrue="1" operator="equal">
      <formula>"MALO"</formula>
    </cfRule>
    <cfRule type="cellIs" dxfId="321" priority="345" stopIfTrue="1" operator="equal">
      <formula>"BUENO"</formula>
    </cfRule>
  </conditionalFormatting>
  <conditionalFormatting sqref="BO19">
    <cfRule type="cellIs" dxfId="320" priority="340" stopIfTrue="1" operator="equal">
      <formula>"REGULAR"</formula>
    </cfRule>
    <cfRule type="cellIs" dxfId="319" priority="341" stopIfTrue="1" operator="equal">
      <formula>"MALO"</formula>
    </cfRule>
    <cfRule type="cellIs" dxfId="318" priority="342" stopIfTrue="1" operator="equal">
      <formula>"BUENO"</formula>
    </cfRule>
  </conditionalFormatting>
  <conditionalFormatting sqref="BS19">
    <cfRule type="cellIs" dxfId="317" priority="337" stopIfTrue="1" operator="equal">
      <formula>"REGULAR"</formula>
    </cfRule>
    <cfRule type="cellIs" dxfId="316" priority="338" stopIfTrue="1" operator="equal">
      <formula>"MALO"</formula>
    </cfRule>
    <cfRule type="cellIs" dxfId="315" priority="339" stopIfTrue="1" operator="equal">
      <formula>"BUENO"</formula>
    </cfRule>
  </conditionalFormatting>
  <conditionalFormatting sqref="BL19">
    <cfRule type="containsText" dxfId="314" priority="334" operator="containsText" text="REGULAR">
      <formula>NOT(ISERROR(SEARCH("REGULAR",BL19)))</formula>
    </cfRule>
    <cfRule type="containsText" dxfId="313" priority="335" operator="containsText" text="MALO">
      <formula>NOT(ISERROR(SEARCH("MALO",BL19)))</formula>
    </cfRule>
    <cfRule type="containsText" dxfId="312" priority="336" operator="containsText" text="BUENO">
      <formula>NOT(ISERROR(SEARCH("BUENO",BL19)))</formula>
    </cfRule>
  </conditionalFormatting>
  <conditionalFormatting sqref="BP19">
    <cfRule type="containsText" dxfId="311" priority="331" operator="containsText" text="REGULAR">
      <formula>NOT(ISERROR(SEARCH("REGULAR",BP19)))</formula>
    </cfRule>
    <cfRule type="containsText" dxfId="310" priority="332" operator="containsText" text="MALO">
      <formula>NOT(ISERROR(SEARCH("MALO",BP19)))</formula>
    </cfRule>
    <cfRule type="containsText" dxfId="309" priority="333" operator="containsText" text="BUENO">
      <formula>NOT(ISERROR(SEARCH("BUENO",BP19)))</formula>
    </cfRule>
  </conditionalFormatting>
  <conditionalFormatting sqref="BP30">
    <cfRule type="containsText" dxfId="308" priority="295" operator="containsText" text="REGULAR">
      <formula>NOT(ISERROR(SEARCH("REGULAR",BP30)))</formula>
    </cfRule>
    <cfRule type="containsText" dxfId="307" priority="296" operator="containsText" text="MALO">
      <formula>NOT(ISERROR(SEARCH("MALO",BP30)))</formula>
    </cfRule>
    <cfRule type="containsText" dxfId="306" priority="297" operator="containsText" text="BUENO">
      <formula>NOT(ISERROR(SEARCH("BUENO",BP30)))</formula>
    </cfRule>
  </conditionalFormatting>
  <conditionalFormatting sqref="BP33">
    <cfRule type="containsText" dxfId="305" priority="283" operator="containsText" text="REGULAR">
      <formula>NOT(ISERROR(SEARCH("REGULAR",BP33)))</formula>
    </cfRule>
    <cfRule type="containsText" dxfId="304" priority="284" operator="containsText" text="MALO">
      <formula>NOT(ISERROR(SEARCH("MALO",BP33)))</formula>
    </cfRule>
    <cfRule type="containsText" dxfId="303" priority="285" operator="containsText" text="BUENO">
      <formula>NOT(ISERROR(SEARCH("BUENO",BP33)))</formula>
    </cfRule>
  </conditionalFormatting>
  <conditionalFormatting sqref="BL20:BL21">
    <cfRule type="containsText" dxfId="302" priority="328" operator="containsText" text="REGULAR">
      <formula>NOT(ISERROR(SEARCH("REGULAR",BL20)))</formula>
    </cfRule>
    <cfRule type="containsText" dxfId="301" priority="329" operator="containsText" text="MALO">
      <formula>NOT(ISERROR(SEARCH("MALO",BL20)))</formula>
    </cfRule>
    <cfRule type="containsText" dxfId="300" priority="330" operator="containsText" text="BUENO">
      <formula>NOT(ISERROR(SEARCH("BUENO",BL20)))</formula>
    </cfRule>
  </conditionalFormatting>
  <conditionalFormatting sqref="BP20:BP21">
    <cfRule type="containsText" dxfId="299" priority="325" operator="containsText" text="REGULAR">
      <formula>NOT(ISERROR(SEARCH("REGULAR",BP20)))</formula>
    </cfRule>
    <cfRule type="containsText" dxfId="298" priority="326" operator="containsText" text="MALO">
      <formula>NOT(ISERROR(SEARCH("MALO",BP20)))</formula>
    </cfRule>
    <cfRule type="containsText" dxfId="297" priority="327" operator="containsText" text="BUENO">
      <formula>NOT(ISERROR(SEARCH("BUENO",BP20)))</formula>
    </cfRule>
  </conditionalFormatting>
  <conditionalFormatting sqref="BL22">
    <cfRule type="containsText" dxfId="296" priority="322" operator="containsText" text="REGULAR">
      <formula>NOT(ISERROR(SEARCH("REGULAR",BL22)))</formula>
    </cfRule>
    <cfRule type="containsText" dxfId="295" priority="323" operator="containsText" text="MALO">
      <formula>NOT(ISERROR(SEARCH("MALO",BL22)))</formula>
    </cfRule>
    <cfRule type="containsText" dxfId="294" priority="324" operator="containsText" text="BUENO">
      <formula>NOT(ISERROR(SEARCH("BUENO",BL22)))</formula>
    </cfRule>
  </conditionalFormatting>
  <conditionalFormatting sqref="BH26">
    <cfRule type="containsText" dxfId="293" priority="304" operator="containsText" text="REGULAR">
      <formula>NOT(ISERROR(SEARCH("REGULAR",BH26)))</formula>
    </cfRule>
    <cfRule type="containsText" dxfId="292" priority="305" operator="containsText" text="MALO">
      <formula>NOT(ISERROR(SEARCH("MALO",BH26)))</formula>
    </cfRule>
    <cfRule type="containsText" dxfId="291" priority="306" operator="containsText" text="BUENO">
      <formula>NOT(ISERROR(SEARCH("BUENO",BH26)))</formula>
    </cfRule>
  </conditionalFormatting>
  <conditionalFormatting sqref="BL23">
    <cfRule type="containsText" dxfId="290" priority="316" operator="containsText" text="REGULAR">
      <formula>NOT(ISERROR(SEARCH("REGULAR",BL23)))</formula>
    </cfRule>
    <cfRule type="containsText" dxfId="289" priority="317" operator="containsText" text="MALO">
      <formula>NOT(ISERROR(SEARCH("MALO",BL23)))</formula>
    </cfRule>
    <cfRule type="containsText" dxfId="288" priority="318" operator="containsText" text="BUENO">
      <formula>NOT(ISERROR(SEARCH("BUENO",BL23)))</formula>
    </cfRule>
  </conditionalFormatting>
  <conditionalFormatting sqref="BP23">
    <cfRule type="containsText" dxfId="287" priority="313" operator="containsText" text="REGULAR">
      <formula>NOT(ISERROR(SEARCH("REGULAR",BP23)))</formula>
    </cfRule>
    <cfRule type="containsText" dxfId="286" priority="314" operator="containsText" text="MALO">
      <formula>NOT(ISERROR(SEARCH("MALO",BP23)))</formula>
    </cfRule>
    <cfRule type="containsText" dxfId="285" priority="315" operator="containsText" text="BUENO">
      <formula>NOT(ISERROR(SEARCH("BUENO",BP23)))</formula>
    </cfRule>
  </conditionalFormatting>
  <conditionalFormatting sqref="BL24">
    <cfRule type="containsText" dxfId="284" priority="310" operator="containsText" text="REGULAR">
      <formula>NOT(ISERROR(SEARCH("REGULAR",BL24)))</formula>
    </cfRule>
    <cfRule type="containsText" dxfId="283" priority="311" operator="containsText" text="MALO">
      <formula>NOT(ISERROR(SEARCH("MALO",BL24)))</formula>
    </cfRule>
    <cfRule type="containsText" dxfId="282" priority="312" operator="containsText" text="BUENO">
      <formula>NOT(ISERROR(SEARCH("BUENO",BL24)))</formula>
    </cfRule>
  </conditionalFormatting>
  <conditionalFormatting sqref="BP24">
    <cfRule type="containsText" dxfId="281" priority="307" operator="containsText" text="REGULAR">
      <formula>NOT(ISERROR(SEARCH("REGULAR",BP24)))</formula>
    </cfRule>
    <cfRule type="containsText" dxfId="280" priority="308" operator="containsText" text="MALO">
      <formula>NOT(ISERROR(SEARCH("MALO",BP24)))</formula>
    </cfRule>
    <cfRule type="containsText" dxfId="279" priority="309" operator="containsText" text="BUENO">
      <formula>NOT(ISERROR(SEARCH("BUENO",BP24)))</formula>
    </cfRule>
  </conditionalFormatting>
  <conditionalFormatting sqref="AF52:AF53">
    <cfRule type="containsText" dxfId="278" priority="205" operator="containsText" text="REGULAR">
      <formula>NOT(ISERROR(SEARCH("REGULAR",AF52)))</formula>
    </cfRule>
    <cfRule type="containsText" dxfId="277" priority="206" operator="containsText" text="MALO">
      <formula>NOT(ISERROR(SEARCH("MALO",AF52)))</formula>
    </cfRule>
    <cfRule type="containsText" dxfId="276" priority="207" operator="containsText" text="BUENO">
      <formula>NOT(ISERROR(SEARCH("BUENO",AF52)))</formula>
    </cfRule>
  </conditionalFormatting>
  <conditionalFormatting sqref="AN26:AN28">
    <cfRule type="containsText" dxfId="275" priority="166" operator="containsText" text="REGULAR">
      <formula>NOT(ISERROR(SEARCH("REGULAR",AN26)))</formula>
    </cfRule>
    <cfRule type="containsText" dxfId="274" priority="167" operator="containsText" text="MALO">
      <formula>NOT(ISERROR(SEARCH("MALO",AN26)))</formula>
    </cfRule>
    <cfRule type="containsText" dxfId="273" priority="168" operator="containsText" text="BUENO">
      <formula>NOT(ISERROR(SEARCH("BUENO",AN26)))</formula>
    </cfRule>
  </conditionalFormatting>
  <conditionalFormatting sqref="AF82:AF83">
    <cfRule type="containsText" dxfId="272" priority="199" operator="containsText" text="REGULAR">
      <formula>NOT(ISERROR(SEARCH("REGULAR",AF82)))</formula>
    </cfRule>
    <cfRule type="containsText" dxfId="271" priority="200" operator="containsText" text="MALO">
      <formula>NOT(ISERROR(SEARCH("MALO",AF82)))</formula>
    </cfRule>
    <cfRule type="containsText" dxfId="270" priority="201" operator="containsText" text="BUENO">
      <formula>NOT(ISERROR(SEARCH("BUENO",AF82)))</formula>
    </cfRule>
  </conditionalFormatting>
  <conditionalFormatting sqref="BL29">
    <cfRule type="containsText" dxfId="269" priority="301" operator="containsText" text="REGULAR">
      <formula>NOT(ISERROR(SEARCH("REGULAR",BL29)))</formula>
    </cfRule>
    <cfRule type="containsText" dxfId="268" priority="302" operator="containsText" text="MALO">
      <formula>NOT(ISERROR(SEARCH("MALO",BL29)))</formula>
    </cfRule>
    <cfRule type="containsText" dxfId="267" priority="303" operator="containsText" text="BUENO">
      <formula>NOT(ISERROR(SEARCH("BUENO",BL29)))</formula>
    </cfRule>
  </conditionalFormatting>
  <conditionalFormatting sqref="BL30">
    <cfRule type="containsText" dxfId="266" priority="298" operator="containsText" text="REGULAR">
      <formula>NOT(ISERROR(SEARCH("REGULAR",BL30)))</formula>
    </cfRule>
    <cfRule type="containsText" dxfId="265" priority="299" operator="containsText" text="MALO">
      <formula>NOT(ISERROR(SEARCH("MALO",BL30)))</formula>
    </cfRule>
    <cfRule type="containsText" dxfId="264" priority="300" operator="containsText" text="BUENO">
      <formula>NOT(ISERROR(SEARCH("BUENO",BL30)))</formula>
    </cfRule>
  </conditionalFormatting>
  <conditionalFormatting sqref="AB17">
    <cfRule type="containsText" dxfId="263" priority="262" operator="containsText" text="REGULAR">
      <formula>NOT(ISERROR(SEARCH("REGULAR",AB17)))</formula>
    </cfRule>
    <cfRule type="containsText" dxfId="262" priority="263" operator="containsText" text="MALO">
      <formula>NOT(ISERROR(SEARCH("MALO",AB17)))</formula>
    </cfRule>
    <cfRule type="containsText" dxfId="261" priority="264" operator="containsText" text="BUENO">
      <formula>NOT(ISERROR(SEARCH("BUENO",AB17)))</formula>
    </cfRule>
  </conditionalFormatting>
  <conditionalFormatting sqref="BH31">
    <cfRule type="containsText" dxfId="260" priority="292" operator="containsText" text="REGULAR">
      <formula>NOT(ISERROR(SEARCH("REGULAR",BH31)))</formula>
    </cfRule>
    <cfRule type="containsText" dxfId="259" priority="293" operator="containsText" text="MALO">
      <formula>NOT(ISERROR(SEARCH("MALO",BH31)))</formula>
    </cfRule>
    <cfRule type="containsText" dxfId="258" priority="294" operator="containsText" text="BUENO">
      <formula>NOT(ISERROR(SEARCH("BUENO",BH31)))</formula>
    </cfRule>
  </conditionalFormatting>
  <conditionalFormatting sqref="BL31">
    <cfRule type="containsText" dxfId="257" priority="289" operator="containsText" text="REGULAR">
      <formula>NOT(ISERROR(SEARCH("REGULAR",BL31)))</formula>
    </cfRule>
    <cfRule type="containsText" dxfId="256" priority="290" operator="containsText" text="MALO">
      <formula>NOT(ISERROR(SEARCH("MALO",BL31)))</formula>
    </cfRule>
    <cfRule type="containsText" dxfId="255" priority="291" operator="containsText" text="BUENO">
      <formula>NOT(ISERROR(SEARCH("BUENO",BL31)))</formula>
    </cfRule>
  </conditionalFormatting>
  <conditionalFormatting sqref="BP31">
    <cfRule type="containsText" dxfId="254" priority="286" operator="containsText" text="REGULAR">
      <formula>NOT(ISERROR(SEARCH("REGULAR",BP31)))</formula>
    </cfRule>
    <cfRule type="containsText" dxfId="253" priority="287" operator="containsText" text="MALO">
      <formula>NOT(ISERROR(SEARCH("MALO",BP31)))</formula>
    </cfRule>
    <cfRule type="containsText" dxfId="252" priority="288" operator="containsText" text="BUENO">
      <formula>NOT(ISERROR(SEARCH("BUENO",BP31)))</formula>
    </cfRule>
  </conditionalFormatting>
  <conditionalFormatting sqref="AB40">
    <cfRule type="containsText" dxfId="251" priority="250" operator="containsText" text="REGULAR">
      <formula>NOT(ISERROR(SEARCH("REGULAR",AB40)))</formula>
    </cfRule>
    <cfRule type="containsText" dxfId="250" priority="251" operator="containsText" text="MALO">
      <formula>NOT(ISERROR(SEARCH("MALO",AB40)))</formula>
    </cfRule>
    <cfRule type="containsText" dxfId="249" priority="252" operator="containsText" text="BUENO">
      <formula>NOT(ISERROR(SEARCH("BUENO",AB40)))</formula>
    </cfRule>
  </conditionalFormatting>
  <conditionalFormatting sqref="BL37">
    <cfRule type="containsText" dxfId="248" priority="268" operator="containsText" text="REGULAR">
      <formula>NOT(ISERROR(SEARCH("REGULAR",BL37)))</formula>
    </cfRule>
    <cfRule type="containsText" dxfId="247" priority="269" operator="containsText" text="MALO">
      <formula>NOT(ISERROR(SEARCH("MALO",BL37)))</formula>
    </cfRule>
    <cfRule type="containsText" dxfId="246" priority="270" operator="containsText" text="BUENO">
      <formula>NOT(ISERROR(SEARCH("BUENO",BL37)))</formula>
    </cfRule>
  </conditionalFormatting>
  <conditionalFormatting sqref="BP34">
    <cfRule type="containsText" dxfId="245" priority="280" operator="containsText" text="REGULAR">
      <formula>NOT(ISERROR(SEARCH("REGULAR",BP34)))</formula>
    </cfRule>
    <cfRule type="containsText" dxfId="244" priority="281" operator="containsText" text="MALO">
      <formula>NOT(ISERROR(SEARCH("MALO",BP34)))</formula>
    </cfRule>
    <cfRule type="containsText" dxfId="243" priority="282" operator="containsText" text="BUENO">
      <formula>NOT(ISERROR(SEARCH("BUENO",BP34)))</formula>
    </cfRule>
  </conditionalFormatting>
  <conditionalFormatting sqref="BP35">
    <cfRule type="containsText" dxfId="242" priority="277" operator="containsText" text="REGULAR">
      <formula>NOT(ISERROR(SEARCH("REGULAR",BP35)))</formula>
    </cfRule>
    <cfRule type="containsText" dxfId="241" priority="278" operator="containsText" text="MALO">
      <formula>NOT(ISERROR(SEARCH("MALO",BP35)))</formula>
    </cfRule>
    <cfRule type="containsText" dxfId="240" priority="279" operator="containsText" text="BUENO">
      <formula>NOT(ISERROR(SEARCH("BUENO",BP35)))</formula>
    </cfRule>
  </conditionalFormatting>
  <conditionalFormatting sqref="BL36">
    <cfRule type="containsText" dxfId="239" priority="274" operator="containsText" text="REGULAR">
      <formula>NOT(ISERROR(SEARCH("REGULAR",BL36)))</formula>
    </cfRule>
    <cfRule type="containsText" dxfId="238" priority="275" operator="containsText" text="MALO">
      <formula>NOT(ISERROR(SEARCH("MALO",BL36)))</formula>
    </cfRule>
    <cfRule type="containsText" dxfId="237" priority="276" operator="containsText" text="BUENO">
      <formula>NOT(ISERROR(SEARCH("BUENO",BL36)))</formula>
    </cfRule>
  </conditionalFormatting>
  <conditionalFormatting sqref="BP36">
    <cfRule type="containsText" dxfId="236" priority="271" operator="containsText" text="REGULAR">
      <formula>NOT(ISERROR(SEARCH("REGULAR",BP36)))</formula>
    </cfRule>
    <cfRule type="containsText" dxfId="235" priority="272" operator="containsText" text="MALO">
      <formula>NOT(ISERROR(SEARCH("MALO",BP36)))</formula>
    </cfRule>
    <cfRule type="containsText" dxfId="234" priority="273" operator="containsText" text="BUENO">
      <formula>NOT(ISERROR(SEARCH("BUENO",BP36)))</formula>
    </cfRule>
  </conditionalFormatting>
  <conditionalFormatting sqref="AJ81">
    <cfRule type="containsText" dxfId="233" priority="247" operator="containsText" text="REGULAR">
      <formula>NOT(ISERROR(SEARCH("REGULAR",AJ81)))</formula>
    </cfRule>
    <cfRule type="containsText" dxfId="232" priority="248" operator="containsText" text="MALO">
      <formula>NOT(ISERROR(SEARCH("MALO",AJ81)))</formula>
    </cfRule>
    <cfRule type="containsText" dxfId="231" priority="249" operator="containsText" text="BUENO">
      <formula>NOT(ISERROR(SEARCH("BUENO",AJ81)))</formula>
    </cfRule>
  </conditionalFormatting>
  <conditionalFormatting sqref="AN83 AN71:AN72 AN52:AN53 AN49 AN43 AN35:AN40">
    <cfRule type="containsText" dxfId="230" priority="160" operator="containsText" text="REGULAR">
      <formula>NOT(ISERROR(SEARCH("REGULAR",AN35)))</formula>
    </cfRule>
    <cfRule type="containsText" dxfId="229" priority="161" operator="containsText" text="MALO">
      <formula>NOT(ISERROR(SEARCH("MALO",AN35)))</formula>
    </cfRule>
    <cfRule type="containsText" dxfId="228" priority="162" operator="containsText" text="BUENO">
      <formula>NOT(ISERROR(SEARCH("BUENO",AN35)))</formula>
    </cfRule>
  </conditionalFormatting>
  <conditionalFormatting sqref="BP37">
    <cfRule type="containsText" dxfId="227" priority="265" operator="containsText" text="REGULAR">
      <formula>NOT(ISERROR(SEARCH("REGULAR",BP37)))</formula>
    </cfRule>
    <cfRule type="containsText" dxfId="226" priority="266" operator="containsText" text="MALO">
      <formula>NOT(ISERROR(SEARCH("MALO",BP37)))</formula>
    </cfRule>
    <cfRule type="containsText" dxfId="225" priority="267" operator="containsText" text="BUENO">
      <formula>NOT(ISERROR(SEARCH("BUENO",BP37)))</formula>
    </cfRule>
  </conditionalFormatting>
  <conditionalFormatting sqref="AB49">
    <cfRule type="containsText" dxfId="224" priority="238" operator="containsText" text="REGULAR">
      <formula>NOT(ISERROR(SEARCH("REGULAR",AB49)))</formula>
    </cfRule>
    <cfRule type="containsText" dxfId="223" priority="239" operator="containsText" text="MALO">
      <formula>NOT(ISERROR(SEARCH("MALO",AB49)))</formula>
    </cfRule>
    <cfRule type="containsText" dxfId="222" priority="240" operator="containsText" text="BUENO">
      <formula>NOT(ISERROR(SEARCH("BUENO",AB49)))</formula>
    </cfRule>
  </conditionalFormatting>
  <conditionalFormatting sqref="AB18:AB24">
    <cfRule type="containsText" dxfId="221" priority="259" operator="containsText" text="REGULAR">
      <formula>NOT(ISERROR(SEARCH("REGULAR",AB18)))</formula>
    </cfRule>
    <cfRule type="containsText" dxfId="220" priority="260" operator="containsText" text="MALO">
      <formula>NOT(ISERROR(SEARCH("MALO",AB18)))</formula>
    </cfRule>
    <cfRule type="containsText" dxfId="219" priority="261" operator="containsText" text="BUENO">
      <formula>NOT(ISERROR(SEARCH("BUENO",AB18)))</formula>
    </cfRule>
  </conditionalFormatting>
  <conditionalFormatting sqref="AB32">
    <cfRule type="containsText" dxfId="218" priority="256" operator="containsText" text="REGULAR">
      <formula>NOT(ISERROR(SEARCH("REGULAR",AB32)))</formula>
    </cfRule>
    <cfRule type="containsText" dxfId="217" priority="257" operator="containsText" text="MALO">
      <formula>NOT(ISERROR(SEARCH("MALO",AB32)))</formula>
    </cfRule>
    <cfRule type="containsText" dxfId="216" priority="258" operator="containsText" text="BUENO">
      <formula>NOT(ISERROR(SEARCH("BUENO",AB32)))</formula>
    </cfRule>
  </conditionalFormatting>
  <conditionalFormatting sqref="AB34:AB37">
    <cfRule type="containsText" dxfId="215" priority="253" operator="containsText" text="REGULAR">
      <formula>NOT(ISERROR(SEARCH("REGULAR",AB34)))</formula>
    </cfRule>
    <cfRule type="containsText" dxfId="214" priority="254" operator="containsText" text="MALO">
      <formula>NOT(ISERROR(SEARCH("MALO",AB34)))</formula>
    </cfRule>
    <cfRule type="containsText" dxfId="213" priority="255" operator="containsText" text="BUENO">
      <formula>NOT(ISERROR(SEARCH("BUENO",AB34)))</formula>
    </cfRule>
  </conditionalFormatting>
  <conditionalFormatting sqref="AF26:AF28">
    <cfRule type="containsText" dxfId="212" priority="226" operator="containsText" text="REGULAR">
      <formula>NOT(ISERROR(SEARCH("REGULAR",AF26)))</formula>
    </cfRule>
    <cfRule type="containsText" dxfId="211" priority="227" operator="containsText" text="MALO">
      <formula>NOT(ISERROR(SEARCH("MALO",AF26)))</formula>
    </cfRule>
    <cfRule type="containsText" dxfId="210" priority="228" operator="containsText" text="BUENO">
      <formula>NOT(ISERROR(SEARCH("BUENO",AF26)))</formula>
    </cfRule>
  </conditionalFormatting>
  <conditionalFormatting sqref="AB82:AB83">
    <cfRule type="containsText" dxfId="209" priority="232" operator="containsText" text="REGULAR">
      <formula>NOT(ISERROR(SEARCH("REGULAR",AB82)))</formula>
    </cfRule>
    <cfRule type="containsText" dxfId="208" priority="233" operator="containsText" text="MALO">
      <formula>NOT(ISERROR(SEARCH("MALO",AB82)))</formula>
    </cfRule>
    <cfRule type="containsText" dxfId="207" priority="234" operator="containsText" text="BUENO">
      <formula>NOT(ISERROR(SEARCH("BUENO",AB82)))</formula>
    </cfRule>
  </conditionalFormatting>
  <conditionalFormatting sqref="AB29">
    <cfRule type="containsText" dxfId="206" priority="244" operator="containsText" text="REGULAR">
      <formula>NOT(ISERROR(SEARCH("REGULAR",AB29)))</formula>
    </cfRule>
    <cfRule type="containsText" dxfId="205" priority="245" operator="containsText" text="MALO">
      <formula>NOT(ISERROR(SEARCH("MALO",AB29)))</formula>
    </cfRule>
    <cfRule type="containsText" dxfId="204" priority="246" operator="containsText" text="BUENO">
      <formula>NOT(ISERROR(SEARCH("BUENO",AB29)))</formula>
    </cfRule>
  </conditionalFormatting>
  <conditionalFormatting sqref="AB43">
    <cfRule type="containsText" dxfId="203" priority="241" operator="containsText" text="REGULAR">
      <formula>NOT(ISERROR(SEARCH("REGULAR",AB43)))</formula>
    </cfRule>
    <cfRule type="containsText" dxfId="202" priority="242" operator="containsText" text="MALO">
      <formula>NOT(ISERROR(SEARCH("MALO",AB43)))</formula>
    </cfRule>
    <cfRule type="containsText" dxfId="201" priority="243" operator="containsText" text="BUENO">
      <formula>NOT(ISERROR(SEARCH("BUENO",AB43)))</formula>
    </cfRule>
  </conditionalFormatting>
  <conditionalFormatting sqref="AF34:AF35 AF32 AF30">
    <cfRule type="containsText" dxfId="200" priority="220" operator="containsText" text="REGULAR">
      <formula>NOT(ISERROR(SEARCH("REGULAR",AF30)))</formula>
    </cfRule>
    <cfRule type="containsText" dxfId="199" priority="221" operator="containsText" text="MALO">
      <formula>NOT(ISERROR(SEARCH("MALO",AF30)))</formula>
    </cfRule>
    <cfRule type="containsText" dxfId="198" priority="222" operator="containsText" text="BUENO">
      <formula>NOT(ISERROR(SEARCH("BUENO",AF30)))</formula>
    </cfRule>
  </conditionalFormatting>
  <conditionalFormatting sqref="AF42:AF43">
    <cfRule type="containsText" dxfId="197" priority="211" operator="containsText" text="REGULAR">
      <formula>NOT(ISERROR(SEARCH("REGULAR",AF42)))</formula>
    </cfRule>
    <cfRule type="containsText" dxfId="196" priority="212" operator="containsText" text="MALO">
      <formula>NOT(ISERROR(SEARCH("MALO",AF42)))</formula>
    </cfRule>
    <cfRule type="containsText" dxfId="195" priority="213" operator="containsText" text="BUENO">
      <formula>NOT(ISERROR(SEARCH("BUENO",AF42)))</formula>
    </cfRule>
  </conditionalFormatting>
  <conditionalFormatting sqref="AF17:AF24">
    <cfRule type="containsText" dxfId="194" priority="229" operator="containsText" text="REGULAR">
      <formula>NOT(ISERROR(SEARCH("REGULAR",AF17)))</formula>
    </cfRule>
    <cfRule type="containsText" dxfId="193" priority="230" operator="containsText" text="MALO">
      <formula>NOT(ISERROR(SEARCH("MALO",AF17)))</formula>
    </cfRule>
    <cfRule type="containsText" dxfId="192" priority="231" operator="containsText" text="BUENO">
      <formula>NOT(ISERROR(SEARCH("BUENO",AF17)))</formula>
    </cfRule>
  </conditionalFormatting>
  <conditionalFormatting sqref="AF29">
    <cfRule type="containsText" dxfId="191" priority="223" operator="containsText" text="REGULAR">
      <formula>NOT(ISERROR(SEARCH("REGULAR",AF29)))</formula>
    </cfRule>
    <cfRule type="containsText" dxfId="190" priority="224" operator="containsText" text="MALO">
      <formula>NOT(ISERROR(SEARCH("MALO",AF29)))</formula>
    </cfRule>
    <cfRule type="containsText" dxfId="189" priority="225" operator="containsText" text="BUENO">
      <formula>NOT(ISERROR(SEARCH("BUENO",AF29)))</formula>
    </cfRule>
  </conditionalFormatting>
  <conditionalFormatting sqref="AF36:AF37">
    <cfRule type="containsText" dxfId="188" priority="217" operator="containsText" text="REGULAR">
      <formula>NOT(ISERROR(SEARCH("REGULAR",AF36)))</formula>
    </cfRule>
    <cfRule type="containsText" dxfId="187" priority="218" operator="containsText" text="MALO">
      <formula>NOT(ISERROR(SEARCH("MALO",AF36)))</formula>
    </cfRule>
    <cfRule type="containsText" dxfId="186" priority="219" operator="containsText" text="BUENO">
      <formula>NOT(ISERROR(SEARCH("BUENO",AF36)))</formula>
    </cfRule>
  </conditionalFormatting>
  <conditionalFormatting sqref="AF40">
    <cfRule type="containsText" dxfId="185" priority="214" operator="containsText" text="REGULAR">
      <formula>NOT(ISERROR(SEARCH("REGULAR",AF40)))</formula>
    </cfRule>
    <cfRule type="containsText" dxfId="184" priority="215" operator="containsText" text="MALO">
      <formula>NOT(ISERROR(SEARCH("MALO",AF40)))</formula>
    </cfRule>
    <cfRule type="containsText" dxfId="183" priority="216" operator="containsText" text="BUENO">
      <formula>NOT(ISERROR(SEARCH("BUENO",AF40)))</formula>
    </cfRule>
  </conditionalFormatting>
  <conditionalFormatting sqref="AF49">
    <cfRule type="containsText" dxfId="182" priority="208" operator="containsText" text="REGULAR">
      <formula>NOT(ISERROR(SEARCH("REGULAR",AF49)))</formula>
    </cfRule>
    <cfRule type="containsText" dxfId="181" priority="209" operator="containsText" text="MALO">
      <formula>NOT(ISERROR(SEARCH("MALO",AF49)))</formula>
    </cfRule>
    <cfRule type="containsText" dxfId="180" priority="210" operator="containsText" text="BUENO">
      <formula>NOT(ISERROR(SEARCH("BUENO",AF49)))</formula>
    </cfRule>
  </conditionalFormatting>
  <conditionalFormatting sqref="AJ26:AJ29">
    <cfRule type="containsText" dxfId="179" priority="190" operator="containsText" text="REGULAR">
      <formula>NOT(ISERROR(SEARCH("REGULAR",AJ26)))</formula>
    </cfRule>
    <cfRule type="containsText" dxfId="178" priority="191" operator="containsText" text="MALO">
      <formula>NOT(ISERROR(SEARCH("MALO",AJ26)))</formula>
    </cfRule>
    <cfRule type="containsText" dxfId="177" priority="192" operator="containsText" text="BUENO">
      <formula>NOT(ISERROR(SEARCH("BUENO",AJ26)))</formula>
    </cfRule>
  </conditionalFormatting>
  <conditionalFormatting sqref="AF71">
    <cfRule type="containsText" dxfId="176" priority="202" operator="containsText" text="REGULAR">
      <formula>NOT(ISERROR(SEARCH("REGULAR",AF71)))</formula>
    </cfRule>
    <cfRule type="containsText" dxfId="175" priority="203" operator="containsText" text="MALO">
      <formula>NOT(ISERROR(SEARCH("MALO",AF71)))</formula>
    </cfRule>
    <cfRule type="containsText" dxfId="174" priority="204" operator="containsText" text="BUENO">
      <formula>NOT(ISERROR(SEARCH("BUENO",AF71)))</formula>
    </cfRule>
  </conditionalFormatting>
  <conditionalFormatting sqref="AJ35:AJ40">
    <cfRule type="containsText" dxfId="173" priority="184" operator="containsText" text="REGULAR">
      <formula>NOT(ISERROR(SEARCH("REGULAR",AJ35)))</formula>
    </cfRule>
    <cfRule type="containsText" dxfId="172" priority="185" operator="containsText" text="MALO">
      <formula>NOT(ISERROR(SEARCH("MALO",AJ35)))</formula>
    </cfRule>
    <cfRule type="containsText" dxfId="171" priority="186" operator="containsText" text="BUENO">
      <formula>NOT(ISERROR(SEARCH("BUENO",AJ35)))</formula>
    </cfRule>
  </conditionalFormatting>
  <conditionalFormatting sqref="AJ10:AJ13">
    <cfRule type="containsText" dxfId="170" priority="196" operator="containsText" text="REGULAR">
      <formula>NOT(ISERROR(SEARCH("REGULAR",AJ10)))</formula>
    </cfRule>
    <cfRule type="containsText" dxfId="169" priority="197" operator="containsText" text="MALO">
      <formula>NOT(ISERROR(SEARCH("MALO",AJ10)))</formula>
    </cfRule>
    <cfRule type="containsText" dxfId="168" priority="198" operator="containsText" text="BUENO">
      <formula>NOT(ISERROR(SEARCH("BUENO",AJ10)))</formula>
    </cfRule>
  </conditionalFormatting>
  <conditionalFormatting sqref="AJ17:AJ24">
    <cfRule type="containsText" dxfId="167" priority="193" operator="containsText" text="REGULAR">
      <formula>NOT(ISERROR(SEARCH("REGULAR",AJ17)))</formula>
    </cfRule>
    <cfRule type="containsText" dxfId="166" priority="194" operator="containsText" text="MALO">
      <formula>NOT(ISERROR(SEARCH("MALO",AJ17)))</formula>
    </cfRule>
    <cfRule type="containsText" dxfId="165" priority="195" operator="containsText" text="BUENO">
      <formula>NOT(ISERROR(SEARCH("BUENO",AJ17)))</formula>
    </cfRule>
  </conditionalFormatting>
  <conditionalFormatting sqref="AN17:AN24">
    <cfRule type="containsText" dxfId="164" priority="169" operator="containsText" text="REGULAR">
      <formula>NOT(ISERROR(SEARCH("REGULAR",AN17)))</formula>
    </cfRule>
    <cfRule type="containsText" dxfId="163" priority="170" operator="containsText" text="MALO">
      <formula>NOT(ISERROR(SEARCH("MALO",AN17)))</formula>
    </cfRule>
    <cfRule type="containsText" dxfId="162" priority="171" operator="containsText" text="BUENO">
      <formula>NOT(ISERROR(SEARCH("BUENO",AN17)))</formula>
    </cfRule>
  </conditionalFormatting>
  <conditionalFormatting sqref="AJ31:AJ32">
    <cfRule type="containsText" dxfId="161" priority="187" operator="containsText" text="REGULAR">
      <formula>NOT(ISERROR(SEARCH("REGULAR",AJ31)))</formula>
    </cfRule>
    <cfRule type="containsText" dxfId="160" priority="188" operator="containsText" text="MALO">
      <formula>NOT(ISERROR(SEARCH("MALO",AJ31)))</formula>
    </cfRule>
    <cfRule type="containsText" dxfId="159" priority="189" operator="containsText" text="BUENO">
      <formula>NOT(ISERROR(SEARCH("BUENO",AJ31)))</formula>
    </cfRule>
  </conditionalFormatting>
  <conditionalFormatting sqref="AN30:AN32">
    <cfRule type="containsText" dxfId="158" priority="163" operator="containsText" text="REGULAR">
      <formula>NOT(ISERROR(SEARCH("REGULAR",AN30)))</formula>
    </cfRule>
    <cfRule type="containsText" dxfId="157" priority="164" operator="containsText" text="MALO">
      <formula>NOT(ISERROR(SEARCH("MALO",AN30)))</formula>
    </cfRule>
    <cfRule type="containsText" dxfId="156" priority="165" operator="containsText" text="BUENO">
      <formula>NOT(ISERROR(SEARCH("BUENO",AN30)))</formula>
    </cfRule>
  </conditionalFormatting>
  <conditionalFormatting sqref="AJ43">
    <cfRule type="containsText" dxfId="155" priority="181" operator="containsText" text="REGULAR">
      <formula>NOT(ISERROR(SEARCH("REGULAR",AJ43)))</formula>
    </cfRule>
    <cfRule type="containsText" dxfId="154" priority="182" operator="containsText" text="MALO">
      <formula>NOT(ISERROR(SEARCH("MALO",AJ43)))</formula>
    </cfRule>
    <cfRule type="containsText" dxfId="153" priority="183" operator="containsText" text="BUENO">
      <formula>NOT(ISERROR(SEARCH("BUENO",AJ43)))</formula>
    </cfRule>
  </conditionalFormatting>
  <conditionalFormatting sqref="AJ71:AJ73 AJ49:AJ50 AJ52:AJ53 AJ56:AJ69">
    <cfRule type="containsText" dxfId="152" priority="178" operator="containsText" text="REGULAR">
      <formula>NOT(ISERROR(SEARCH("REGULAR",AJ49)))</formula>
    </cfRule>
    <cfRule type="containsText" dxfId="151" priority="179" operator="containsText" text="MALO">
      <formula>NOT(ISERROR(SEARCH("MALO",AJ49)))</formula>
    </cfRule>
    <cfRule type="containsText" dxfId="150" priority="180" operator="containsText" text="BUENO">
      <formula>NOT(ISERROR(SEARCH("BUENO",AJ49)))</formula>
    </cfRule>
  </conditionalFormatting>
  <conditionalFormatting sqref="AJ85:AJ86 AJ82:AJ83">
    <cfRule type="containsText" dxfId="149" priority="175" operator="containsText" text="REGULAR">
      <formula>NOT(ISERROR(SEARCH("REGULAR",AJ82)))</formula>
    </cfRule>
    <cfRule type="containsText" dxfId="148" priority="176" operator="containsText" text="MALO">
      <formula>NOT(ISERROR(SEARCH("MALO",AJ82)))</formula>
    </cfRule>
    <cfRule type="containsText" dxfId="147" priority="177" operator="containsText" text="BUENO">
      <formula>NOT(ISERROR(SEARCH("BUENO",AJ82)))</formula>
    </cfRule>
  </conditionalFormatting>
  <conditionalFormatting sqref="AN10:AN13">
    <cfRule type="containsText" dxfId="146" priority="172" operator="containsText" text="REGULAR">
      <formula>NOT(ISERROR(SEARCH("REGULAR",AN10)))</formula>
    </cfRule>
    <cfRule type="containsText" dxfId="145" priority="173" operator="containsText" text="MALO">
      <formula>NOT(ISERROR(SEARCH("MALO",AN10)))</formula>
    </cfRule>
    <cfRule type="containsText" dxfId="144" priority="174" operator="containsText" text="BUENO">
      <formula>NOT(ISERROR(SEARCH("BUENO",AN10)))</formula>
    </cfRule>
  </conditionalFormatting>
  <conditionalFormatting sqref="AR27:AR28">
    <cfRule type="containsText" dxfId="143" priority="151" operator="containsText" text="REGULAR">
      <formula>NOT(ISERROR(SEARCH("REGULAR",AR27)))</formula>
    </cfRule>
    <cfRule type="containsText" dxfId="142" priority="152" operator="containsText" text="MALO">
      <formula>NOT(ISERROR(SEARCH("MALO",AR27)))</formula>
    </cfRule>
    <cfRule type="containsText" dxfId="141" priority="153" operator="containsText" text="BUENO">
      <formula>NOT(ISERROR(SEARCH("BUENO",AR27)))</formula>
    </cfRule>
  </conditionalFormatting>
  <conditionalFormatting sqref="AR33:AR43">
    <cfRule type="containsText" dxfId="140" priority="145" operator="containsText" text="REGULAR">
      <formula>NOT(ISERROR(SEARCH("REGULAR",AR33)))</formula>
    </cfRule>
    <cfRule type="containsText" dxfId="139" priority="146" operator="containsText" text="MALO">
      <formula>NOT(ISERROR(SEARCH("MALO",AR33)))</formula>
    </cfRule>
    <cfRule type="containsText" dxfId="138" priority="147" operator="containsText" text="BUENO">
      <formula>NOT(ISERROR(SEARCH("BUENO",AR33)))</formula>
    </cfRule>
  </conditionalFormatting>
  <conditionalFormatting sqref="AR10:AR13">
    <cfRule type="containsText" dxfId="137" priority="157" operator="containsText" text="REGULAR">
      <formula>NOT(ISERROR(SEARCH("REGULAR",AR10)))</formula>
    </cfRule>
    <cfRule type="containsText" dxfId="136" priority="158" operator="containsText" text="MALO">
      <formula>NOT(ISERROR(SEARCH("MALO",AR10)))</formula>
    </cfRule>
    <cfRule type="containsText" dxfId="135" priority="159" operator="containsText" text="BUENO">
      <formula>NOT(ISERROR(SEARCH("BUENO",AR10)))</formula>
    </cfRule>
  </conditionalFormatting>
  <conditionalFormatting sqref="AR17:AR25">
    <cfRule type="containsText" dxfId="134" priority="154" operator="containsText" text="REGULAR">
      <formula>NOT(ISERROR(SEARCH("REGULAR",AR17)))</formula>
    </cfRule>
    <cfRule type="containsText" dxfId="133" priority="155" operator="containsText" text="MALO">
      <formula>NOT(ISERROR(SEARCH("MALO",AR17)))</formula>
    </cfRule>
    <cfRule type="containsText" dxfId="132" priority="156" operator="containsText" text="BUENO">
      <formula>NOT(ISERROR(SEARCH("BUENO",AR17)))</formula>
    </cfRule>
  </conditionalFormatting>
  <conditionalFormatting sqref="BL48:BL49">
    <cfRule type="containsText" dxfId="131" priority="130" operator="containsText" text="REGULAR">
      <formula>NOT(ISERROR(SEARCH("REGULAR",BL48)))</formula>
    </cfRule>
    <cfRule type="containsText" dxfId="130" priority="131" operator="containsText" text="MALO">
      <formula>NOT(ISERROR(SEARCH("MALO",BL48)))</formula>
    </cfRule>
    <cfRule type="containsText" dxfId="129" priority="132" operator="containsText" text="BUENO">
      <formula>NOT(ISERROR(SEARCH("BUENO",BL48)))</formula>
    </cfRule>
  </conditionalFormatting>
  <conditionalFormatting sqref="AR30:AR32">
    <cfRule type="containsText" dxfId="128" priority="148" operator="containsText" text="REGULAR">
      <formula>NOT(ISERROR(SEARCH("REGULAR",AR30)))</formula>
    </cfRule>
    <cfRule type="containsText" dxfId="127" priority="149" operator="containsText" text="MALO">
      <formula>NOT(ISERROR(SEARCH("MALO",AR30)))</formula>
    </cfRule>
    <cfRule type="containsText" dxfId="126" priority="150" operator="containsText" text="BUENO">
      <formula>NOT(ISERROR(SEARCH("BUENO",AR30)))</formula>
    </cfRule>
  </conditionalFormatting>
  <conditionalFormatting sqref="BP71:BP72">
    <cfRule type="containsText" dxfId="125" priority="124" operator="containsText" text="REGULAR">
      <formula>NOT(ISERROR(SEARCH("REGULAR",BP71)))</formula>
    </cfRule>
    <cfRule type="containsText" dxfId="124" priority="125" operator="containsText" text="MALO">
      <formula>NOT(ISERROR(SEARCH("MALO",BP71)))</formula>
    </cfRule>
    <cfRule type="containsText" dxfId="123" priority="126" operator="containsText" text="BUENO">
      <formula>NOT(ISERROR(SEARCH("BUENO",BP71)))</formula>
    </cfRule>
  </conditionalFormatting>
  <conditionalFormatting sqref="AR48:AR49">
    <cfRule type="containsText" dxfId="122" priority="142" operator="containsText" text="REGULAR">
      <formula>NOT(ISERROR(SEARCH("REGULAR",AR48)))</formula>
    </cfRule>
    <cfRule type="containsText" dxfId="121" priority="143" operator="containsText" text="MALO">
      <formula>NOT(ISERROR(SEARCH("MALO",AR48)))</formula>
    </cfRule>
    <cfRule type="containsText" dxfId="120" priority="144" operator="containsText" text="BUENO">
      <formula>NOT(ISERROR(SEARCH("BUENO",AR48)))</formula>
    </cfRule>
  </conditionalFormatting>
  <conditionalFormatting sqref="AR52:AR53">
    <cfRule type="containsText" dxfId="119" priority="139" operator="containsText" text="REGULAR">
      <formula>NOT(ISERROR(SEARCH("REGULAR",AR52)))</formula>
    </cfRule>
    <cfRule type="containsText" dxfId="118" priority="140" operator="containsText" text="MALO">
      <formula>NOT(ISERROR(SEARCH("MALO",AR52)))</formula>
    </cfRule>
    <cfRule type="containsText" dxfId="117" priority="141" operator="containsText" text="BUENO">
      <formula>NOT(ISERROR(SEARCH("BUENO",AR52)))</formula>
    </cfRule>
  </conditionalFormatting>
  <conditionalFormatting sqref="AR71:AR72">
    <cfRule type="containsText" dxfId="116" priority="136" operator="containsText" text="REGULAR">
      <formula>NOT(ISERROR(SEARCH("REGULAR",AR71)))</formula>
    </cfRule>
    <cfRule type="containsText" dxfId="115" priority="137" operator="containsText" text="MALO">
      <formula>NOT(ISERROR(SEARCH("MALO",AR71)))</formula>
    </cfRule>
    <cfRule type="containsText" dxfId="114" priority="138" operator="containsText" text="BUENO">
      <formula>NOT(ISERROR(SEARCH("BUENO",AR71)))</formula>
    </cfRule>
  </conditionalFormatting>
  <conditionalFormatting sqref="AR83">
    <cfRule type="containsText" dxfId="113" priority="133" operator="containsText" text="REGULAR">
      <formula>NOT(ISERROR(SEARCH("REGULAR",AR83)))</formula>
    </cfRule>
    <cfRule type="containsText" dxfId="112" priority="134" operator="containsText" text="MALO">
      <formula>NOT(ISERROR(SEARCH("MALO",AR83)))</formula>
    </cfRule>
    <cfRule type="containsText" dxfId="111" priority="135" operator="containsText" text="BUENO">
      <formula>NOT(ISERROR(SEARCH("BUENO",AR83)))</formula>
    </cfRule>
  </conditionalFormatting>
  <conditionalFormatting sqref="BL71:BL72">
    <cfRule type="containsText" dxfId="110" priority="127" operator="containsText" text="REGULAR">
      <formula>NOT(ISERROR(SEARCH("REGULAR",BL71)))</formula>
    </cfRule>
    <cfRule type="containsText" dxfId="109" priority="128" operator="containsText" text="MALO">
      <formula>NOT(ISERROR(SEARCH("MALO",BL71)))</formula>
    </cfRule>
    <cfRule type="containsText" dxfId="108" priority="129" operator="containsText" text="BUENO">
      <formula>NOT(ISERROR(SEARCH("BUENO",BL71)))</formula>
    </cfRule>
  </conditionalFormatting>
  <conditionalFormatting sqref="BT71:BT74">
    <cfRule type="containsText" dxfId="107" priority="121" operator="containsText" text="REGULAR">
      <formula>NOT(ISERROR(SEARCH("REGULAR",BT71)))</formula>
    </cfRule>
    <cfRule type="containsText" dxfId="106" priority="122" operator="containsText" text="MALO">
      <formula>NOT(ISERROR(SEARCH("MALO",BT71)))</formula>
    </cfRule>
    <cfRule type="containsText" dxfId="105" priority="123" operator="containsText" text="BUENO">
      <formula>NOT(ISERROR(SEARCH("BUENO",BT71)))</formula>
    </cfRule>
  </conditionalFormatting>
  <conditionalFormatting sqref="BT75:BT80">
    <cfRule type="containsText" dxfId="104" priority="118" operator="containsText" text="REGULAR">
      <formula>NOT(ISERROR(SEARCH("REGULAR",BT75)))</formula>
    </cfRule>
    <cfRule type="containsText" dxfId="103" priority="119" operator="containsText" text="MALO">
      <formula>NOT(ISERROR(SEARCH("MALO",BT75)))</formula>
    </cfRule>
    <cfRule type="containsText" dxfId="102" priority="120" operator="containsText" text="BUENO">
      <formula>NOT(ISERROR(SEARCH("BUENO",BT75)))</formula>
    </cfRule>
  </conditionalFormatting>
  <conditionalFormatting sqref="BT81:BT82">
    <cfRule type="containsText" dxfId="101" priority="115" operator="containsText" text="REGULAR">
      <formula>NOT(ISERROR(SEARCH("REGULAR",BT81)))</formula>
    </cfRule>
    <cfRule type="containsText" dxfId="100" priority="116" operator="containsText" text="MALO">
      <formula>NOT(ISERROR(SEARCH("MALO",BT81)))</formula>
    </cfRule>
    <cfRule type="containsText" dxfId="99" priority="117" operator="containsText" text="BUENO">
      <formula>NOT(ISERROR(SEARCH("BUENO",BT81)))</formula>
    </cfRule>
  </conditionalFormatting>
  <conditionalFormatting sqref="BT85:BT86 BT83">
    <cfRule type="containsText" dxfId="98" priority="112" operator="containsText" text="REGULAR">
      <formula>NOT(ISERROR(SEARCH("REGULAR",BT83)))</formula>
    </cfRule>
    <cfRule type="containsText" dxfId="97" priority="113" operator="containsText" text="MALO">
      <formula>NOT(ISERROR(SEARCH("MALO",BT83)))</formula>
    </cfRule>
    <cfRule type="containsText" dxfId="96" priority="114" operator="containsText" text="BUENO">
      <formula>NOT(ISERROR(SEARCH("BUENO",BT83)))</formula>
    </cfRule>
  </conditionalFormatting>
  <conditionalFormatting sqref="BT10:BT13 BT15:BT18">
    <cfRule type="containsText" dxfId="95" priority="109" operator="containsText" text="REGULAR">
      <formula>NOT(ISERROR(SEARCH("REGULAR",BT10)))</formula>
    </cfRule>
    <cfRule type="containsText" dxfId="94" priority="110" operator="containsText" text="MALO">
      <formula>NOT(ISERROR(SEARCH("MALO",BT10)))</formula>
    </cfRule>
    <cfRule type="containsText" dxfId="93" priority="111" operator="containsText" text="BUENO">
      <formula>NOT(ISERROR(SEARCH("BUENO",BT10)))</formula>
    </cfRule>
  </conditionalFormatting>
  <conditionalFormatting sqref="BT19:BT24">
    <cfRule type="containsText" dxfId="92" priority="106" operator="containsText" text="REGULAR">
      <formula>NOT(ISERROR(SEARCH("REGULAR",BT19)))</formula>
    </cfRule>
    <cfRule type="containsText" dxfId="91" priority="107" operator="containsText" text="MALO">
      <formula>NOT(ISERROR(SEARCH("MALO",BT19)))</formula>
    </cfRule>
    <cfRule type="containsText" dxfId="90" priority="108" operator="containsText" text="BUENO">
      <formula>NOT(ISERROR(SEARCH("BUENO",BT19)))</formula>
    </cfRule>
  </conditionalFormatting>
  <conditionalFormatting sqref="BT30:BT31">
    <cfRule type="containsText" dxfId="89" priority="103" operator="containsText" text="REGULAR">
      <formula>NOT(ISERROR(SEARCH("REGULAR",BT30)))</formula>
    </cfRule>
    <cfRule type="containsText" dxfId="88" priority="104" operator="containsText" text="MALO">
      <formula>NOT(ISERROR(SEARCH("MALO",BT30)))</formula>
    </cfRule>
    <cfRule type="containsText" dxfId="87" priority="105" operator="containsText" text="BUENO">
      <formula>NOT(ISERROR(SEARCH("BUENO",BT30)))</formula>
    </cfRule>
  </conditionalFormatting>
  <conditionalFormatting sqref="BT36:BT37">
    <cfRule type="containsText" dxfId="86" priority="100" operator="containsText" text="REGULAR">
      <formula>NOT(ISERROR(SEARCH("REGULAR",BT36)))</formula>
    </cfRule>
    <cfRule type="containsText" dxfId="85" priority="101" operator="containsText" text="MALO">
      <formula>NOT(ISERROR(SEARCH("MALO",BT36)))</formula>
    </cfRule>
    <cfRule type="containsText" dxfId="84" priority="102" operator="containsText" text="BUENO">
      <formula>NOT(ISERROR(SEARCH("BUENO",BT36)))</formula>
    </cfRule>
  </conditionalFormatting>
  <conditionalFormatting sqref="BT38:BT40">
    <cfRule type="containsText" dxfId="83" priority="97" operator="containsText" text="REGULAR">
      <formula>NOT(ISERROR(SEARCH("REGULAR",BT38)))</formula>
    </cfRule>
    <cfRule type="containsText" dxfId="82" priority="98" operator="containsText" text="MALO">
      <formula>NOT(ISERROR(SEARCH("MALO",BT38)))</formula>
    </cfRule>
    <cfRule type="containsText" dxfId="81" priority="99" operator="containsText" text="BUENO">
      <formula>NOT(ISERROR(SEARCH("BUENO",BT38)))</formula>
    </cfRule>
  </conditionalFormatting>
  <conditionalFormatting sqref="BT44:BT49">
    <cfRule type="containsText" dxfId="80" priority="94" operator="containsText" text="REGULAR">
      <formula>NOT(ISERROR(SEARCH("REGULAR",BT44)))</formula>
    </cfRule>
    <cfRule type="containsText" dxfId="79" priority="95" operator="containsText" text="MALO">
      <formula>NOT(ISERROR(SEARCH("MALO",BT44)))</formula>
    </cfRule>
    <cfRule type="containsText" dxfId="78" priority="96" operator="containsText" text="BUENO">
      <formula>NOT(ISERROR(SEARCH("BUENO",BT44)))</formula>
    </cfRule>
  </conditionalFormatting>
  <conditionalFormatting sqref="BT52">
    <cfRule type="containsText" dxfId="77" priority="91" operator="containsText" text="REGULAR">
      <formula>NOT(ISERROR(SEARCH("REGULAR",BT52)))</formula>
    </cfRule>
    <cfRule type="containsText" dxfId="76" priority="92" operator="containsText" text="MALO">
      <formula>NOT(ISERROR(SEARCH("MALO",BT52)))</formula>
    </cfRule>
    <cfRule type="containsText" dxfId="75" priority="93" operator="containsText" text="BUENO">
      <formula>NOT(ISERROR(SEARCH("BUENO",BT52)))</formula>
    </cfRule>
  </conditionalFormatting>
  <conditionalFormatting sqref="BT53">
    <cfRule type="containsText" dxfId="74" priority="88" operator="containsText" text="REGULAR">
      <formula>NOT(ISERROR(SEARCH("REGULAR",BT53)))</formula>
    </cfRule>
    <cfRule type="containsText" dxfId="73" priority="89" operator="containsText" text="MALO">
      <formula>NOT(ISERROR(SEARCH("MALO",BT53)))</formula>
    </cfRule>
    <cfRule type="containsText" dxfId="72" priority="90" operator="containsText" text="BUENO">
      <formula>NOT(ISERROR(SEARCH("BUENO",BT53)))</formula>
    </cfRule>
  </conditionalFormatting>
  <conditionalFormatting sqref="BT56:BT57">
    <cfRule type="containsText" dxfId="71" priority="85" operator="containsText" text="REGULAR">
      <formula>NOT(ISERROR(SEARCH("REGULAR",BT56)))</formula>
    </cfRule>
    <cfRule type="containsText" dxfId="70" priority="86" operator="containsText" text="MALO">
      <formula>NOT(ISERROR(SEARCH("MALO",BT56)))</formula>
    </cfRule>
    <cfRule type="containsText" dxfId="69" priority="87" operator="containsText" text="BUENO">
      <formula>NOT(ISERROR(SEARCH("BUENO",BT56)))</formula>
    </cfRule>
  </conditionalFormatting>
  <conditionalFormatting sqref="BT58:BT70">
    <cfRule type="containsText" dxfId="68" priority="82" operator="containsText" text="REGULAR">
      <formula>NOT(ISERROR(SEARCH("REGULAR",BT58)))</formula>
    </cfRule>
    <cfRule type="containsText" dxfId="67" priority="83" operator="containsText" text="MALO">
      <formula>NOT(ISERROR(SEARCH("MALO",BT58)))</formula>
    </cfRule>
    <cfRule type="containsText" dxfId="66" priority="84" operator="containsText" text="BUENO">
      <formula>NOT(ISERROR(SEARCH("BUENO",BT58)))</formula>
    </cfRule>
  </conditionalFormatting>
  <conditionalFormatting sqref="BP40">
    <cfRule type="containsText" dxfId="65" priority="79" operator="containsText" text="REGULAR">
      <formula>NOT(ISERROR(SEARCH("REGULAR",BP40)))</formula>
    </cfRule>
    <cfRule type="containsText" dxfId="64" priority="80" operator="containsText" text="MALO">
      <formula>NOT(ISERROR(SEARCH("MALO",BP40)))</formula>
    </cfRule>
    <cfRule type="containsText" dxfId="63" priority="81" operator="containsText" text="BUENO">
      <formula>NOT(ISERROR(SEARCH("BUENO",BP40)))</formula>
    </cfRule>
  </conditionalFormatting>
  <conditionalFormatting sqref="AB42">
    <cfRule type="containsText" dxfId="62" priority="73" operator="containsText" text="REGULAR">
      <formula>NOT(ISERROR(SEARCH("REGULAR",AB42)))</formula>
    </cfRule>
    <cfRule type="containsText" dxfId="61" priority="74" operator="containsText" text="MALO">
      <formula>NOT(ISERROR(SEARCH("MALO",AB42)))</formula>
    </cfRule>
    <cfRule type="containsText" dxfId="60" priority="75" operator="containsText" text="BUENO">
      <formula>NOT(ISERROR(SEARCH("BUENO",AB42)))</formula>
    </cfRule>
  </conditionalFormatting>
  <conditionalFormatting sqref="AJ42">
    <cfRule type="containsText" dxfId="59" priority="70" operator="containsText" text="REGULAR">
      <formula>NOT(ISERROR(SEARCH("REGULAR",AJ42)))</formula>
    </cfRule>
    <cfRule type="containsText" dxfId="58" priority="71" operator="containsText" text="MALO">
      <formula>NOT(ISERROR(SEARCH("MALO",AJ42)))</formula>
    </cfRule>
    <cfRule type="containsText" dxfId="57" priority="72" operator="containsText" text="BUENO">
      <formula>NOT(ISERROR(SEARCH("BUENO",AJ42)))</formula>
    </cfRule>
  </conditionalFormatting>
  <conditionalFormatting sqref="BT42:BT43">
    <cfRule type="containsText" dxfId="56" priority="67" operator="containsText" text="REGULAR">
      <formula>NOT(ISERROR(SEARCH("REGULAR",BT42)))</formula>
    </cfRule>
    <cfRule type="containsText" dxfId="55" priority="68" operator="containsText" text="MALO">
      <formula>NOT(ISERROR(SEARCH("MALO",BT42)))</formula>
    </cfRule>
    <cfRule type="containsText" dxfId="54" priority="69" operator="containsText" text="BUENO">
      <formula>NOT(ISERROR(SEARCH("BUENO",BT42)))</formula>
    </cfRule>
  </conditionalFormatting>
  <conditionalFormatting sqref="BL42:BL43">
    <cfRule type="containsText" dxfId="53" priority="64" operator="containsText" text="REGULAR">
      <formula>NOT(ISERROR(SEARCH("REGULAR",BL42)))</formula>
    </cfRule>
    <cfRule type="containsText" dxfId="52" priority="65" operator="containsText" text="MALO">
      <formula>NOT(ISERROR(SEARCH("MALO",BL42)))</formula>
    </cfRule>
    <cfRule type="containsText" dxfId="51" priority="66" operator="containsText" text="BUENO">
      <formula>NOT(ISERROR(SEARCH("BUENO",BL42)))</formula>
    </cfRule>
  </conditionalFormatting>
  <conditionalFormatting sqref="BP42:BP43">
    <cfRule type="containsText" dxfId="50" priority="61" operator="containsText" text="REGULAR">
      <formula>NOT(ISERROR(SEARCH("REGULAR",BP42)))</formula>
    </cfRule>
    <cfRule type="containsText" dxfId="49" priority="62" operator="containsText" text="MALO">
      <formula>NOT(ISERROR(SEARCH("MALO",BP42)))</formula>
    </cfRule>
    <cfRule type="containsText" dxfId="48" priority="63" operator="containsText" text="BUENO">
      <formula>NOT(ISERROR(SEARCH("BUENO",BP42)))</formula>
    </cfRule>
  </conditionalFormatting>
  <conditionalFormatting sqref="BL55">
    <cfRule type="containsText" dxfId="47" priority="40" operator="containsText" text="REGULAR">
      <formula>NOT(ISERROR(SEARCH("REGULAR",BL55)))</formula>
    </cfRule>
    <cfRule type="containsText" dxfId="46" priority="41" operator="containsText" text="MALO">
      <formula>NOT(ISERROR(SEARCH("MALO",BL55)))</formula>
    </cfRule>
    <cfRule type="containsText" dxfId="45" priority="42" operator="containsText" text="BUENO">
      <formula>NOT(ISERROR(SEARCH("BUENO",BL55)))</formula>
    </cfRule>
  </conditionalFormatting>
  <conditionalFormatting sqref="BL51">
    <cfRule type="containsText" dxfId="44" priority="25" operator="containsText" text="REGULAR">
      <formula>NOT(ISERROR(SEARCH("REGULAR",BL51)))</formula>
    </cfRule>
    <cfRule type="containsText" dxfId="43" priority="26" operator="containsText" text="MALO">
      <formula>NOT(ISERROR(SEARCH("MALO",BL51)))</formula>
    </cfRule>
    <cfRule type="containsText" dxfId="42" priority="27" operator="containsText" text="BUENO">
      <formula>NOT(ISERROR(SEARCH("BUENO",BL51)))</formula>
    </cfRule>
  </conditionalFormatting>
  <conditionalFormatting sqref="BP48:BP49">
    <cfRule type="containsText" dxfId="41" priority="22" operator="containsText" text="REGULAR">
      <formula>NOT(ISERROR(SEARCH("REGULAR",BP48)))</formula>
    </cfRule>
    <cfRule type="containsText" dxfId="40" priority="23" operator="containsText" text="MALO">
      <formula>NOT(ISERROR(SEARCH("MALO",BP48)))</formula>
    </cfRule>
    <cfRule type="containsText" dxfId="39" priority="24" operator="containsText" text="BUENO">
      <formula>NOT(ISERROR(SEARCH("BUENO",BP48)))</formula>
    </cfRule>
  </conditionalFormatting>
  <conditionalFormatting sqref="BT54">
    <cfRule type="containsText" dxfId="38" priority="19" operator="containsText" text="REGULAR">
      <formula>NOT(ISERROR(SEARCH("REGULAR",BT54)))</formula>
    </cfRule>
    <cfRule type="containsText" dxfId="37" priority="20" operator="containsText" text="MALO">
      <formula>NOT(ISERROR(SEARCH("MALO",BT54)))</formula>
    </cfRule>
    <cfRule type="containsText" dxfId="36" priority="21" operator="containsText" text="BUENO">
      <formula>NOT(ISERROR(SEARCH("BUENO",BT54)))</formula>
    </cfRule>
  </conditionalFormatting>
  <conditionalFormatting sqref="U10">
    <cfRule type="containsText" dxfId="35" priority="16" operator="containsText" text="REGULAR">
      <formula>NOT(ISERROR(SEARCH("REGULAR",U10)))</formula>
    </cfRule>
    <cfRule type="containsText" dxfId="34" priority="17" operator="containsText" text="MALO">
      <formula>NOT(ISERROR(SEARCH("MALO",U10)))</formula>
    </cfRule>
    <cfRule type="containsText" dxfId="33" priority="18" operator="containsText" text="BUENO">
      <formula>NOT(ISERROR(SEARCH("BUENO",U10)))</formula>
    </cfRule>
  </conditionalFormatting>
  <conditionalFormatting sqref="U11:U86">
    <cfRule type="containsText" dxfId="32" priority="13" operator="containsText" text="REGULAR">
      <formula>NOT(ISERROR(SEARCH("REGULAR",U11)))</formula>
    </cfRule>
    <cfRule type="containsText" dxfId="31" priority="14" operator="containsText" text="MALO">
      <formula>NOT(ISERROR(SEARCH("MALO",U11)))</formula>
    </cfRule>
    <cfRule type="containsText" dxfId="30" priority="15" operator="containsText" text="BUENO">
      <formula>NOT(ISERROR(SEARCH("BUENO",U11)))</formula>
    </cfRule>
  </conditionalFormatting>
  <conditionalFormatting sqref="BT50">
    <cfRule type="containsText" dxfId="29" priority="10" operator="containsText" text="REGULAR">
      <formula>NOT(ISERROR(SEARCH("REGULAR",BT50)))</formula>
    </cfRule>
    <cfRule type="containsText" dxfId="28" priority="11" operator="containsText" text="MALO">
      <formula>NOT(ISERROR(SEARCH("MALO",BT50)))</formula>
    </cfRule>
    <cfRule type="containsText" dxfId="27" priority="12" operator="containsText" text="BUENO">
      <formula>NOT(ISERROR(SEARCH("BUENO",BT50)))</formula>
    </cfRule>
  </conditionalFormatting>
  <conditionalFormatting sqref="BT80">
    <cfRule type="containsText" dxfId="11" priority="4" operator="containsText" text="REGULAR">
      <formula>NOT(ISERROR(SEARCH("REGULAR",BT80)))</formula>
    </cfRule>
    <cfRule type="containsText" dxfId="10" priority="5" operator="containsText" text="MALO">
      <formula>NOT(ISERROR(SEARCH("MALO",BT80)))</formula>
    </cfRule>
    <cfRule type="containsText" dxfId="9" priority="6" operator="containsText" text="BUENO">
      <formula>NOT(ISERROR(SEARCH("BUENO",BT80)))</formula>
    </cfRule>
  </conditionalFormatting>
  <conditionalFormatting sqref="U80">
    <cfRule type="containsText" dxfId="5" priority="1" operator="containsText" text="REGULAR">
      <formula>NOT(ISERROR(SEARCH("REGULAR",U80)))</formula>
    </cfRule>
    <cfRule type="containsText" dxfId="4" priority="2" operator="containsText" text="MALO">
      <formula>NOT(ISERROR(SEARCH("MALO",U80)))</formula>
    </cfRule>
    <cfRule type="containsText" dxfId="3" priority="3" operator="containsText" text="BUENO">
      <formula>NOT(ISERROR(SEARCH("BUENO",U80)))</formula>
    </cfRule>
  </conditionalFormatting>
  <hyperlinks>
    <hyperlink ref="I71" location="'Nivel de Satisfaccion'!A1" display="Nivel de Satisfaccion del Usuario"/>
    <hyperlink ref="I70" location="'Control de Siniestros'!A1" display="Control de Siniestros"/>
  </hyperlink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INDICADORES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Leonardo Tobon  Uribe</dc:creator>
  <cp:lastModifiedBy>mescarraga</cp:lastModifiedBy>
  <dcterms:created xsi:type="dcterms:W3CDTF">2013-08-23T23:12:54Z</dcterms:created>
  <dcterms:modified xsi:type="dcterms:W3CDTF">2013-08-26T13:41:38Z</dcterms:modified>
</cp:coreProperties>
</file>