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DEMANDAS\PARAISÓPOLIS\1102.098-59-2025 -MCIDADES- Pavimentação de Vias Urbanas_400 MIL_Delegada Ione\2026\Projeto-19-03\archive - 2026-03-19T152429.741\"/>
    </mc:Choice>
  </mc:AlternateContent>
  <xr:revisionPtr revIDLastSave="0" documentId="13_ncr:1_{99A3C777-A901-418B-9847-BE9CFDA89A11}" xr6:coauthVersionLast="47" xr6:coauthVersionMax="47" xr10:uidLastSave="{00000000-0000-0000-0000-000000000000}"/>
  <bookViews>
    <workbookView xWindow="-108" yWindow="-108" windowWidth="23256" windowHeight="12456" xr2:uid="{048FEC77-095D-4598-BF31-1816CC6C7D76}"/>
  </bookViews>
  <sheets>
    <sheet name="PO-PLE" sheetId="1" r:id="rId1"/>
    <sheet name="CFF - PLE" sheetId="2" r:id="rId2"/>
  </sheets>
  <definedNames>
    <definedName name="ACOMPANHAMENTO" hidden="1">#REF!</definedName>
    <definedName name="AdmLocal" hidden="1">#REF!</definedName>
    <definedName name="AUTOEVENTO" hidden="1">#REF!</definedName>
    <definedName name="BDI.Opcao" hidden="1">#REF!</definedName>
    <definedName name="BDI.TipoObra" hidden="1">#REF!</definedName>
    <definedName name="BDI_1.Título" hidden="1">#REF!</definedName>
    <definedName name="BDI_2.Título" hidden="1">#REF!</definedName>
    <definedName name="BDI_3.Título" hidden="1">#REF!</definedName>
    <definedName name="BM.AFAcumulado" hidden="1">#REF!</definedName>
    <definedName name="BM.AFAnterior" hidden="1">#REF!</definedName>
    <definedName name="BM.MaxMed" hidden="1">IF(RegimeExecucao="Global",1,#REF!)</definedName>
    <definedName name="BM.MEDAcumulado" hidden="1">IF(COUNTIF(#REF!,BM.medicao)&gt;0,SUM(OFFSET(#REF!,0,0,1,MATCH(BM.medicao,#REF!,0))),0)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hidden="1">IF(RegimeExecucao="Global",-1,-#REF!)</definedName>
    <definedName name="CAIXA.Modo" hidden="1">#REF!</definedName>
    <definedName name="CÁLCULO.FrentesPreenchidas" hidden="1">#REF!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hidden="1">IF(AUTOEVENTO="manual",SUMIF(#REF!,1,#REF!),0)</definedName>
    <definedName name="CRONO.LinhasNecessarias" hidden="1">COUNTIF(#REF!,"Manual")+COUNTIF(#REF!,"SemiAuto")+COUNT(ORÇAMENTO.ListaCrono)</definedName>
    <definedName name="CRONO.Lista.AdmLocal" hidden="1">#REF!</definedName>
    <definedName name="CRONO.Lista.Níveis" hidden="1">#REF!</definedName>
    <definedName name="CRONO.MaxParc" hidden="1">#REF!+#REF!</definedName>
    <definedName name="CRONO.NivelExibicao" hidden="1">#REF!</definedName>
    <definedName name="CRONO.ParcelaFinal" hidden="1">MATCH(100%,#REF!,0)</definedName>
    <definedName name="CRONOPLE.Erro" hidden="1">#REF!</definedName>
    <definedName name="CRONOPLE.Lista.AdmLocal" hidden="1">#REF!</definedName>
    <definedName name="CRONOPLE.ValorDoEvento" hidden="1">SUMIF(#REF!,#REF!,OFFSET(#REF!,0,#REF!))</definedName>
    <definedName name="DADOS.Lista.Arredondamento" hidden="1">#REF!</definedName>
    <definedName name="DADOS.Lista.FonteRecursos" hidden="1">#REF!</definedName>
    <definedName name="DADOS.Lista.RegimeExecução" hidden="1">#REF!</definedName>
    <definedName name="DADOS.Lista.RegimePreviden" hidden="1">#REF!</definedName>
    <definedName name="DESONERACAO" hidden="1">IF(OR(Import.Desoneracao="DESONERADO",Import.Desoneracao="SIM"),"SIM","NÃO")</definedName>
    <definedName name="EVENTOS.firstrow" hidden="1">#REF!</definedName>
    <definedName name="EVENTOS.Lista" hidden="1">#REF!:OFFSET(#REF!,-1,0)</definedName>
    <definedName name="EVENTOS.Lista.Agrupar" hidden="1">#REF!</definedName>
    <definedName name="EVENTOS.ListaValidacao" hidden="1">#REF!:OFFSET(#REF!,-1,0)</definedName>
    <definedName name="Excel_BuiltIn_Database" hidden="1">TEXT(Import.DataBase,"mm-aaaa")</definedName>
    <definedName name="Import.Apelido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FechaRRE" hidden="1">#REF!</definedName>
    <definedName name="Import.DataInicioObra" hidden="1">#REF!</definedName>
    <definedName name="Import.DataPreenchimento" hidden="1">OFFSET(#REF!,0,-1)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AdmLocal" hidden="1">#REF!</definedName>
    <definedName name="Import.Eventos.Nível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acrosserviçoAdmLocal" hidden="1">#REF!</definedName>
    <definedName name="Import.Município" hidden="1">#REF!</definedName>
    <definedName name="Import.Nível" hidden="1">OFFSET(#REF!,1,0):OFFSET(#REF!,-1,0)</definedName>
    <definedName name="Import.Ofício.Num" hidden="1">#REF!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LQ.nAgrupEvent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#REF!</definedName>
    <definedName name="Import.SICONV" hidden="1">#REF!</definedName>
    <definedName name="Import.TipoArredondamento" hidden="1">#REF!</definedName>
    <definedName name="Import.TransfereGOV" hidden="1">#REF!</definedName>
    <definedName name="Import.Unidade" hidden="1">OFFSET(#REF!,1,0):OFFSET(#REF!,-1,0)</definedName>
    <definedName name="Import.UnitarioLicitado" hidden="1">OFFSET(#REF!,1,0):OFFSET(#REF!,-1,0)</definedName>
    <definedName name="ListaTgov.Unidades" hidden="1">#REF!</definedName>
    <definedName name="MENU.CRONO" hidden="1">OFFSET(#REF!,1,0)</definedName>
    <definedName name="MENU.Import.Form.PLQ" hidden="1">#REF!</definedName>
    <definedName name="MENU.Import.Form.PreçoUnit" hidden="1">#REF!</definedName>
    <definedName name="NumEventos" hidden="1">COUNT(OFFSET(Eventos,0,0,,1))</definedName>
    <definedName name="Objeto" hidden="1">#REF!</definedName>
    <definedName name="ORÇAMENTO.BancoRef" hidden="1">#REF!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ROUND(#REF!,15-13*#REF!)</definedName>
    <definedName name="ORÇAMENTO.Descricao" hidden="1">#REF!</definedName>
    <definedName name="ORÇAMENTO.Fonte" hidden="1">#REF!</definedName>
    <definedName name="ORÇAMENTO.Lista.BDI" hidden="1">#REF!</definedName>
    <definedName name="ORÇAMENTO.Lista.Fonte" hidden="1">#REF!</definedName>
    <definedName name="ORÇAMENTO.Lista.Nível" hidden="1">#REF!</definedName>
    <definedName name="ORÇAMENTO.Lista.Recurso" hidden="1">#REF!</definedName>
    <definedName name="ORÇAMENTO.ListaCrono" hidden="1">OFFSET(#REF!,1,0):OFFSET(#REF!,-1,0)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PrecoUnitarioLicitado" hidden="1">#REF!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hidden="1">ORÇAMENTO.SumINVMANUAL-ORÇAMENTO.SumCPMANUAL-ORÇAMENTO.SumOUTROSMANUAL</definedName>
    <definedName name="ORÇAMENTO.Unidade" hidden="1">#REF!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ista.DivisãoInvest" hidden="1">#REF!</definedName>
    <definedName name="QCI.Lista.Situação" hidden="1">#REF!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hidden="1">QCI.SumINVMANUAL-QCI.CPManual-QCI.OutrosManual</definedName>
    <definedName name="REFERENCIA.Descricao" hidden="1">IF(ISNUMBER(#REF!),OFFSET(INDIRECT(ORÇAMENTO.BancoRef),#REF!-1,3,1),#REF!)</definedName>
    <definedName name="REFERENCIA.Desonerado" hidden="1">IF(ISNUMBER(#REF!),VALUE(OFFSET(INDIRECT(ORÇAMENTO.BancoRef),#REF!-1,5,1)),0)</definedName>
    <definedName name="REFERENCIA.NaoDesonerado" hidden="1">IF(ISNUMBER(#REF!),VALUE(OFFSET(INDIRECT(ORÇAMENTO.BancoRef),#REF!-1,6,1)),0)</definedName>
    <definedName name="REFERENCIA.Unidade" hidden="1">IF(ISNUMBER(#REF!),OFFSET(INDIRECT(ORÇAMENTO.BancoRef),#REF!-1,4,1),"-")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SENHAGT" hidden="1">"PM3CAIXA"</definedName>
    <definedName name="SomaAgrup" hidden="1">SUMIF(OFFSET(#REF!,1,0,#REF!),"S",OFFSET(#REF!,1,0,#REF!))</definedName>
    <definedName name="SomaAgrupBM" hidden="1">SUMIF(OFFSET(#REF!,1,0,#REF!),"S",OFFSET(#REF!,1,0,#REF!))</definedName>
    <definedName name="TIPOORCAMENTO" hidden="1">IF(VALUE(#REF!)=2,"Licitado","Proposto")</definedName>
    <definedName name="Versao" hidden="1">#REF!</definedName>
    <definedName name="VTOTAL1" hidden="1">ROUND(#REF!*#REF!,15-13*#REF!)</definedName>
    <definedName name="VTOTALBM" hidden="1">IF(#REF!=0,0,CHOOSE(MATCH(RegimeExecucao,{"Global","Unitário"},0),ROUND(ROUND(#REF!,15-13*#REF!)/100*#REF!,15-13*#REF!),ROUND(ROUND(#REF!,15-13*#REF!)*ROUND(#REF!,15-13*#REF!),15-13*#REF!)))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1" l="1"/>
  <c r="S49" i="1" s="1"/>
  <c r="L42" i="1"/>
  <c r="L38" i="1"/>
  <c r="L31" i="1"/>
  <c r="L24" i="1"/>
  <c r="L8" i="1"/>
  <c r="L2" i="1"/>
  <c r="K3" i="1"/>
  <c r="L3" i="1" s="1"/>
  <c r="S22" i="1"/>
  <c r="S21" i="1"/>
  <c r="S20" i="1"/>
  <c r="S26" i="1"/>
  <c r="S27" i="1"/>
  <c r="S25" i="1"/>
  <c r="S29" i="1"/>
  <c r="S30" i="1"/>
  <c r="S28" i="1"/>
  <c r="S34" i="1"/>
  <c r="S33" i="1"/>
  <c r="S32" i="1"/>
  <c r="S37" i="1"/>
  <c r="S36" i="1"/>
  <c r="S35" i="1"/>
  <c r="S40" i="1"/>
  <c r="S41" i="1"/>
  <c r="S39" i="1"/>
  <c r="S45" i="1"/>
  <c r="S44" i="1"/>
  <c r="S43" i="1"/>
  <c r="L43" i="1"/>
  <c r="S48" i="1"/>
  <c r="K46" i="1"/>
  <c r="L46" i="1" s="1"/>
  <c r="K43" i="1"/>
  <c r="K39" i="1"/>
  <c r="K35" i="1"/>
  <c r="L35" i="1" s="1"/>
  <c r="K32" i="1"/>
  <c r="L32" i="1" s="1"/>
  <c r="K28" i="1"/>
  <c r="L28" i="1" s="1"/>
  <c r="K25" i="1"/>
  <c r="L25" i="1" s="1"/>
  <c r="K23" i="1"/>
  <c r="K20" i="1"/>
  <c r="K22" i="1"/>
  <c r="L22" i="1" s="1"/>
  <c r="K19" i="1"/>
  <c r="K17" i="1"/>
  <c r="K13" i="1"/>
  <c r="L13" i="1" s="1"/>
  <c r="K14" i="1"/>
  <c r="K15" i="1"/>
  <c r="K12" i="1"/>
  <c r="L12" i="1" s="1"/>
  <c r="K10" i="1"/>
  <c r="L10" i="1" s="1"/>
  <c r="K9" i="1"/>
  <c r="L9" i="1" s="1"/>
  <c r="K7" i="1"/>
  <c r="L7" i="1" s="1"/>
  <c r="L6" i="1" s="1"/>
  <c r="S50" i="1"/>
  <c r="F46" i="1"/>
  <c r="F43" i="1"/>
  <c r="F39" i="1"/>
  <c r="F35" i="1"/>
  <c r="F32" i="1"/>
  <c r="F28" i="1"/>
  <c r="F25" i="1"/>
  <c r="S23" i="1"/>
  <c r="F23" i="1"/>
  <c r="L23" i="1" s="1"/>
  <c r="F22" i="1"/>
  <c r="F20" i="1"/>
  <c r="S19" i="1"/>
  <c r="F19" i="1"/>
  <c r="S18" i="1"/>
  <c r="S17" i="1"/>
  <c r="F17" i="1"/>
  <c r="S16" i="1"/>
  <c r="S15" i="1"/>
  <c r="F15" i="1"/>
  <c r="S14" i="1"/>
  <c r="F14" i="1"/>
  <c r="S13" i="1"/>
  <c r="F13" i="1"/>
  <c r="S12" i="1"/>
  <c r="F12" i="1"/>
  <c r="S11" i="1"/>
  <c r="S10" i="1"/>
  <c r="F10" i="1"/>
  <c r="S9" i="1"/>
  <c r="F9" i="1"/>
  <c r="S7" i="1"/>
  <c r="F7" i="1"/>
  <c r="S5" i="1"/>
  <c r="S4" i="1"/>
  <c r="S3" i="1"/>
  <c r="F3" i="1"/>
  <c r="L14" i="1" l="1"/>
  <c r="L19" i="1"/>
  <c r="L20" i="1"/>
  <c r="L17" i="1"/>
  <c r="L39" i="1"/>
  <c r="L15" i="1"/>
  <c r="S46" i="1"/>
</calcChain>
</file>

<file path=xl/sharedStrings.xml><?xml version="1.0" encoding="utf-8"?>
<sst xmlns="http://schemas.openxmlformats.org/spreadsheetml/2006/main" count="283" uniqueCount="119">
  <si>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</si>
  <si>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</si>
  <si>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</si>
  <si>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</si>
  <si>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</si>
  <si>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</si>
  <si>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</si>
  <si>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</si>
  <si>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</si>
  <si>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</si>
  <si>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</si>
  <si>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</si>
  <si>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</si>
  <si>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</si>
  <si>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</si>
  <si>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</si>
  <si>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</si>
  <si>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</si>
  <si>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</si>
  <si>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</si>
  <si>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</si>
  <si>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>SERVIÇOS DE ADMINISTRAÇÃO LOCAL</t>
  </si>
  <si>
    <t>Serviço</t>
  </si>
  <si>
    <t>1.1</t>
  </si>
  <si>
    <t>SINAPI</t>
  </si>
  <si>
    <t>93565</t>
  </si>
  <si>
    <t>ENGENHEIRO CIVIL DE OBRA JUNIOR COM ENCARGOS COMPLEMENTARES</t>
  </si>
  <si>
    <t>MES</t>
  </si>
  <si>
    <t>20,73%</t>
  </si>
  <si>
    <t>Serviços de Administração Local</t>
  </si>
  <si>
    <t>Rua Expedito Valentim da Silva</t>
  </si>
  <si>
    <t>Rua Maria L Damasceno</t>
  </si>
  <si>
    <t>Vila Leonina Rosa</t>
  </si>
  <si>
    <t>2</t>
  </si>
  <si>
    <t>SERVIÇOS PRELIMINARES</t>
  </si>
  <si>
    <t>2.1</t>
  </si>
  <si>
    <t>103689</t>
  </si>
  <si>
    <t>FORNECIMENTO E INSTALAÇÃO DE PLACA DE OBRA COM CHAPA GALVANIZADA E ESTRUTURA DE MADEIRA. AF_03/2022_PS</t>
  </si>
  <si>
    <t>M2</t>
  </si>
  <si>
    <t>Serviços Preliminares</t>
  </si>
  <si>
    <t>3</t>
  </si>
  <si>
    <t>DRENAGEM PLUVIAL PROFUNDA</t>
  </si>
  <si>
    <t>3.1</t>
  </si>
  <si>
    <t>101859</t>
  </si>
  <si>
    <t>REASSENTAMENTO DE BLOCOS SEXTAVADO PARA PISO INTERTRAVADO, ESPESSURA DE 8 CM, EM VIA/ESTACIONAMENTO, COM REAPROVEITAMENTO DOS BLOCOS SEXTAVADO - INCLUSO RETIRADA E COLOCAÇÃO DO MATERIAL. AF_12/2020</t>
  </si>
  <si>
    <t>Drenagem Pluvial Profunda</t>
  </si>
  <si>
    <t>3.2</t>
  </si>
  <si>
    <t>102327</t>
  </si>
  <si>
    <t>ESCAVAÇÃO MECANIZADA DE VALA COM PROF. ATÉ 1,5 M (MÉDIA MONTANTE E JUSANTE/UMA COMPOSIÇÃO POR TRECHO), RETROESCAV. (0,26 M3), LARG. DE 0,8 M A 1,5 M, EM SOLO DE 2A CATEGORIA, EM LOCAIS COM BAIXO NÍVEL DE INTERFERÊNCIA. AF_09/2024</t>
  </si>
  <si>
    <t>M3</t>
  </si>
  <si>
    <t>3.3</t>
  </si>
  <si>
    <t>101619</t>
  </si>
  <si>
    <t>PREPARO DE FUNDO DE VALA COM LARGURA MENOR QUE 1,5 M, COM CAMADA DE BRITA, LANÇAMENTO MANUAL. AF_08/2020</t>
  </si>
  <si>
    <t>3.4</t>
  </si>
  <si>
    <t>92219</t>
  </si>
  <si>
    <t>TUBO DE CONCRETO PARA REDES COLETORAS DE ÁGUAS PLUVIAIS, DIÂMETRO DE 400 MM, JUNTA RÍGIDA, INSTALADO EM LOCAL COM ALTO NÍVEL DE INTERFERÊNCIAS - FORNECIMENTO E ASSENTAMENTO. AF_03/2024</t>
  </si>
  <si>
    <t>M</t>
  </si>
  <si>
    <t>3.5</t>
  </si>
  <si>
    <t>92221</t>
  </si>
  <si>
    <t>TUBO DE CONCRETO PARA REDES COLETORAS DE ÁGUAS PLUVIAIS, DIÂMETRO DE 600 MM, JUNTA RÍGIDA, INSTALADO EM LOCAL COM ALTO NÍVEL DE INTERFERÊNCIAS - FORNECIMENTO E ASSENTAMENTO. AF_03/2024</t>
  </si>
  <si>
    <t>3.6</t>
  </si>
  <si>
    <t>97935</t>
  </si>
  <si>
    <t>CAIXA PARA BOCA DE LOBO SIMPLES RETANGULAR, EM CONCRETO PRÉ-MOLDADO, DIMENSÕES INTERNAS: 0,6X1,0X1,2 M. AF_12/2020</t>
  </si>
  <si>
    <t>UN</t>
  </si>
  <si>
    <t>3.7</t>
  </si>
  <si>
    <t>43440</t>
  </si>
  <si>
    <t>CONJUNTO PRE-MOLDADO COMPOSTO POR GRELHA (0,99 X 0,45 M), QUADRO (1,10 X 0,52 M) E CANTONEIRA (1,10 X 0,35 M), EM CONCRETO ARMADO, COM FCK DE 21 MPA</t>
  </si>
  <si>
    <t>3.8</t>
  </si>
  <si>
    <t>99252</t>
  </si>
  <si>
    <t>BASE PARA POÇO DE VISITA RETANGULAR PARA DRENAGEM, EM ALVENARIA COM BLOCOS DE CONCRETO, DIMENSÕES INTERNAS = 1X1 M, PROFUNDIDADE = 1,40 M, EXCLUINDO TAMPÃO. AF_12/2020</t>
  </si>
  <si>
    <t>3.9</t>
  </si>
  <si>
    <t>98115</t>
  </si>
  <si>
    <t>TAMPA CIRCULAR PARA ESGOTO E DRENAGEM, EM CONCRETO PRÉ-MOLDADO, DIÂMETRO INTERNO = 0,60 M E ALTURA = 0,10 M. AF_12/2020</t>
  </si>
  <si>
    <t>3.10</t>
  </si>
  <si>
    <t>104734</t>
  </si>
  <si>
    <t>REATERRO MECANIZADO DE VALA COM RETROESCAVADEIRA (CAPACIDADE DA CAÇAMBA DA RETRO: 0,26 M³/POTÊNCIA: 88 HP), LARGURA DE 0,8 A 1,5 M, PROFUNDIDADE ATÉ 1,5 M, COM SOLO (SEM SUBSTITUIÇÃO) DE 1ª CATEGORIA, COM PLACA VIBRATÓRIA. AF_08/2023</t>
  </si>
  <si>
    <t>3.11</t>
  </si>
  <si>
    <t>1518</t>
  </si>
  <si>
    <t>CONCRETO BETUMINOSO USINADO A QUENTE (CBUQ) PARA PAVIMENTACAO ASFALTICA, PADRAO DNIT, FAIXA C, COM CAP 50/70 - AQUISICAO POSTO USINA</t>
  </si>
  <si>
    <t>T</t>
  </si>
  <si>
    <t>4</t>
  </si>
  <si>
    <t>MEIO-FIO E SARJETA</t>
  </si>
  <si>
    <t>4.1</t>
  </si>
  <si>
    <t>94273</t>
  </si>
  <si>
    <t>ASSENTAMENTO DE GUIA (MEIO-FIO) EM TRECHO RETO, CONFECCIONADA EM CONCRETO PRÉ-FABRICADO, DIMENSÕES 100X15X13X30 CM (COMPRIMENTO X BASE INFERIOR X BASE SUPERIOR X ALTURA). AF_01/2024</t>
  </si>
  <si>
    <t>Meio-Fio e Sarjeta</t>
  </si>
  <si>
    <t>4.2</t>
  </si>
  <si>
    <t>94289</t>
  </si>
  <si>
    <t>EXECUÇÃO DE SARJETA DE CONCRETO USINADO, MOLDADA IN LOCO EM TRECHO RETO, 45 CM BASE X 10 CM ALTURA. AF_01/2024</t>
  </si>
  <si>
    <t>5</t>
  </si>
  <si>
    <t>CALÇAMENTO EM BLOQUETE SEXTAVADO DE CONCRETO</t>
  </si>
  <si>
    <t>5.1</t>
  </si>
  <si>
    <t>105595</t>
  </si>
  <si>
    <t>CONSTRUÇÃO DE BASE E SUB-BASE PARA PAVIMENTAÇÃO DE SOLO (PREDOMINANTEMENTE ARGILOSO) BRITA - 50%-50%, MISTURA EM PISTA, COM ESPESSURA DE 20 CM - EXCLUSIVE ESCAVAÇÃO, CARGA E TRANSPORTE E SOLO. AF_09/2024</t>
  </si>
  <si>
    <t>Calçamento em Bloquete</t>
  </si>
  <si>
    <t>5.2</t>
  </si>
  <si>
    <t>92394</t>
  </si>
  <si>
    <t>EXECUÇÃO DE PAVIMENTO EM PISO INTERTRAVADO, COM BLOCO SEXTAVADO DE 25 X 25 CM, ESPESSURA 8 CM. AF_10/2022</t>
  </si>
  <si>
    <t>6</t>
  </si>
  <si>
    <t>SERVIÇOS DE ACESSIBILIDADE</t>
  </si>
  <si>
    <t>6.1</t>
  </si>
  <si>
    <t>94995</t>
  </si>
  <si>
    <t>EXECUÇÃO DE PASSEIO (CALÇADA) OU PISO DE CONCRETO COM CONCRETO MOLDADO IN LOCO, USINADO, ACABAMENTO CONVENCIONAL, ESPESSURA 8 CM, ARMADO. AF_08/2022</t>
  </si>
  <si>
    <t>Serviços de Acessibilidade</t>
  </si>
  <si>
    <t>7</t>
  </si>
  <si>
    <t>SERVIÇOS FINAIS</t>
  </si>
  <si>
    <t>7.1</t>
  </si>
  <si>
    <t>13521</t>
  </si>
  <si>
    <t>PLACA DE ACO ESMALTADA PARA IDENTIFICACAO DE RUA, *45 CM X 20* CM</t>
  </si>
  <si>
    <t>Serviços Finais</t>
  </si>
  <si>
    <t>7.2</t>
  </si>
  <si>
    <t>106168</t>
  </si>
  <si>
    <t>LIMPEZA DE RUA COM JATO DE ALTA PRESSÃO. AF_10/2025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</si>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</sst>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2" borderId="0" xfId="2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0" fontId="1" fillId="0" borderId="0" xfId="2"/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2" quotePrefix="1" applyNumberFormat="1" applyFont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/>
    </xf>
    <xf numFmtId="49" fontId="1" fillId="0" borderId="0" xfId="2" applyNumberFormat="1"/>
    <xf numFmtId="0" fontId="1" fillId="0" borderId="0" xfId="2" applyAlignment="1">
      <alignment horizontal="right"/>
    </xf>
    <xf numFmtId="165" fontId="3" fillId="4" borderId="1" xfId="1" applyFill="1" applyBorder="1"/>
    <xf numFmtId="0" fontId="3" fillId="0" borderId="1" xfId="2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left" vertical="center" indent="3"/>
    </xf>
    <xf numFmtId="164" fontId="3" fillId="0" borderId="1" xfId="2" applyNumberFormat="1" applyFont="1" applyBorder="1" applyAlignment="1" applyProtection="1">
      <alignment horizontal="center" vertical="center"/>
      <protection locked="0"/>
    </xf>
    <xf numFmtId="2" fontId="3" fillId="0" borderId="1" xfId="2" applyNumberFormat="1" applyFont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Normal 4" xfId="2" xr:uid="{50F958E1-613D-4D6F-A6D5-C72B1027F024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ADA5-A69B-437B-AF1F-E3C1AE0A8DDB}">
  <sheetPr codeName="Planilha1"/>
  <dimension ref="A1:S50"/>
  <sheetViews>
    <sheetView tabSelected="1" workbookViewId="0">
      <pane ySplit="1" topLeftCell="A47" activePane="bottomLeft" state="frozen"/>
      <selection pane="bottomLeft" activeCell="I3" sqref="I3"/>
    </sheetView>
  </sheetViews>
  <sheetFormatPr defaultColWidth="9.33203125" defaultRowHeight="14.4" x14ac:dyDescent="0.3"/>
  <cols>
    <col min="1" max="1" width="15" style="3" customWidth="1"/>
    <col min="2" max="2" width="25" style="3" customWidth="1"/>
    <col min="3" max="3" width="12" style="3" customWidth="1"/>
    <col min="4" max="4" width="15.5546875" style="12" customWidth="1"/>
    <col min="5" max="5" width="70" style="3" customWidth="1"/>
    <col min="6" max="6" width="20" style="3" customWidth="1"/>
    <col min="7" max="7" width="10" style="3" customWidth="1"/>
    <col min="8" max="8" width="25" style="3" customWidth="1"/>
    <col min="9" max="9" width="15" style="3" customWidth="1"/>
    <col min="10" max="10" width="13" style="3" customWidth="1"/>
    <col min="11" max="12" width="35" style="3" customWidth="1"/>
    <col min="13" max="13" width="20" style="3" customWidth="1"/>
    <col min="14" max="14" width="15" style="3" customWidth="1"/>
    <col min="15" max="15" width="50" style="3" customWidth="1"/>
    <col min="16" max="16" width="18.33203125" style="3" customWidth="1"/>
    <col min="17" max="17" width="50" style="3" customWidth="1"/>
    <col min="18" max="18" width="15" style="3" customWidth="1"/>
    <col min="19" max="19" width="17.5546875" style="3" customWidth="1"/>
    <col min="20" max="16384" width="9.33203125" style="3"/>
  </cols>
  <sheetData>
    <row r="1" spans="1:19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45" customHeight="1" x14ac:dyDescent="0.3">
      <c r="A2" s="4" t="s">
        <v>19</v>
      </c>
      <c r="B2" s="5" t="s">
        <v>20</v>
      </c>
      <c r="C2" s="4"/>
      <c r="D2" s="4"/>
      <c r="E2" s="4" t="s">
        <v>21</v>
      </c>
      <c r="F2" s="6"/>
      <c r="G2" s="4"/>
      <c r="H2" s="7"/>
      <c r="I2" s="17"/>
      <c r="J2" s="18"/>
      <c r="K2" s="8"/>
      <c r="L2" s="9">
        <f>L3</f>
        <v>30674.799999999999</v>
      </c>
      <c r="M2" s="4"/>
      <c r="N2" s="10"/>
      <c r="O2" s="4"/>
      <c r="P2" s="10"/>
      <c r="Q2" s="4"/>
      <c r="R2" s="11"/>
      <c r="S2" s="8"/>
    </row>
    <row r="3" spans="1:19" ht="45" customHeight="1" x14ac:dyDescent="0.3">
      <c r="A3" s="4" t="s">
        <v>22</v>
      </c>
      <c r="B3" s="5" t="s">
        <v>23</v>
      </c>
      <c r="C3" s="4" t="s">
        <v>24</v>
      </c>
      <c r="D3" s="4" t="s">
        <v>25</v>
      </c>
      <c r="E3" s="4" t="s">
        <v>26</v>
      </c>
      <c r="F3" s="6">
        <f>1.08</f>
        <v>1.08</v>
      </c>
      <c r="G3" s="4" t="s">
        <v>27</v>
      </c>
      <c r="H3" s="7">
        <v>23525.71</v>
      </c>
      <c r="I3" s="17">
        <v>23525.71</v>
      </c>
      <c r="J3" s="18" t="s">
        <v>28</v>
      </c>
      <c r="K3" s="8">
        <f>ROUND(I3*J3+I3,2)</f>
        <v>28402.59</v>
      </c>
      <c r="L3" s="9">
        <f>ROUND(F3*K3,2)</f>
        <v>30674.799999999999</v>
      </c>
      <c r="M3" s="4"/>
      <c r="N3" s="10">
        <v>1</v>
      </c>
      <c r="O3" s="4" t="s">
        <v>29</v>
      </c>
      <c r="P3" s="10">
        <v>1</v>
      </c>
      <c r="Q3" s="4" t="s">
        <v>30</v>
      </c>
      <c r="R3" s="11">
        <v>0.36</v>
      </c>
      <c r="S3" s="8">
        <f>10224.93</f>
        <v>10224.93</v>
      </c>
    </row>
    <row r="4" spans="1:19" ht="45" customHeight="1" x14ac:dyDescent="0.3">
      <c r="A4" s="4"/>
      <c r="B4" s="5"/>
      <c r="C4" s="4"/>
      <c r="D4" s="4"/>
      <c r="E4" s="4"/>
      <c r="F4" s="6"/>
      <c r="G4" s="4"/>
      <c r="H4" s="17"/>
      <c r="I4" s="17"/>
      <c r="J4" s="18"/>
      <c r="K4" s="8"/>
      <c r="L4" s="9"/>
      <c r="M4" s="4"/>
      <c r="N4" s="10"/>
      <c r="O4" s="4"/>
      <c r="P4" s="10">
        <v>2</v>
      </c>
      <c r="Q4" s="4" t="s">
        <v>31</v>
      </c>
      <c r="R4" s="11">
        <v>0.36</v>
      </c>
      <c r="S4" s="8">
        <f>10224.93</f>
        <v>10224.93</v>
      </c>
    </row>
    <row r="5" spans="1:19" ht="45" customHeight="1" x14ac:dyDescent="0.3">
      <c r="A5" s="4"/>
      <c r="B5" s="5"/>
      <c r="C5" s="4"/>
      <c r="D5" s="4"/>
      <c r="E5" s="4"/>
      <c r="F5" s="6"/>
      <c r="G5" s="4"/>
      <c r="H5" s="7"/>
      <c r="I5" s="17"/>
      <c r="J5" s="18"/>
      <c r="K5" s="8"/>
      <c r="L5" s="9"/>
      <c r="M5" s="4"/>
      <c r="N5" s="10"/>
      <c r="O5" s="4"/>
      <c r="P5" s="10">
        <v>3</v>
      </c>
      <c r="Q5" s="4" t="s">
        <v>32</v>
      </c>
      <c r="R5" s="11">
        <v>0.36</v>
      </c>
      <c r="S5" s="8">
        <f>10224.93</f>
        <v>10224.93</v>
      </c>
    </row>
    <row r="6" spans="1:19" ht="45" customHeight="1" x14ac:dyDescent="0.3">
      <c r="A6" s="4" t="s">
        <v>19</v>
      </c>
      <c r="B6" s="5" t="s">
        <v>33</v>
      </c>
      <c r="C6" s="4"/>
      <c r="D6" s="4"/>
      <c r="E6" s="4" t="s">
        <v>34</v>
      </c>
      <c r="F6" s="6"/>
      <c r="G6" s="4"/>
      <c r="H6" s="7"/>
      <c r="I6" s="17"/>
      <c r="J6" s="18"/>
      <c r="K6" s="8"/>
      <c r="L6" s="9">
        <f>L7</f>
        <v>2738.52</v>
      </c>
      <c r="M6" s="4"/>
      <c r="N6" s="10"/>
      <c r="O6" s="4"/>
      <c r="P6" s="10"/>
      <c r="Q6" s="4"/>
      <c r="R6" s="11"/>
      <c r="S6" s="8"/>
    </row>
    <row r="7" spans="1:19" ht="45" customHeight="1" x14ac:dyDescent="0.3">
      <c r="A7" s="4" t="s">
        <v>22</v>
      </c>
      <c r="B7" s="5" t="s">
        <v>35</v>
      </c>
      <c r="C7" s="4" t="s">
        <v>24</v>
      </c>
      <c r="D7" s="4" t="s">
        <v>36</v>
      </c>
      <c r="E7" s="4" t="s">
        <v>37</v>
      </c>
      <c r="F7" s="6">
        <f>4.5</f>
        <v>4.5</v>
      </c>
      <c r="G7" s="4" t="s">
        <v>38</v>
      </c>
      <c r="H7" s="7">
        <v>504.07</v>
      </c>
      <c r="I7" s="17">
        <v>504.07</v>
      </c>
      <c r="J7" s="18" t="s">
        <v>28</v>
      </c>
      <c r="K7" s="8">
        <f>ROUND(I7*J7+I7,2)</f>
        <v>608.55999999999995</v>
      </c>
      <c r="L7" s="9">
        <f>ROUND(F7*K7,2)</f>
        <v>2738.52</v>
      </c>
      <c r="M7" s="4"/>
      <c r="N7" s="10">
        <v>2</v>
      </c>
      <c r="O7" s="4" t="s">
        <v>39</v>
      </c>
      <c r="P7" s="10">
        <v>1</v>
      </c>
      <c r="Q7" s="4" t="s">
        <v>30</v>
      </c>
      <c r="R7" s="11">
        <v>4.5</v>
      </c>
      <c r="S7" s="8">
        <f>2738.52</f>
        <v>2738.52</v>
      </c>
    </row>
    <row r="8" spans="1:19" ht="45" customHeight="1" x14ac:dyDescent="0.3">
      <c r="A8" s="4" t="s">
        <v>19</v>
      </c>
      <c r="B8" s="5" t="s">
        <v>40</v>
      </c>
      <c r="C8" s="4"/>
      <c r="D8" s="4"/>
      <c r="E8" s="4" t="s">
        <v>41</v>
      </c>
      <c r="F8" s="6"/>
      <c r="G8" s="4"/>
      <c r="H8" s="7"/>
      <c r="I8" s="17"/>
      <c r="J8" s="18"/>
      <c r="K8" s="8"/>
      <c r="L8" s="9">
        <f>SUM(L9:L23)</f>
        <v>70883.98</v>
      </c>
      <c r="M8" s="4"/>
      <c r="N8" s="10"/>
      <c r="O8" s="4"/>
      <c r="P8" s="10"/>
      <c r="Q8" s="4"/>
      <c r="R8" s="11"/>
      <c r="S8" s="8"/>
    </row>
    <row r="9" spans="1:19" ht="55.8" customHeight="1" x14ac:dyDescent="0.3">
      <c r="A9" s="4" t="s">
        <v>22</v>
      </c>
      <c r="B9" s="5" t="s">
        <v>42</v>
      </c>
      <c r="C9" s="4" t="s">
        <v>24</v>
      </c>
      <c r="D9" s="4" t="s">
        <v>43</v>
      </c>
      <c r="E9" s="4" t="s">
        <v>44</v>
      </c>
      <c r="F9" s="6">
        <f>45.25</f>
        <v>45.25</v>
      </c>
      <c r="G9" s="4" t="s">
        <v>38</v>
      </c>
      <c r="H9" s="7">
        <v>35.880000000000003</v>
      </c>
      <c r="I9" s="17">
        <v>35.880000000000003</v>
      </c>
      <c r="J9" s="18" t="s">
        <v>28</v>
      </c>
      <c r="K9" s="8">
        <f>ROUND(I9*J9+I9,2)</f>
        <v>43.32</v>
      </c>
      <c r="L9" s="9">
        <f>ROUND(F9*K9,2)</f>
        <v>1960.23</v>
      </c>
      <c r="M9" s="4"/>
      <c r="N9" s="10">
        <v>3</v>
      </c>
      <c r="O9" s="4" t="s">
        <v>45</v>
      </c>
      <c r="P9" s="10">
        <v>2</v>
      </c>
      <c r="Q9" s="4" t="s">
        <v>31</v>
      </c>
      <c r="R9" s="11">
        <v>45.25</v>
      </c>
      <c r="S9" s="8">
        <f>1960.23</f>
        <v>1960.23</v>
      </c>
    </row>
    <row r="10" spans="1:19" ht="55.8" customHeight="1" x14ac:dyDescent="0.3">
      <c r="A10" s="4" t="s">
        <v>22</v>
      </c>
      <c r="B10" s="5" t="s">
        <v>46</v>
      </c>
      <c r="C10" s="4" t="s">
        <v>24</v>
      </c>
      <c r="D10" s="4" t="s">
        <v>47</v>
      </c>
      <c r="E10" s="4" t="s">
        <v>48</v>
      </c>
      <c r="F10" s="6">
        <f>174.66</f>
        <v>174.66</v>
      </c>
      <c r="G10" s="4" t="s">
        <v>49</v>
      </c>
      <c r="H10" s="7">
        <v>11.36</v>
      </c>
      <c r="I10" s="17">
        <v>11.36</v>
      </c>
      <c r="J10" s="18" t="s">
        <v>28</v>
      </c>
      <c r="K10" s="8">
        <f>ROUND(I10*J10+I10,2)</f>
        <v>13.71</v>
      </c>
      <c r="L10" s="9">
        <f>ROUND(F10*K10,2)</f>
        <v>2394.59</v>
      </c>
      <c r="M10" s="4"/>
      <c r="N10" s="10">
        <v>3</v>
      </c>
      <c r="O10" s="4" t="s">
        <v>45</v>
      </c>
      <c r="P10" s="10">
        <v>1</v>
      </c>
      <c r="Q10" s="4" t="s">
        <v>30</v>
      </c>
      <c r="R10" s="11">
        <v>5.88</v>
      </c>
      <c r="S10" s="8">
        <f>80.61</f>
        <v>80.61</v>
      </c>
    </row>
    <row r="11" spans="1:19" ht="45" customHeight="1" x14ac:dyDescent="0.3">
      <c r="A11" s="4"/>
      <c r="B11" s="5"/>
      <c r="C11" s="4"/>
      <c r="D11" s="4"/>
      <c r="E11" s="4"/>
      <c r="F11" s="6"/>
      <c r="G11" s="4"/>
      <c r="H11" s="7"/>
      <c r="I11" s="17"/>
      <c r="J11" s="18"/>
      <c r="K11" s="8"/>
      <c r="L11" s="9"/>
      <c r="M11" s="4"/>
      <c r="N11" s="10"/>
      <c r="O11" s="4"/>
      <c r="P11" s="10">
        <v>2</v>
      </c>
      <c r="Q11" s="4" t="s">
        <v>31</v>
      </c>
      <c r="R11" s="11">
        <v>168.78</v>
      </c>
      <c r="S11" s="8">
        <f>2313.97</f>
        <v>2313.9699999999998</v>
      </c>
    </row>
    <row r="12" spans="1:19" ht="45" customHeight="1" x14ac:dyDescent="0.3">
      <c r="A12" s="4" t="s">
        <v>22</v>
      </c>
      <c r="B12" s="5" t="s">
        <v>50</v>
      </c>
      <c r="C12" s="4" t="s">
        <v>24</v>
      </c>
      <c r="D12" s="4" t="s">
        <v>51</v>
      </c>
      <c r="E12" s="4" t="s">
        <v>52</v>
      </c>
      <c r="F12" s="6">
        <f>5.07</f>
        <v>5.07</v>
      </c>
      <c r="G12" s="4" t="s">
        <v>49</v>
      </c>
      <c r="H12" s="7">
        <v>340.17</v>
      </c>
      <c r="I12" s="17">
        <v>340.17</v>
      </c>
      <c r="J12" s="18" t="s">
        <v>28</v>
      </c>
      <c r="K12" s="8">
        <f>ROUND(I12*J12+I12,2)</f>
        <v>410.69</v>
      </c>
      <c r="L12" s="9">
        <f>ROUND(F12*K12,2)</f>
        <v>2082.1999999999998</v>
      </c>
      <c r="M12" s="4"/>
      <c r="N12" s="10">
        <v>3</v>
      </c>
      <c r="O12" s="4" t="s">
        <v>45</v>
      </c>
      <c r="P12" s="10">
        <v>2</v>
      </c>
      <c r="Q12" s="4" t="s">
        <v>31</v>
      </c>
      <c r="R12" s="11">
        <v>5.07</v>
      </c>
      <c r="S12" s="8">
        <f>2082.2</f>
        <v>2082.1999999999998</v>
      </c>
    </row>
    <row r="13" spans="1:19" ht="45" customHeight="1" x14ac:dyDescent="0.3">
      <c r="A13" s="4" t="s">
        <v>22</v>
      </c>
      <c r="B13" s="5" t="s">
        <v>53</v>
      </c>
      <c r="C13" s="4" t="s">
        <v>24</v>
      </c>
      <c r="D13" s="4" t="s">
        <v>54</v>
      </c>
      <c r="E13" s="4" t="s">
        <v>55</v>
      </c>
      <c r="F13" s="6">
        <f>6.63</f>
        <v>6.63</v>
      </c>
      <c r="G13" s="4" t="s">
        <v>56</v>
      </c>
      <c r="H13" s="7">
        <v>165.21</v>
      </c>
      <c r="I13" s="17">
        <v>165.21</v>
      </c>
      <c r="J13" s="18" t="s">
        <v>28</v>
      </c>
      <c r="K13" s="8">
        <f t="shared" ref="K13:K15" si="0">ROUND(I13*J13+I13,2)</f>
        <v>199.46</v>
      </c>
      <c r="L13" s="9">
        <f t="shared" ref="L13:L15" si="1">ROUND(F13*K13,2)</f>
        <v>1322.42</v>
      </c>
      <c r="M13" s="4"/>
      <c r="N13" s="10">
        <v>3</v>
      </c>
      <c r="O13" s="4" t="s">
        <v>45</v>
      </c>
      <c r="P13" s="10">
        <v>2</v>
      </c>
      <c r="Q13" s="4" t="s">
        <v>31</v>
      </c>
      <c r="R13" s="11">
        <v>6.63</v>
      </c>
      <c r="S13" s="8">
        <f>1322.42</f>
        <v>1322.42</v>
      </c>
    </row>
    <row r="14" spans="1:19" ht="45" customHeight="1" x14ac:dyDescent="0.3">
      <c r="A14" s="4" t="s">
        <v>22</v>
      </c>
      <c r="B14" s="5" t="s">
        <v>57</v>
      </c>
      <c r="C14" s="4" t="s">
        <v>24</v>
      </c>
      <c r="D14" s="4" t="s">
        <v>58</v>
      </c>
      <c r="E14" s="4" t="s">
        <v>59</v>
      </c>
      <c r="F14" s="6">
        <f>96.05</f>
        <v>96.05</v>
      </c>
      <c r="G14" s="4" t="s">
        <v>56</v>
      </c>
      <c r="H14" s="7">
        <v>305.89</v>
      </c>
      <c r="I14" s="17">
        <v>305.89</v>
      </c>
      <c r="J14" s="18" t="s">
        <v>28</v>
      </c>
      <c r="K14" s="8">
        <f t="shared" si="0"/>
        <v>369.3</v>
      </c>
      <c r="L14" s="9">
        <f t="shared" si="1"/>
        <v>35471.269999999997</v>
      </c>
      <c r="M14" s="4"/>
      <c r="N14" s="10">
        <v>3</v>
      </c>
      <c r="O14" s="4" t="s">
        <v>45</v>
      </c>
      <c r="P14" s="10">
        <v>2</v>
      </c>
      <c r="Q14" s="4" t="s">
        <v>31</v>
      </c>
      <c r="R14" s="11">
        <v>96.05</v>
      </c>
      <c r="S14" s="8">
        <f>35471.27</f>
        <v>35471.269999999997</v>
      </c>
    </row>
    <row r="15" spans="1:19" ht="45" customHeight="1" x14ac:dyDescent="0.3">
      <c r="A15" s="4" t="s">
        <v>22</v>
      </c>
      <c r="B15" s="5" t="s">
        <v>60</v>
      </c>
      <c r="C15" s="4" t="s">
        <v>24</v>
      </c>
      <c r="D15" s="4" t="s">
        <v>61</v>
      </c>
      <c r="E15" s="4" t="s">
        <v>62</v>
      </c>
      <c r="F15" s="6">
        <f>6</f>
        <v>6</v>
      </c>
      <c r="G15" s="4" t="s">
        <v>63</v>
      </c>
      <c r="H15" s="7">
        <v>955.01</v>
      </c>
      <c r="I15" s="17">
        <v>955.01</v>
      </c>
      <c r="J15" s="18" t="s">
        <v>28</v>
      </c>
      <c r="K15" s="8">
        <f t="shared" si="0"/>
        <v>1152.98</v>
      </c>
      <c r="L15" s="9">
        <f t="shared" si="1"/>
        <v>6917.88</v>
      </c>
      <c r="M15" s="4"/>
      <c r="N15" s="10">
        <v>3</v>
      </c>
      <c r="O15" s="4" t="s">
        <v>45</v>
      </c>
      <c r="P15" s="10">
        <v>1</v>
      </c>
      <c r="Q15" s="4" t="s">
        <v>30</v>
      </c>
      <c r="R15" s="11">
        <v>2</v>
      </c>
      <c r="S15" s="8">
        <f>2305.96</f>
        <v>2305.96</v>
      </c>
    </row>
    <row r="16" spans="1:19" ht="45" customHeight="1" x14ac:dyDescent="0.3">
      <c r="A16" s="4"/>
      <c r="B16" s="5"/>
      <c r="C16" s="4"/>
      <c r="D16" s="4"/>
      <c r="E16" s="4"/>
      <c r="F16" s="6"/>
      <c r="G16" s="4"/>
      <c r="H16" s="7"/>
      <c r="I16" s="17"/>
      <c r="J16" s="18"/>
      <c r="K16" s="8"/>
      <c r="L16" s="9"/>
      <c r="M16" s="4"/>
      <c r="N16" s="10"/>
      <c r="O16" s="4"/>
      <c r="P16" s="10">
        <v>2</v>
      </c>
      <c r="Q16" s="4" t="s">
        <v>31</v>
      </c>
      <c r="R16" s="11">
        <v>4</v>
      </c>
      <c r="S16" s="8">
        <f>4611.92</f>
        <v>4611.92</v>
      </c>
    </row>
    <row r="17" spans="1:19" ht="45" customHeight="1" x14ac:dyDescent="0.3">
      <c r="A17" s="4" t="s">
        <v>22</v>
      </c>
      <c r="B17" s="5" t="s">
        <v>64</v>
      </c>
      <c r="C17" s="4" t="s">
        <v>24</v>
      </c>
      <c r="D17" s="4" t="s">
        <v>65</v>
      </c>
      <c r="E17" s="4" t="s">
        <v>66</v>
      </c>
      <c r="F17" s="6">
        <f>6</f>
        <v>6</v>
      </c>
      <c r="G17" s="4" t="s">
        <v>63</v>
      </c>
      <c r="H17" s="7">
        <v>476.91</v>
      </c>
      <c r="I17" s="17">
        <v>476.91</v>
      </c>
      <c r="J17" s="18" t="s">
        <v>28</v>
      </c>
      <c r="K17" s="8">
        <f t="shared" ref="K17" si="2">ROUND(I17*J17+I17,2)</f>
        <v>575.77</v>
      </c>
      <c r="L17" s="9">
        <f t="shared" ref="L17" si="3">ROUND(F17*K17,2)</f>
        <v>3454.62</v>
      </c>
      <c r="M17" s="4"/>
      <c r="N17" s="10">
        <v>3</v>
      </c>
      <c r="O17" s="4" t="s">
        <v>45</v>
      </c>
      <c r="P17" s="10">
        <v>1</v>
      </c>
      <c r="Q17" s="4" t="s">
        <v>30</v>
      </c>
      <c r="R17" s="11">
        <v>2</v>
      </c>
      <c r="S17" s="8">
        <f>1151.54</f>
        <v>1151.54</v>
      </c>
    </row>
    <row r="18" spans="1:19" ht="45" customHeight="1" x14ac:dyDescent="0.3">
      <c r="A18" s="4"/>
      <c r="B18" s="5"/>
      <c r="C18" s="4"/>
      <c r="D18" s="4"/>
      <c r="E18" s="4"/>
      <c r="F18" s="6"/>
      <c r="G18" s="4"/>
      <c r="H18" s="7"/>
      <c r="I18" s="17"/>
      <c r="J18" s="18"/>
      <c r="K18" s="8"/>
      <c r="L18" s="9"/>
      <c r="M18" s="4"/>
      <c r="N18" s="10"/>
      <c r="O18" s="4"/>
      <c r="P18" s="10">
        <v>2</v>
      </c>
      <c r="Q18" s="4" t="s">
        <v>31</v>
      </c>
      <c r="R18" s="11">
        <v>4</v>
      </c>
      <c r="S18" s="8">
        <f>2303.08</f>
        <v>2303.08</v>
      </c>
    </row>
    <row r="19" spans="1:19" ht="45" customHeight="1" x14ac:dyDescent="0.3">
      <c r="A19" s="4" t="s">
        <v>22</v>
      </c>
      <c r="B19" s="5" t="s">
        <v>67</v>
      </c>
      <c r="C19" s="4" t="s">
        <v>24</v>
      </c>
      <c r="D19" s="4" t="s">
        <v>68</v>
      </c>
      <c r="E19" s="4" t="s">
        <v>69</v>
      </c>
      <c r="F19" s="6">
        <f>4</f>
        <v>4</v>
      </c>
      <c r="G19" s="4" t="s">
        <v>63</v>
      </c>
      <c r="H19" s="7">
        <v>2888.42</v>
      </c>
      <c r="I19" s="17">
        <v>2888.42</v>
      </c>
      <c r="J19" s="18" t="s">
        <v>28</v>
      </c>
      <c r="K19" s="8">
        <f t="shared" ref="K19" si="4">ROUND(I19*J19+I19,2)</f>
        <v>3487.19</v>
      </c>
      <c r="L19" s="9">
        <f t="shared" ref="L19" si="5">ROUND(F19*K19,2)</f>
        <v>13948.76</v>
      </c>
      <c r="M19" s="4"/>
      <c r="N19" s="10">
        <v>3</v>
      </c>
      <c r="O19" s="4" t="s">
        <v>45</v>
      </c>
      <c r="P19" s="10">
        <v>2</v>
      </c>
      <c r="Q19" s="4" t="s">
        <v>31</v>
      </c>
      <c r="R19" s="11">
        <v>4</v>
      </c>
      <c r="S19" s="8">
        <f>13948.76</f>
        <v>13948.76</v>
      </c>
    </row>
    <row r="20" spans="1:19" ht="45" customHeight="1" x14ac:dyDescent="0.3">
      <c r="A20" s="4" t="s">
        <v>22</v>
      </c>
      <c r="B20" s="5" t="s">
        <v>70</v>
      </c>
      <c r="C20" s="4" t="s">
        <v>24</v>
      </c>
      <c r="D20" s="4" t="s">
        <v>71</v>
      </c>
      <c r="E20" s="4" t="s">
        <v>72</v>
      </c>
      <c r="F20" s="6">
        <f>6</f>
        <v>6</v>
      </c>
      <c r="G20" s="4" t="s">
        <v>63</v>
      </c>
      <c r="H20" s="7">
        <v>110.81</v>
      </c>
      <c r="I20" s="17">
        <v>110.81</v>
      </c>
      <c r="J20" s="18" t="s">
        <v>28</v>
      </c>
      <c r="K20" s="8">
        <f t="shared" ref="K20" si="6">ROUND(I20*J20+I20,2)</f>
        <v>133.78</v>
      </c>
      <c r="L20" s="9">
        <f t="shared" ref="L20" si="7">ROUND(F20*K20,2)</f>
        <v>802.68</v>
      </c>
      <c r="M20" s="4"/>
      <c r="N20" s="10">
        <v>3</v>
      </c>
      <c r="O20" s="4" t="s">
        <v>45</v>
      </c>
      <c r="P20" s="10">
        <v>1</v>
      </c>
      <c r="Q20" s="4" t="s">
        <v>30</v>
      </c>
      <c r="R20" s="11">
        <v>2</v>
      </c>
      <c r="S20" s="8">
        <f>R20*$K$20</f>
        <v>267.56</v>
      </c>
    </row>
    <row r="21" spans="1:19" ht="45" customHeight="1" x14ac:dyDescent="0.3">
      <c r="A21" s="4"/>
      <c r="B21" s="5"/>
      <c r="C21" s="4"/>
      <c r="D21" s="4"/>
      <c r="E21" s="4"/>
      <c r="F21" s="6"/>
      <c r="G21" s="4"/>
      <c r="H21" s="7"/>
      <c r="I21" s="17"/>
      <c r="J21" s="18"/>
      <c r="K21" s="8"/>
      <c r="L21" s="9"/>
      <c r="M21" s="4"/>
      <c r="N21" s="10"/>
      <c r="O21" s="4"/>
      <c r="P21" s="10">
        <v>2</v>
      </c>
      <c r="Q21" s="4" t="s">
        <v>31</v>
      </c>
      <c r="R21" s="11">
        <v>4</v>
      </c>
      <c r="S21" s="8">
        <f>R21*$K$20</f>
        <v>535.12</v>
      </c>
    </row>
    <row r="22" spans="1:19" ht="45" customHeight="1" x14ac:dyDescent="0.3">
      <c r="A22" s="4" t="s">
        <v>22</v>
      </c>
      <c r="B22" s="5" t="s">
        <v>73</v>
      </c>
      <c r="C22" s="4" t="s">
        <v>24</v>
      </c>
      <c r="D22" s="4" t="s">
        <v>74</v>
      </c>
      <c r="E22" s="4" t="s">
        <v>75</v>
      </c>
      <c r="F22" s="6">
        <f>118.98</f>
        <v>118.98</v>
      </c>
      <c r="G22" s="4" t="s">
        <v>49</v>
      </c>
      <c r="H22" s="7">
        <v>15.36</v>
      </c>
      <c r="I22" s="17">
        <v>15.36</v>
      </c>
      <c r="J22" s="18" t="s">
        <v>28</v>
      </c>
      <c r="K22" s="8">
        <f t="shared" ref="K22" si="8">ROUND(I22*J22+I22,2)</f>
        <v>18.54</v>
      </c>
      <c r="L22" s="9">
        <f t="shared" ref="L22" si="9">ROUND(F22*K22,2)</f>
        <v>2205.89</v>
      </c>
      <c r="M22" s="4"/>
      <c r="N22" s="10">
        <v>3</v>
      </c>
      <c r="O22" s="4" t="s">
        <v>45</v>
      </c>
      <c r="P22" s="10">
        <v>2</v>
      </c>
      <c r="Q22" s="4" t="s">
        <v>31</v>
      </c>
      <c r="R22" s="11">
        <v>118.98</v>
      </c>
      <c r="S22" s="8">
        <f>R22*$K$22</f>
        <v>2205.8892000000001</v>
      </c>
    </row>
    <row r="23" spans="1:19" ht="45" customHeight="1" x14ac:dyDescent="0.3">
      <c r="A23" s="4" t="s">
        <v>22</v>
      </c>
      <c r="B23" s="5" t="s">
        <v>76</v>
      </c>
      <c r="C23" s="4" t="s">
        <v>24</v>
      </c>
      <c r="D23" s="4" t="s">
        <v>77</v>
      </c>
      <c r="E23" s="4" t="s">
        <v>78</v>
      </c>
      <c r="F23" s="6">
        <f>0.38</f>
        <v>0.38</v>
      </c>
      <c r="G23" s="4" t="s">
        <v>79</v>
      </c>
      <c r="H23" s="7">
        <v>705</v>
      </c>
      <c r="I23" s="17">
        <v>705</v>
      </c>
      <c r="J23" s="18" t="s">
        <v>28</v>
      </c>
      <c r="K23" s="8">
        <f t="shared" ref="K23" si="10">ROUND(I23*J23+I23,2)</f>
        <v>851.15</v>
      </c>
      <c r="L23" s="9">
        <f t="shared" ref="L23" si="11">ROUND(F23*K23,2)</f>
        <v>323.44</v>
      </c>
      <c r="M23" s="4"/>
      <c r="N23" s="10">
        <v>3</v>
      </c>
      <c r="O23" s="4" t="s">
        <v>45</v>
      </c>
      <c r="P23" s="10">
        <v>2</v>
      </c>
      <c r="Q23" s="4" t="s">
        <v>31</v>
      </c>
      <c r="R23" s="11">
        <v>0.38</v>
      </c>
      <c r="S23" s="8">
        <f>323.44</f>
        <v>323.44</v>
      </c>
    </row>
    <row r="24" spans="1:19" ht="45" customHeight="1" x14ac:dyDescent="0.3">
      <c r="A24" s="4" t="s">
        <v>19</v>
      </c>
      <c r="B24" s="5" t="s">
        <v>80</v>
      </c>
      <c r="C24" s="4"/>
      <c r="D24" s="4"/>
      <c r="E24" s="4" t="s">
        <v>81</v>
      </c>
      <c r="F24" s="6"/>
      <c r="G24" s="4"/>
      <c r="H24" s="7"/>
      <c r="I24" s="17"/>
      <c r="J24" s="18"/>
      <c r="K24" s="8"/>
      <c r="L24" s="9">
        <f>SUM(L25:L30)</f>
        <v>80744.17</v>
      </c>
      <c r="M24" s="4"/>
      <c r="N24" s="10"/>
      <c r="O24" s="4"/>
      <c r="P24" s="10"/>
      <c r="Q24" s="4"/>
      <c r="R24" s="11"/>
      <c r="S24" s="8"/>
    </row>
    <row r="25" spans="1:19" ht="45" customHeight="1" x14ac:dyDescent="0.3">
      <c r="A25" s="4" t="s">
        <v>22</v>
      </c>
      <c r="B25" s="5" t="s">
        <v>82</v>
      </c>
      <c r="C25" s="4" t="s">
        <v>24</v>
      </c>
      <c r="D25" s="4" t="s">
        <v>83</v>
      </c>
      <c r="E25" s="4" t="s">
        <v>84</v>
      </c>
      <c r="F25" s="6">
        <f>593.03</f>
        <v>593.03</v>
      </c>
      <c r="G25" s="4" t="s">
        <v>56</v>
      </c>
      <c r="H25" s="7">
        <v>66.72</v>
      </c>
      <c r="I25" s="17">
        <v>66.72</v>
      </c>
      <c r="J25" s="18" t="s">
        <v>28</v>
      </c>
      <c r="K25" s="8">
        <f t="shared" ref="K25" si="12">ROUND(I25*J25+I25,2)</f>
        <v>80.55</v>
      </c>
      <c r="L25" s="9">
        <f t="shared" ref="L25" si="13">ROUND(F25*K25,2)</f>
        <v>47768.57</v>
      </c>
      <c r="M25" s="4"/>
      <c r="N25" s="10">
        <v>4</v>
      </c>
      <c r="O25" s="4" t="s">
        <v>85</v>
      </c>
      <c r="P25" s="10">
        <v>1</v>
      </c>
      <c r="Q25" s="4" t="s">
        <v>30</v>
      </c>
      <c r="R25" s="11">
        <v>155.16999999999999</v>
      </c>
      <c r="S25" s="8">
        <f>R25*$K$25</f>
        <v>12498.943499999999</v>
      </c>
    </row>
    <row r="26" spans="1:19" ht="45" customHeight="1" x14ac:dyDescent="0.3">
      <c r="A26" s="4"/>
      <c r="B26" s="5"/>
      <c r="C26" s="4"/>
      <c r="D26" s="4"/>
      <c r="E26" s="4"/>
      <c r="F26" s="6"/>
      <c r="G26" s="4"/>
      <c r="H26" s="7"/>
      <c r="I26" s="17"/>
      <c r="J26" s="18"/>
      <c r="K26" s="8"/>
      <c r="L26" s="9"/>
      <c r="M26" s="4"/>
      <c r="N26" s="10"/>
      <c r="O26" s="4"/>
      <c r="P26" s="10">
        <v>2</v>
      </c>
      <c r="Q26" s="4" t="s">
        <v>31</v>
      </c>
      <c r="R26" s="11">
        <v>162.38</v>
      </c>
      <c r="S26" s="8">
        <f t="shared" ref="S26:S27" si="14">R26*$K$25</f>
        <v>13079.708999999999</v>
      </c>
    </row>
    <row r="27" spans="1:19" ht="45" customHeight="1" x14ac:dyDescent="0.3">
      <c r="A27" s="4"/>
      <c r="B27" s="5"/>
      <c r="C27" s="4"/>
      <c r="D27" s="4"/>
      <c r="E27" s="4"/>
      <c r="F27" s="6"/>
      <c r="G27" s="4"/>
      <c r="H27" s="7"/>
      <c r="I27" s="17"/>
      <c r="J27" s="18"/>
      <c r="K27" s="8"/>
      <c r="L27" s="9"/>
      <c r="M27" s="4"/>
      <c r="N27" s="10"/>
      <c r="O27" s="4"/>
      <c r="P27" s="10">
        <v>3</v>
      </c>
      <c r="Q27" s="4" t="s">
        <v>32</v>
      </c>
      <c r="R27" s="11">
        <v>275.48</v>
      </c>
      <c r="S27" s="8">
        <f t="shared" si="14"/>
        <v>22189.914000000001</v>
      </c>
    </row>
    <row r="28" spans="1:19" ht="45" customHeight="1" x14ac:dyDescent="0.3">
      <c r="A28" s="4" t="s">
        <v>22</v>
      </c>
      <c r="B28" s="5" t="s">
        <v>86</v>
      </c>
      <c r="C28" s="4" t="s">
        <v>24</v>
      </c>
      <c r="D28" s="4" t="s">
        <v>87</v>
      </c>
      <c r="E28" s="4" t="s">
        <v>88</v>
      </c>
      <c r="F28" s="6">
        <f>588.01</f>
        <v>588.01</v>
      </c>
      <c r="G28" s="4" t="s">
        <v>56</v>
      </c>
      <c r="H28" s="7">
        <v>46.45</v>
      </c>
      <c r="I28" s="17">
        <v>46.45</v>
      </c>
      <c r="J28" s="18" t="s">
        <v>28</v>
      </c>
      <c r="K28" s="8">
        <f t="shared" ref="K28" si="15">ROUND(I28*J28+I28,2)</f>
        <v>56.08</v>
      </c>
      <c r="L28" s="9">
        <f t="shared" ref="L28" si="16">ROUND(F28*K28,2)</f>
        <v>32975.599999999999</v>
      </c>
      <c r="M28" s="4"/>
      <c r="N28" s="10">
        <v>4</v>
      </c>
      <c r="O28" s="4" t="s">
        <v>85</v>
      </c>
      <c r="P28" s="10">
        <v>1</v>
      </c>
      <c r="Q28" s="4" t="s">
        <v>30</v>
      </c>
      <c r="R28" s="11">
        <v>153.94999999999999</v>
      </c>
      <c r="S28" s="8">
        <f>R28*$K$28</f>
        <v>8633.5159999999996</v>
      </c>
    </row>
    <row r="29" spans="1:19" ht="45" customHeight="1" x14ac:dyDescent="0.3">
      <c r="A29" s="4"/>
      <c r="B29" s="5"/>
      <c r="C29" s="4"/>
      <c r="D29" s="4"/>
      <c r="E29" s="4"/>
      <c r="F29" s="6"/>
      <c r="G29" s="4"/>
      <c r="H29" s="7"/>
      <c r="I29" s="17"/>
      <c r="J29" s="18"/>
      <c r="K29" s="8"/>
      <c r="L29" s="9"/>
      <c r="M29" s="4"/>
      <c r="N29" s="10"/>
      <c r="O29" s="4"/>
      <c r="P29" s="10">
        <v>2</v>
      </c>
      <c r="Q29" s="4" t="s">
        <v>31</v>
      </c>
      <c r="R29" s="11">
        <v>158.22</v>
      </c>
      <c r="S29" s="8">
        <f t="shared" ref="S29:S30" si="17">R29*$K$28</f>
        <v>8872.9776000000002</v>
      </c>
    </row>
    <row r="30" spans="1:19" ht="45" customHeight="1" x14ac:dyDescent="0.3">
      <c r="A30" s="4"/>
      <c r="B30" s="5"/>
      <c r="C30" s="4"/>
      <c r="D30" s="4"/>
      <c r="E30" s="4"/>
      <c r="F30" s="6"/>
      <c r="G30" s="4"/>
      <c r="H30" s="7"/>
      <c r="I30" s="17"/>
      <c r="J30" s="18"/>
      <c r="K30" s="8"/>
      <c r="L30" s="9"/>
      <c r="M30" s="4"/>
      <c r="N30" s="10"/>
      <c r="O30" s="4"/>
      <c r="P30" s="10">
        <v>3</v>
      </c>
      <c r="Q30" s="4" t="s">
        <v>32</v>
      </c>
      <c r="R30" s="11">
        <v>275.83999999999997</v>
      </c>
      <c r="S30" s="8">
        <f t="shared" si="17"/>
        <v>15469.107199999999</v>
      </c>
    </row>
    <row r="31" spans="1:19" ht="45" customHeight="1" x14ac:dyDescent="0.3">
      <c r="A31" s="4" t="s">
        <v>19</v>
      </c>
      <c r="B31" s="5" t="s">
        <v>89</v>
      </c>
      <c r="C31" s="4"/>
      <c r="D31" s="4"/>
      <c r="E31" s="4" t="s">
        <v>90</v>
      </c>
      <c r="F31" s="6"/>
      <c r="G31" s="4"/>
      <c r="H31" s="7"/>
      <c r="I31" s="17"/>
      <c r="J31" s="18"/>
      <c r="K31" s="8"/>
      <c r="L31" s="9">
        <f>SUM(L32:L37)</f>
        <v>201313.34999999998</v>
      </c>
      <c r="M31" s="4"/>
      <c r="N31" s="10"/>
      <c r="O31" s="4"/>
      <c r="P31" s="10"/>
      <c r="Q31" s="4"/>
      <c r="R31" s="11"/>
      <c r="S31" s="8"/>
    </row>
    <row r="32" spans="1:19" ht="57" customHeight="1" x14ac:dyDescent="0.3">
      <c r="A32" s="4" t="s">
        <v>22</v>
      </c>
      <c r="B32" s="5" t="s">
        <v>91</v>
      </c>
      <c r="C32" s="4" t="s">
        <v>24</v>
      </c>
      <c r="D32" s="4" t="s">
        <v>92</v>
      </c>
      <c r="E32" s="4" t="s">
        <v>93</v>
      </c>
      <c r="F32" s="6">
        <f>262.19</f>
        <v>262.19</v>
      </c>
      <c r="G32" s="4" t="s">
        <v>49</v>
      </c>
      <c r="H32" s="7">
        <v>116.59</v>
      </c>
      <c r="I32" s="17">
        <v>116.59</v>
      </c>
      <c r="J32" s="18" t="s">
        <v>28</v>
      </c>
      <c r="K32" s="8">
        <f t="shared" ref="K32" si="18">ROUND(I32*J32+I32,2)</f>
        <v>140.76</v>
      </c>
      <c r="L32" s="9">
        <f t="shared" ref="L32" si="19">ROUND(F32*K32,2)</f>
        <v>36905.86</v>
      </c>
      <c r="M32" s="4"/>
      <c r="N32" s="10">
        <v>5</v>
      </c>
      <c r="O32" s="4" t="s">
        <v>94</v>
      </c>
      <c r="P32" s="10">
        <v>1</v>
      </c>
      <c r="Q32" s="4" t="s">
        <v>30</v>
      </c>
      <c r="R32" s="11">
        <v>81.66</v>
      </c>
      <c r="S32" s="8">
        <f>R32*$K$32</f>
        <v>11494.461599999999</v>
      </c>
    </row>
    <row r="33" spans="1:19" ht="45" customHeight="1" x14ac:dyDescent="0.3">
      <c r="A33" s="4"/>
      <c r="B33" s="5"/>
      <c r="C33" s="4"/>
      <c r="D33" s="4"/>
      <c r="E33" s="4"/>
      <c r="F33" s="6"/>
      <c r="G33" s="4"/>
      <c r="H33" s="7"/>
      <c r="I33" s="17"/>
      <c r="J33" s="18"/>
      <c r="K33" s="8"/>
      <c r="L33" s="9"/>
      <c r="M33" s="4"/>
      <c r="N33" s="10"/>
      <c r="O33" s="4"/>
      <c r="P33" s="10">
        <v>2</v>
      </c>
      <c r="Q33" s="4" t="s">
        <v>31</v>
      </c>
      <c r="R33" s="11">
        <v>93.59</v>
      </c>
      <c r="S33" s="8">
        <f>R33*$K$32</f>
        <v>13173.7284</v>
      </c>
    </row>
    <row r="34" spans="1:19" ht="45" customHeight="1" x14ac:dyDescent="0.3">
      <c r="A34" s="4"/>
      <c r="B34" s="5"/>
      <c r="C34" s="4"/>
      <c r="D34" s="4"/>
      <c r="E34" s="4"/>
      <c r="F34" s="6"/>
      <c r="G34" s="4"/>
      <c r="H34" s="7"/>
      <c r="I34" s="17"/>
      <c r="J34" s="18"/>
      <c r="K34" s="8"/>
      <c r="L34" s="9"/>
      <c r="M34" s="4"/>
      <c r="N34" s="10"/>
      <c r="O34" s="4"/>
      <c r="P34" s="10">
        <v>3</v>
      </c>
      <c r="Q34" s="4" t="s">
        <v>32</v>
      </c>
      <c r="R34" s="11">
        <v>86.94</v>
      </c>
      <c r="S34" s="8">
        <f>R34*$K$32</f>
        <v>12237.674399999998</v>
      </c>
    </row>
    <row r="35" spans="1:19" ht="45" customHeight="1" x14ac:dyDescent="0.3">
      <c r="A35" s="4" t="s">
        <v>22</v>
      </c>
      <c r="B35" s="5" t="s">
        <v>95</v>
      </c>
      <c r="C35" s="4" t="s">
        <v>24</v>
      </c>
      <c r="D35" s="4" t="s">
        <v>96</v>
      </c>
      <c r="E35" s="4" t="s">
        <v>97</v>
      </c>
      <c r="F35" s="6">
        <f>1310.96</f>
        <v>1310.96</v>
      </c>
      <c r="G35" s="4" t="s">
        <v>38</v>
      </c>
      <c r="H35" s="7">
        <v>103.88</v>
      </c>
      <c r="I35" s="17">
        <v>103.88</v>
      </c>
      <c r="J35" s="18" t="s">
        <v>28</v>
      </c>
      <c r="K35" s="8">
        <f t="shared" ref="K35" si="20">ROUND(I35*J35+I35,2)</f>
        <v>125.41</v>
      </c>
      <c r="L35" s="9">
        <f t="shared" ref="L35" si="21">ROUND(F35*K35,2)</f>
        <v>164407.49</v>
      </c>
      <c r="M35" s="4"/>
      <c r="N35" s="10">
        <v>5</v>
      </c>
      <c r="O35" s="4" t="s">
        <v>94</v>
      </c>
      <c r="P35" s="10">
        <v>1</v>
      </c>
      <c r="Q35" s="4" t="s">
        <v>30</v>
      </c>
      <c r="R35" s="11">
        <v>408.29</v>
      </c>
      <c r="S35" s="8">
        <f>R35*$K$35</f>
        <v>51203.6489</v>
      </c>
    </row>
    <row r="36" spans="1:19" ht="45" customHeight="1" x14ac:dyDescent="0.3">
      <c r="A36" s="4"/>
      <c r="B36" s="5"/>
      <c r="C36" s="4"/>
      <c r="D36" s="4"/>
      <c r="E36" s="4"/>
      <c r="F36" s="6"/>
      <c r="G36" s="4"/>
      <c r="H36" s="7"/>
      <c r="I36" s="17"/>
      <c r="J36" s="18"/>
      <c r="K36" s="8"/>
      <c r="L36" s="9"/>
      <c r="M36" s="4"/>
      <c r="N36" s="10"/>
      <c r="O36" s="4"/>
      <c r="P36" s="10">
        <v>2</v>
      </c>
      <c r="Q36" s="4" t="s">
        <v>31</v>
      </c>
      <c r="R36" s="11">
        <v>467.96</v>
      </c>
      <c r="S36" s="8">
        <f>R36*$K$35</f>
        <v>58686.863599999997</v>
      </c>
    </row>
    <row r="37" spans="1:19" ht="45" customHeight="1" x14ac:dyDescent="0.3">
      <c r="A37" s="4"/>
      <c r="B37" s="5"/>
      <c r="C37" s="4"/>
      <c r="D37" s="4"/>
      <c r="E37" s="4"/>
      <c r="F37" s="6"/>
      <c r="G37" s="4"/>
      <c r="H37" s="7"/>
      <c r="I37" s="17"/>
      <c r="J37" s="18"/>
      <c r="K37" s="8"/>
      <c r="L37" s="9"/>
      <c r="M37" s="4"/>
      <c r="N37" s="10"/>
      <c r="O37" s="4"/>
      <c r="P37" s="10">
        <v>3</v>
      </c>
      <c r="Q37" s="4" t="s">
        <v>32</v>
      </c>
      <c r="R37" s="11">
        <v>434.71</v>
      </c>
      <c r="S37" s="8">
        <f>R37*$K$35</f>
        <v>54516.981099999997</v>
      </c>
    </row>
    <row r="38" spans="1:19" ht="45" customHeight="1" x14ac:dyDescent="0.3">
      <c r="A38" s="4" t="s">
        <v>19</v>
      </c>
      <c r="B38" s="5" t="s">
        <v>98</v>
      </c>
      <c r="C38" s="4"/>
      <c r="D38" s="4"/>
      <c r="E38" s="4" t="s">
        <v>99</v>
      </c>
      <c r="F38" s="6"/>
      <c r="G38" s="4"/>
      <c r="H38" s="7"/>
      <c r="I38" s="17"/>
      <c r="J38" s="18"/>
      <c r="K38" s="8"/>
      <c r="L38" s="9">
        <f>L39</f>
        <v>10714.27</v>
      </c>
      <c r="M38" s="4"/>
      <c r="N38" s="10"/>
      <c r="O38" s="4"/>
      <c r="P38" s="10"/>
      <c r="Q38" s="4"/>
      <c r="R38" s="11"/>
      <c r="S38" s="8"/>
    </row>
    <row r="39" spans="1:19" ht="45" customHeight="1" x14ac:dyDescent="0.3">
      <c r="A39" s="4" t="s">
        <v>22</v>
      </c>
      <c r="B39" s="5" t="s">
        <v>100</v>
      </c>
      <c r="C39" s="4" t="s">
        <v>24</v>
      </c>
      <c r="D39" s="4" t="s">
        <v>101</v>
      </c>
      <c r="E39" s="4" t="s">
        <v>102</v>
      </c>
      <c r="F39" s="6">
        <f>95.86</f>
        <v>95.86</v>
      </c>
      <c r="G39" s="4" t="s">
        <v>38</v>
      </c>
      <c r="H39" s="7">
        <v>92.58</v>
      </c>
      <c r="I39" s="17">
        <v>92.58</v>
      </c>
      <c r="J39" s="18" t="s">
        <v>28</v>
      </c>
      <c r="K39" s="8">
        <f t="shared" ref="K39" si="22">ROUND(I39*J39+I39,2)</f>
        <v>111.77</v>
      </c>
      <c r="L39" s="9">
        <f t="shared" ref="L39" si="23">ROUND(F39*K39,2)</f>
        <v>10714.27</v>
      </c>
      <c r="M39" s="4"/>
      <c r="N39" s="10">
        <v>6</v>
      </c>
      <c r="O39" s="4" t="s">
        <v>103</v>
      </c>
      <c r="P39" s="10">
        <v>1</v>
      </c>
      <c r="Q39" s="4" t="s">
        <v>30</v>
      </c>
      <c r="R39" s="11">
        <v>41.7</v>
      </c>
      <c r="S39" s="8">
        <f>R39*$K$39</f>
        <v>4660.8090000000002</v>
      </c>
    </row>
    <row r="40" spans="1:19" ht="45" customHeight="1" x14ac:dyDescent="0.3">
      <c r="A40" s="4"/>
      <c r="B40" s="5"/>
      <c r="C40" s="4"/>
      <c r="D40" s="4"/>
      <c r="E40" s="4"/>
      <c r="F40" s="6"/>
      <c r="G40" s="4"/>
      <c r="H40" s="7"/>
      <c r="I40" s="17"/>
      <c r="J40" s="18"/>
      <c r="K40" s="8"/>
      <c r="L40" s="9"/>
      <c r="M40" s="4"/>
      <c r="N40" s="10"/>
      <c r="O40" s="4"/>
      <c r="P40" s="10">
        <v>2</v>
      </c>
      <c r="Q40" s="4" t="s">
        <v>31</v>
      </c>
      <c r="R40" s="11">
        <v>35.479999999999997</v>
      </c>
      <c r="S40" s="8">
        <f t="shared" ref="S40:S41" si="24">R40*$K$39</f>
        <v>3965.5995999999996</v>
      </c>
    </row>
    <row r="41" spans="1:19" ht="45" customHeight="1" x14ac:dyDescent="0.3">
      <c r="A41" s="4"/>
      <c r="B41" s="5"/>
      <c r="C41" s="4"/>
      <c r="D41" s="4"/>
      <c r="E41" s="4"/>
      <c r="F41" s="6"/>
      <c r="G41" s="4"/>
      <c r="H41" s="7"/>
      <c r="I41" s="17"/>
      <c r="J41" s="18"/>
      <c r="K41" s="8"/>
      <c r="L41" s="9"/>
      <c r="M41" s="4"/>
      <c r="N41" s="10"/>
      <c r="O41" s="4"/>
      <c r="P41" s="10">
        <v>3</v>
      </c>
      <c r="Q41" s="4" t="s">
        <v>32</v>
      </c>
      <c r="R41" s="11">
        <v>18.68</v>
      </c>
      <c r="S41" s="8">
        <f t="shared" si="24"/>
        <v>2087.8635999999997</v>
      </c>
    </row>
    <row r="42" spans="1:19" ht="45" customHeight="1" x14ac:dyDescent="0.3">
      <c r="A42" s="4" t="s">
        <v>19</v>
      </c>
      <c r="B42" s="5" t="s">
        <v>104</v>
      </c>
      <c r="C42" s="4"/>
      <c r="D42" s="4"/>
      <c r="E42" s="4" t="s">
        <v>105</v>
      </c>
      <c r="F42" s="6"/>
      <c r="G42" s="4"/>
      <c r="H42" s="7"/>
      <c r="I42" s="17"/>
      <c r="J42" s="18"/>
      <c r="K42" s="8"/>
      <c r="L42" s="9">
        <f>SUM(L43:L46)</f>
        <v>3123.63</v>
      </c>
      <c r="M42" s="4"/>
      <c r="N42" s="10"/>
      <c r="O42" s="4"/>
      <c r="P42" s="10"/>
      <c r="Q42" s="4"/>
      <c r="R42" s="11"/>
      <c r="S42" s="8"/>
    </row>
    <row r="43" spans="1:19" ht="45" customHeight="1" x14ac:dyDescent="0.3">
      <c r="A43" s="4" t="s">
        <v>22</v>
      </c>
      <c r="B43" s="5" t="s">
        <v>106</v>
      </c>
      <c r="C43" s="4" t="s">
        <v>24</v>
      </c>
      <c r="D43" s="4" t="s">
        <v>107</v>
      </c>
      <c r="E43" s="4" t="s">
        <v>108</v>
      </c>
      <c r="F43" s="6">
        <f>12</f>
        <v>12</v>
      </c>
      <c r="G43" s="4" t="s">
        <v>63</v>
      </c>
      <c r="H43" s="7">
        <v>145.03</v>
      </c>
      <c r="I43" s="17">
        <v>145.03</v>
      </c>
      <c r="J43" s="18" t="s">
        <v>28</v>
      </c>
      <c r="K43" s="8">
        <f t="shared" ref="K43" si="25">ROUND(I43*J43+I43,2)</f>
        <v>175.09</v>
      </c>
      <c r="L43" s="9">
        <f>ROUND(F43*K43,2)</f>
        <v>2101.08</v>
      </c>
      <c r="M43" s="4"/>
      <c r="N43" s="10">
        <v>7</v>
      </c>
      <c r="O43" s="4" t="s">
        <v>109</v>
      </c>
      <c r="P43" s="10">
        <v>1</v>
      </c>
      <c r="Q43" s="4" t="s">
        <v>30</v>
      </c>
      <c r="R43" s="11">
        <v>6</v>
      </c>
      <c r="S43" s="8">
        <f>R43*$K$43</f>
        <v>1050.54</v>
      </c>
    </row>
    <row r="44" spans="1:19" ht="45" customHeight="1" x14ac:dyDescent="0.3">
      <c r="A44" s="4"/>
      <c r="B44" s="5"/>
      <c r="C44" s="4"/>
      <c r="D44" s="4"/>
      <c r="E44" s="4"/>
      <c r="F44" s="6"/>
      <c r="G44" s="4"/>
      <c r="H44" s="7"/>
      <c r="I44" s="17"/>
      <c r="J44" s="18"/>
      <c r="K44" s="8"/>
      <c r="L44" s="9"/>
      <c r="M44" s="4"/>
      <c r="N44" s="10"/>
      <c r="O44" s="4"/>
      <c r="P44" s="10">
        <v>2</v>
      </c>
      <c r="Q44" s="4" t="s">
        <v>31</v>
      </c>
      <c r="R44" s="11">
        <v>4</v>
      </c>
      <c r="S44" s="8">
        <f>R44*$K$43</f>
        <v>700.36</v>
      </c>
    </row>
    <row r="45" spans="1:19" ht="45" customHeight="1" x14ac:dyDescent="0.3">
      <c r="A45" s="4"/>
      <c r="B45" s="5"/>
      <c r="C45" s="4"/>
      <c r="D45" s="4"/>
      <c r="E45" s="4"/>
      <c r="F45" s="6"/>
      <c r="G45" s="4"/>
      <c r="H45" s="7"/>
      <c r="I45" s="17"/>
      <c r="J45" s="18"/>
      <c r="K45" s="8"/>
      <c r="L45" s="9"/>
      <c r="M45" s="4"/>
      <c r="N45" s="10"/>
      <c r="O45" s="4"/>
      <c r="P45" s="10">
        <v>3</v>
      </c>
      <c r="Q45" s="4" t="s">
        <v>32</v>
      </c>
      <c r="R45" s="11">
        <v>2</v>
      </c>
      <c r="S45" s="8">
        <f>R45*$K$43</f>
        <v>350.18</v>
      </c>
    </row>
    <row r="46" spans="1:19" ht="45" customHeight="1" x14ac:dyDescent="0.3">
      <c r="A46" s="4" t="s">
        <v>22</v>
      </c>
      <c r="B46" s="5" t="s">
        <v>110</v>
      </c>
      <c r="C46" s="4" t="s">
        <v>24</v>
      </c>
      <c r="D46" s="4" t="s">
        <v>111</v>
      </c>
      <c r="E46" s="4" t="s">
        <v>112</v>
      </c>
      <c r="F46" s="6">
        <f>1310.96</f>
        <v>1310.96</v>
      </c>
      <c r="G46" s="4" t="s">
        <v>38</v>
      </c>
      <c r="H46" s="7">
        <v>0.65</v>
      </c>
      <c r="I46" s="17">
        <v>0.65</v>
      </c>
      <c r="J46" s="18" t="s">
        <v>28</v>
      </c>
      <c r="K46" s="8">
        <f t="shared" ref="K46" si="26">ROUND(I46*J46+I46,2)</f>
        <v>0.78</v>
      </c>
      <c r="L46" s="9">
        <f t="shared" ref="L46" si="27">ROUND(F46*K46,2)</f>
        <v>1022.55</v>
      </c>
      <c r="M46" s="4"/>
      <c r="N46" s="10">
        <v>7</v>
      </c>
      <c r="O46" s="4" t="s">
        <v>109</v>
      </c>
      <c r="P46" s="10">
        <v>1</v>
      </c>
      <c r="Q46" s="4" t="s">
        <v>30</v>
      </c>
      <c r="R46" s="11">
        <v>408.29</v>
      </c>
      <c r="S46" s="8">
        <f>R46*$K$46</f>
        <v>318.46620000000001</v>
      </c>
    </row>
    <row r="47" spans="1:19" ht="45" customHeight="1" x14ac:dyDescent="0.3">
      <c r="A47" s="4"/>
      <c r="B47" s="5"/>
      <c r="C47" s="4"/>
      <c r="D47" s="4"/>
      <c r="E47" s="4"/>
      <c r="F47" s="6"/>
      <c r="G47" s="4"/>
      <c r="H47" s="7"/>
      <c r="I47" s="17"/>
      <c r="J47" s="18"/>
      <c r="K47" s="8"/>
      <c r="L47" s="9"/>
      <c r="M47" s="4"/>
      <c r="N47" s="10"/>
      <c r="O47" s="4"/>
      <c r="P47" s="10">
        <v>2</v>
      </c>
      <c r="Q47" s="4" t="s">
        <v>31</v>
      </c>
      <c r="R47" s="11">
        <v>467.96</v>
      </c>
      <c r="S47" s="16">
        <f>TRUNC(R47*$K$46,2)</f>
        <v>365</v>
      </c>
    </row>
    <row r="48" spans="1:19" ht="45" customHeight="1" x14ac:dyDescent="0.3">
      <c r="A48" s="4"/>
      <c r="B48" s="5"/>
      <c r="C48" s="4"/>
      <c r="D48" s="4"/>
      <c r="E48" s="4"/>
      <c r="F48" s="6"/>
      <c r="G48" s="4"/>
      <c r="H48" s="7"/>
      <c r="I48" s="17"/>
      <c r="J48" s="18"/>
      <c r="K48" s="8"/>
      <c r="L48" s="9"/>
      <c r="M48" s="4"/>
      <c r="N48" s="10"/>
      <c r="O48" s="4"/>
      <c r="P48" s="10">
        <v>3</v>
      </c>
      <c r="Q48" s="4" t="s">
        <v>32</v>
      </c>
      <c r="R48" s="11">
        <v>434.71</v>
      </c>
      <c r="S48" s="8">
        <f t="shared" ref="S47:S48" si="28">R48*$K$46</f>
        <v>339.07380000000001</v>
      </c>
    </row>
    <row r="49" spans="18:19" x14ac:dyDescent="0.3">
      <c r="R49" s="13" t="s">
        <v>113</v>
      </c>
      <c r="S49" s="14">
        <f>SUM(S3:S48)</f>
        <v>400192.69669999991</v>
      </c>
    </row>
    <row r="50" spans="18:19" x14ac:dyDescent="0.3">
      <c r="R50" s="13" t="s">
        <v>114</v>
      </c>
      <c r="S50" s="14">
        <f>0</f>
        <v>0</v>
      </c>
    </row>
  </sheetData>
  <sheetProtection selectLockedCells="1"/>
  <conditionalFormatting sqref="A2:S2">
    <cfRule type="expression" dxfId="19" priority="13">
      <formula>$A2="Macrosserviço"</formula>
    </cfRule>
  </conditionalFormatting>
  <conditionalFormatting sqref="E2:E48">
    <cfRule type="expression" dxfId="18" priority="15">
      <formula>IF($A2="Macrosserviço",LEN($E2)&gt;100,LEN($E2)&gt;500)</formula>
    </cfRule>
  </conditionalFormatting>
  <conditionalFormatting sqref="M2:M48">
    <cfRule type="expression" dxfId="17" priority="14">
      <formula>IF($A2="Serviço",LEN(M2)&gt;500,M2&lt;&gt;"")</formula>
    </cfRule>
  </conditionalFormatting>
  <conditionalFormatting sqref="A2:A48">
    <cfRule type="expression" dxfId="16" priority="12">
      <formula>AND(A2&lt;&gt;"Macrosserviço",A2&lt;&gt;"Serviço",A2&lt;&gt;"")</formula>
    </cfRule>
  </conditionalFormatting>
  <conditionalFormatting sqref="C2:C48">
    <cfRule type="expression" dxfId="15" priority="11">
      <formula>IF($A2="Serviço",AND(C2&lt;&gt;"Composição",C2&lt;&gt;"Cotação",C2&lt;&gt;"SINAPI",C2&lt;&gt;"Outros"),C2&lt;&gt;"")</formula>
    </cfRule>
  </conditionalFormatting>
  <conditionalFormatting sqref="D2:D48">
    <cfRule type="expression" dxfId="14" priority="10">
      <formula>IF($A2="Serviço",OR(D2="",LEN($D2)&gt;13),D2&lt;&gt;"")</formula>
    </cfRule>
  </conditionalFormatting>
  <conditionalFormatting sqref="H2:H48">
    <cfRule type="expression" dxfId="13" priority="9">
      <formula>IF(A2="Serviço",OR(NOT(ISNUMBER(H2)),H2&lt;&gt;ROUND(H2,2),AND(C2&lt;&gt;"SINAPI",H2=0),H2&lt;0,H2&gt;9999999999.99),H2&lt;&gt;"")</formula>
    </cfRule>
  </conditionalFormatting>
  <conditionalFormatting sqref="I2:I48">
    <cfRule type="expression" dxfId="12" priority="8">
      <formula>IF($A2="Serviço",OR(NOT(ISNUMBER(I2)),I2&lt;&gt;ROUND(I2,2),I2&lt;=0,I2&gt;9999999999.99,AND(I2&gt;H2,H2&gt;0)),I2&lt;&gt;"")</formula>
    </cfRule>
  </conditionalFormatting>
  <conditionalFormatting sqref="J2:J48">
    <cfRule type="expression" dxfId="11" priority="7">
      <formula>IF($A2="Serviço",OR(NOT(ISNUMBER(VALUE(J2))),VALUE(J2)&lt;&gt;ROUND(VALUE(J2),4),VALUE(J2)&lt;=0,VALUE(J2)&gt;100%),J2&lt;&gt;"")</formula>
    </cfRule>
  </conditionalFormatting>
  <conditionalFormatting sqref="N2:N48">
    <cfRule type="expression" dxfId="10" priority="6">
      <formula>IF($A2="Serviço",OR(NOT(ISNUMBER(N2)),N2&lt;&gt;ROUND(N2,0),N2&lt;1,N2&gt;999),N2&lt;&gt;"")</formula>
    </cfRule>
  </conditionalFormatting>
  <conditionalFormatting sqref="O2:O48">
    <cfRule type="expression" dxfId="9" priority="5">
      <formula>IF($A2="Serviço",OR(O2="",LEN(O2)&gt;100),O2&lt;&gt;"")</formula>
    </cfRule>
  </conditionalFormatting>
  <conditionalFormatting sqref="P2:P48">
    <cfRule type="expression" dxfId="8" priority="4">
      <formula>IF($A2="Macrosserviço",P2&lt;&gt;"",OR(NOT(ISNUMBER(P2)),P2&lt;&gt;ROUND(P2,0),P2&lt;1,P2&gt;999))</formula>
    </cfRule>
  </conditionalFormatting>
  <conditionalFormatting sqref="Q2:Q48">
    <cfRule type="expression" dxfId="7" priority="3">
      <formula>IF($A2="Macrosserviço",Q2&lt;&gt;"",OR(Q2="",LEN(Q2)&gt;100))</formula>
    </cfRule>
  </conditionalFormatting>
  <conditionalFormatting sqref="R2:R48">
    <cfRule type="expression" dxfId="6" priority="2">
      <formula>IF($A2="Macrosserviço",R2&lt;&gt;"",OR(NOT(ISNUMBER(R2)),R2&lt;&gt;ROUND(R2,2),R2&lt;=0,R2&gt;99999999.99))</formula>
    </cfRule>
  </conditionalFormatting>
  <conditionalFormatting sqref="A3:S48">
    <cfRule type="expression" dxfId="5" priority="1">
      <formula>$A3="Macrosserviço"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&amp;LPMv3.16&amp;R&amp;P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3C10-0E7B-47BD-97E9-C81718904DFB}">
  <sheetPr codeName="Planilha2"/>
  <dimension ref="A1:E19"/>
  <sheetViews>
    <sheetView workbookViewId="0">
      <selection activeCell="E4" sqref="E4"/>
    </sheetView>
  </sheetViews>
  <sheetFormatPr defaultColWidth="9.33203125" defaultRowHeight="14.4" x14ac:dyDescent="0.3"/>
  <cols>
    <col min="1" max="1" width="15" style="3" customWidth="1"/>
    <col min="2" max="2" width="50" style="3" customWidth="1"/>
    <col min="3" max="3" width="20" style="3" customWidth="1"/>
    <col min="4" max="4" width="50" style="3" customWidth="1"/>
    <col min="5" max="5" width="35" style="3" customWidth="1"/>
    <col min="6" max="16384" width="9.33203125" style="3"/>
  </cols>
  <sheetData>
    <row r="1" spans="1:5" x14ac:dyDescent="0.3">
      <c r="A1" s="1" t="s">
        <v>115</v>
      </c>
      <c r="B1" s="1" t="s">
        <v>116</v>
      </c>
      <c r="C1" s="1" t="s">
        <v>117</v>
      </c>
      <c r="D1" s="1" t="s">
        <v>16</v>
      </c>
      <c r="E1" s="1" t="s">
        <v>118</v>
      </c>
    </row>
    <row r="2" spans="1:5" ht="45" customHeight="1" x14ac:dyDescent="0.3">
      <c r="A2" s="15">
        <v>1</v>
      </c>
      <c r="B2" s="15" t="s">
        <v>29</v>
      </c>
      <c r="C2" s="15">
        <v>1</v>
      </c>
      <c r="D2" s="15" t="s">
        <v>30</v>
      </c>
      <c r="E2" s="15">
        <v>1</v>
      </c>
    </row>
    <row r="3" spans="1:5" ht="45" customHeight="1" x14ac:dyDescent="0.3">
      <c r="A3" s="15">
        <v>1</v>
      </c>
      <c r="B3" s="15" t="s">
        <v>29</v>
      </c>
      <c r="C3" s="15">
        <v>2</v>
      </c>
      <c r="D3" s="15" t="s">
        <v>31</v>
      </c>
      <c r="E3" s="15">
        <v>2</v>
      </c>
    </row>
    <row r="4" spans="1:5" ht="45" customHeight="1" x14ac:dyDescent="0.3">
      <c r="A4" s="15">
        <v>1</v>
      </c>
      <c r="B4" s="15" t="s">
        <v>29</v>
      </c>
      <c r="C4" s="15">
        <v>3</v>
      </c>
      <c r="D4" s="15" t="s">
        <v>32</v>
      </c>
      <c r="E4" s="15">
        <v>3</v>
      </c>
    </row>
    <row r="5" spans="1:5" ht="45" customHeight="1" x14ac:dyDescent="0.3">
      <c r="A5" s="15">
        <v>2</v>
      </c>
      <c r="B5" s="15" t="s">
        <v>39</v>
      </c>
      <c r="C5" s="15">
        <v>1</v>
      </c>
      <c r="D5" s="15" t="s">
        <v>30</v>
      </c>
      <c r="E5" s="15">
        <v>1</v>
      </c>
    </row>
    <row r="6" spans="1:5" ht="45" customHeight="1" x14ac:dyDescent="0.3">
      <c r="A6" s="15">
        <v>3</v>
      </c>
      <c r="B6" s="15" t="s">
        <v>45</v>
      </c>
      <c r="C6" s="15">
        <v>1</v>
      </c>
      <c r="D6" s="15" t="s">
        <v>30</v>
      </c>
      <c r="E6" s="15">
        <v>1</v>
      </c>
    </row>
    <row r="7" spans="1:5" ht="45" customHeight="1" x14ac:dyDescent="0.3">
      <c r="A7" s="15">
        <v>3</v>
      </c>
      <c r="B7" s="15" t="s">
        <v>45</v>
      </c>
      <c r="C7" s="15">
        <v>2</v>
      </c>
      <c r="D7" s="15" t="s">
        <v>31</v>
      </c>
      <c r="E7" s="15">
        <v>1</v>
      </c>
    </row>
    <row r="8" spans="1:5" ht="45" customHeight="1" x14ac:dyDescent="0.3">
      <c r="A8" s="15">
        <v>4</v>
      </c>
      <c r="B8" s="15" t="s">
        <v>85</v>
      </c>
      <c r="C8" s="15">
        <v>1</v>
      </c>
      <c r="D8" s="15" t="s">
        <v>30</v>
      </c>
      <c r="E8" s="15">
        <v>1</v>
      </c>
    </row>
    <row r="9" spans="1:5" ht="45" customHeight="1" x14ac:dyDescent="0.3">
      <c r="A9" s="15">
        <v>4</v>
      </c>
      <c r="B9" s="15" t="s">
        <v>85</v>
      </c>
      <c r="C9" s="15">
        <v>2</v>
      </c>
      <c r="D9" s="15" t="s">
        <v>31</v>
      </c>
      <c r="E9" s="15">
        <v>2</v>
      </c>
    </row>
    <row r="10" spans="1:5" ht="45" customHeight="1" x14ac:dyDescent="0.3">
      <c r="A10" s="15">
        <v>4</v>
      </c>
      <c r="B10" s="15" t="s">
        <v>85</v>
      </c>
      <c r="C10" s="15">
        <v>3</v>
      </c>
      <c r="D10" s="15" t="s">
        <v>32</v>
      </c>
      <c r="E10" s="15">
        <v>2</v>
      </c>
    </row>
    <row r="11" spans="1:5" ht="45" customHeight="1" x14ac:dyDescent="0.3">
      <c r="A11" s="15">
        <v>5</v>
      </c>
      <c r="B11" s="15" t="s">
        <v>94</v>
      </c>
      <c r="C11" s="15">
        <v>1</v>
      </c>
      <c r="D11" s="15" t="s">
        <v>30</v>
      </c>
      <c r="E11" s="15">
        <v>2</v>
      </c>
    </row>
    <row r="12" spans="1:5" ht="45" customHeight="1" x14ac:dyDescent="0.3">
      <c r="A12" s="15">
        <v>5</v>
      </c>
      <c r="B12" s="15" t="s">
        <v>94</v>
      </c>
      <c r="C12" s="15">
        <v>2</v>
      </c>
      <c r="D12" s="15" t="s">
        <v>31</v>
      </c>
      <c r="E12" s="15">
        <v>3</v>
      </c>
    </row>
    <row r="13" spans="1:5" ht="45" customHeight="1" x14ac:dyDescent="0.3">
      <c r="A13" s="15">
        <v>5</v>
      </c>
      <c r="B13" s="15" t="s">
        <v>94</v>
      </c>
      <c r="C13" s="15">
        <v>3</v>
      </c>
      <c r="D13" s="15" t="s">
        <v>32</v>
      </c>
      <c r="E13" s="15">
        <v>3</v>
      </c>
    </row>
    <row r="14" spans="1:5" ht="45" customHeight="1" x14ac:dyDescent="0.3">
      <c r="A14" s="15">
        <v>6</v>
      </c>
      <c r="B14" s="15" t="s">
        <v>103</v>
      </c>
      <c r="C14" s="15">
        <v>1</v>
      </c>
      <c r="D14" s="15" t="s">
        <v>30</v>
      </c>
      <c r="E14" s="15">
        <v>3</v>
      </c>
    </row>
    <row r="15" spans="1:5" ht="45" customHeight="1" x14ac:dyDescent="0.3">
      <c r="A15" s="15">
        <v>6</v>
      </c>
      <c r="B15" s="15" t="s">
        <v>103</v>
      </c>
      <c r="C15" s="15">
        <v>2</v>
      </c>
      <c r="D15" s="15" t="s">
        <v>31</v>
      </c>
      <c r="E15" s="15">
        <v>3</v>
      </c>
    </row>
    <row r="16" spans="1:5" ht="45" customHeight="1" x14ac:dyDescent="0.3">
      <c r="A16" s="15">
        <v>6</v>
      </c>
      <c r="B16" s="15" t="s">
        <v>103</v>
      </c>
      <c r="C16" s="15">
        <v>3</v>
      </c>
      <c r="D16" s="15" t="s">
        <v>32</v>
      </c>
      <c r="E16" s="15">
        <v>3</v>
      </c>
    </row>
    <row r="17" spans="1:5" ht="45" customHeight="1" x14ac:dyDescent="0.3">
      <c r="A17" s="15">
        <v>7</v>
      </c>
      <c r="B17" s="15" t="s">
        <v>109</v>
      </c>
      <c r="C17" s="15">
        <v>1</v>
      </c>
      <c r="D17" s="15" t="s">
        <v>30</v>
      </c>
      <c r="E17" s="15">
        <v>3</v>
      </c>
    </row>
    <row r="18" spans="1:5" ht="45" customHeight="1" x14ac:dyDescent="0.3">
      <c r="A18" s="15">
        <v>7</v>
      </c>
      <c r="B18" s="15" t="s">
        <v>109</v>
      </c>
      <c r="C18" s="15">
        <v>2</v>
      </c>
      <c r="D18" s="15" t="s">
        <v>31</v>
      </c>
      <c r="E18" s="15">
        <v>3</v>
      </c>
    </row>
    <row r="19" spans="1:5" ht="45" customHeight="1" x14ac:dyDescent="0.3">
      <c r="A19" s="15">
        <v>7</v>
      </c>
      <c r="B19" s="15" t="s">
        <v>109</v>
      </c>
      <c r="C19" s="15">
        <v>3</v>
      </c>
      <c r="D19" s="15" t="s">
        <v>32</v>
      </c>
      <c r="E19" s="15">
        <v>3</v>
      </c>
    </row>
  </sheetData>
  <conditionalFormatting sqref="A2:A19">
    <cfRule type="expression" dxfId="4" priority="5">
      <formula>OR(NOT(ISNUMBER(A2)),A2&lt;&gt;ROUND(A2,0),A2&lt;1,A2&gt;999)</formula>
    </cfRule>
  </conditionalFormatting>
  <conditionalFormatting sqref="B2:B19">
    <cfRule type="expression" dxfId="3" priority="4">
      <formula>OR(B2="",LEN(B2)&gt;100)</formula>
    </cfRule>
  </conditionalFormatting>
  <conditionalFormatting sqref="C2:C19">
    <cfRule type="expression" dxfId="2" priority="3">
      <formula>OR(NOT(ISNUMBER(C2)),C2&lt;&gt;ROUND(C2,0),C2&lt;1,C2&gt;999)</formula>
    </cfRule>
  </conditionalFormatting>
  <conditionalFormatting sqref="D2:D19">
    <cfRule type="expression" dxfId="1" priority="2">
      <formula>OR(D2="",LEN(D2)&gt;100)</formula>
    </cfRule>
  </conditionalFormatting>
  <conditionalFormatting sqref="E2:E19">
    <cfRule type="expression" dxfId="0" priority="1">
      <formula>OR(NOT(ISNUMBER(E2)),E2&lt;&gt;ROUND(E2,0),E2&lt;1,E2&gt;120)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&amp;LPMv3.16&amp;R&amp;P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PO-PLE</vt:lpstr>
      <vt:lpstr>CFF - 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2026-03-25T18:39:07Z</dcterms:created>
  <dcterms:modified xsi:type="dcterms:W3CDTF">2026-03-31T22:06:23Z</dcterms:modified>
</cp:coreProperties>
</file>