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autoCompressPictures="0"/>
  <workbookProtection lockStructure="1"/>
  <bookViews>
    <workbookView xWindow="0" yWindow="0" windowWidth="24240" windowHeight="13740" tabRatio="500"/>
  </bookViews>
  <sheets>
    <sheet name="IBR Calculator" sheetId="1" r:id="rId1"/>
  </sheets>
  <definedNames>
    <definedName name="top" localSheetId="0">'IBR Calculator'!$D$83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53" i="1" l="1"/>
  <c r="I53" i="1"/>
  <c r="J53" i="1"/>
  <c r="K53" i="1"/>
  <c r="L53" i="1"/>
  <c r="M53" i="1"/>
  <c r="N53" i="1"/>
  <c r="O53" i="1"/>
  <c r="P53" i="1"/>
  <c r="Q53" i="1"/>
  <c r="R53" i="1"/>
  <c r="S53" i="1"/>
  <c r="T53" i="1"/>
  <c r="U53" i="1"/>
  <c r="V53" i="1"/>
  <c r="W53" i="1"/>
  <c r="X53" i="1"/>
  <c r="Y53" i="1"/>
  <c r="Z53" i="1"/>
  <c r="AA53" i="1"/>
  <c r="AB53" i="1"/>
  <c r="AC53" i="1"/>
  <c r="AD53" i="1"/>
  <c r="G53" i="1"/>
  <c r="F55" i="1"/>
  <c r="F54" i="1"/>
  <c r="F97" i="1"/>
  <c r="C10" i="1"/>
  <c r="D10" i="1"/>
  <c r="C11" i="1"/>
  <c r="F85" i="1"/>
  <c r="D59" i="1"/>
  <c r="F70" i="1"/>
  <c r="F77" i="1"/>
  <c r="C30" i="1"/>
  <c r="C26" i="1"/>
  <c r="C32" i="1"/>
  <c r="F67" i="1"/>
  <c r="F68" i="1"/>
  <c r="G66" i="1"/>
  <c r="G56" i="1"/>
  <c r="G57" i="1"/>
  <c r="G55" i="1"/>
  <c r="G54" i="1"/>
  <c r="G97" i="1"/>
  <c r="G70" i="1"/>
  <c r="G67" i="1"/>
  <c r="C85" i="1"/>
  <c r="G68" i="1"/>
  <c r="H66" i="1"/>
  <c r="H56" i="1"/>
  <c r="H57" i="1"/>
  <c r="H55" i="1"/>
  <c r="H54" i="1"/>
  <c r="H97" i="1"/>
  <c r="H70" i="1"/>
  <c r="H67" i="1"/>
  <c r="H68" i="1"/>
  <c r="I66" i="1"/>
  <c r="I56" i="1"/>
  <c r="I57" i="1"/>
  <c r="I55" i="1"/>
  <c r="I54" i="1"/>
  <c r="I97" i="1"/>
  <c r="I70" i="1"/>
  <c r="I67" i="1"/>
  <c r="I68" i="1"/>
  <c r="J66" i="1"/>
  <c r="J56" i="1"/>
  <c r="J57" i="1"/>
  <c r="J55" i="1"/>
  <c r="J54" i="1"/>
  <c r="J97" i="1"/>
  <c r="J70" i="1"/>
  <c r="J67" i="1"/>
  <c r="J68" i="1"/>
  <c r="K66" i="1"/>
  <c r="K56" i="1"/>
  <c r="K57" i="1"/>
  <c r="K55" i="1"/>
  <c r="K54" i="1"/>
  <c r="K97" i="1"/>
  <c r="K70" i="1"/>
  <c r="K67" i="1"/>
  <c r="K68" i="1"/>
  <c r="L66" i="1"/>
  <c r="L56" i="1"/>
  <c r="L57" i="1"/>
  <c r="L55" i="1"/>
  <c r="L54" i="1"/>
  <c r="L97" i="1"/>
  <c r="L70" i="1"/>
  <c r="L67" i="1"/>
  <c r="L68" i="1"/>
  <c r="M66" i="1"/>
  <c r="M56" i="1"/>
  <c r="M57" i="1"/>
  <c r="M55" i="1"/>
  <c r="M54" i="1"/>
  <c r="M97" i="1"/>
  <c r="M70" i="1"/>
  <c r="M67" i="1"/>
  <c r="M68" i="1"/>
  <c r="N66" i="1"/>
  <c r="N56" i="1"/>
  <c r="N57" i="1"/>
  <c r="N55" i="1"/>
  <c r="N54" i="1"/>
  <c r="N97" i="1"/>
  <c r="N70" i="1"/>
  <c r="N67" i="1"/>
  <c r="N68" i="1"/>
  <c r="O66" i="1"/>
  <c r="O56" i="1"/>
  <c r="O57" i="1"/>
  <c r="O55" i="1"/>
  <c r="O54" i="1"/>
  <c r="O97" i="1"/>
  <c r="O70" i="1"/>
  <c r="O67" i="1"/>
  <c r="O68" i="1"/>
  <c r="O71" i="1"/>
  <c r="D38" i="1"/>
  <c r="F65" i="1"/>
  <c r="G65" i="1"/>
  <c r="H65" i="1"/>
  <c r="I65" i="1"/>
  <c r="J65" i="1"/>
  <c r="K65" i="1"/>
  <c r="L65" i="1"/>
  <c r="M65" i="1"/>
  <c r="P66" i="1"/>
  <c r="P56" i="1"/>
  <c r="P57" i="1"/>
  <c r="P55" i="1"/>
  <c r="P54" i="1"/>
  <c r="P97" i="1"/>
  <c r="P70" i="1"/>
  <c r="P67" i="1"/>
  <c r="P68" i="1"/>
  <c r="N65" i="1"/>
  <c r="Q66" i="1"/>
  <c r="Q56" i="1"/>
  <c r="Q57" i="1"/>
  <c r="Q55" i="1"/>
  <c r="Q54" i="1"/>
  <c r="Q97" i="1"/>
  <c r="Q70" i="1"/>
  <c r="Q67" i="1"/>
  <c r="Q68" i="1"/>
  <c r="O65" i="1"/>
  <c r="C38" i="1"/>
  <c r="F52" i="1"/>
  <c r="G51" i="1"/>
  <c r="G52" i="1"/>
  <c r="H51" i="1"/>
  <c r="H52" i="1"/>
  <c r="I51" i="1"/>
  <c r="I52" i="1"/>
  <c r="J51" i="1"/>
  <c r="J52" i="1"/>
  <c r="K51" i="1"/>
  <c r="K52" i="1"/>
  <c r="L51" i="1"/>
  <c r="L52" i="1"/>
  <c r="M51" i="1"/>
  <c r="M52" i="1"/>
  <c r="N51" i="1"/>
  <c r="N52" i="1"/>
  <c r="O51" i="1"/>
  <c r="O52" i="1"/>
  <c r="P51" i="1"/>
  <c r="P52" i="1"/>
  <c r="Q51" i="1"/>
  <c r="Q52" i="1"/>
  <c r="R66" i="1"/>
  <c r="R51" i="1"/>
  <c r="R54" i="1"/>
  <c r="R56" i="1"/>
  <c r="R52" i="1"/>
  <c r="R57" i="1"/>
  <c r="R55" i="1"/>
  <c r="R97" i="1"/>
  <c r="R70" i="1"/>
  <c r="R67" i="1"/>
  <c r="R68" i="1"/>
  <c r="S66" i="1"/>
  <c r="S51" i="1"/>
  <c r="S54" i="1"/>
  <c r="S56" i="1"/>
  <c r="S52" i="1"/>
  <c r="S57" i="1"/>
  <c r="S55" i="1"/>
  <c r="S97" i="1"/>
  <c r="S70" i="1"/>
  <c r="S67" i="1"/>
  <c r="S68" i="1"/>
  <c r="T66" i="1"/>
  <c r="T51" i="1"/>
  <c r="T54" i="1"/>
  <c r="T56" i="1"/>
  <c r="T52" i="1"/>
  <c r="T57" i="1"/>
  <c r="T55" i="1"/>
  <c r="T97" i="1"/>
  <c r="T70" i="1"/>
  <c r="T67" i="1"/>
  <c r="T68" i="1"/>
  <c r="U66" i="1"/>
  <c r="U51" i="1"/>
  <c r="U54" i="1"/>
  <c r="U56" i="1"/>
  <c r="U52" i="1"/>
  <c r="U57" i="1"/>
  <c r="U55" i="1"/>
  <c r="U97" i="1"/>
  <c r="U70" i="1"/>
  <c r="U67" i="1"/>
  <c r="U68" i="1"/>
  <c r="V66" i="1"/>
  <c r="V51" i="1"/>
  <c r="V54" i="1"/>
  <c r="V56" i="1"/>
  <c r="V52" i="1"/>
  <c r="V57" i="1"/>
  <c r="V55" i="1"/>
  <c r="V97" i="1"/>
  <c r="V70" i="1"/>
  <c r="V67" i="1"/>
  <c r="V68" i="1"/>
  <c r="W66" i="1"/>
  <c r="W51" i="1"/>
  <c r="W54" i="1"/>
  <c r="W56" i="1"/>
  <c r="W52" i="1"/>
  <c r="W57" i="1"/>
  <c r="W55" i="1"/>
  <c r="W97" i="1"/>
  <c r="W70" i="1"/>
  <c r="W67" i="1"/>
  <c r="W68" i="1"/>
  <c r="X66" i="1"/>
  <c r="X51" i="1"/>
  <c r="X54" i="1"/>
  <c r="X56" i="1"/>
  <c r="X52" i="1"/>
  <c r="X57" i="1"/>
  <c r="X55" i="1"/>
  <c r="X97" i="1"/>
  <c r="X70" i="1"/>
  <c r="X67" i="1"/>
  <c r="X68" i="1"/>
  <c r="Y66" i="1"/>
  <c r="Y51" i="1"/>
  <c r="Y54" i="1"/>
  <c r="Y56" i="1"/>
  <c r="Y52" i="1"/>
  <c r="Y57" i="1"/>
  <c r="Y55" i="1"/>
  <c r="Y97" i="1"/>
  <c r="Y70" i="1"/>
  <c r="Y67" i="1"/>
  <c r="Y68" i="1"/>
  <c r="Y71" i="1"/>
  <c r="P65" i="1"/>
  <c r="Q65" i="1"/>
  <c r="R65" i="1"/>
  <c r="S65" i="1"/>
  <c r="T65" i="1"/>
  <c r="U65" i="1"/>
  <c r="V65" i="1"/>
  <c r="W65" i="1"/>
  <c r="Z66" i="1"/>
  <c r="Z51" i="1"/>
  <c r="Z70" i="1"/>
  <c r="Z67" i="1"/>
  <c r="Z54" i="1"/>
  <c r="Z56" i="1"/>
  <c r="Z52" i="1"/>
  <c r="Z57" i="1"/>
  <c r="Z55" i="1"/>
  <c r="Z97" i="1"/>
  <c r="Z68" i="1"/>
  <c r="X65" i="1"/>
  <c r="AA66" i="1"/>
  <c r="AA51" i="1"/>
  <c r="AA70" i="1"/>
  <c r="AA67" i="1"/>
  <c r="AA54" i="1"/>
  <c r="AA56" i="1"/>
  <c r="AA52" i="1"/>
  <c r="AA57" i="1"/>
  <c r="AA55" i="1"/>
  <c r="AA97" i="1"/>
  <c r="AA68" i="1"/>
  <c r="Y65" i="1"/>
  <c r="D63" i="1"/>
  <c r="G50" i="1"/>
  <c r="G49" i="1"/>
  <c r="G48" i="1"/>
  <c r="G47" i="1"/>
  <c r="C15" i="1"/>
  <c r="H50" i="1"/>
  <c r="H49" i="1"/>
  <c r="H48" i="1"/>
  <c r="H47" i="1"/>
  <c r="I50" i="1"/>
  <c r="I49" i="1"/>
  <c r="I48" i="1"/>
  <c r="I47" i="1"/>
  <c r="J50" i="1"/>
  <c r="J49" i="1"/>
  <c r="J48" i="1"/>
  <c r="J47" i="1"/>
  <c r="K50" i="1"/>
  <c r="K49" i="1"/>
  <c r="K48" i="1"/>
  <c r="K47" i="1"/>
  <c r="L50" i="1"/>
  <c r="L49" i="1"/>
  <c r="L48" i="1"/>
  <c r="L47" i="1"/>
  <c r="M50" i="1"/>
  <c r="M49" i="1"/>
  <c r="M48" i="1"/>
  <c r="M47" i="1"/>
  <c r="N50" i="1"/>
  <c r="N49" i="1"/>
  <c r="N48" i="1"/>
  <c r="N47" i="1"/>
  <c r="O50" i="1"/>
  <c r="O49" i="1"/>
  <c r="O48" i="1"/>
  <c r="O47" i="1"/>
  <c r="P50" i="1"/>
  <c r="P49" i="1"/>
  <c r="P48" i="1"/>
  <c r="P47" i="1"/>
  <c r="Q50" i="1"/>
  <c r="Q49" i="1"/>
  <c r="Q48" i="1"/>
  <c r="Q47" i="1"/>
  <c r="R50" i="1"/>
  <c r="R49" i="1"/>
  <c r="R48" i="1"/>
  <c r="R47" i="1"/>
  <c r="S50" i="1"/>
  <c r="S49" i="1"/>
  <c r="S48" i="1"/>
  <c r="S47" i="1"/>
  <c r="T50" i="1"/>
  <c r="T49" i="1"/>
  <c r="T48" i="1"/>
  <c r="T47" i="1"/>
  <c r="U50" i="1"/>
  <c r="U49" i="1"/>
  <c r="U48" i="1"/>
  <c r="U47" i="1"/>
  <c r="V50" i="1"/>
  <c r="V49" i="1"/>
  <c r="V48" i="1"/>
  <c r="V47" i="1"/>
  <c r="W50" i="1"/>
  <c r="W49" i="1"/>
  <c r="W48" i="1"/>
  <c r="W47" i="1"/>
  <c r="X50" i="1"/>
  <c r="X49" i="1"/>
  <c r="X48" i="1"/>
  <c r="X47" i="1"/>
  <c r="Y50" i="1"/>
  <c r="Y49" i="1"/>
  <c r="Y48" i="1"/>
  <c r="Y47" i="1"/>
  <c r="D37" i="1"/>
  <c r="C37" i="1"/>
  <c r="Z50" i="1"/>
  <c r="AA50" i="1"/>
  <c r="AB50" i="1"/>
  <c r="AC50" i="1"/>
  <c r="AD50" i="1"/>
  <c r="Z49" i="1"/>
  <c r="AA49" i="1"/>
  <c r="AB49" i="1"/>
  <c r="AC49" i="1"/>
  <c r="AD49" i="1"/>
  <c r="Z48" i="1"/>
  <c r="AA48" i="1"/>
  <c r="AB48" i="1"/>
  <c r="AC48" i="1"/>
  <c r="AD48" i="1"/>
  <c r="Z47" i="1"/>
  <c r="AA47" i="1"/>
  <c r="AB47" i="1"/>
  <c r="AC47" i="1"/>
  <c r="AD47" i="1"/>
  <c r="AD54" i="1"/>
  <c r="AB54" i="1"/>
  <c r="AC54" i="1"/>
  <c r="AE50" i="1"/>
  <c r="AF50" i="1"/>
  <c r="AG50" i="1"/>
  <c r="AH50" i="1"/>
  <c r="AI50" i="1"/>
  <c r="AE49" i="1"/>
  <c r="AF49" i="1"/>
  <c r="AG49" i="1"/>
  <c r="AH49" i="1"/>
  <c r="AI49" i="1"/>
  <c r="AE48" i="1"/>
  <c r="AF48" i="1"/>
  <c r="AG48" i="1"/>
  <c r="AH48" i="1"/>
  <c r="AI48" i="1"/>
  <c r="AE47" i="1"/>
  <c r="AF47" i="1"/>
  <c r="AG47" i="1"/>
  <c r="AH47" i="1"/>
  <c r="AI47" i="1"/>
  <c r="F74" i="1"/>
  <c r="G71" i="1"/>
  <c r="G78" i="1"/>
  <c r="H71" i="1"/>
  <c r="H78" i="1"/>
  <c r="I71" i="1"/>
  <c r="I78" i="1"/>
  <c r="J71" i="1"/>
  <c r="J78" i="1"/>
  <c r="K71" i="1"/>
  <c r="K78" i="1"/>
  <c r="L71" i="1"/>
  <c r="L78" i="1"/>
  <c r="M71" i="1"/>
  <c r="M78" i="1"/>
  <c r="N71" i="1"/>
  <c r="N78" i="1"/>
  <c r="O78" i="1"/>
  <c r="P71" i="1"/>
  <c r="P78" i="1"/>
  <c r="Q71" i="1"/>
  <c r="Q78" i="1"/>
  <c r="R71" i="1"/>
  <c r="R78" i="1"/>
  <c r="S71" i="1"/>
  <c r="S78" i="1"/>
  <c r="T71" i="1"/>
  <c r="T78" i="1"/>
  <c r="U71" i="1"/>
  <c r="U78" i="1"/>
  <c r="V71" i="1"/>
  <c r="V78" i="1"/>
  <c r="W71" i="1"/>
  <c r="W78" i="1"/>
  <c r="X71" i="1"/>
  <c r="X78" i="1"/>
  <c r="Y78" i="1"/>
  <c r="G77" i="1"/>
  <c r="H77" i="1"/>
  <c r="I77" i="1"/>
  <c r="J77" i="1"/>
  <c r="K77" i="1"/>
  <c r="L77" i="1"/>
  <c r="M77" i="1"/>
  <c r="N77" i="1"/>
  <c r="O77" i="1"/>
  <c r="P77" i="1"/>
  <c r="Q77" i="1"/>
  <c r="R77" i="1"/>
  <c r="S77" i="1"/>
  <c r="T77" i="1"/>
  <c r="U77" i="1"/>
  <c r="V77" i="1"/>
  <c r="W77" i="1"/>
  <c r="X77" i="1"/>
  <c r="Y77" i="1"/>
  <c r="F71" i="1"/>
  <c r="F78" i="1"/>
  <c r="AB66" i="1"/>
  <c r="AB51" i="1"/>
  <c r="AB70" i="1"/>
  <c r="AB67" i="1"/>
  <c r="AB52" i="1"/>
  <c r="AB56" i="1"/>
  <c r="AB57" i="1"/>
  <c r="AB55" i="1"/>
  <c r="AB97" i="1"/>
  <c r="AB68" i="1"/>
  <c r="AC66" i="1"/>
  <c r="AC51" i="1"/>
  <c r="AC70" i="1"/>
  <c r="AC67" i="1"/>
  <c r="AC52" i="1"/>
  <c r="AC56" i="1"/>
  <c r="AC57" i="1"/>
  <c r="AC55" i="1"/>
  <c r="AC97" i="1"/>
  <c r="AC68" i="1"/>
  <c r="AD66" i="1"/>
  <c r="AD51" i="1"/>
  <c r="AD70" i="1"/>
  <c r="AD67" i="1"/>
  <c r="AD52" i="1"/>
  <c r="AD56" i="1"/>
  <c r="AD57" i="1"/>
  <c r="AD55" i="1"/>
  <c r="AD97" i="1"/>
  <c r="AD68" i="1"/>
  <c r="C65" i="1"/>
  <c r="Z71" i="1"/>
  <c r="AA71" i="1"/>
  <c r="AB71" i="1"/>
  <c r="AC71" i="1"/>
  <c r="AD71" i="1"/>
  <c r="Z65" i="1"/>
  <c r="AA65" i="1"/>
  <c r="AB65" i="1"/>
  <c r="AC65" i="1"/>
  <c r="AD65" i="1"/>
  <c r="F62" i="1"/>
  <c r="F63" i="1"/>
  <c r="G61" i="1"/>
  <c r="G74" i="1"/>
  <c r="G62" i="1"/>
  <c r="G63" i="1"/>
  <c r="H74" i="1"/>
  <c r="H61" i="1"/>
  <c r="H62" i="1"/>
  <c r="H63" i="1"/>
  <c r="H75" i="1"/>
  <c r="I61" i="1"/>
  <c r="I74" i="1"/>
  <c r="I62" i="1"/>
  <c r="I63" i="1"/>
  <c r="J61" i="1"/>
  <c r="J74" i="1"/>
  <c r="J62" i="1"/>
  <c r="J63" i="1"/>
  <c r="G75" i="1"/>
  <c r="G85" i="1"/>
  <c r="G80" i="1"/>
  <c r="F83" i="1"/>
  <c r="G83" i="1"/>
  <c r="G81" i="1"/>
  <c r="G91" i="1"/>
  <c r="G82" i="1"/>
  <c r="G84" i="1"/>
  <c r="G86" i="1"/>
  <c r="G87" i="1"/>
  <c r="F86" i="1"/>
  <c r="F87" i="1"/>
  <c r="F88" i="1"/>
  <c r="F89" i="1"/>
  <c r="F90" i="1"/>
  <c r="G88" i="1"/>
  <c r="G89" i="1"/>
  <c r="F66" i="1"/>
  <c r="F109" i="1"/>
  <c r="F103" i="1"/>
  <c r="F107" i="1"/>
  <c r="G102" i="1"/>
  <c r="G109" i="1"/>
  <c r="G103" i="1"/>
  <c r="G107" i="1"/>
  <c r="H102" i="1"/>
  <c r="H109" i="1"/>
  <c r="H103" i="1"/>
  <c r="D40" i="1"/>
  <c r="D41" i="1"/>
  <c r="D39" i="1"/>
  <c r="F105" i="1"/>
  <c r="H107" i="1"/>
  <c r="I102" i="1"/>
  <c r="I109" i="1"/>
  <c r="I103" i="1"/>
  <c r="I107" i="1"/>
  <c r="J102" i="1"/>
  <c r="J109" i="1"/>
  <c r="J103" i="1"/>
  <c r="J107" i="1"/>
  <c r="K102" i="1"/>
  <c r="K109" i="1"/>
  <c r="K103" i="1"/>
  <c r="K107" i="1"/>
  <c r="L102" i="1"/>
  <c r="L109" i="1"/>
  <c r="L103" i="1"/>
  <c r="L107" i="1"/>
  <c r="M102" i="1"/>
  <c r="M109" i="1"/>
  <c r="M103" i="1"/>
  <c r="M107" i="1"/>
  <c r="N102" i="1"/>
  <c r="N109" i="1"/>
  <c r="N103" i="1"/>
  <c r="N107" i="1"/>
  <c r="O102" i="1"/>
  <c r="O109" i="1"/>
  <c r="O103" i="1"/>
  <c r="O107" i="1"/>
  <c r="P102" i="1"/>
  <c r="P109" i="1"/>
  <c r="P103" i="1"/>
  <c r="P107" i="1"/>
  <c r="Q102" i="1"/>
  <c r="Q109" i="1"/>
  <c r="Q103" i="1"/>
  <c r="Q107" i="1"/>
  <c r="R102" i="1"/>
  <c r="R109" i="1"/>
  <c r="R103" i="1"/>
  <c r="R107" i="1"/>
  <c r="S102" i="1"/>
  <c r="S109" i="1"/>
  <c r="S103" i="1"/>
  <c r="S107" i="1"/>
  <c r="T102" i="1"/>
  <c r="T109" i="1"/>
  <c r="T103" i="1"/>
  <c r="T107" i="1"/>
  <c r="U102" i="1"/>
  <c r="U109" i="1"/>
  <c r="U103" i="1"/>
  <c r="U107" i="1"/>
  <c r="V102" i="1"/>
  <c r="V109" i="1"/>
  <c r="V103" i="1"/>
  <c r="V107" i="1"/>
  <c r="W102" i="1"/>
  <c r="W109" i="1"/>
  <c r="W103" i="1"/>
  <c r="W107" i="1"/>
  <c r="X102" i="1"/>
  <c r="X109" i="1"/>
  <c r="X103" i="1"/>
  <c r="X107" i="1"/>
  <c r="Y102" i="1"/>
  <c r="Y109" i="1"/>
  <c r="Y103" i="1"/>
  <c r="Y107" i="1"/>
  <c r="Z102" i="1"/>
  <c r="Z109" i="1"/>
  <c r="Z103" i="1"/>
  <c r="Z107" i="1"/>
  <c r="AA102" i="1"/>
  <c r="AA109" i="1"/>
  <c r="AA103" i="1"/>
  <c r="AA107" i="1"/>
  <c r="AB102" i="1"/>
  <c r="AB109" i="1"/>
  <c r="AB103" i="1"/>
  <c r="AB107" i="1"/>
  <c r="AC102" i="1"/>
  <c r="AC109" i="1"/>
  <c r="AC103" i="1"/>
  <c r="AC107" i="1"/>
  <c r="AD102" i="1"/>
  <c r="AD109" i="1"/>
  <c r="AD103" i="1"/>
  <c r="AD107" i="1"/>
  <c r="D42"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C42" i="1"/>
  <c r="F91" i="1"/>
  <c r="F92" i="1"/>
  <c r="F93" i="1"/>
  <c r="F94" i="1"/>
  <c r="F95" i="1"/>
  <c r="G92" i="1"/>
  <c r="G93" i="1"/>
  <c r="G94" i="1"/>
  <c r="G95" i="1"/>
  <c r="I91" i="1"/>
  <c r="H91" i="1"/>
  <c r="H92" i="1"/>
  <c r="H93" i="1"/>
  <c r="H94" i="1"/>
  <c r="H95" i="1"/>
  <c r="I92" i="1"/>
  <c r="I93" i="1"/>
  <c r="I94" i="1"/>
  <c r="I95" i="1"/>
  <c r="K91" i="1"/>
  <c r="J91" i="1"/>
  <c r="J92" i="1"/>
  <c r="J93" i="1"/>
  <c r="J94" i="1"/>
  <c r="J95" i="1"/>
  <c r="K92" i="1"/>
  <c r="K93" i="1"/>
  <c r="K94" i="1"/>
  <c r="K95" i="1"/>
  <c r="L91" i="1"/>
  <c r="M91" i="1"/>
  <c r="L92" i="1"/>
  <c r="L93" i="1"/>
  <c r="L94" i="1"/>
  <c r="L95" i="1"/>
  <c r="M92" i="1"/>
  <c r="M93" i="1"/>
  <c r="M94" i="1"/>
  <c r="M95" i="1"/>
  <c r="N91" i="1"/>
  <c r="O91" i="1"/>
  <c r="N92" i="1"/>
  <c r="N93" i="1"/>
  <c r="N94" i="1"/>
  <c r="N95" i="1"/>
  <c r="O92" i="1"/>
  <c r="O93" i="1"/>
  <c r="O94" i="1"/>
  <c r="O95" i="1"/>
  <c r="P91" i="1"/>
  <c r="P92" i="1"/>
  <c r="P93" i="1"/>
  <c r="P94" i="1"/>
  <c r="P95" i="1"/>
  <c r="Q91" i="1"/>
  <c r="Q92" i="1"/>
  <c r="Q93" i="1"/>
  <c r="Q94" i="1"/>
  <c r="Q95" i="1"/>
  <c r="R91" i="1"/>
  <c r="S91" i="1"/>
  <c r="R92" i="1"/>
  <c r="R93" i="1"/>
  <c r="R94" i="1"/>
  <c r="R95" i="1"/>
  <c r="S92" i="1"/>
  <c r="S93" i="1"/>
  <c r="S94" i="1"/>
  <c r="S95" i="1"/>
  <c r="T91" i="1"/>
  <c r="U91" i="1"/>
  <c r="T92" i="1"/>
  <c r="T93" i="1"/>
  <c r="T94" i="1"/>
  <c r="T95" i="1"/>
  <c r="U92" i="1"/>
  <c r="U93" i="1"/>
  <c r="U94" i="1"/>
  <c r="U95" i="1"/>
  <c r="V91" i="1"/>
  <c r="W91" i="1"/>
  <c r="V92" i="1"/>
  <c r="V93" i="1"/>
  <c r="V94" i="1"/>
  <c r="V95" i="1"/>
  <c r="W92" i="1"/>
  <c r="W93" i="1"/>
  <c r="W94" i="1"/>
  <c r="W95" i="1"/>
  <c r="X91" i="1"/>
  <c r="X92" i="1"/>
  <c r="X93" i="1"/>
  <c r="X94" i="1"/>
  <c r="X95" i="1"/>
  <c r="Y91" i="1"/>
  <c r="Y92" i="1"/>
  <c r="Y93" i="1"/>
  <c r="Y94" i="1"/>
  <c r="Y95" i="1"/>
  <c r="Z91" i="1"/>
  <c r="AA91" i="1"/>
  <c r="Z92" i="1"/>
  <c r="Z93" i="1"/>
  <c r="Z94" i="1"/>
  <c r="Z95" i="1"/>
  <c r="AA92" i="1"/>
  <c r="AA93" i="1"/>
  <c r="AA94" i="1"/>
  <c r="AA95" i="1"/>
  <c r="AB91" i="1"/>
  <c r="AC91" i="1"/>
  <c r="AB92" i="1"/>
  <c r="AB93" i="1"/>
  <c r="AB94" i="1"/>
  <c r="AB95" i="1"/>
  <c r="AC92" i="1"/>
  <c r="AC93" i="1"/>
  <c r="AC94" i="1"/>
  <c r="AC95" i="1"/>
  <c r="AD91" i="1"/>
  <c r="AE91" i="1"/>
  <c r="AF91" i="1"/>
  <c r="AG91" i="1"/>
  <c r="AH91" i="1"/>
  <c r="AI91" i="1"/>
  <c r="C41"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C40" i="1"/>
  <c r="H85" i="1"/>
  <c r="I85" i="1"/>
  <c r="J85" i="1"/>
  <c r="K85" i="1"/>
  <c r="L85" i="1"/>
  <c r="M85" i="1"/>
  <c r="N85" i="1"/>
  <c r="O85" i="1"/>
  <c r="C39" i="1"/>
  <c r="K61" i="1"/>
  <c r="K74" i="1"/>
  <c r="K62" i="1"/>
  <c r="K63" i="1"/>
  <c r="L61" i="1"/>
  <c r="L74" i="1"/>
  <c r="L62" i="1"/>
  <c r="L63" i="1"/>
  <c r="M61" i="1"/>
  <c r="M74" i="1"/>
  <c r="M62" i="1"/>
  <c r="M63" i="1"/>
  <c r="N61" i="1"/>
  <c r="N74" i="1"/>
  <c r="N62" i="1"/>
  <c r="N63" i="1"/>
  <c r="O61" i="1"/>
  <c r="O74" i="1"/>
  <c r="O62" i="1"/>
  <c r="O63" i="1"/>
  <c r="P61" i="1"/>
  <c r="P74" i="1"/>
  <c r="P62" i="1"/>
  <c r="P63" i="1"/>
  <c r="Q61" i="1"/>
  <c r="Q74" i="1"/>
  <c r="Q62" i="1"/>
  <c r="Q63" i="1"/>
  <c r="R61" i="1"/>
  <c r="R74" i="1"/>
  <c r="R62" i="1"/>
  <c r="R63" i="1"/>
  <c r="S61" i="1"/>
  <c r="S74" i="1"/>
  <c r="S62" i="1"/>
  <c r="S63" i="1"/>
  <c r="T61" i="1"/>
  <c r="T74" i="1"/>
  <c r="T62" i="1"/>
  <c r="T63" i="1"/>
  <c r="U61" i="1"/>
  <c r="U74" i="1"/>
  <c r="U62" i="1"/>
  <c r="U63" i="1"/>
  <c r="V61" i="1"/>
  <c r="V74" i="1"/>
  <c r="V62" i="1"/>
  <c r="V63" i="1"/>
  <c r="W61" i="1"/>
  <c r="W74" i="1"/>
  <c r="W62" i="1"/>
  <c r="W63" i="1"/>
  <c r="X61" i="1"/>
  <c r="X74" i="1"/>
  <c r="X62" i="1"/>
  <c r="X63" i="1"/>
  <c r="Y61" i="1"/>
  <c r="Y74" i="1"/>
  <c r="Y62" i="1"/>
  <c r="Y63" i="1"/>
  <c r="Z61" i="1"/>
  <c r="Z74" i="1"/>
  <c r="Z62" i="1"/>
  <c r="Z63" i="1"/>
  <c r="AA61" i="1"/>
  <c r="AA74" i="1"/>
  <c r="AA62" i="1"/>
  <c r="AA63" i="1"/>
  <c r="AB61" i="1"/>
  <c r="AB74" i="1"/>
  <c r="AB62" i="1"/>
  <c r="AB63" i="1"/>
  <c r="AC61" i="1"/>
  <c r="AC74" i="1"/>
  <c r="AC62" i="1"/>
  <c r="AC63" i="1"/>
  <c r="AD61" i="1"/>
  <c r="AD74" i="1"/>
  <c r="AD62" i="1"/>
  <c r="AD63" i="1"/>
  <c r="D36" i="1"/>
  <c r="F60" i="1"/>
  <c r="G60" i="1"/>
  <c r="H60" i="1"/>
  <c r="I60" i="1"/>
  <c r="J60" i="1"/>
  <c r="K60" i="1"/>
  <c r="L60" i="1"/>
  <c r="M60" i="1"/>
  <c r="N60" i="1"/>
  <c r="O60" i="1"/>
  <c r="P60" i="1"/>
  <c r="Q60" i="1"/>
  <c r="R60" i="1"/>
  <c r="S60" i="1"/>
  <c r="T60" i="1"/>
  <c r="U60" i="1"/>
  <c r="V60" i="1"/>
  <c r="W60" i="1"/>
  <c r="X60" i="1"/>
  <c r="Y60" i="1"/>
  <c r="Z60" i="1"/>
  <c r="AA60" i="1"/>
  <c r="AB60" i="1"/>
  <c r="AC60" i="1"/>
  <c r="AD60" i="1"/>
  <c r="C36" i="1"/>
  <c r="G106" i="1"/>
  <c r="H106" i="1"/>
  <c r="I106" i="1"/>
  <c r="J106" i="1"/>
  <c r="K106" i="1"/>
  <c r="L106" i="1"/>
  <c r="M106" i="1"/>
  <c r="N106" i="1"/>
  <c r="O106" i="1"/>
  <c r="P106" i="1"/>
  <c r="Q106" i="1"/>
  <c r="R106" i="1"/>
  <c r="S106" i="1"/>
  <c r="T106" i="1"/>
  <c r="U106" i="1"/>
  <c r="V106" i="1"/>
  <c r="W106" i="1"/>
  <c r="X106" i="1"/>
  <c r="Y106" i="1"/>
  <c r="Z106" i="1"/>
  <c r="AA106" i="1"/>
  <c r="AB106" i="1"/>
  <c r="AC106" i="1"/>
  <c r="AD106" i="1"/>
  <c r="F106" i="1"/>
  <c r="H105" i="1"/>
  <c r="I105" i="1"/>
  <c r="J105" i="1"/>
  <c r="K105" i="1"/>
  <c r="L105" i="1"/>
  <c r="M105" i="1"/>
  <c r="N105" i="1"/>
  <c r="O105" i="1"/>
  <c r="P105" i="1"/>
  <c r="Q105" i="1"/>
  <c r="R105" i="1"/>
  <c r="S105" i="1"/>
  <c r="T105" i="1"/>
  <c r="U105" i="1"/>
  <c r="V105" i="1"/>
  <c r="W105" i="1"/>
  <c r="X105" i="1"/>
  <c r="Y105" i="1"/>
  <c r="Z105" i="1"/>
  <c r="AA105" i="1"/>
  <c r="AB105" i="1"/>
  <c r="AC105" i="1"/>
  <c r="AD105" i="1"/>
  <c r="G105"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F82"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F81" i="1"/>
  <c r="AD92" i="1"/>
  <c r="AD93" i="1"/>
  <c r="AD94" i="1"/>
  <c r="AD95" i="1"/>
  <c r="AE92" i="1"/>
  <c r="AE93" i="1"/>
  <c r="AE94" i="1"/>
  <c r="AE95" i="1"/>
  <c r="AF92" i="1"/>
  <c r="AF93" i="1"/>
  <c r="AF94" i="1"/>
  <c r="AF95" i="1"/>
  <c r="AG92" i="1"/>
  <c r="AG93" i="1"/>
  <c r="AG94" i="1"/>
  <c r="AG95" i="1"/>
  <c r="AH92" i="1"/>
  <c r="AH93" i="1"/>
  <c r="AH94" i="1"/>
  <c r="AH95" i="1"/>
  <c r="H80" i="1"/>
  <c r="I80" i="1"/>
  <c r="J80" i="1"/>
  <c r="K80" i="1"/>
  <c r="L80" i="1"/>
  <c r="M80" i="1"/>
  <c r="N80" i="1"/>
  <c r="O80" i="1"/>
  <c r="F80" i="1"/>
  <c r="D14" i="1"/>
  <c r="D55" i="1"/>
  <c r="D58" i="1"/>
  <c r="B36" i="1"/>
  <c r="D26" i="1"/>
  <c r="F61" i="1"/>
  <c r="F102" i="1"/>
  <c r="F111" i="1"/>
  <c r="AD98" i="1"/>
  <c r="AC98" i="1"/>
  <c r="AB98" i="1"/>
  <c r="AA98" i="1"/>
  <c r="Z98" i="1"/>
  <c r="Y98" i="1"/>
  <c r="X98" i="1"/>
  <c r="W98" i="1"/>
  <c r="V98" i="1"/>
  <c r="U98" i="1"/>
  <c r="T98" i="1"/>
  <c r="S98" i="1"/>
  <c r="R98" i="1"/>
  <c r="Q98" i="1"/>
  <c r="P98" i="1"/>
  <c r="O98" i="1"/>
  <c r="N98" i="1"/>
  <c r="M98" i="1"/>
  <c r="L98" i="1"/>
  <c r="K98" i="1"/>
  <c r="J98" i="1"/>
  <c r="I98" i="1"/>
  <c r="H98" i="1"/>
  <c r="G98" i="1"/>
  <c r="F98" i="1"/>
  <c r="AE56" i="1"/>
  <c r="AF56" i="1"/>
  <c r="AG56" i="1"/>
  <c r="AH56" i="1"/>
  <c r="AI56" i="1"/>
  <c r="AI52" i="1"/>
  <c r="AE57" i="1"/>
  <c r="AF57" i="1"/>
  <c r="AG57" i="1"/>
  <c r="AH57" i="1"/>
  <c r="AI57" i="1"/>
  <c r="AI55" i="1"/>
  <c r="AI97" i="1"/>
  <c r="AH52" i="1"/>
  <c r="AH55" i="1"/>
  <c r="AH97" i="1"/>
  <c r="AG52" i="1"/>
  <c r="AG55" i="1"/>
  <c r="AG97" i="1"/>
  <c r="AF52" i="1"/>
  <c r="AF55" i="1"/>
  <c r="AF97" i="1"/>
  <c r="AE52" i="1"/>
  <c r="AE55" i="1"/>
  <c r="AE97" i="1"/>
  <c r="AI92" i="1"/>
  <c r="AI93" i="1"/>
  <c r="AI94" i="1"/>
  <c r="AI95" i="1"/>
  <c r="G90" i="1"/>
  <c r="H86" i="1"/>
  <c r="H87" i="1"/>
  <c r="H88" i="1"/>
  <c r="H89" i="1"/>
  <c r="H90" i="1"/>
  <c r="I86" i="1"/>
  <c r="I87" i="1"/>
  <c r="I88" i="1"/>
  <c r="I89" i="1"/>
  <c r="I90" i="1"/>
  <c r="J86" i="1"/>
  <c r="J87" i="1"/>
  <c r="J88" i="1"/>
  <c r="J89" i="1"/>
  <c r="J90" i="1"/>
  <c r="K86" i="1"/>
  <c r="K87" i="1"/>
  <c r="K88" i="1"/>
  <c r="K89" i="1"/>
  <c r="K90" i="1"/>
  <c r="L86" i="1"/>
  <c r="L87" i="1"/>
  <c r="L88" i="1"/>
  <c r="L89" i="1"/>
  <c r="L90" i="1"/>
  <c r="M86" i="1"/>
  <c r="M87" i="1"/>
  <c r="M88" i="1"/>
  <c r="M89" i="1"/>
  <c r="M90" i="1"/>
  <c r="N86" i="1"/>
  <c r="N87" i="1"/>
  <c r="N88" i="1"/>
  <c r="N89" i="1"/>
  <c r="N90" i="1"/>
  <c r="O86" i="1"/>
  <c r="O87" i="1"/>
  <c r="O88" i="1"/>
  <c r="O89" i="1"/>
  <c r="O90" i="1"/>
  <c r="AI88" i="1"/>
  <c r="AH88" i="1"/>
  <c r="AG88" i="1"/>
  <c r="AF88" i="1"/>
  <c r="AE88" i="1"/>
  <c r="AD88" i="1"/>
  <c r="AC88" i="1"/>
  <c r="AB88" i="1"/>
  <c r="AA88" i="1"/>
  <c r="Z88" i="1"/>
  <c r="Y88" i="1"/>
  <c r="X88" i="1"/>
  <c r="W88" i="1"/>
  <c r="V88" i="1"/>
  <c r="U88" i="1"/>
  <c r="T88" i="1"/>
  <c r="S88" i="1"/>
  <c r="R88" i="1"/>
  <c r="Q88" i="1"/>
  <c r="P88" i="1"/>
  <c r="AD87" i="1"/>
  <c r="AC87" i="1"/>
  <c r="AB87" i="1"/>
  <c r="AA87" i="1"/>
  <c r="Z87" i="1"/>
  <c r="Y87" i="1"/>
  <c r="X87" i="1"/>
  <c r="W87" i="1"/>
  <c r="V87" i="1"/>
  <c r="U87" i="1"/>
  <c r="T87" i="1"/>
  <c r="S87" i="1"/>
  <c r="R87" i="1"/>
  <c r="Q87" i="1"/>
  <c r="P87" i="1"/>
  <c r="D86" i="1"/>
  <c r="J84" i="1"/>
  <c r="F84" i="1"/>
  <c r="K84" i="1"/>
  <c r="L84" i="1"/>
  <c r="M84" i="1"/>
  <c r="N84" i="1"/>
  <c r="O84" i="1"/>
  <c r="P84" i="1"/>
  <c r="Q84" i="1"/>
  <c r="R84" i="1"/>
  <c r="S84" i="1"/>
  <c r="T84" i="1"/>
  <c r="U84" i="1"/>
  <c r="V84" i="1"/>
  <c r="W84" i="1"/>
  <c r="X84" i="1"/>
  <c r="Y84" i="1"/>
  <c r="Z84" i="1"/>
  <c r="AA84" i="1"/>
  <c r="AB84" i="1"/>
  <c r="AC84" i="1"/>
  <c r="AD84" i="1"/>
  <c r="AE84" i="1"/>
  <c r="AF84" i="1"/>
  <c r="AG84" i="1"/>
  <c r="AH84" i="1"/>
  <c r="AI84" i="1"/>
  <c r="I84" i="1"/>
  <c r="H84" i="1"/>
  <c r="D84" i="1"/>
  <c r="H111" i="1"/>
  <c r="I111" i="1"/>
  <c r="J111" i="1"/>
  <c r="K111" i="1"/>
  <c r="L111" i="1"/>
  <c r="M111" i="1"/>
  <c r="N111" i="1"/>
  <c r="O111" i="1"/>
  <c r="P111" i="1"/>
  <c r="Q111" i="1"/>
  <c r="R111" i="1"/>
  <c r="S111" i="1"/>
  <c r="T111" i="1"/>
  <c r="U111" i="1"/>
  <c r="V111" i="1"/>
  <c r="W111" i="1"/>
  <c r="X111" i="1"/>
  <c r="Y111" i="1"/>
  <c r="Z111" i="1"/>
  <c r="AA111" i="1"/>
  <c r="AB111" i="1"/>
  <c r="AC111" i="1"/>
  <c r="AD111" i="1"/>
  <c r="G111" i="1"/>
  <c r="D111" i="1"/>
  <c r="F75" i="1"/>
  <c r="AD75" i="1"/>
  <c r="AC75" i="1"/>
  <c r="AB75" i="1"/>
  <c r="AA75" i="1"/>
  <c r="Z75" i="1"/>
  <c r="Y75" i="1"/>
  <c r="X75" i="1"/>
  <c r="W75" i="1"/>
  <c r="V75" i="1"/>
  <c r="U75" i="1"/>
  <c r="T75" i="1"/>
  <c r="S75" i="1"/>
  <c r="R75" i="1"/>
  <c r="Q75" i="1"/>
  <c r="P75" i="1"/>
  <c r="O75" i="1"/>
  <c r="N75" i="1"/>
  <c r="M75" i="1"/>
  <c r="L75" i="1"/>
  <c r="K75" i="1"/>
  <c r="J75" i="1"/>
  <c r="I75" i="1"/>
</calcChain>
</file>

<file path=xl/comments1.xml><?xml version="1.0" encoding="utf-8"?>
<comments xmlns="http://schemas.openxmlformats.org/spreadsheetml/2006/main">
  <authors>
    <author>Clare McCann</author>
    <author>Alexander Holt</author>
    <author>Alex Holt</author>
  </authors>
  <commentList>
    <comment ref="B6" authorId="0">
      <text>
        <r>
          <rPr>
            <sz val="10"/>
            <color indexed="81"/>
            <rFont val="Calibri"/>
            <family val="2"/>
          </rPr>
          <t>Enter the total amount of  each loan type the borrower holds.</t>
        </r>
      </text>
    </comment>
    <comment ref="C6" authorId="1">
      <text>
        <r>
          <rPr>
            <sz val="9"/>
            <color indexed="81"/>
            <rFont val="Calibri"/>
            <family val="2"/>
          </rPr>
          <t xml:space="preserve">The maximum amount a student could borrow in four years of undergrad in Subsidized Staffords is $19,000
</t>
        </r>
      </text>
    </comment>
    <comment ref="C7" authorId="1">
      <text>
        <r>
          <rPr>
            <sz val="9"/>
            <color indexed="81"/>
            <rFont val="Calibri"/>
            <family val="2"/>
          </rPr>
          <t xml:space="preserve">The maximum a student could borrow after four years in Undergrad Unsubsidized Staffords is $31,000 (minus however much was borrowed in Subsidized Staffords)
</t>
        </r>
      </text>
    </comment>
    <comment ref="C8" authorId="1">
      <text>
        <r>
          <rPr>
            <sz val="9"/>
            <color indexed="81"/>
            <rFont val="Calibri"/>
            <family val="2"/>
          </rPr>
          <t>Students can borrow up to the cost of attendance in Grad PLUS loans. There is no total maximum</t>
        </r>
      </text>
    </comment>
    <comment ref="B14" authorId="0">
      <text>
        <r>
          <rPr>
            <sz val="10"/>
            <color indexed="81"/>
            <rFont val="Calibri"/>
            <family val="2"/>
          </rPr>
          <t xml:space="preserve">Enter either "Old" or "New" for the type of IBR under which the borrower will repay. Old is the existing version; New is the pending regulation for Pay-As-You-Earn, as well as the law that will take effect in 2014.
</t>
        </r>
      </text>
    </comment>
    <comment ref="B17" authorId="0">
      <text>
        <r>
          <rPr>
            <sz val="10"/>
            <color indexed="81"/>
            <rFont val="Calibri"/>
            <family val="2"/>
          </rPr>
          <t xml:space="preserve">Enter the number that corresponds with the repayment year in which the borrower has each child. 
</t>
        </r>
      </text>
    </comment>
    <comment ref="D36" authorId="1">
      <text>
        <r>
          <rPr>
            <sz val="9"/>
            <color indexed="81"/>
            <rFont val="Calibri"/>
            <family val="2"/>
          </rPr>
          <t>Reflects total accrued unpaid interest and principal at the end of the 25th year for Old IBR or the 20th year for New IBR</t>
        </r>
      </text>
    </comment>
    <comment ref="D42" authorId="1">
      <text>
        <r>
          <rPr>
            <sz val="9"/>
            <color indexed="81"/>
            <rFont val="Calibri"/>
            <family val="2"/>
          </rPr>
          <t>Reflects total accrued unpaid interest and principal at the end of the 25th year for original loan balances greater than $40,000 or the 20th year if the the original loan balance was less than or equal to $40,000</t>
        </r>
      </text>
    </comment>
    <comment ref="AD60" authorId="2">
      <text>
        <r>
          <rPr>
            <b/>
            <sz val="9"/>
            <color indexed="81"/>
            <rFont val="Tahoma"/>
            <family val="2"/>
          </rPr>
          <t>Alex Holt:</t>
        </r>
        <r>
          <rPr>
            <sz val="9"/>
            <color indexed="81"/>
            <rFont val="Tahoma"/>
            <family val="2"/>
          </rPr>
          <t xml:space="preserve">
Last cell is different formula
</t>
        </r>
      </text>
    </comment>
  </commentList>
</comments>
</file>

<file path=xl/sharedStrings.xml><?xml version="1.0" encoding="utf-8"?>
<sst xmlns="http://schemas.openxmlformats.org/spreadsheetml/2006/main" count="90" uniqueCount="75">
  <si>
    <t>Interest Rate</t>
  </si>
  <si>
    <t>Annual Interest Rate</t>
  </si>
  <si>
    <t>Payments per Year</t>
  </si>
  <si>
    <t>Payment as share of income</t>
  </si>
  <si>
    <t>Household size (in addition to you)</t>
  </si>
  <si>
    <t>Total</t>
  </si>
  <si>
    <t>Grad PLUS</t>
  </si>
  <si>
    <t>Year</t>
  </si>
  <si>
    <t>Poverty Exemption</t>
  </si>
  <si>
    <t>Baseline Poverty exemption</t>
  </si>
  <si>
    <t>Additional Poverty exemption</t>
  </si>
  <si>
    <t>Weighted Average Interest Rate</t>
  </si>
  <si>
    <t>Standard Annual Repayment p and i</t>
  </si>
  <si>
    <t>Annual IBR Payment</t>
  </si>
  <si>
    <t>Annual Interest</t>
  </si>
  <si>
    <t>Cumulative negative amortization/(Principal Payment)</t>
  </si>
  <si>
    <t>Loan Balance</t>
  </si>
  <si>
    <t>Total Payments</t>
  </si>
  <si>
    <t>Graduated Consolidation Monthly payment</t>
  </si>
  <si>
    <t>Standard Monthly payment</t>
  </si>
  <si>
    <t>Graduated Standard Monthly payment</t>
  </si>
  <si>
    <t>Annual Grad standard</t>
  </si>
  <si>
    <t>Principal Payment</t>
  </si>
  <si>
    <t>Annual Grad consolidated Payment</t>
  </si>
  <si>
    <t>Income minus exemption</t>
  </si>
  <si>
    <t>IBR payment annual</t>
  </si>
  <si>
    <t>Average</t>
  </si>
  <si>
    <t>Effective Rate (Income)</t>
  </si>
  <si>
    <t>Percentage Unsub</t>
  </si>
  <si>
    <t>Repayment Year</t>
  </si>
  <si>
    <t>Forgiven</t>
  </si>
  <si>
    <t>Unsubsidized</t>
  </si>
  <si>
    <t>Subsidized</t>
  </si>
  <si>
    <t>Unsubsidized Stafford</t>
  </si>
  <si>
    <t>Subsidized Stafford</t>
  </si>
  <si>
    <t>NAF IBR</t>
  </si>
  <si>
    <t>Old IBR (15%) or New IBR (10%)?</t>
  </si>
  <si>
    <t>Fixed Consolidation</t>
  </si>
  <si>
    <t>Graduated Consolidation</t>
  </si>
  <si>
    <t>Repayment year first child is born</t>
  </si>
  <si>
    <t>Repayment year second child is born</t>
  </si>
  <si>
    <t>Repayment year third child is born</t>
  </si>
  <si>
    <t>Repayment year fourth child is born</t>
  </si>
  <si>
    <t>Repayment year fifth child is born</t>
  </si>
  <si>
    <t>Loan Balance ($)</t>
  </si>
  <si>
    <t>Standard Monthly Payment ($)</t>
  </si>
  <si>
    <t>Consolidation Monthly Payment ($)</t>
  </si>
  <si>
    <t>"Safety Net or Windfall? Examining Changes to Income-Based Repayment for Federal Student Loans"</t>
  </si>
  <si>
    <t>Old</t>
  </si>
  <si>
    <t>Graduated Consolidation Monthly Payment ($)</t>
  </si>
  <si>
    <t xml:space="preserve">Source: New America Foundation </t>
  </si>
  <si>
    <t xml:space="preserve"> October 2012</t>
  </si>
  <si>
    <t>Annual Income ($)</t>
  </si>
  <si>
    <t>Adjusted Gross Income ($)</t>
  </si>
  <si>
    <t>Standard 10-Year</t>
  </si>
  <si>
    <t>New America IBR Calculator</t>
  </si>
  <si>
    <t>Repayment Options</t>
  </si>
  <si>
    <t>Old IBR Monthly Payment ($)</t>
  </si>
  <si>
    <t>New IBR Monthly Payment ($)</t>
  </si>
  <si>
    <t>New IBR</t>
  </si>
  <si>
    <t>NAF Recommended Changes to IBR Monthly Payment ($)</t>
  </si>
  <si>
    <t>NAF IBR Recommended Changes</t>
  </si>
  <si>
    <t>Step 1</t>
  </si>
  <si>
    <t>Step 2</t>
  </si>
  <si>
    <t>Step 3</t>
  </si>
  <si>
    <r>
      <rPr>
        <b/>
        <sz val="10"/>
        <color theme="1"/>
        <rFont val="Calibri"/>
        <family val="2"/>
      </rPr>
      <t>Step 1:</t>
    </r>
    <r>
      <rPr>
        <sz val="10"/>
        <color theme="1"/>
        <rFont val="Calibri"/>
        <family val="2"/>
      </rPr>
      <t xml:space="preserve"> Enter loan balance and corresponding interest rate for each type of loan in orange cells in rows 6, 7, and 8. Leave cells blank if borrower does not have that loan type. The calculator automatically calculates the total consolidated loan and interest rate in row 10. </t>
    </r>
  </si>
  <si>
    <r>
      <rPr>
        <b/>
        <sz val="10"/>
        <color theme="1"/>
        <rFont val="Calibri"/>
        <family val="2"/>
      </rPr>
      <t xml:space="preserve">Step 2: </t>
    </r>
    <r>
      <rPr>
        <sz val="10"/>
        <color theme="1"/>
        <rFont val="Calibri"/>
        <family val="2"/>
      </rPr>
      <t xml:space="preserve">Input the repayment year in which the borrower will have each child in rows 17-21. Leave cells blank if the borrower will not have any more children. For instance, if the borrower has two children, one in year 3 and one in year 5, enter “3” in cell C17, “5” in cell C18, and leave cells C19-21 blank. Each dependent decreases the borrower's monthly IBR payment, and dependents are claimed every year thereafter. Leaving cells C17-21 blank means that the borrower will never claim any dependents.             </t>
    </r>
  </si>
  <si>
    <r>
      <rPr>
        <b/>
        <sz val="10"/>
        <color theme="1"/>
        <rFont val="Calibri"/>
        <family val="2"/>
      </rPr>
      <t xml:space="preserve">Step 3: </t>
    </r>
    <r>
      <rPr>
        <sz val="10"/>
        <color theme="1"/>
        <rFont val="Calibri"/>
        <family val="2"/>
      </rPr>
      <t>In the orange cells in row 50, enter the borrower's income for each repayment year. The row below automatically calculates the borrower's adjusted gross income, from which IBR payments are calculated.</t>
    </r>
  </si>
  <si>
    <r>
      <rPr>
        <b/>
        <sz val="10"/>
        <color theme="1"/>
        <rFont val="Calibri"/>
        <family val="2"/>
        <scheme val="minor"/>
      </rPr>
      <t xml:space="preserve">4: </t>
    </r>
    <r>
      <rPr>
        <sz val="10"/>
        <color theme="1"/>
        <rFont val="Calibri"/>
        <family val="2"/>
        <scheme val="minor"/>
      </rPr>
      <t xml:space="preserve">Row 73 displays the borrower’s monthly payment under "Old IBR", which is the original IBR, which was implemented in 2009. Row 74 displays the borrower's loan balance at the end of the given repayment year. Balances often grow in early years when the borrower's income is low.  </t>
    </r>
  </si>
  <si>
    <r>
      <rPr>
        <b/>
        <sz val="10"/>
        <color theme="1"/>
        <rFont val="Calibri"/>
        <family val="2"/>
        <scheme val="minor"/>
      </rPr>
      <t xml:space="preserve">6: </t>
    </r>
    <r>
      <rPr>
        <sz val="10"/>
        <color theme="1"/>
        <rFont val="Calibri"/>
        <family val="2"/>
        <scheme val="minor"/>
      </rPr>
      <t xml:space="preserve">Row 79 displays what the borrower would pay monthly under the standard 10-year repayment plan. Row 80 displays what the borrower would pay under a fixed rate consolidation plan. The larger the original loan balance, the longer the repayment period. Row 81 displays the monthly payment under graduated consolidation. This payment plan is similar to fixed rate consolidation, except the payments are lower at the beginning and higher at the end. Calculator numbers represent a close estimate of consolidation payments, but are not exact. </t>
    </r>
  </si>
  <si>
    <r>
      <rPr>
        <b/>
        <sz val="10"/>
        <color theme="1"/>
        <rFont val="Calibri"/>
        <family val="2"/>
        <scheme val="minor"/>
      </rPr>
      <t xml:space="preserve">7: </t>
    </r>
    <r>
      <rPr>
        <sz val="10"/>
        <color theme="1"/>
        <rFont val="Calibri"/>
        <family val="2"/>
        <scheme val="minor"/>
      </rPr>
      <t xml:space="preserve">Rows 104 and 105 show the monthly payment and loan balance if the New America Foundation’s recommended changes were implemented. </t>
    </r>
  </si>
  <si>
    <r>
      <rPr>
        <b/>
        <sz val="10"/>
        <color theme="1"/>
        <rFont val="Calibri"/>
        <family val="2"/>
        <scheme val="minor"/>
      </rPr>
      <t xml:space="preserve">8: </t>
    </r>
    <r>
      <rPr>
        <sz val="10"/>
        <color theme="1"/>
        <rFont val="Calibri"/>
        <family val="2"/>
        <scheme val="minor"/>
      </rPr>
      <t xml:space="preserve">Rows 36 through 41 display how much the borrower would pay in total over the repayment period for each plan, as well as how much of their remaining loan principal and interest would be forgiven.  </t>
    </r>
  </si>
  <si>
    <r>
      <rPr>
        <b/>
        <sz val="10"/>
        <color theme="1"/>
        <rFont val="Calibri"/>
        <family val="2"/>
        <scheme val="minor"/>
      </rPr>
      <t xml:space="preserve">5: </t>
    </r>
    <r>
      <rPr>
        <sz val="10"/>
        <color theme="1"/>
        <rFont val="Calibri"/>
        <family val="2"/>
        <scheme val="minor"/>
      </rPr>
      <t xml:space="preserve">Row 76 displays what the borrower's monthly payments will be under "New IBR". which is equivalent to President Obama's pending Pay As You Earn plan, which will take effect soon and is available for borrowers who took out their first loan in 2008 or later and have at least one new loan in 2012. It is the same as the changes to IBR that will affect new borrowers starting in 2014. Row 77 displays the borrower's loan balance at the end of the repayment year. Balances often grow in early years when the borrower's income is low. </t>
    </r>
  </si>
  <si>
    <t>New IBR is effectively identical to the President Obama's Pay-As-You-Earn (PAYE) policy and legislative changes that will take effect in 2014. Old IBR is the existing IBR plan available to all borrowers since 2009.
                                                                                                                                                                                                                                                                            Calculator assumes all borrowers file separate federal income tax returns and claim any children that they have as dependents on their returns.  The interest rate for all repayment plans is the rate the borrower would pay under the consolidation plan, which is the weighted average rate rounded up to the nearest one-eighth of 1 percent.  
Calculator is designed for borrowers at the start of repayment or borrowers who are entering IBR for the first time.</t>
  </si>
  <si>
    <t>PSLF for New IBR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</si>
</sst>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00%"/>
    <numFmt numFmtId="167" formatCode="_(* #,##0_);_(* \(#,##0\);_(* &quot;-&quot;??_);_(@_)"/>
  </numFmts>
  <fonts count="26" x14ac:knownFonts="1">
    <font>
      <sz val="11"/>
      <color theme="1"/>
      <name val="Calibri"/>
      <family val="2"/>
      <scheme val="minor"/>
    </font>
    <font>
      <sz val="11"/>
      <name val="Times New Roman"/>
      <family val="1"/>
    </font>
    <font>
      <b/>
      <sz val="11"/>
      <color theme="1"/>
      <name val="Calibri"/>
      <family val="2"/>
      <scheme val="minor"/>
    </font>
    <font>
      <u/>
      <sz val="11"/>
      <color theme="10"/>
      <name val="Calibri"/>
      <family val="2"/>
      <scheme val="minor"/>
    </font>
    <font>
      <b/>
      <i/>
      <sz val="11"/>
      <color theme="1"/>
      <name val="Calibri"/>
      <family val="2"/>
      <scheme val="minor"/>
    </font>
    <font>
      <sz val="10"/>
      <color theme="1"/>
      <name val="Calibri"/>
      <family val="2"/>
      <scheme val="minor"/>
    </font>
    <font>
      <b/>
      <sz val="9"/>
      <color indexed="81"/>
      <name val="Tahoma"/>
      <family val="2"/>
    </font>
    <font>
      <sz val="9"/>
      <color indexed="81"/>
      <name val="Tahoma"/>
      <family val="2"/>
    </font>
    <font>
      <i/>
      <sz val="11"/>
      <color theme="1"/>
      <name val="Calibri"/>
      <family val="2"/>
      <scheme val="minor"/>
    </font>
    <font>
      <u/>
      <sz val="11"/>
      <color theme="11"/>
      <name val="Calibri"/>
      <family val="2"/>
      <scheme val="minor"/>
    </font>
    <font>
      <sz val="11"/>
      <color theme="1"/>
      <name val="Calibri"/>
      <family val="2"/>
      <scheme val="minor"/>
    </font>
    <font>
      <sz val="11"/>
      <name val="Calibri"/>
      <family val="2"/>
      <scheme val="minor"/>
    </font>
    <font>
      <b/>
      <sz val="11"/>
      <name val="Calibri"/>
      <family val="2"/>
      <scheme val="minor"/>
    </font>
    <font>
      <b/>
      <sz val="11"/>
      <name val="Calibri"/>
      <family val="2"/>
      <scheme val="minor"/>
    </font>
    <font>
      <sz val="11"/>
      <name val="Calibri"/>
      <family val="2"/>
      <scheme val="minor"/>
    </font>
    <font>
      <sz val="11"/>
      <color theme="7"/>
      <name val="Calibri"/>
      <family val="2"/>
      <scheme val="minor"/>
    </font>
    <font>
      <sz val="10"/>
      <name val="Calibri"/>
      <family val="2"/>
      <scheme val="minor"/>
    </font>
    <font>
      <sz val="10"/>
      <color indexed="81"/>
      <name val="Calibri"/>
      <family val="2"/>
    </font>
    <font>
      <sz val="9"/>
      <color indexed="81"/>
      <name val="Calibri"/>
      <family val="2"/>
    </font>
    <font>
      <b/>
      <sz val="16"/>
      <color theme="1"/>
      <name val="Calibri"/>
      <family val="2"/>
      <scheme val="minor"/>
    </font>
    <font>
      <b/>
      <sz val="11"/>
      <color rgb="FF000000"/>
      <name val="Calibri"/>
      <family val="2"/>
      <scheme val="minor"/>
    </font>
    <font>
      <sz val="8"/>
      <color theme="1"/>
      <name val="Calibri"/>
      <family val="2"/>
      <scheme val="minor"/>
    </font>
    <font>
      <sz val="8"/>
      <name val="Calibri"/>
      <family val="2"/>
      <scheme val="minor"/>
    </font>
    <font>
      <sz val="10"/>
      <color theme="1"/>
      <name val="Calibri"/>
      <family val="2"/>
    </font>
    <font>
      <b/>
      <sz val="10"/>
      <color theme="1"/>
      <name val="Calibri"/>
      <family val="2"/>
    </font>
    <font>
      <b/>
      <sz val="1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bgColor indexed="64"/>
      </patternFill>
    </fill>
    <fill>
      <patternFill patternType="solid">
        <fgColor theme="0" tint="-0.249977111117893"/>
        <bgColor indexed="64"/>
      </patternFill>
    </fill>
    <fill>
      <patternFill patternType="solid">
        <fgColor rgb="FFBFBFBF"/>
        <bgColor rgb="FF000000"/>
      </patternFill>
    </fill>
  </fills>
  <borders count="2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top/>
      <bottom/>
      <diagonal/>
    </border>
    <border>
      <left/>
      <right style="thin">
        <color auto="1"/>
      </right>
      <top/>
      <bottom/>
      <diagonal/>
    </border>
  </borders>
  <cellStyleXfs count="67">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202">
    <xf numFmtId="0" fontId="0" fillId="0" borderId="0" xfId="0"/>
    <xf numFmtId="49" fontId="0" fillId="0" borderId="0" xfId="0" applyNumberFormat="1" applyAlignment="1">
      <alignment wrapText="1"/>
    </xf>
    <xf numFmtId="10" fontId="0" fillId="0" borderId="0" xfId="0" applyNumberFormat="1"/>
    <xf numFmtId="0" fontId="1" fillId="0" borderId="0" xfId="1" applyFont="1" applyFill="1"/>
    <xf numFmtId="1" fontId="1" fillId="0" borderId="0" xfId="2" applyNumberFormat="1" applyFont="1" applyFill="1" applyBorder="1" applyProtection="1"/>
    <xf numFmtId="42" fontId="1" fillId="0" borderId="0" xfId="2" applyNumberFormat="1" applyFont="1" applyFill="1" applyBorder="1" applyProtection="1"/>
    <xf numFmtId="166" fontId="0" fillId="0" borderId="0" xfId="0" applyNumberFormat="1"/>
    <xf numFmtId="3" fontId="5" fillId="0" borderId="0" xfId="0" applyNumberFormat="1" applyFont="1" applyFill="1"/>
    <xf numFmtId="0" fontId="0" fillId="0" borderId="0" xfId="0" applyFill="1"/>
    <xf numFmtId="164" fontId="1" fillId="0" borderId="0" xfId="2" applyNumberFormat="1" applyFont="1" applyFill="1" applyBorder="1" applyProtection="1"/>
    <xf numFmtId="10" fontId="1" fillId="0" borderId="0" xfId="2" applyNumberFormat="1" applyFont="1" applyFill="1" applyBorder="1" applyProtection="1"/>
    <xf numFmtId="0" fontId="0" fillId="4" borderId="0" xfId="0" applyFill="1"/>
    <xf numFmtId="164" fontId="0" fillId="0" borderId="0" xfId="0" applyNumberFormat="1" applyFill="1" applyBorder="1"/>
    <xf numFmtId="4" fontId="1" fillId="0" borderId="0" xfId="2" applyNumberFormat="1" applyFont="1" applyFill="1" applyBorder="1" applyProtection="1"/>
    <xf numFmtId="0" fontId="2" fillId="6" borderId="14" xfId="0" applyFont="1" applyFill="1" applyBorder="1"/>
    <xf numFmtId="0" fontId="12" fillId="6" borderId="14" xfId="1" applyFont="1" applyFill="1" applyBorder="1"/>
    <xf numFmtId="41" fontId="10" fillId="5" borderId="2" xfId="0" applyNumberFormat="1" applyFont="1" applyFill="1" applyBorder="1"/>
    <xf numFmtId="166" fontId="14" fillId="0" borderId="2" xfId="1" applyNumberFormat="1" applyFont="1" applyBorder="1" applyProtection="1"/>
    <xf numFmtId="0" fontId="10" fillId="0" borderId="15" xfId="0" applyFont="1" applyBorder="1"/>
    <xf numFmtId="167" fontId="14" fillId="0" borderId="2" xfId="3" applyNumberFormat="1" applyFont="1" applyBorder="1" applyProtection="1">
      <protection locked="0"/>
    </xf>
    <xf numFmtId="0" fontId="10" fillId="0" borderId="0" xfId="0" applyFont="1"/>
    <xf numFmtId="0" fontId="10" fillId="0" borderId="0" xfId="0" applyFont="1" applyFill="1" applyBorder="1"/>
    <xf numFmtId="3" fontId="10" fillId="0" borderId="0" xfId="0" applyNumberFormat="1" applyFont="1"/>
    <xf numFmtId="3" fontId="10" fillId="2" borderId="0" xfId="0" applyNumberFormat="1" applyFont="1" applyFill="1"/>
    <xf numFmtId="3" fontId="10" fillId="3" borderId="0" xfId="0" applyNumberFormat="1" applyFont="1" applyFill="1"/>
    <xf numFmtId="3" fontId="10" fillId="0" borderId="0" xfId="0" applyNumberFormat="1" applyFont="1" applyFill="1"/>
    <xf numFmtId="41" fontId="10" fillId="2" borderId="0" xfId="0" applyNumberFormat="1" applyFont="1" applyFill="1"/>
    <xf numFmtId="41" fontId="10" fillId="3" borderId="0" xfId="0" applyNumberFormat="1" applyFont="1" applyFill="1"/>
    <xf numFmtId="41" fontId="10" fillId="0" borderId="0" xfId="0" applyNumberFormat="1" applyFont="1" applyFill="1"/>
    <xf numFmtId="41" fontId="10" fillId="0" borderId="2" xfId="0" applyNumberFormat="1" applyFont="1" applyFill="1" applyBorder="1"/>
    <xf numFmtId="0" fontId="10" fillId="0" borderId="0" xfId="0" applyFont="1" applyFill="1"/>
    <xf numFmtId="0" fontId="10" fillId="0" borderId="2" xfId="0" applyFont="1" applyFill="1" applyBorder="1"/>
    <xf numFmtId="8" fontId="10" fillId="0" borderId="2" xfId="0" applyNumberFormat="1" applyFont="1" applyFill="1" applyBorder="1"/>
    <xf numFmtId="3" fontId="10" fillId="0" borderId="2" xfId="0" applyNumberFormat="1" applyFont="1" applyFill="1" applyBorder="1"/>
    <xf numFmtId="41" fontId="10" fillId="0" borderId="10" xfId="0" applyNumberFormat="1" applyFont="1" applyFill="1" applyBorder="1"/>
    <xf numFmtId="8" fontId="10" fillId="0" borderId="10" xfId="0" applyNumberFormat="1" applyFont="1" applyFill="1" applyBorder="1"/>
    <xf numFmtId="3" fontId="10" fillId="0" borderId="10" xfId="0" applyNumberFormat="1" applyFont="1" applyFill="1" applyBorder="1"/>
    <xf numFmtId="0" fontId="10" fillId="0" borderId="0" xfId="0" applyFont="1" applyBorder="1"/>
    <xf numFmtId="10" fontId="10" fillId="0" borderId="0" xfId="0" applyNumberFormat="1" applyFont="1" applyBorder="1"/>
    <xf numFmtId="3" fontId="4" fillId="0" borderId="0" xfId="0" applyNumberFormat="1" applyFont="1" applyBorder="1"/>
    <xf numFmtId="0" fontId="10" fillId="2" borderId="0" xfId="0" applyFont="1" applyFill="1" applyBorder="1"/>
    <xf numFmtId="0" fontId="10" fillId="3" borderId="0" xfId="0" applyFont="1" applyFill="1" applyBorder="1"/>
    <xf numFmtId="165" fontId="4" fillId="2" borderId="0" xfId="0" applyNumberFormat="1" applyFont="1" applyFill="1" applyBorder="1"/>
    <xf numFmtId="164" fontId="2" fillId="0" borderId="0" xfId="0" applyNumberFormat="1" applyFont="1" applyFill="1" applyBorder="1"/>
    <xf numFmtId="0" fontId="2" fillId="0" borderId="0" xfId="0" applyFont="1" applyFill="1" applyBorder="1"/>
    <xf numFmtId="42" fontId="2" fillId="0" borderId="0" xfId="0" applyNumberFormat="1" applyFont="1" applyFill="1" applyBorder="1"/>
    <xf numFmtId="41" fontId="10" fillId="5" borderId="10" xfId="0" applyNumberFormat="1" applyFont="1" applyFill="1" applyBorder="1"/>
    <xf numFmtId="0" fontId="10" fillId="5" borderId="0" xfId="0" applyFont="1" applyFill="1"/>
    <xf numFmtId="3" fontId="8" fillId="5" borderId="10" xfId="0" applyNumberFormat="1" applyFont="1" applyFill="1" applyBorder="1"/>
    <xf numFmtId="49" fontId="0" fillId="0" borderId="0" xfId="0" applyNumberFormat="1" applyFill="1" applyAlignment="1">
      <alignment wrapText="1"/>
    </xf>
    <xf numFmtId="0" fontId="14" fillId="6" borderId="14" xfId="1" applyFont="1" applyFill="1" applyBorder="1"/>
    <xf numFmtId="0" fontId="13" fillId="8" borderId="11" xfId="1" applyFont="1" applyFill="1" applyBorder="1" applyAlignment="1">
      <alignment horizontal="centerContinuous"/>
    </xf>
    <xf numFmtId="0" fontId="2" fillId="8" borderId="13" xfId="0" applyFont="1" applyFill="1" applyBorder="1"/>
    <xf numFmtId="164" fontId="2" fillId="8" borderId="12" xfId="0" applyNumberFormat="1" applyFont="1" applyFill="1" applyBorder="1" applyAlignment="1">
      <alignment horizontal="center" vertical="center"/>
    </xf>
    <xf numFmtId="164" fontId="2" fillId="8" borderId="13" xfId="0" applyNumberFormat="1" applyFont="1" applyFill="1" applyBorder="1" applyAlignment="1">
      <alignment horizontal="center" vertical="center"/>
    </xf>
    <xf numFmtId="0" fontId="16" fillId="6" borderId="14" xfId="1" applyFont="1" applyFill="1" applyBorder="1"/>
    <xf numFmtId="0" fontId="16" fillId="6" borderId="8" xfId="1" applyFont="1" applyFill="1" applyBorder="1"/>
    <xf numFmtId="41" fontId="0" fillId="8" borderId="10" xfId="0" applyNumberFormat="1" applyFont="1" applyFill="1" applyBorder="1"/>
    <xf numFmtId="41" fontId="0" fillId="8" borderId="2" xfId="0" applyNumberFormat="1" applyFont="1" applyFill="1" applyBorder="1"/>
    <xf numFmtId="49" fontId="0" fillId="4" borderId="0" xfId="0" applyNumberFormat="1" applyFill="1" applyAlignment="1">
      <alignment wrapText="1"/>
    </xf>
    <xf numFmtId="0" fontId="10" fillId="4" borderId="0" xfId="0" applyFont="1" applyFill="1"/>
    <xf numFmtId="10" fontId="0" fillId="4" borderId="0" xfId="0" applyNumberFormat="1" applyFill="1"/>
    <xf numFmtId="0" fontId="2" fillId="4" borderId="0" xfId="0" applyFont="1" applyFill="1"/>
    <xf numFmtId="0" fontId="2" fillId="0" borderId="2" xfId="0" applyFont="1" applyBorder="1"/>
    <xf numFmtId="0" fontId="1" fillId="4" borderId="0" xfId="1" applyFont="1" applyFill="1" applyBorder="1"/>
    <xf numFmtId="41" fontId="0" fillId="4" borderId="0" xfId="0" applyNumberFormat="1" applyFill="1" applyBorder="1" applyAlignment="1">
      <alignment wrapText="1"/>
    </xf>
    <xf numFmtId="41" fontId="0" fillId="4" borderId="0" xfId="0" applyNumberFormat="1" applyFill="1" applyBorder="1"/>
    <xf numFmtId="0" fontId="14" fillId="4" borderId="0" xfId="1" applyFont="1" applyFill="1" applyBorder="1"/>
    <xf numFmtId="164" fontId="10" fillId="4" borderId="0" xfId="0" applyNumberFormat="1" applyFont="1" applyFill="1" applyBorder="1"/>
    <xf numFmtId="0" fontId="10" fillId="4" borderId="0" xfId="0" applyFont="1" applyFill="1" applyBorder="1"/>
    <xf numFmtId="166" fontId="10" fillId="4" borderId="0" xfId="0" applyNumberFormat="1" applyFont="1" applyFill="1" applyBorder="1"/>
    <xf numFmtId="3" fontId="4" fillId="4" borderId="0" xfId="0" applyNumberFormat="1" applyFont="1" applyFill="1" applyBorder="1"/>
    <xf numFmtId="165" fontId="4" fillId="4" borderId="0" xfId="0" applyNumberFormat="1" applyFont="1" applyFill="1" applyBorder="1"/>
    <xf numFmtId="0" fontId="2" fillId="4" borderId="0" xfId="0" applyFont="1" applyFill="1" applyBorder="1" applyAlignment="1">
      <alignment horizontal="right"/>
    </xf>
    <xf numFmtId="164" fontId="10" fillId="4" borderId="0" xfId="0" applyNumberFormat="1" applyFont="1" applyFill="1"/>
    <xf numFmtId="8" fontId="15" fillId="4" borderId="0" xfId="0" applyNumberFormat="1" applyFont="1" applyFill="1"/>
    <xf numFmtId="42" fontId="10" fillId="4" borderId="0" xfId="0" applyNumberFormat="1" applyFont="1" applyFill="1"/>
    <xf numFmtId="0" fontId="2" fillId="4" borderId="0" xfId="0" applyFont="1" applyFill="1" applyAlignment="1">
      <alignment horizontal="right"/>
    </xf>
    <xf numFmtId="164" fontId="0" fillId="4" borderId="0" xfId="0" applyNumberFormat="1" applyFill="1"/>
    <xf numFmtId="164" fontId="2" fillId="4" borderId="0" xfId="0" applyNumberFormat="1" applyFont="1" applyFill="1"/>
    <xf numFmtId="41" fontId="0" fillId="4" borderId="0" xfId="0" applyNumberFormat="1" applyFill="1"/>
    <xf numFmtId="5" fontId="11" fillId="5" borderId="2" xfId="2" applyNumberFormat="1" applyFont="1" applyFill="1" applyBorder="1" applyProtection="1"/>
    <xf numFmtId="5" fontId="10" fillId="5" borderId="15" xfId="0" applyNumberFormat="1" applyFont="1" applyFill="1" applyBorder="1"/>
    <xf numFmtId="5" fontId="10" fillId="5" borderId="2" xfId="0" applyNumberFormat="1" applyFont="1" applyFill="1" applyBorder="1"/>
    <xf numFmtId="5" fontId="10" fillId="5" borderId="16" xfId="0" applyNumberFormat="1" applyFont="1" applyFill="1" applyBorder="1"/>
    <xf numFmtId="5" fontId="0" fillId="5" borderId="15" xfId="0" applyNumberFormat="1" applyFont="1" applyFill="1" applyBorder="1" applyAlignment="1">
      <alignment horizontal="right"/>
    </xf>
    <xf numFmtId="41" fontId="10" fillId="0" borderId="20" xfId="0" applyNumberFormat="1" applyFont="1" applyFill="1" applyBorder="1"/>
    <xf numFmtId="41" fontId="10" fillId="5" borderId="21" xfId="0" applyNumberFormat="1" applyFont="1" applyFill="1" applyBorder="1"/>
    <xf numFmtId="41" fontId="10" fillId="5" borderId="3" xfId="0" applyNumberFormat="1" applyFont="1" applyFill="1" applyBorder="1"/>
    <xf numFmtId="0" fontId="10" fillId="4" borderId="18" xfId="0" applyFont="1" applyFill="1" applyBorder="1"/>
    <xf numFmtId="41" fontId="10" fillId="4" borderId="18" xfId="0" applyNumberFormat="1" applyFont="1" applyFill="1" applyBorder="1"/>
    <xf numFmtId="0" fontId="2" fillId="4" borderId="0" xfId="0" applyFont="1" applyFill="1" applyBorder="1"/>
    <xf numFmtId="41" fontId="8" fillId="5" borderId="21" xfId="0" applyNumberFormat="1" applyFont="1" applyFill="1" applyBorder="1"/>
    <xf numFmtId="41" fontId="8" fillId="5" borderId="3" xfId="0" applyNumberFormat="1" applyFont="1" applyFill="1" applyBorder="1"/>
    <xf numFmtId="41" fontId="8" fillId="0" borderId="10" xfId="0" applyNumberFormat="1" applyFont="1" applyFill="1" applyBorder="1"/>
    <xf numFmtId="41" fontId="8" fillId="0" borderId="2" xfId="0" applyNumberFormat="1" applyFont="1" applyFill="1" applyBorder="1"/>
    <xf numFmtId="0" fontId="8" fillId="4" borderId="0" xfId="0" applyFont="1" applyFill="1"/>
    <xf numFmtId="0" fontId="2" fillId="6" borderId="8" xfId="0" applyFont="1" applyFill="1" applyBorder="1"/>
    <xf numFmtId="49" fontId="0" fillId="4" borderId="0" xfId="0" applyNumberFormat="1" applyFill="1" applyAlignment="1">
      <alignment wrapText="1"/>
    </xf>
    <xf numFmtId="0" fontId="2" fillId="5" borderId="17" xfId="0" applyFont="1" applyFill="1" applyBorder="1" applyAlignment="1">
      <alignment horizontal="right"/>
    </xf>
    <xf numFmtId="0" fontId="2" fillId="5" borderId="18" xfId="0" applyFont="1" applyFill="1" applyBorder="1" applyAlignment="1">
      <alignment horizontal="right"/>
    </xf>
    <xf numFmtId="0" fontId="10" fillId="0" borderId="0" xfId="0" applyFont="1" applyBorder="1" applyAlignment="1">
      <alignment horizontal="right"/>
    </xf>
    <xf numFmtId="5" fontId="12" fillId="5" borderId="2" xfId="2" applyNumberFormat="1" applyFont="1" applyFill="1" applyBorder="1" applyAlignment="1" applyProtection="1">
      <alignment horizontal="right"/>
    </xf>
    <xf numFmtId="166" fontId="2" fillId="5" borderId="15" xfId="0" applyNumberFormat="1" applyFont="1" applyFill="1" applyBorder="1"/>
    <xf numFmtId="0" fontId="10" fillId="8" borderId="15" xfId="0" applyFont="1" applyFill="1" applyBorder="1"/>
    <xf numFmtId="0" fontId="10" fillId="0" borderId="24" xfId="0" applyFont="1" applyBorder="1"/>
    <xf numFmtId="0" fontId="10" fillId="8" borderId="0" xfId="0" applyFont="1" applyFill="1" applyBorder="1"/>
    <xf numFmtId="3" fontId="10" fillId="8" borderId="6" xfId="0" applyNumberFormat="1" applyFont="1" applyFill="1" applyBorder="1"/>
    <xf numFmtId="3" fontId="10" fillId="8" borderId="19" xfId="0" applyNumberFormat="1" applyFont="1" applyFill="1" applyBorder="1"/>
    <xf numFmtId="3" fontId="10" fillId="8" borderId="20" xfId="0" applyNumberFormat="1" applyFont="1" applyFill="1" applyBorder="1"/>
    <xf numFmtId="3" fontId="8" fillId="8" borderId="4" xfId="0" applyNumberFormat="1" applyFont="1" applyFill="1" applyBorder="1"/>
    <xf numFmtId="3" fontId="8" fillId="8" borderId="17" xfId="0" applyNumberFormat="1" applyFont="1" applyFill="1" applyBorder="1"/>
    <xf numFmtId="3" fontId="8" fillId="8" borderId="21" xfId="0" applyNumberFormat="1" applyFont="1" applyFill="1" applyBorder="1"/>
    <xf numFmtId="41" fontId="10" fillId="4" borderId="0" xfId="0" applyNumberFormat="1" applyFont="1" applyFill="1" applyBorder="1"/>
    <xf numFmtId="1" fontId="10" fillId="8" borderId="5" xfId="4" applyNumberFormat="1" applyFont="1" applyFill="1" applyBorder="1"/>
    <xf numFmtId="0" fontId="10" fillId="8" borderId="7" xfId="0" applyFont="1" applyFill="1" applyBorder="1"/>
    <xf numFmtId="0" fontId="10" fillId="8" borderId="3" xfId="0" applyFont="1" applyFill="1" applyBorder="1"/>
    <xf numFmtId="41" fontId="10" fillId="4" borderId="19" xfId="0" applyNumberFormat="1" applyFont="1" applyFill="1" applyBorder="1"/>
    <xf numFmtId="41" fontId="10" fillId="8" borderId="22" xfId="0" applyNumberFormat="1" applyFont="1" applyFill="1" applyBorder="1"/>
    <xf numFmtId="41" fontId="10" fillId="8" borderId="18" xfId="0" applyNumberFormat="1" applyFont="1" applyFill="1" applyBorder="1"/>
    <xf numFmtId="41" fontId="10" fillId="8" borderId="10" xfId="0" applyNumberFormat="1" applyFont="1" applyFill="1" applyBorder="1"/>
    <xf numFmtId="41" fontId="10" fillId="8" borderId="6" xfId="0" applyNumberFormat="1" applyFont="1" applyFill="1" applyBorder="1"/>
    <xf numFmtId="41" fontId="10" fillId="8" borderId="19" xfId="0" applyNumberFormat="1" applyFont="1" applyFill="1" applyBorder="1"/>
    <xf numFmtId="41" fontId="10" fillId="8" borderId="20" xfId="0" applyNumberFormat="1" applyFont="1" applyFill="1" applyBorder="1"/>
    <xf numFmtId="41" fontId="10" fillId="8" borderId="4" xfId="0" applyNumberFormat="1" applyFont="1" applyFill="1" applyBorder="1"/>
    <xf numFmtId="41" fontId="10" fillId="8" borderId="17" xfId="0" applyNumberFormat="1" applyFont="1" applyFill="1" applyBorder="1"/>
    <xf numFmtId="41" fontId="10" fillId="8" borderId="21" xfId="0" applyNumberFormat="1" applyFont="1" applyFill="1" applyBorder="1"/>
    <xf numFmtId="0" fontId="10" fillId="8" borderId="6" xfId="0" applyFont="1" applyFill="1" applyBorder="1"/>
    <xf numFmtId="0" fontId="10" fillId="8" borderId="19" xfId="0" applyFont="1" applyFill="1" applyBorder="1"/>
    <xf numFmtId="0" fontId="10" fillId="8" borderId="20" xfId="0" applyFont="1" applyFill="1" applyBorder="1"/>
    <xf numFmtId="0" fontId="10" fillId="8" borderId="25" xfId="0" applyFont="1" applyFill="1" applyBorder="1"/>
    <xf numFmtId="0" fontId="10" fillId="8" borderId="26" xfId="0" applyFont="1" applyFill="1" applyBorder="1"/>
    <xf numFmtId="0" fontId="10" fillId="8" borderId="4" xfId="0" applyFont="1" applyFill="1" applyBorder="1"/>
    <xf numFmtId="0" fontId="10" fillId="8" borderId="17" xfId="0" applyFont="1" applyFill="1" applyBorder="1"/>
    <xf numFmtId="0" fontId="10" fillId="8" borderId="21" xfId="0" applyFont="1" applyFill="1" applyBorder="1"/>
    <xf numFmtId="0" fontId="12" fillId="6" borderId="14" xfId="1" applyFont="1" applyFill="1" applyBorder="1" applyAlignment="1">
      <alignment horizontal="left"/>
    </xf>
    <xf numFmtId="0" fontId="0" fillId="4" borderId="0" xfId="0" applyFill="1" applyBorder="1" applyAlignment="1">
      <alignment horizontal="left" indent="1"/>
    </xf>
    <xf numFmtId="1" fontId="14" fillId="7" borderId="22" xfId="2" applyNumberFormat="1" applyFont="1" applyFill="1" applyBorder="1" applyAlignment="1" applyProtection="1">
      <alignment horizontal="right" vertical="center"/>
      <protection locked="0"/>
    </xf>
    <xf numFmtId="1" fontId="14" fillId="7" borderId="23" xfId="2" applyNumberFormat="1" applyFont="1" applyFill="1" applyBorder="1" applyAlignment="1" applyProtection="1">
      <alignment horizontal="right" vertical="center"/>
      <protection locked="0"/>
    </xf>
    <xf numFmtId="3" fontId="10" fillId="7" borderId="10" xfId="0" applyNumberFormat="1" applyFont="1" applyFill="1" applyBorder="1" applyProtection="1">
      <protection locked="0"/>
    </xf>
    <xf numFmtId="0" fontId="12" fillId="8" borderId="14" xfId="1" applyFont="1" applyFill="1" applyBorder="1" applyAlignment="1">
      <alignment horizontal="left"/>
    </xf>
    <xf numFmtId="164" fontId="14" fillId="8" borderId="2" xfId="1" applyNumberFormat="1" applyFont="1" applyFill="1" applyBorder="1" applyAlignment="1">
      <alignment horizontal="right" vertical="center"/>
    </xf>
    <xf numFmtId="10" fontId="10" fillId="8" borderId="15" xfId="0" applyNumberFormat="1" applyFont="1" applyFill="1" applyBorder="1" applyAlignment="1">
      <alignment horizontal="right" vertical="center"/>
    </xf>
    <xf numFmtId="0" fontId="14" fillId="8" borderId="14" xfId="1" applyFont="1" applyFill="1" applyBorder="1"/>
    <xf numFmtId="167" fontId="14" fillId="8" borderId="2" xfId="3" applyNumberFormat="1" applyFont="1" applyFill="1" applyBorder="1" applyProtection="1">
      <protection locked="0"/>
    </xf>
    <xf numFmtId="0" fontId="10" fillId="4" borderId="19" xfId="0" applyFont="1" applyFill="1" applyBorder="1"/>
    <xf numFmtId="164" fontId="10" fillId="4" borderId="0" xfId="0" applyNumberFormat="1" applyFont="1" applyFill="1" applyBorder="1" applyAlignment="1">
      <alignment horizontal="right"/>
    </xf>
    <xf numFmtId="165" fontId="0" fillId="0" borderId="17" xfId="0" applyNumberFormat="1" applyFont="1" applyFill="1" applyBorder="1" applyAlignment="1">
      <alignment horizontal="right"/>
    </xf>
    <xf numFmtId="0" fontId="8" fillId="4" borderId="0" xfId="0" applyFont="1" applyFill="1" applyAlignment="1">
      <alignment horizontal="left" vertical="top" wrapText="1"/>
    </xf>
    <xf numFmtId="49"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0" fontId="0" fillId="4" borderId="0" xfId="0" applyFill="1" applyAlignment="1">
      <alignment horizontal="left" vertical="top" wrapText="1"/>
    </xf>
    <xf numFmtId="0" fontId="19" fillId="4" borderId="0" xfId="0" applyFont="1" applyFill="1"/>
    <xf numFmtId="10" fontId="0" fillId="7" borderId="15" xfId="0" applyNumberFormat="1" applyFont="1" applyFill="1" applyBorder="1" applyAlignment="1" applyProtection="1">
      <alignment horizontal="right" vertical="center"/>
      <protection locked="0"/>
    </xf>
    <xf numFmtId="164" fontId="11" fillId="7" borderId="2" xfId="1" applyNumberFormat="1" applyFont="1" applyFill="1" applyBorder="1" applyAlignment="1" applyProtection="1">
      <alignment horizontal="right" vertical="center"/>
      <protection locked="0"/>
    </xf>
    <xf numFmtId="0" fontId="12" fillId="8" borderId="11" xfId="1" applyFont="1" applyFill="1" applyBorder="1"/>
    <xf numFmtId="41" fontId="10" fillId="4" borderId="0" xfId="0" applyNumberFormat="1" applyFont="1" applyFill="1"/>
    <xf numFmtId="164" fontId="0" fillId="4" borderId="0" xfId="0" applyNumberFormat="1" applyFont="1" applyFill="1" applyBorder="1" applyAlignment="1">
      <alignment horizontal="right"/>
    </xf>
    <xf numFmtId="41" fontId="10" fillId="4" borderId="17" xfId="0" applyNumberFormat="1" applyFont="1" applyFill="1" applyBorder="1"/>
    <xf numFmtId="41" fontId="10" fillId="8" borderId="2" xfId="0" applyNumberFormat="1" applyFont="1" applyFill="1" applyBorder="1"/>
    <xf numFmtId="41" fontId="10" fillId="4" borderId="2" xfId="0" applyNumberFormat="1" applyFont="1" applyFill="1" applyBorder="1"/>
    <xf numFmtId="41" fontId="10" fillId="4" borderId="10" xfId="0" applyNumberFormat="1" applyFont="1" applyFill="1" applyBorder="1"/>
    <xf numFmtId="41" fontId="10" fillId="4" borderId="22" xfId="0" applyNumberFormat="1" applyFont="1" applyFill="1" applyBorder="1"/>
    <xf numFmtId="9" fontId="14" fillId="7" borderId="2" xfId="2" applyNumberFormat="1" applyFont="1" applyFill="1" applyBorder="1" applyAlignment="1" applyProtection="1">
      <alignment horizontal="right" vertical="center"/>
    </xf>
    <xf numFmtId="167" fontId="11" fillId="7" borderId="2" xfId="3" applyNumberFormat="1" applyFont="1" applyFill="1" applyBorder="1" applyAlignment="1" applyProtection="1">
      <alignment horizontal="right" vertical="center"/>
    </xf>
    <xf numFmtId="0" fontId="5" fillId="5" borderId="15" xfId="0" applyFont="1" applyFill="1" applyBorder="1" applyAlignment="1" applyProtection="1">
      <alignment horizontal="right"/>
    </xf>
    <xf numFmtId="0" fontId="10" fillId="0" borderId="15" xfId="0" applyFont="1" applyBorder="1" applyProtection="1"/>
    <xf numFmtId="1" fontId="14" fillId="7" borderId="2" xfId="2" applyNumberFormat="1" applyFont="1" applyFill="1" applyBorder="1" applyAlignment="1" applyProtection="1">
      <alignment horizontal="right" vertical="center"/>
    </xf>
    <xf numFmtId="0" fontId="0" fillId="4" borderId="0" xfId="0" applyFill="1" applyAlignment="1"/>
    <xf numFmtId="0" fontId="0" fillId="4" borderId="0" xfId="0" applyFill="1" applyAlignment="1">
      <alignment vertical="top" wrapText="1"/>
    </xf>
    <xf numFmtId="0" fontId="12" fillId="8" borderId="12" xfId="1" applyFont="1" applyFill="1" applyBorder="1" applyAlignment="1">
      <alignment horizontal="centerContinuous"/>
    </xf>
    <xf numFmtId="0" fontId="2" fillId="4" borderId="0" xfId="0" applyFont="1" applyFill="1" applyAlignment="1">
      <alignment vertical="top" wrapText="1"/>
    </xf>
    <xf numFmtId="0" fontId="21" fillId="4" borderId="0" xfId="0" applyFont="1" applyFill="1" applyAlignment="1">
      <alignment vertical="top" wrapText="1"/>
    </xf>
    <xf numFmtId="0" fontId="21" fillId="4" borderId="0" xfId="0" applyFont="1" applyFill="1" applyAlignment="1">
      <alignment horizontal="right"/>
    </xf>
    <xf numFmtId="0" fontId="22" fillId="4" borderId="0" xfId="1" applyFont="1" applyFill="1" applyBorder="1" applyAlignment="1">
      <alignment horizontal="right"/>
    </xf>
    <xf numFmtId="0" fontId="21" fillId="4" borderId="0" xfId="0" applyFont="1" applyFill="1" applyBorder="1" applyAlignment="1">
      <alignment horizontal="right"/>
    </xf>
    <xf numFmtId="0" fontId="22" fillId="4" borderId="0" xfId="0" applyFont="1" applyFill="1" applyAlignment="1">
      <alignment vertical="top" wrapText="1"/>
    </xf>
    <xf numFmtId="0" fontId="11" fillId="4" borderId="0" xfId="0" applyFont="1" applyFill="1"/>
    <xf numFmtId="0" fontId="12" fillId="4" borderId="0" xfId="0" applyFont="1" applyFill="1"/>
    <xf numFmtId="3" fontId="11" fillId="4" borderId="0" xfId="0" applyNumberFormat="1" applyFont="1" applyFill="1"/>
    <xf numFmtId="0" fontId="5" fillId="4" borderId="0" xfId="0" applyFont="1" applyFill="1" applyAlignment="1">
      <alignment vertical="center" wrapText="1"/>
    </xf>
    <xf numFmtId="5" fontId="0" fillId="5" borderId="9" xfId="0" applyNumberFormat="1" applyFont="1" applyFill="1" applyBorder="1" applyAlignment="1"/>
    <xf numFmtId="5" fontId="10" fillId="5" borderId="2" xfId="0" applyNumberFormat="1" applyFont="1" applyFill="1" applyBorder="1" applyAlignment="1"/>
    <xf numFmtId="0" fontId="5" fillId="4" borderId="0" xfId="0" applyFont="1" applyFill="1" applyAlignment="1">
      <alignment horizontal="left" vertical="center" wrapText="1"/>
    </xf>
    <xf numFmtId="0" fontId="23" fillId="0" borderId="0" xfId="0" applyFont="1" applyAlignment="1">
      <alignment horizontal="left" vertical="center" wrapText="1"/>
    </xf>
    <xf numFmtId="0" fontId="23" fillId="4" borderId="0" xfId="0" applyFont="1" applyFill="1" applyAlignment="1">
      <alignment horizontal="left" vertical="center" wrapText="1"/>
    </xf>
    <xf numFmtId="0" fontId="5" fillId="4" borderId="1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0" fillId="4" borderId="0" xfId="0" applyFill="1" applyAlignment="1">
      <alignment horizontal="left" vertical="center" wrapText="1"/>
    </xf>
    <xf numFmtId="0" fontId="2" fillId="0" borderId="18" xfId="0" applyFont="1" applyBorder="1" applyAlignment="1">
      <alignment horizontal="right" wrapText="1"/>
    </xf>
    <xf numFmtId="0" fontId="2" fillId="0" borderId="10" xfId="0" applyFont="1" applyBorder="1" applyAlignment="1">
      <alignment horizontal="right" wrapText="1"/>
    </xf>
    <xf numFmtId="0" fontId="2" fillId="0" borderId="18" xfId="0" applyFont="1" applyBorder="1" applyAlignment="1">
      <alignment horizontal="right"/>
    </xf>
    <xf numFmtId="0" fontId="0" fillId="5" borderId="18" xfId="0" applyFont="1" applyFill="1" applyBorder="1" applyAlignment="1">
      <alignment horizontal="right"/>
    </xf>
    <xf numFmtId="0" fontId="10" fillId="5" borderId="18" xfId="0" applyFont="1" applyFill="1" applyBorder="1" applyAlignment="1">
      <alignment horizontal="right"/>
    </xf>
    <xf numFmtId="0" fontId="2" fillId="5" borderId="18" xfId="0" applyFont="1" applyFill="1" applyBorder="1" applyAlignment="1">
      <alignment horizontal="right"/>
    </xf>
    <xf numFmtId="165" fontId="0" fillId="0" borderId="18" xfId="0" applyNumberFormat="1" applyFont="1" applyFill="1" applyBorder="1" applyAlignment="1">
      <alignment horizontal="right"/>
    </xf>
    <xf numFmtId="0" fontId="8" fillId="4" borderId="0" xfId="0" applyFont="1" applyFill="1" applyAlignment="1">
      <alignment horizontal="left" vertical="top" wrapText="1"/>
    </xf>
    <xf numFmtId="164" fontId="2" fillId="8" borderId="18" xfId="0" applyNumberFormat="1" applyFont="1" applyFill="1" applyBorder="1" applyAlignment="1">
      <alignment horizontal="right"/>
    </xf>
    <xf numFmtId="164" fontId="0" fillId="0" borderId="18" xfId="0" applyNumberFormat="1" applyFont="1" applyFill="1" applyBorder="1" applyAlignment="1">
      <alignment horizontal="right"/>
    </xf>
    <xf numFmtId="164" fontId="20" fillId="9" borderId="18" xfId="0" applyNumberFormat="1" applyFont="1" applyFill="1" applyBorder="1" applyAlignment="1">
      <alignment horizontal="right"/>
    </xf>
  </cellXfs>
  <cellStyles count="67">
    <cellStyle name="Comma 2" xfId="3"/>
    <cellStyle name="Currency 2" xfId="2"/>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Hyperlink" xfId="4" builtinId="8"/>
    <cellStyle name="Normal" xfId="0" builtinId="0"/>
    <cellStyle name="Normal 2" xfId="1"/>
  </cellStyles>
  <dxfs count="0"/>
  <tableStyles count="0" defaultTableStyle="TableStyleMedium9" defaultPivotStyle="PivotStyleMedium4"/>
  <colors>
    <mruColors>
      <color rgb="FF66CCFF"/>
      <color rgb="FFFFCC66"/>
      <color rgb="FFF9FB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43</xdr:row>
      <xdr:rowOff>0</xdr:rowOff>
    </xdr:from>
    <xdr:to>
      <xdr:col>0</xdr:col>
      <xdr:colOff>314960</xdr:colOff>
      <xdr:row>44</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7160" y="4704080"/>
          <a:ext cx="177800" cy="182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D121"/>
  <sheetViews>
    <sheetView tabSelected="1" zoomScale="85" zoomScaleNormal="85" zoomScalePageLayoutView="85" workbookViewId="0">
      <pane xSplit="5" topLeftCell="F1" activePane="topRight" state="frozen"/>
      <selection pane="topRight" activeCell="D7" sqref="D7"/>
    </sheetView>
  </sheetViews>
  <sheetFormatPr baseColWidth="10" defaultColWidth="8.83203125" defaultRowHeight="14" x14ac:dyDescent="0"/>
  <cols>
    <col min="1" max="1" width="4.83203125" style="8" customWidth="1"/>
    <col min="2" max="2" width="26.33203125" customWidth="1"/>
    <col min="3" max="4" width="14.5" customWidth="1"/>
    <col min="5" max="5" width="15.1640625" customWidth="1"/>
    <col min="6" max="6" width="11" bestFit="1" customWidth="1"/>
    <col min="7" max="11" width="10.1640625" bestFit="1" customWidth="1"/>
    <col min="12" max="13" width="11" bestFit="1" customWidth="1"/>
    <col min="14" max="14" width="11.5" bestFit="1" customWidth="1"/>
    <col min="15" max="18" width="11" bestFit="1" customWidth="1"/>
    <col min="19" max="21" width="10.5" bestFit="1" customWidth="1"/>
    <col min="22" max="23" width="11" bestFit="1" customWidth="1"/>
    <col min="24" max="25" width="10.5" bestFit="1" customWidth="1"/>
    <col min="26" max="26" width="10.5" customWidth="1"/>
    <col min="27" max="27" width="11.33203125" customWidth="1"/>
    <col min="28" max="28" width="11.1640625" customWidth="1"/>
    <col min="29" max="29" width="14.83203125" bestFit="1" customWidth="1"/>
    <col min="30" max="30" width="12.5" customWidth="1"/>
    <col min="31" max="31" width="10.6640625" customWidth="1"/>
    <col min="32" max="34" width="14.83203125" bestFit="1" customWidth="1"/>
    <col min="35" max="35" width="13.33203125" customWidth="1"/>
    <col min="41" max="120" width="8.83203125" style="8"/>
    <col min="121" max="121" width="8.83203125" style="8" customWidth="1"/>
    <col min="122" max="498" width="8.83203125" style="8"/>
  </cols>
  <sheetData>
    <row r="1" spans="1:498" ht="20">
      <c r="A1" s="11"/>
      <c r="B1" s="152" t="s">
        <v>55</v>
      </c>
      <c r="C1" s="11"/>
      <c r="D1" s="11"/>
      <c r="E1" s="11"/>
      <c r="F1" s="184" t="s">
        <v>65</v>
      </c>
      <c r="G1" s="184"/>
      <c r="H1" s="184"/>
      <c r="I1" s="184"/>
      <c r="J1" s="184"/>
      <c r="K1" s="184"/>
      <c r="L1" s="184"/>
      <c r="M1" s="184"/>
      <c r="N1" s="184"/>
      <c r="O1" s="184"/>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98" s="11" customFormat="1" ht="15" customHeight="1">
      <c r="B2" s="96" t="s">
        <v>50</v>
      </c>
      <c r="F2" s="184"/>
      <c r="G2" s="184"/>
      <c r="H2" s="184"/>
      <c r="I2" s="184"/>
      <c r="J2" s="184"/>
      <c r="K2" s="184"/>
      <c r="L2" s="184"/>
      <c r="M2" s="184"/>
      <c r="N2" s="184"/>
      <c r="O2" s="184"/>
    </row>
    <row r="3" spans="1:498" s="11" customFormat="1" ht="33" customHeight="1">
      <c r="B3" s="198" t="s">
        <v>47</v>
      </c>
      <c r="C3" s="198"/>
      <c r="D3" s="198"/>
      <c r="E3" s="148"/>
      <c r="F3" s="185" t="s">
        <v>66</v>
      </c>
      <c r="G3" s="185"/>
      <c r="H3" s="185"/>
      <c r="I3" s="185"/>
      <c r="J3" s="185"/>
      <c r="K3" s="185"/>
      <c r="L3" s="185"/>
      <c r="M3" s="185"/>
      <c r="N3" s="185"/>
      <c r="O3" s="185"/>
      <c r="P3" s="169"/>
    </row>
    <row r="4" spans="1:498" s="1" customFormat="1" ht="22.5" customHeight="1" thickBot="1">
      <c r="A4" s="59"/>
      <c r="B4" s="149"/>
      <c r="C4" s="150"/>
      <c r="D4" s="150"/>
      <c r="E4" s="151"/>
      <c r="F4" s="185"/>
      <c r="G4" s="185"/>
      <c r="H4" s="185"/>
      <c r="I4" s="185"/>
      <c r="J4" s="185"/>
      <c r="K4" s="185"/>
      <c r="L4" s="185"/>
      <c r="M4" s="185"/>
      <c r="N4" s="185"/>
      <c r="O4" s="185"/>
      <c r="P4" s="172"/>
      <c r="Q4" s="98"/>
      <c r="R4" s="98"/>
      <c r="S4" s="98"/>
      <c r="T4" s="98"/>
      <c r="U4" s="98"/>
      <c r="V4" s="98"/>
      <c r="W4" s="98"/>
      <c r="X4" s="59"/>
      <c r="Y4" s="59"/>
      <c r="Z4" s="59"/>
      <c r="AA4" s="59"/>
      <c r="AB4" s="59"/>
      <c r="AC4" s="59"/>
      <c r="AD4" s="59"/>
      <c r="AE4" s="59"/>
      <c r="AF4" s="59"/>
      <c r="AG4" s="59"/>
      <c r="AH4" s="59"/>
      <c r="AI4" s="59"/>
      <c r="AJ4" s="59"/>
      <c r="AK4" s="59"/>
      <c r="AL4" s="59"/>
      <c r="AM4" s="59"/>
      <c r="AN4" s="59"/>
      <c r="AO4" s="5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row>
    <row r="5" spans="1:498">
      <c r="A5" s="11"/>
      <c r="B5" s="51"/>
      <c r="C5" s="170" t="s">
        <v>16</v>
      </c>
      <c r="D5" s="52" t="s">
        <v>0</v>
      </c>
      <c r="E5" s="11"/>
      <c r="F5" s="185" t="s">
        <v>67</v>
      </c>
      <c r="G5" s="185"/>
      <c r="H5" s="185"/>
      <c r="I5" s="185"/>
      <c r="J5" s="185"/>
      <c r="K5" s="185"/>
      <c r="L5" s="185"/>
      <c r="M5" s="185"/>
      <c r="N5" s="185"/>
      <c r="O5" s="185"/>
      <c r="P5" s="172"/>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98" ht="15" customHeight="1">
      <c r="A6" s="173" t="s">
        <v>62</v>
      </c>
      <c r="B6" s="135" t="s">
        <v>34</v>
      </c>
      <c r="C6" s="154">
        <v>0</v>
      </c>
      <c r="D6" s="153">
        <v>0</v>
      </c>
      <c r="E6" s="61"/>
      <c r="F6" s="185"/>
      <c r="G6" s="185"/>
      <c r="H6" s="185"/>
      <c r="I6" s="185"/>
      <c r="J6" s="185"/>
      <c r="K6" s="185"/>
      <c r="L6" s="185"/>
      <c r="M6" s="185"/>
      <c r="N6" s="185"/>
      <c r="O6" s="185"/>
      <c r="P6" s="172"/>
      <c r="Q6" s="169"/>
      <c r="R6" s="169"/>
      <c r="S6" s="169"/>
      <c r="T6" s="169"/>
      <c r="U6" s="169"/>
      <c r="V6" s="169"/>
      <c r="W6" s="11"/>
      <c r="X6" s="11"/>
      <c r="Y6" s="11"/>
      <c r="Z6" s="11"/>
      <c r="AA6" s="11"/>
      <c r="AB6" s="11"/>
      <c r="AC6" s="11"/>
      <c r="AD6" s="11"/>
      <c r="AE6" s="11"/>
      <c r="AF6" s="11"/>
      <c r="AG6" s="11"/>
      <c r="AH6" s="11"/>
      <c r="AI6" s="11"/>
      <c r="AJ6" s="11"/>
      <c r="AK6" s="11"/>
      <c r="AL6" s="11"/>
      <c r="AM6" s="11"/>
      <c r="AN6" s="11"/>
      <c r="AO6" s="11"/>
    </row>
    <row r="7" spans="1:498" ht="14" customHeight="1">
      <c r="A7" s="11"/>
      <c r="B7" s="135" t="s">
        <v>33</v>
      </c>
      <c r="C7" s="154">
        <v>45000</v>
      </c>
      <c r="D7" s="153">
        <v>0</v>
      </c>
      <c r="E7" s="61"/>
      <c r="F7" s="186" t="s">
        <v>68</v>
      </c>
      <c r="G7" s="186"/>
      <c r="H7" s="186"/>
      <c r="I7" s="186"/>
      <c r="J7" s="186"/>
      <c r="K7" s="186"/>
      <c r="L7" s="186"/>
      <c r="M7" s="186"/>
      <c r="N7" s="186"/>
      <c r="O7" s="186"/>
      <c r="P7" s="172"/>
      <c r="Q7" s="169"/>
      <c r="R7" s="169"/>
      <c r="S7" s="169"/>
      <c r="T7" s="169"/>
      <c r="U7" s="169"/>
      <c r="V7" s="169"/>
      <c r="W7" s="11"/>
      <c r="X7" s="11"/>
      <c r="Y7" s="11"/>
      <c r="Z7" s="11"/>
      <c r="AA7" s="11"/>
      <c r="AB7" s="11"/>
      <c r="AC7" s="11"/>
      <c r="AD7" s="11"/>
      <c r="AE7" s="11"/>
      <c r="AF7" s="11"/>
      <c r="AG7" s="11"/>
      <c r="AH7" s="11"/>
      <c r="AI7" s="11"/>
      <c r="AJ7" s="11"/>
      <c r="AK7" s="11"/>
      <c r="AL7" s="11"/>
      <c r="AM7" s="11"/>
      <c r="AN7" s="11"/>
      <c r="AO7" s="11"/>
    </row>
    <row r="8" spans="1:498" ht="14" customHeight="1">
      <c r="A8" s="11"/>
      <c r="B8" s="135" t="s">
        <v>6</v>
      </c>
      <c r="C8" s="154">
        <v>0</v>
      </c>
      <c r="D8" s="153">
        <v>0</v>
      </c>
      <c r="E8" s="61"/>
      <c r="F8" s="187"/>
      <c r="G8" s="187"/>
      <c r="H8" s="187"/>
      <c r="I8" s="187"/>
      <c r="J8" s="187"/>
      <c r="K8" s="187"/>
      <c r="L8" s="187"/>
      <c r="M8" s="187"/>
      <c r="N8" s="187"/>
      <c r="O8" s="187"/>
      <c r="P8" s="172"/>
      <c r="Q8" s="169"/>
      <c r="R8" s="169"/>
      <c r="S8" s="169"/>
      <c r="T8" s="169"/>
      <c r="U8" s="169"/>
      <c r="V8" s="169"/>
      <c r="W8" s="11"/>
      <c r="X8" s="11"/>
      <c r="Y8" s="11"/>
      <c r="Z8" s="11"/>
      <c r="AA8" s="11"/>
      <c r="AB8" s="11"/>
      <c r="AC8" s="11"/>
      <c r="AD8" s="11"/>
      <c r="AE8" s="11"/>
      <c r="AF8" s="11"/>
      <c r="AG8" s="11"/>
      <c r="AH8" s="11"/>
      <c r="AI8" s="11"/>
      <c r="AJ8" s="11"/>
      <c r="AK8" s="11"/>
      <c r="AL8" s="11"/>
      <c r="AM8" s="11"/>
      <c r="AN8" s="11"/>
      <c r="AO8" s="11"/>
    </row>
    <row r="9" spans="1:498" ht="6" customHeight="1">
      <c r="A9" s="11"/>
      <c r="B9" s="140"/>
      <c r="C9" s="141"/>
      <c r="D9" s="142"/>
      <c r="E9" s="61"/>
      <c r="F9" s="187"/>
      <c r="G9" s="187"/>
      <c r="H9" s="187"/>
      <c r="I9" s="187"/>
      <c r="J9" s="187"/>
      <c r="K9" s="187"/>
      <c r="L9" s="187"/>
      <c r="M9" s="187"/>
      <c r="N9" s="187"/>
      <c r="O9" s="187"/>
      <c r="P9" s="172"/>
      <c r="Q9" s="169"/>
      <c r="R9" s="169"/>
      <c r="S9" s="169"/>
      <c r="T9" s="169"/>
      <c r="U9" s="169"/>
      <c r="V9" s="169"/>
      <c r="W9" s="11"/>
      <c r="X9" s="11"/>
      <c r="Y9" s="11"/>
      <c r="Z9" s="11"/>
      <c r="AA9" s="11"/>
      <c r="AB9" s="11"/>
      <c r="AC9" s="11"/>
      <c r="AD9" s="11"/>
      <c r="AE9" s="11"/>
      <c r="AF9" s="11"/>
      <c r="AG9" s="11"/>
      <c r="AH9" s="11"/>
      <c r="AI9" s="11"/>
      <c r="AJ9" s="11"/>
      <c r="AK9" s="11"/>
      <c r="AL9" s="11"/>
      <c r="AM9" s="11"/>
      <c r="AN9" s="11"/>
      <c r="AO9" s="11"/>
    </row>
    <row r="10" spans="1:498" ht="14" customHeight="1">
      <c r="A10" s="11"/>
      <c r="B10" s="135" t="s">
        <v>5</v>
      </c>
      <c r="C10" s="102">
        <f>SUM(C6,C7,C8)</f>
        <v>45000</v>
      </c>
      <c r="D10" s="103">
        <f>IF(C10=0,"",CEILING((((C6*D6)+(C7*D7)+(C8*D8))/C10),0.00125)+N("Weighted Average"))</f>
        <v>0</v>
      </c>
      <c r="E10" s="61"/>
      <c r="F10" s="187"/>
      <c r="G10" s="187"/>
      <c r="H10" s="187"/>
      <c r="I10" s="187"/>
      <c r="J10" s="187"/>
      <c r="K10" s="187"/>
      <c r="L10" s="187"/>
      <c r="M10" s="187"/>
      <c r="N10" s="187"/>
      <c r="O10" s="187"/>
      <c r="P10" s="172"/>
      <c r="Q10" s="169"/>
      <c r="R10" s="169"/>
      <c r="S10" s="169"/>
      <c r="T10" s="169"/>
      <c r="U10" s="169"/>
      <c r="V10" s="169"/>
      <c r="W10" s="11"/>
      <c r="X10" s="11"/>
      <c r="Y10" s="11"/>
      <c r="Z10" s="11"/>
      <c r="AA10" s="11"/>
      <c r="AB10" s="11"/>
      <c r="AC10" s="11"/>
      <c r="AD10" s="11"/>
      <c r="AE10" s="11"/>
      <c r="AF10" s="11"/>
      <c r="AG10" s="11"/>
      <c r="AH10" s="11"/>
      <c r="AI10" s="11"/>
      <c r="AJ10" s="11"/>
      <c r="AK10" s="11"/>
      <c r="AL10" s="11"/>
      <c r="AM10" s="11"/>
      <c r="AN10" s="11"/>
      <c r="AO10" s="11"/>
    </row>
    <row r="11" spans="1:498" ht="15" hidden="1" customHeight="1">
      <c r="A11" s="11"/>
      <c r="B11" s="50" t="s">
        <v>1</v>
      </c>
      <c r="C11" s="17">
        <f>CEILING(D10, 0.00125)</f>
        <v>0</v>
      </c>
      <c r="D11" s="18"/>
      <c r="E11" s="11"/>
      <c r="F11" s="180"/>
      <c r="G11" s="180"/>
      <c r="H11" s="180"/>
      <c r="I11" s="180"/>
      <c r="J11" s="180"/>
      <c r="K11" s="180"/>
      <c r="L11" s="180"/>
      <c r="M11" s="180"/>
      <c r="N11" s="180"/>
      <c r="O11" s="180"/>
      <c r="P11" s="172"/>
      <c r="Q11" s="169"/>
      <c r="R11" s="169"/>
      <c r="S11" s="169"/>
      <c r="T11" s="169"/>
      <c r="U11" s="169"/>
      <c r="V11" s="169"/>
      <c r="W11" s="11"/>
      <c r="X11" s="11"/>
      <c r="Y11" s="11"/>
      <c r="Z11" s="11"/>
      <c r="AA11" s="11"/>
      <c r="AB11" s="11"/>
      <c r="AC11" s="11"/>
      <c r="AD11" s="11"/>
      <c r="AE11" s="11"/>
      <c r="AF11" s="11"/>
      <c r="AG11" s="11"/>
      <c r="AH11" s="11"/>
      <c r="AI11" s="11"/>
      <c r="AJ11" s="11"/>
      <c r="AK11" s="11"/>
      <c r="AL11" s="11"/>
      <c r="AM11" s="11"/>
      <c r="AN11" s="11"/>
      <c r="AO11" s="11"/>
    </row>
    <row r="12" spans="1:498" ht="15" hidden="1" customHeight="1">
      <c r="A12" s="11"/>
      <c r="B12" s="50" t="s">
        <v>2</v>
      </c>
      <c r="C12" s="19">
        <v>12</v>
      </c>
      <c r="D12" s="18"/>
      <c r="E12" s="11"/>
      <c r="F12" s="180"/>
      <c r="G12" s="180"/>
      <c r="H12" s="180"/>
      <c r="I12" s="180"/>
      <c r="J12" s="180"/>
      <c r="K12" s="180"/>
      <c r="L12" s="180"/>
      <c r="M12" s="180"/>
      <c r="N12" s="180"/>
      <c r="O12" s="180"/>
      <c r="P12" s="172"/>
      <c r="Q12" s="169"/>
      <c r="R12" s="169"/>
      <c r="S12" s="169"/>
      <c r="T12" s="169"/>
      <c r="U12" s="169"/>
      <c r="V12" s="169"/>
      <c r="W12" s="11"/>
      <c r="X12" s="11"/>
      <c r="Y12" s="11"/>
      <c r="Z12" s="11"/>
      <c r="AA12" s="11"/>
      <c r="AB12" s="11"/>
      <c r="AC12" s="11"/>
      <c r="AD12" s="11"/>
      <c r="AE12" s="11"/>
      <c r="AF12" s="11"/>
      <c r="AG12" s="11"/>
      <c r="AH12" s="11"/>
      <c r="AI12" s="11"/>
      <c r="AJ12" s="11"/>
      <c r="AK12" s="11"/>
      <c r="AL12" s="11"/>
      <c r="AM12" s="11"/>
      <c r="AN12" s="11"/>
      <c r="AO12" s="11"/>
    </row>
    <row r="13" spans="1:498" ht="6" customHeight="1">
      <c r="A13" s="11"/>
      <c r="B13" s="143"/>
      <c r="C13" s="144"/>
      <c r="D13" s="104"/>
      <c r="E13" s="11"/>
      <c r="F13" s="188" t="s">
        <v>72</v>
      </c>
      <c r="G13" s="188"/>
      <c r="H13" s="188"/>
      <c r="I13" s="188"/>
      <c r="J13" s="188"/>
      <c r="K13" s="188"/>
      <c r="L13" s="188"/>
      <c r="M13" s="188"/>
      <c r="N13" s="188"/>
      <c r="O13" s="188"/>
      <c r="P13" s="172"/>
      <c r="Q13" s="169"/>
      <c r="R13" s="169"/>
      <c r="S13" s="169"/>
      <c r="T13" s="169"/>
      <c r="U13" s="169"/>
      <c r="V13" s="169"/>
      <c r="W13" s="11"/>
      <c r="X13" s="11"/>
      <c r="Y13" s="11"/>
      <c r="Z13" s="11"/>
      <c r="AA13" s="11"/>
      <c r="AB13" s="11"/>
      <c r="AC13" s="11"/>
      <c r="AD13" s="11"/>
      <c r="AE13" s="11"/>
      <c r="AF13" s="11"/>
      <c r="AG13" s="11"/>
      <c r="AH13" s="11"/>
      <c r="AI13" s="11"/>
      <c r="AJ13" s="11"/>
      <c r="AK13" s="11"/>
      <c r="AL13" s="11"/>
      <c r="AM13" s="11"/>
      <c r="AN13" s="11"/>
      <c r="AO13" s="11"/>
    </row>
    <row r="14" spans="1:498" ht="14" hidden="1" customHeight="1">
      <c r="A14" s="11"/>
      <c r="B14" s="50" t="s">
        <v>36</v>
      </c>
      <c r="C14" s="164" t="s">
        <v>48</v>
      </c>
      <c r="D14" s="165" t="str">
        <f>IF(C14="Old","Old IBR",IF(C14="New","New IBR","Error"))</f>
        <v>Old IBR</v>
      </c>
      <c r="E14" s="11"/>
      <c r="F14" s="188"/>
      <c r="G14" s="188"/>
      <c r="H14" s="188"/>
      <c r="I14" s="188"/>
      <c r="J14" s="188"/>
      <c r="K14" s="188"/>
      <c r="L14" s="188"/>
      <c r="M14" s="188"/>
      <c r="N14" s="188"/>
      <c r="O14" s="188"/>
      <c r="P14" s="172"/>
      <c r="Q14" s="169"/>
      <c r="R14" s="169"/>
      <c r="S14" s="169"/>
      <c r="T14" s="169"/>
      <c r="U14" s="169"/>
      <c r="V14" s="169"/>
      <c r="W14" s="11"/>
      <c r="X14" s="11"/>
      <c r="Y14" s="11"/>
      <c r="Z14" s="11"/>
      <c r="AA14" s="11"/>
      <c r="AB14" s="11"/>
      <c r="AC14" s="11"/>
      <c r="AD14" s="11"/>
      <c r="AE14" s="11"/>
      <c r="AF14" s="11"/>
      <c r="AG14" s="11"/>
      <c r="AH14" s="11"/>
      <c r="AI14" s="11"/>
      <c r="AJ14" s="11"/>
      <c r="AK14" s="11"/>
      <c r="AL14" s="11"/>
      <c r="AM14" s="11"/>
      <c r="AN14" s="11"/>
      <c r="AO14" s="11"/>
    </row>
    <row r="15" spans="1:498" ht="14" hidden="1" customHeight="1">
      <c r="A15" s="11"/>
      <c r="B15" s="50" t="s">
        <v>3</v>
      </c>
      <c r="C15" s="163">
        <f>IF(C14="Old",0.15,IF(C14="New",0.1,"Error"))</f>
        <v>0.15</v>
      </c>
      <c r="D15" s="166"/>
      <c r="E15" s="11"/>
      <c r="F15" s="188"/>
      <c r="G15" s="188"/>
      <c r="H15" s="188"/>
      <c r="I15" s="188"/>
      <c r="J15" s="188"/>
      <c r="K15" s="188"/>
      <c r="L15" s="188"/>
      <c r="M15" s="188"/>
      <c r="N15" s="188"/>
      <c r="O15" s="188"/>
      <c r="P15" s="172"/>
      <c r="Q15" s="169"/>
      <c r="R15" s="169"/>
      <c r="S15" s="169"/>
      <c r="T15" s="169"/>
      <c r="U15" s="169"/>
      <c r="V15" s="169"/>
      <c r="W15" s="11"/>
      <c r="X15" s="11"/>
      <c r="Y15" s="11"/>
      <c r="Z15" s="11"/>
      <c r="AA15" s="11"/>
      <c r="AB15" s="11"/>
      <c r="AC15" s="11"/>
      <c r="AD15" s="11"/>
      <c r="AE15" s="62"/>
      <c r="AF15" s="11"/>
      <c r="AG15" s="11"/>
      <c r="AH15" s="11"/>
      <c r="AI15" s="11"/>
      <c r="AJ15" s="11"/>
      <c r="AK15" s="11"/>
      <c r="AL15" s="11"/>
      <c r="AM15" s="11"/>
      <c r="AN15" s="11"/>
      <c r="AO15" s="11"/>
    </row>
    <row r="16" spans="1:498" ht="14" hidden="1" customHeight="1">
      <c r="A16" s="11"/>
      <c r="B16" s="50" t="s">
        <v>4</v>
      </c>
      <c r="C16" s="167">
        <v>0</v>
      </c>
      <c r="D16" s="105"/>
      <c r="E16" s="11"/>
      <c r="F16" s="188"/>
      <c r="G16" s="188"/>
      <c r="H16" s="188"/>
      <c r="I16" s="188"/>
      <c r="J16" s="188"/>
      <c r="K16" s="188"/>
      <c r="L16" s="188"/>
      <c r="M16" s="188"/>
      <c r="N16" s="188"/>
      <c r="O16" s="188"/>
      <c r="P16" s="172"/>
      <c r="Q16" s="169"/>
      <c r="R16" s="169"/>
      <c r="S16" s="169"/>
      <c r="T16" s="169"/>
      <c r="U16" s="169"/>
      <c r="V16" s="169"/>
      <c r="W16" s="11"/>
      <c r="X16" s="11"/>
      <c r="Y16" s="11"/>
      <c r="Z16" s="11"/>
      <c r="AA16" s="11"/>
      <c r="AB16" s="11"/>
      <c r="AC16" s="11"/>
      <c r="AD16" s="11"/>
      <c r="AE16" s="62"/>
      <c r="AF16" s="11"/>
      <c r="AG16" s="11"/>
      <c r="AH16" s="11"/>
      <c r="AI16" s="11"/>
      <c r="AJ16" s="11"/>
      <c r="AK16" s="11"/>
      <c r="AL16" s="11"/>
      <c r="AM16" s="11"/>
      <c r="AN16" s="11"/>
      <c r="AO16" s="11"/>
    </row>
    <row r="17" spans="1:41" ht="14" customHeight="1">
      <c r="A17" s="173" t="s">
        <v>63</v>
      </c>
      <c r="B17" s="55" t="s">
        <v>39</v>
      </c>
      <c r="C17" s="137"/>
      <c r="D17" s="114"/>
      <c r="E17" s="11"/>
      <c r="F17" s="188"/>
      <c r="G17" s="188"/>
      <c r="H17" s="188"/>
      <c r="I17" s="188"/>
      <c r="J17" s="188"/>
      <c r="K17" s="188"/>
      <c r="L17" s="188"/>
      <c r="M17" s="188"/>
      <c r="N17" s="188"/>
      <c r="O17" s="188"/>
      <c r="P17" s="172"/>
      <c r="Q17" s="169"/>
      <c r="R17" s="169"/>
      <c r="S17" s="169"/>
      <c r="T17" s="169"/>
      <c r="U17" s="169"/>
      <c r="V17" s="169"/>
      <c r="W17" s="11"/>
      <c r="X17" s="11"/>
      <c r="Y17" s="11"/>
      <c r="Z17" s="11"/>
      <c r="AA17" s="11"/>
      <c r="AB17" s="11"/>
      <c r="AC17" s="11"/>
      <c r="AD17" s="11"/>
      <c r="AE17" s="62"/>
      <c r="AF17" s="11"/>
      <c r="AG17" s="11"/>
      <c r="AH17" s="11"/>
      <c r="AI17" s="11"/>
      <c r="AJ17" s="11"/>
      <c r="AK17" s="11"/>
      <c r="AL17" s="11"/>
      <c r="AM17" s="11"/>
      <c r="AN17" s="11"/>
      <c r="AO17" s="11"/>
    </row>
    <row r="18" spans="1:41" ht="15" customHeight="1">
      <c r="A18" s="11"/>
      <c r="B18" s="55" t="s">
        <v>40</v>
      </c>
      <c r="C18" s="137"/>
      <c r="D18" s="115"/>
      <c r="E18" s="11"/>
      <c r="F18" s="188"/>
      <c r="G18" s="188"/>
      <c r="H18" s="188"/>
      <c r="I18" s="188"/>
      <c r="J18" s="188"/>
      <c r="K18" s="188"/>
      <c r="L18" s="188"/>
      <c r="M18" s="188"/>
      <c r="N18" s="188"/>
      <c r="O18" s="188"/>
      <c r="P18" s="172"/>
      <c r="Q18" s="169"/>
      <c r="R18" s="169"/>
      <c r="S18" s="169"/>
      <c r="T18" s="169"/>
      <c r="U18" s="169"/>
      <c r="V18" s="169"/>
      <c r="W18" s="11"/>
      <c r="X18" s="11"/>
      <c r="Y18" s="11"/>
      <c r="Z18" s="11"/>
      <c r="AA18" s="11"/>
      <c r="AB18" s="11"/>
      <c r="AC18" s="11"/>
      <c r="AD18" s="11"/>
      <c r="AE18" s="62"/>
      <c r="AF18" s="11"/>
      <c r="AG18" s="11"/>
      <c r="AH18" s="11"/>
      <c r="AI18" s="11"/>
      <c r="AJ18" s="11"/>
      <c r="AK18" s="11"/>
      <c r="AL18" s="11"/>
      <c r="AM18" s="11"/>
      <c r="AN18" s="11"/>
      <c r="AO18" s="11"/>
    </row>
    <row r="19" spans="1:41" ht="14" customHeight="1">
      <c r="A19" s="11"/>
      <c r="B19" s="55" t="s">
        <v>41</v>
      </c>
      <c r="C19" s="137"/>
      <c r="D19" s="115"/>
      <c r="E19" s="11"/>
      <c r="F19" s="188"/>
      <c r="G19" s="188"/>
      <c r="H19" s="188"/>
      <c r="I19" s="188"/>
      <c r="J19" s="188"/>
      <c r="K19" s="188"/>
      <c r="L19" s="188"/>
      <c r="M19" s="188"/>
      <c r="N19" s="188"/>
      <c r="O19" s="188"/>
      <c r="P19" s="169"/>
      <c r="Q19" s="169"/>
      <c r="R19" s="169"/>
      <c r="S19" s="169"/>
      <c r="T19" s="169"/>
      <c r="U19" s="169"/>
      <c r="V19" s="169"/>
      <c r="W19" s="11"/>
      <c r="X19" s="11"/>
      <c r="Y19" s="11"/>
      <c r="Z19" s="11"/>
      <c r="AA19" s="11"/>
      <c r="AB19" s="11"/>
      <c r="AC19" s="11"/>
      <c r="AD19" s="11"/>
      <c r="AE19" s="62"/>
      <c r="AF19" s="11"/>
      <c r="AG19" s="11"/>
      <c r="AH19" s="11"/>
      <c r="AI19" s="11"/>
      <c r="AJ19" s="11"/>
      <c r="AK19" s="11"/>
      <c r="AL19" s="11"/>
      <c r="AM19" s="11"/>
      <c r="AN19" s="11"/>
      <c r="AO19" s="11"/>
    </row>
    <row r="20" spans="1:41" ht="14" customHeight="1">
      <c r="A20" s="11"/>
      <c r="B20" s="55" t="s">
        <v>42</v>
      </c>
      <c r="C20" s="137"/>
      <c r="D20" s="115"/>
      <c r="E20" s="11"/>
      <c r="F20" s="188"/>
      <c r="G20" s="188"/>
      <c r="H20" s="188"/>
      <c r="I20" s="188"/>
      <c r="J20" s="188"/>
      <c r="K20" s="188"/>
      <c r="L20" s="188"/>
      <c r="M20" s="188"/>
      <c r="N20" s="188"/>
      <c r="O20" s="188"/>
      <c r="P20" s="169"/>
      <c r="Q20" s="169"/>
      <c r="R20" s="169"/>
      <c r="S20" s="169"/>
      <c r="T20" s="169"/>
      <c r="U20" s="169"/>
      <c r="V20" s="169"/>
      <c r="W20" s="11"/>
      <c r="X20" s="11"/>
      <c r="Y20" s="11"/>
      <c r="Z20" s="11"/>
      <c r="AA20" s="11"/>
      <c r="AB20" s="11"/>
      <c r="AC20" s="11"/>
      <c r="AD20" s="11"/>
      <c r="AE20" s="62"/>
      <c r="AF20" s="11"/>
      <c r="AG20" s="11"/>
      <c r="AH20" s="11"/>
      <c r="AI20" s="11"/>
      <c r="AJ20" s="11"/>
      <c r="AK20" s="11"/>
      <c r="AL20" s="11"/>
      <c r="AM20" s="11"/>
      <c r="AN20" s="11"/>
      <c r="AO20" s="11"/>
    </row>
    <row r="21" spans="1:41" ht="15" customHeight="1" thickBot="1">
      <c r="A21" s="11"/>
      <c r="B21" s="56" t="s">
        <v>43</v>
      </c>
      <c r="C21" s="138"/>
      <c r="D21" s="116"/>
      <c r="E21" s="11"/>
      <c r="F21" s="188" t="s">
        <v>69</v>
      </c>
      <c r="G21" s="188"/>
      <c r="H21" s="188"/>
      <c r="I21" s="188"/>
      <c r="J21" s="188"/>
      <c r="K21" s="188"/>
      <c r="L21" s="188"/>
      <c r="M21" s="188"/>
      <c r="N21" s="188"/>
      <c r="O21" s="188"/>
      <c r="P21" s="169"/>
      <c r="Q21" s="169"/>
      <c r="R21" s="169"/>
      <c r="S21" s="169"/>
      <c r="T21" s="169"/>
      <c r="U21" s="169"/>
      <c r="V21" s="169"/>
      <c r="W21" s="11"/>
      <c r="X21" s="11"/>
      <c r="Y21" s="11"/>
      <c r="Z21" s="11"/>
      <c r="AA21" s="11"/>
      <c r="AB21" s="11"/>
      <c r="AC21" s="11"/>
      <c r="AD21" s="11"/>
      <c r="AE21" s="62"/>
      <c r="AF21" s="11"/>
      <c r="AG21" s="11"/>
      <c r="AH21" s="11"/>
      <c r="AI21" s="11"/>
      <c r="AJ21" s="11"/>
      <c r="AK21" s="11"/>
      <c r="AL21" s="11"/>
      <c r="AM21" s="11"/>
      <c r="AN21" s="11"/>
      <c r="AO21" s="11"/>
    </row>
    <row r="22" spans="1:41" ht="15" customHeight="1" thickBot="1">
      <c r="A22" s="11"/>
      <c r="B22" s="3"/>
      <c r="C22" s="4"/>
      <c r="E22" s="11"/>
      <c r="F22" s="188"/>
      <c r="G22" s="188"/>
      <c r="H22" s="188"/>
      <c r="I22" s="188"/>
      <c r="J22" s="188"/>
      <c r="K22" s="188"/>
      <c r="L22" s="188"/>
      <c r="M22" s="188"/>
      <c r="N22" s="188"/>
      <c r="O22" s="188"/>
      <c r="P22" s="172"/>
      <c r="Q22" s="11"/>
      <c r="R22" s="11"/>
      <c r="S22" s="11"/>
      <c r="T22" s="11"/>
      <c r="U22" s="11"/>
      <c r="V22" s="11"/>
      <c r="W22" s="11"/>
      <c r="X22" s="11"/>
      <c r="Y22" s="11"/>
      <c r="Z22" s="11"/>
      <c r="AA22" s="11"/>
      <c r="AB22" s="11"/>
      <c r="AC22" s="11"/>
      <c r="AD22" s="11"/>
      <c r="AE22" s="62"/>
      <c r="AF22" s="11"/>
      <c r="AG22" s="11"/>
      <c r="AH22" s="11"/>
      <c r="AI22" s="11"/>
      <c r="AJ22" s="11"/>
      <c r="AK22" s="11"/>
      <c r="AL22" s="11"/>
      <c r="AM22" s="11"/>
      <c r="AN22" s="11"/>
      <c r="AO22" s="11"/>
    </row>
    <row r="23" spans="1:41" ht="15" hidden="1" customHeight="1">
      <c r="A23" s="11"/>
      <c r="B23" s="3"/>
      <c r="C23" s="5"/>
      <c r="D23" s="2"/>
      <c r="E23" s="11"/>
      <c r="F23" s="188"/>
      <c r="G23" s="188"/>
      <c r="H23" s="188"/>
      <c r="I23" s="188"/>
      <c r="J23" s="188"/>
      <c r="K23" s="188"/>
      <c r="L23" s="188"/>
      <c r="M23" s="188"/>
      <c r="N23" s="188"/>
      <c r="O23" s="188"/>
      <c r="P23" s="172"/>
      <c r="Q23" s="11"/>
      <c r="R23" s="11"/>
      <c r="S23" s="11"/>
      <c r="T23" s="11"/>
      <c r="U23" s="11"/>
      <c r="V23" s="11"/>
      <c r="W23" s="11"/>
      <c r="X23" s="11"/>
      <c r="Y23" s="11"/>
      <c r="Z23" s="11"/>
      <c r="AA23" s="11"/>
      <c r="AB23" s="11"/>
      <c r="AC23" s="11"/>
      <c r="AD23" s="11"/>
      <c r="AE23" s="62"/>
      <c r="AF23" s="11"/>
      <c r="AG23" s="11"/>
      <c r="AH23" s="11"/>
      <c r="AI23" s="11"/>
      <c r="AJ23" s="11"/>
      <c r="AK23" s="11"/>
      <c r="AL23" s="11"/>
      <c r="AM23" s="11"/>
      <c r="AN23" s="11"/>
      <c r="AO23" s="11"/>
    </row>
    <row r="24" spans="1:41" ht="15" hidden="1" customHeight="1">
      <c r="A24" s="11"/>
      <c r="B24" s="3"/>
      <c r="C24" s="5"/>
      <c r="D24" s="2"/>
      <c r="E24" s="11"/>
      <c r="F24" s="188"/>
      <c r="G24" s="188"/>
      <c r="H24" s="188"/>
      <c r="I24" s="188"/>
      <c r="J24" s="188"/>
      <c r="K24" s="188"/>
      <c r="L24" s="188"/>
      <c r="M24" s="188"/>
      <c r="N24" s="188"/>
      <c r="O24" s="188"/>
      <c r="P24" s="172"/>
      <c r="Q24" s="11"/>
      <c r="R24" s="11"/>
      <c r="S24" s="11"/>
      <c r="T24" s="11"/>
      <c r="U24" s="11"/>
      <c r="V24" s="11"/>
      <c r="W24" s="11"/>
      <c r="X24" s="11"/>
      <c r="Y24" s="11"/>
      <c r="Z24" s="11"/>
      <c r="AA24" s="11"/>
      <c r="AB24" s="11"/>
      <c r="AC24" s="11"/>
      <c r="AD24" s="11"/>
      <c r="AE24" s="62"/>
      <c r="AF24" s="11"/>
      <c r="AG24" s="11"/>
      <c r="AH24" s="11"/>
      <c r="AI24" s="11"/>
      <c r="AJ24" s="11"/>
      <c r="AK24" s="11"/>
      <c r="AL24" s="11"/>
      <c r="AM24" s="11"/>
      <c r="AN24" s="11"/>
      <c r="AO24" s="11"/>
    </row>
    <row r="25" spans="1:41" ht="15" hidden="1" customHeight="1">
      <c r="A25" s="11"/>
      <c r="B25" s="3"/>
      <c r="C25" s="9"/>
      <c r="D25" s="2"/>
      <c r="E25" s="11"/>
      <c r="F25" s="188"/>
      <c r="G25" s="188"/>
      <c r="H25" s="188"/>
      <c r="I25" s="188"/>
      <c r="J25" s="188"/>
      <c r="K25" s="188"/>
      <c r="L25" s="188"/>
      <c r="M25" s="188"/>
      <c r="N25" s="188"/>
      <c r="O25" s="188"/>
      <c r="P25" s="172"/>
      <c r="Q25" s="11"/>
      <c r="R25" s="11"/>
      <c r="S25" s="11"/>
      <c r="T25" s="11"/>
      <c r="U25" s="11"/>
      <c r="V25" s="11"/>
      <c r="W25" s="11"/>
      <c r="X25" s="11"/>
      <c r="Y25" s="11"/>
      <c r="Z25" s="11"/>
      <c r="AA25" s="11"/>
      <c r="AB25" s="11"/>
      <c r="AC25" s="11"/>
      <c r="AD25" s="11"/>
      <c r="AE25" s="62"/>
      <c r="AF25" s="11"/>
      <c r="AG25" s="11"/>
      <c r="AH25" s="11"/>
      <c r="AI25" s="11"/>
      <c r="AJ25" s="11"/>
      <c r="AK25" s="11"/>
      <c r="AL25" s="11"/>
      <c r="AM25" s="11"/>
      <c r="AN25" s="11"/>
      <c r="AO25" s="11"/>
    </row>
    <row r="26" spans="1:41" ht="15" hidden="1" customHeight="1">
      <c r="A26" s="11"/>
      <c r="B26" s="3" t="s">
        <v>31</v>
      </c>
      <c r="C26" s="13">
        <f>SUM(C7,C8)</f>
        <v>45000</v>
      </c>
      <c r="D26" s="6">
        <f>((C7*D7)+(C8*D8))/C26</f>
        <v>0</v>
      </c>
      <c r="E26" s="11"/>
      <c r="F26" s="188"/>
      <c r="G26" s="188"/>
      <c r="H26" s="188"/>
      <c r="I26" s="188"/>
      <c r="J26" s="188"/>
      <c r="K26" s="188"/>
      <c r="L26" s="188"/>
      <c r="M26" s="188"/>
      <c r="N26" s="188"/>
      <c r="O26" s="188"/>
      <c r="P26" s="172"/>
      <c r="Q26" s="11"/>
      <c r="R26" s="11"/>
      <c r="S26" s="11"/>
      <c r="T26" s="11"/>
      <c r="U26" s="11"/>
      <c r="V26" s="11"/>
      <c r="W26" s="11"/>
      <c r="X26" s="11"/>
      <c r="Y26" s="11"/>
      <c r="Z26" s="11"/>
      <c r="AA26" s="11"/>
      <c r="AB26" s="11"/>
      <c r="AC26" s="11"/>
      <c r="AD26" s="11"/>
      <c r="AE26" s="62"/>
      <c r="AF26" s="11"/>
      <c r="AG26" s="11"/>
      <c r="AH26" s="11"/>
      <c r="AI26" s="11"/>
      <c r="AJ26" s="11"/>
      <c r="AK26" s="11"/>
      <c r="AL26" s="11"/>
      <c r="AM26" s="11"/>
      <c r="AN26" s="11"/>
      <c r="AO26" s="11"/>
    </row>
    <row r="27" spans="1:41" ht="15" hidden="1" customHeight="1">
      <c r="A27" s="11"/>
      <c r="B27" s="3"/>
      <c r="C27" s="13"/>
      <c r="E27" s="11"/>
      <c r="F27" s="188"/>
      <c r="G27" s="188"/>
      <c r="H27" s="188"/>
      <c r="I27" s="188"/>
      <c r="J27" s="188"/>
      <c r="K27" s="188"/>
      <c r="L27" s="188"/>
      <c r="M27" s="188"/>
      <c r="N27" s="188"/>
      <c r="O27" s="188"/>
      <c r="P27" s="172"/>
      <c r="Q27" s="11"/>
      <c r="R27" s="11"/>
      <c r="S27" s="11"/>
      <c r="T27" s="11"/>
      <c r="U27" s="11"/>
      <c r="V27" s="11"/>
      <c r="W27" s="11"/>
      <c r="X27" s="11"/>
      <c r="Y27" s="11"/>
      <c r="Z27" s="11"/>
      <c r="AA27" s="11"/>
      <c r="AB27" s="11"/>
      <c r="AC27" s="11"/>
      <c r="AD27" s="11"/>
      <c r="AE27" s="62"/>
      <c r="AF27" s="11"/>
      <c r="AG27" s="11"/>
      <c r="AH27" s="11"/>
      <c r="AI27" s="11"/>
      <c r="AJ27" s="11"/>
      <c r="AK27" s="11"/>
      <c r="AL27" s="11"/>
      <c r="AM27" s="11"/>
      <c r="AN27" s="11"/>
      <c r="AO27" s="11"/>
    </row>
    <row r="28" spans="1:41" ht="15" hidden="1" customHeight="1">
      <c r="A28" s="11"/>
      <c r="B28" s="3"/>
      <c r="C28" s="13"/>
      <c r="D28" s="6"/>
      <c r="E28" s="11"/>
      <c r="F28" s="188"/>
      <c r="G28" s="188"/>
      <c r="H28" s="188"/>
      <c r="I28" s="188"/>
      <c r="J28" s="188"/>
      <c r="K28" s="188"/>
      <c r="L28" s="188"/>
      <c r="M28" s="188"/>
      <c r="N28" s="188"/>
      <c r="O28" s="188"/>
      <c r="P28" s="172"/>
      <c r="Q28" s="11"/>
      <c r="R28" s="11"/>
      <c r="S28" s="11"/>
      <c r="T28" s="11"/>
      <c r="U28" s="11"/>
      <c r="V28" s="11"/>
      <c r="W28" s="11"/>
      <c r="X28" s="11"/>
      <c r="Y28" s="11"/>
      <c r="Z28" s="11"/>
      <c r="AA28" s="11"/>
      <c r="AB28" s="11"/>
      <c r="AC28" s="11"/>
      <c r="AD28" s="11"/>
      <c r="AE28" s="62"/>
      <c r="AF28" s="11"/>
      <c r="AG28" s="11"/>
      <c r="AH28" s="11"/>
      <c r="AI28" s="11"/>
      <c r="AJ28" s="11"/>
      <c r="AK28" s="11"/>
      <c r="AL28" s="11"/>
      <c r="AM28" s="11"/>
      <c r="AN28" s="11"/>
      <c r="AO28" s="11"/>
    </row>
    <row r="29" spans="1:41" ht="15" hidden="1" customHeight="1">
      <c r="A29" s="11"/>
      <c r="B29" s="3"/>
      <c r="C29" s="13"/>
      <c r="D29" s="6"/>
      <c r="E29" s="11"/>
      <c r="F29" s="188"/>
      <c r="G29" s="188"/>
      <c r="H29" s="188"/>
      <c r="I29" s="188"/>
      <c r="J29" s="188"/>
      <c r="K29" s="188"/>
      <c r="L29" s="188"/>
      <c r="M29" s="188"/>
      <c r="N29" s="188"/>
      <c r="O29" s="188"/>
      <c r="P29" s="172"/>
      <c r="Q29" s="11"/>
      <c r="R29" s="11"/>
      <c r="S29" s="11"/>
      <c r="T29" s="11"/>
      <c r="U29" s="11"/>
      <c r="V29" s="11"/>
      <c r="W29" s="11"/>
      <c r="X29" s="11"/>
      <c r="Y29" s="11"/>
      <c r="Z29" s="11"/>
      <c r="AA29" s="11"/>
      <c r="AB29" s="11"/>
      <c r="AC29" s="11"/>
      <c r="AD29" s="11"/>
      <c r="AE29" s="62"/>
      <c r="AF29" s="11"/>
      <c r="AG29" s="11"/>
      <c r="AH29" s="11"/>
      <c r="AI29" s="11"/>
      <c r="AJ29" s="11"/>
      <c r="AK29" s="11"/>
      <c r="AL29" s="11"/>
      <c r="AM29" s="11"/>
      <c r="AN29" s="11"/>
      <c r="AO29" s="11"/>
    </row>
    <row r="30" spans="1:41" ht="15" hidden="1" customHeight="1">
      <c r="A30" s="11"/>
      <c r="B30" s="3" t="s">
        <v>32</v>
      </c>
      <c r="C30" s="13">
        <f>C6</f>
        <v>0</v>
      </c>
      <c r="D30" s="6">
        <v>6.8000000000000005E-2</v>
      </c>
      <c r="E30" s="11"/>
      <c r="F30" s="188"/>
      <c r="G30" s="188"/>
      <c r="H30" s="188"/>
      <c r="I30" s="188"/>
      <c r="J30" s="188"/>
      <c r="K30" s="188"/>
      <c r="L30" s="188"/>
      <c r="M30" s="188"/>
      <c r="N30" s="188"/>
      <c r="O30" s="188"/>
      <c r="P30" s="172"/>
      <c r="Q30" s="11"/>
      <c r="R30" s="11"/>
      <c r="S30" s="11"/>
      <c r="T30" s="11"/>
      <c r="U30" s="11"/>
      <c r="V30" s="11"/>
      <c r="W30" s="11"/>
      <c r="X30" s="11"/>
      <c r="Y30" s="11"/>
      <c r="Z30" s="11"/>
      <c r="AA30" s="11"/>
      <c r="AB30" s="11"/>
      <c r="AC30" s="11"/>
      <c r="AD30" s="11"/>
      <c r="AE30" s="62"/>
      <c r="AF30" s="11"/>
      <c r="AG30" s="11"/>
      <c r="AH30" s="11"/>
      <c r="AI30" s="11"/>
      <c r="AJ30" s="11"/>
      <c r="AK30" s="11"/>
      <c r="AL30" s="11"/>
      <c r="AM30" s="11"/>
      <c r="AN30" s="11"/>
      <c r="AO30" s="11"/>
    </row>
    <row r="31" spans="1:41" ht="15" hidden="1" customHeight="1">
      <c r="A31" s="11"/>
      <c r="B31" s="3"/>
      <c r="C31" s="4"/>
      <c r="D31" s="6"/>
      <c r="E31" s="11"/>
      <c r="F31" s="188"/>
      <c r="G31" s="188"/>
      <c r="H31" s="188"/>
      <c r="I31" s="188"/>
      <c r="J31" s="188"/>
      <c r="K31" s="188"/>
      <c r="L31" s="188"/>
      <c r="M31" s="188"/>
      <c r="N31" s="188"/>
      <c r="O31" s="188"/>
      <c r="P31" s="172"/>
      <c r="Q31" s="11"/>
      <c r="R31" s="11"/>
      <c r="S31" s="11"/>
      <c r="T31" s="11"/>
      <c r="U31" s="11"/>
      <c r="V31" s="11"/>
      <c r="W31" s="11"/>
      <c r="X31" s="11"/>
      <c r="Y31" s="11"/>
      <c r="Z31" s="11"/>
      <c r="AA31" s="11"/>
      <c r="AB31" s="11"/>
      <c r="AC31" s="11"/>
      <c r="AD31" s="11"/>
      <c r="AE31" s="62"/>
      <c r="AF31" s="11"/>
      <c r="AG31" s="11"/>
      <c r="AH31" s="11"/>
      <c r="AI31" s="11"/>
      <c r="AJ31" s="11"/>
      <c r="AK31" s="11"/>
      <c r="AL31" s="11"/>
      <c r="AM31" s="11"/>
      <c r="AN31" s="11"/>
      <c r="AO31" s="11"/>
    </row>
    <row r="32" spans="1:41" ht="15" hidden="1" customHeight="1">
      <c r="A32" s="11"/>
      <c r="B32" s="3" t="s">
        <v>28</v>
      </c>
      <c r="C32" s="10">
        <f>C26/(C26+C30)</f>
        <v>1</v>
      </c>
      <c r="D32" s="6"/>
      <c r="E32" s="11"/>
      <c r="F32" s="188"/>
      <c r="G32" s="188"/>
      <c r="H32" s="188"/>
      <c r="I32" s="188"/>
      <c r="J32" s="188"/>
      <c r="K32" s="188"/>
      <c r="L32" s="188"/>
      <c r="M32" s="188"/>
      <c r="N32" s="188"/>
      <c r="O32" s="188"/>
      <c r="P32" s="172"/>
      <c r="Q32" s="11"/>
      <c r="R32" s="11"/>
      <c r="S32" s="11"/>
      <c r="T32" s="11"/>
      <c r="U32" s="11"/>
      <c r="V32" s="11"/>
      <c r="W32" s="11"/>
      <c r="X32" s="11"/>
      <c r="Y32" s="11"/>
      <c r="Z32" s="11"/>
      <c r="AA32" s="11"/>
      <c r="AB32" s="11"/>
      <c r="AC32" s="11"/>
      <c r="AD32" s="11"/>
      <c r="AE32" s="62"/>
      <c r="AF32" s="11"/>
      <c r="AG32" s="11"/>
      <c r="AH32" s="11"/>
      <c r="AI32" s="11"/>
      <c r="AJ32" s="11"/>
      <c r="AK32" s="11"/>
      <c r="AL32" s="11"/>
      <c r="AM32" s="11"/>
      <c r="AN32" s="11"/>
      <c r="AO32" s="11"/>
    </row>
    <row r="33" spans="1:41" ht="15" hidden="1" customHeight="1">
      <c r="A33" s="11"/>
      <c r="B33" s="3"/>
      <c r="C33" s="10"/>
      <c r="D33" s="6"/>
      <c r="E33" s="11"/>
      <c r="F33" s="188"/>
      <c r="G33" s="188"/>
      <c r="H33" s="188"/>
      <c r="I33" s="188"/>
      <c r="J33" s="188"/>
      <c r="K33" s="188"/>
      <c r="L33" s="188"/>
      <c r="M33" s="188"/>
      <c r="N33" s="188"/>
      <c r="O33" s="188"/>
      <c r="P33" s="172"/>
      <c r="Q33" s="11"/>
      <c r="R33" s="11"/>
      <c r="S33" s="11"/>
      <c r="T33" s="11"/>
      <c r="U33" s="11"/>
      <c r="V33" s="11"/>
      <c r="W33" s="11"/>
      <c r="X33" s="11"/>
      <c r="Y33" s="11"/>
      <c r="Z33" s="11"/>
      <c r="AA33" s="11"/>
      <c r="AB33" s="11"/>
      <c r="AC33" s="11"/>
      <c r="AD33" s="11"/>
      <c r="AE33" s="62"/>
      <c r="AF33" s="11"/>
      <c r="AG33" s="11"/>
      <c r="AH33" s="11"/>
      <c r="AI33" s="11"/>
      <c r="AJ33" s="11"/>
      <c r="AK33" s="11"/>
      <c r="AL33" s="11"/>
      <c r="AM33" s="11"/>
      <c r="AN33" s="11"/>
      <c r="AO33" s="11"/>
    </row>
    <row r="34" spans="1:41" ht="15" hidden="1" customHeight="1" thickBot="1">
      <c r="A34" s="11"/>
      <c r="B34" s="3"/>
      <c r="C34" s="12"/>
      <c r="D34" s="12"/>
      <c r="E34" s="11"/>
      <c r="F34" s="188"/>
      <c r="G34" s="188"/>
      <c r="H34" s="188"/>
      <c r="I34" s="188"/>
      <c r="J34" s="188"/>
      <c r="K34" s="188"/>
      <c r="L34" s="188"/>
      <c r="M34" s="188"/>
      <c r="N34" s="188"/>
      <c r="O34" s="188"/>
      <c r="P34" s="172"/>
      <c r="Q34" s="11"/>
      <c r="R34" s="11"/>
      <c r="S34" s="11"/>
      <c r="T34" s="11"/>
      <c r="U34" s="11"/>
      <c r="V34" s="11"/>
      <c r="W34" s="11"/>
      <c r="X34" s="11"/>
      <c r="Y34" s="11"/>
      <c r="Z34" s="11"/>
      <c r="AA34" s="11"/>
      <c r="AB34" s="11"/>
      <c r="AC34" s="11"/>
      <c r="AD34" s="11"/>
      <c r="AE34" s="62"/>
      <c r="AF34" s="11"/>
      <c r="AG34" s="11"/>
      <c r="AH34" s="11"/>
      <c r="AI34" s="11"/>
      <c r="AJ34" s="11"/>
      <c r="AK34" s="11"/>
      <c r="AL34" s="11"/>
      <c r="AM34" s="11"/>
      <c r="AN34" s="11"/>
      <c r="AO34" s="11"/>
    </row>
    <row r="35" spans="1:41">
      <c r="A35" s="11"/>
      <c r="B35" s="155" t="s">
        <v>56</v>
      </c>
      <c r="C35" s="53" t="s">
        <v>17</v>
      </c>
      <c r="D35" s="54" t="s">
        <v>30</v>
      </c>
      <c r="E35" s="11"/>
      <c r="F35" s="188"/>
      <c r="G35" s="188"/>
      <c r="H35" s="188"/>
      <c r="I35" s="188"/>
      <c r="J35" s="188"/>
      <c r="K35" s="188"/>
      <c r="L35" s="188"/>
      <c r="M35" s="188"/>
      <c r="N35" s="188"/>
      <c r="O35" s="188"/>
      <c r="P35" s="172"/>
      <c r="Q35" s="11"/>
      <c r="R35" s="11"/>
      <c r="S35" s="11"/>
      <c r="T35" s="11"/>
      <c r="U35" s="11"/>
      <c r="V35" s="11"/>
      <c r="W35" s="11"/>
      <c r="X35" s="11"/>
      <c r="Y35" s="11"/>
      <c r="Z35" s="11"/>
      <c r="AA35" s="11"/>
      <c r="AB35" s="11"/>
      <c r="AC35" s="11"/>
      <c r="AD35" s="11"/>
      <c r="AE35" s="62"/>
      <c r="AF35" s="11"/>
      <c r="AG35" s="11"/>
      <c r="AH35" s="11"/>
      <c r="AI35" s="11"/>
      <c r="AJ35" s="11"/>
      <c r="AK35" s="11"/>
      <c r="AL35" s="11"/>
      <c r="AM35" s="11"/>
      <c r="AN35" s="11"/>
      <c r="AO35" s="11"/>
    </row>
    <row r="36" spans="1:41" ht="14" customHeight="1">
      <c r="A36" s="173">
        <v>8</v>
      </c>
      <c r="B36" s="14" t="str">
        <f>IF(C14="Old","Old IBR",IF(C14="New","New IBR","Error"))</f>
        <v>Old IBR</v>
      </c>
      <c r="C36" s="81">
        <f>IF(C10=0,"",IF(F74="Ineligible","Ineligible",SUM(F60:AD60)))</f>
        <v>45000</v>
      </c>
      <c r="D36" s="82">
        <f>IF(C10=0,"",IF(F74="Ineligible","Ineligible",IF(C15=0.1,Y63,IF(C15=0.15,AD63,"ERROR"))))</f>
        <v>0</v>
      </c>
      <c r="E36" s="11"/>
      <c r="F36" s="188"/>
      <c r="G36" s="188"/>
      <c r="H36" s="188"/>
      <c r="I36" s="188"/>
      <c r="J36" s="188"/>
      <c r="K36" s="188"/>
      <c r="L36" s="188"/>
      <c r="M36" s="188"/>
      <c r="N36" s="188"/>
      <c r="O36" s="188"/>
      <c r="P36" s="172"/>
      <c r="Q36" s="11"/>
      <c r="R36" s="11"/>
      <c r="S36" s="11"/>
      <c r="T36" s="11"/>
      <c r="U36" s="11"/>
      <c r="V36" s="11"/>
      <c r="W36" s="11"/>
      <c r="X36" s="11"/>
      <c r="Y36" s="11"/>
      <c r="Z36" s="11"/>
      <c r="AA36" s="11"/>
      <c r="AB36" s="11"/>
      <c r="AC36" s="11"/>
      <c r="AD36" s="11"/>
      <c r="AE36" s="62"/>
      <c r="AF36" s="11"/>
      <c r="AG36" s="11"/>
      <c r="AH36" s="11"/>
      <c r="AI36" s="11"/>
      <c r="AJ36" s="11"/>
      <c r="AK36" s="11"/>
      <c r="AL36" s="11"/>
      <c r="AM36" s="11"/>
      <c r="AN36" s="11"/>
      <c r="AO36" s="11"/>
    </row>
    <row r="37" spans="1:41">
      <c r="A37" s="11"/>
      <c r="B37" s="14" t="s">
        <v>59</v>
      </c>
      <c r="C37" s="81">
        <f>IF(C10=0,"",IF(F77="Ineligible","Ineligible",SUM(F65:Y65)))</f>
        <v>45000</v>
      </c>
      <c r="D37" s="82">
        <f>IF(C10=0,"",IF(F77="Ineligible","Ineligible",Y71))</f>
        <v>0</v>
      </c>
      <c r="E37" s="11"/>
      <c r="F37" s="188"/>
      <c r="G37" s="188"/>
      <c r="H37" s="188"/>
      <c r="I37" s="188"/>
      <c r="J37" s="188"/>
      <c r="K37" s="188"/>
      <c r="L37" s="188"/>
      <c r="M37" s="188"/>
      <c r="N37" s="188"/>
      <c r="O37" s="188"/>
      <c r="P37" s="176"/>
      <c r="Q37" s="177"/>
      <c r="R37" s="177"/>
      <c r="S37" s="177"/>
      <c r="T37" s="177"/>
      <c r="U37" s="177"/>
      <c r="V37" s="177"/>
      <c r="W37" s="177"/>
      <c r="X37" s="177"/>
      <c r="Y37" s="177"/>
      <c r="Z37" s="177"/>
      <c r="AA37" s="177"/>
      <c r="AB37" s="177"/>
      <c r="AC37" s="177"/>
      <c r="AD37" s="177"/>
      <c r="AE37" s="178"/>
      <c r="AF37" s="177"/>
      <c r="AG37" s="177"/>
      <c r="AH37" s="177"/>
      <c r="AI37" s="177"/>
      <c r="AJ37" s="11"/>
      <c r="AK37" s="11"/>
      <c r="AL37" s="11"/>
      <c r="AM37" s="11"/>
      <c r="AN37" s="11"/>
      <c r="AO37" s="11"/>
    </row>
    <row r="38" spans="1:41">
      <c r="A38" s="11"/>
      <c r="B38" s="14" t="s">
        <v>74</v>
      </c>
      <c r="C38" s="81">
        <f>IF(C10=0,"",IF(F77="Ineligible","Ineligible",SUM(F65:O65)))</f>
        <v>22281.004185557962</v>
      </c>
      <c r="D38" s="82">
        <f>IF(C10=0,"",IF(F77="Ineligible","Ineligible",O71))</f>
        <v>22718.995814442038</v>
      </c>
      <c r="E38" s="11"/>
      <c r="F38" s="183"/>
      <c r="G38" s="183"/>
      <c r="H38" s="183"/>
      <c r="I38" s="183"/>
      <c r="J38" s="183"/>
      <c r="K38" s="183"/>
      <c r="L38" s="183"/>
      <c r="M38" s="183"/>
      <c r="N38" s="183"/>
      <c r="O38" s="183"/>
      <c r="P38" s="176"/>
      <c r="Q38" s="177"/>
      <c r="R38" s="177"/>
      <c r="S38" s="177"/>
      <c r="T38" s="177"/>
      <c r="U38" s="177"/>
      <c r="V38" s="177"/>
      <c r="W38" s="177"/>
      <c r="X38" s="177"/>
      <c r="Y38" s="177"/>
      <c r="Z38" s="177"/>
      <c r="AA38" s="177"/>
      <c r="AB38" s="177"/>
      <c r="AC38" s="177"/>
      <c r="AD38" s="177"/>
      <c r="AE38" s="178"/>
      <c r="AF38" s="177"/>
      <c r="AG38" s="177"/>
      <c r="AH38" s="177"/>
      <c r="AI38" s="177"/>
      <c r="AJ38" s="11"/>
      <c r="AK38" s="11"/>
      <c r="AL38" s="11"/>
      <c r="AM38" s="11"/>
      <c r="AN38" s="11"/>
      <c r="AO38" s="11"/>
    </row>
    <row r="39" spans="1:41">
      <c r="A39" s="11"/>
      <c r="B39" s="15" t="s">
        <v>54</v>
      </c>
      <c r="C39" s="182">
        <f>IF(C10=0,"",SUM(F85:O85)*12)</f>
        <v>45000</v>
      </c>
      <c r="D39" s="85" t="str">
        <f>IF($C$10=0,"","N/A")</f>
        <v>N/A</v>
      </c>
      <c r="E39" s="11"/>
      <c r="F39" s="189" t="s">
        <v>70</v>
      </c>
      <c r="G39" s="189"/>
      <c r="H39" s="189"/>
      <c r="I39" s="189"/>
      <c r="J39" s="189"/>
      <c r="K39" s="189"/>
      <c r="L39" s="189"/>
      <c r="M39" s="189"/>
      <c r="N39" s="189"/>
      <c r="O39" s="189"/>
      <c r="P39" s="179"/>
      <c r="Q39" s="179"/>
      <c r="R39" s="179"/>
      <c r="S39" s="179"/>
      <c r="T39" s="179"/>
      <c r="U39" s="179"/>
      <c r="V39" s="179"/>
      <c r="W39" s="179"/>
      <c r="X39" s="179"/>
      <c r="Y39" s="179"/>
      <c r="Z39" s="179"/>
      <c r="AA39" s="179"/>
      <c r="AB39" s="179"/>
      <c r="AC39" s="179"/>
      <c r="AD39" s="179"/>
      <c r="AE39" s="179"/>
      <c r="AF39" s="179"/>
      <c r="AG39" s="179"/>
      <c r="AH39" s="179"/>
      <c r="AI39" s="179"/>
      <c r="AJ39" s="11"/>
      <c r="AK39" s="11"/>
      <c r="AL39" s="11"/>
      <c r="AM39" s="11"/>
      <c r="AN39" s="11"/>
      <c r="AO39" s="11"/>
    </row>
    <row r="40" spans="1:41">
      <c r="A40" s="11"/>
      <c r="B40" s="14" t="s">
        <v>37</v>
      </c>
      <c r="C40" s="83">
        <f>IF(C10=0,"",SUM(F83:AI83)*12)</f>
        <v>45000</v>
      </c>
      <c r="D40" s="85" t="str">
        <f t="shared" ref="D40:D41" si="0">IF($C$10=0,"","N/A")</f>
        <v>N/A</v>
      </c>
      <c r="E40" s="11"/>
      <c r="F40" s="188" t="s">
        <v>71</v>
      </c>
      <c r="G40" s="188"/>
      <c r="H40" s="188"/>
      <c r="I40" s="188"/>
      <c r="J40" s="188"/>
      <c r="K40" s="188"/>
      <c r="L40" s="188"/>
      <c r="M40" s="188"/>
      <c r="N40" s="188"/>
      <c r="O40" s="188"/>
      <c r="P40" s="179"/>
      <c r="Q40" s="179"/>
      <c r="R40" s="179"/>
      <c r="S40" s="179"/>
      <c r="T40" s="179"/>
      <c r="U40" s="179"/>
      <c r="V40" s="179"/>
      <c r="W40" s="179"/>
      <c r="X40" s="179"/>
      <c r="Y40" s="179"/>
      <c r="Z40" s="179"/>
      <c r="AA40" s="179"/>
      <c r="AB40" s="179"/>
      <c r="AC40" s="179"/>
      <c r="AD40" s="179"/>
      <c r="AE40" s="179"/>
      <c r="AF40" s="179"/>
      <c r="AG40" s="179"/>
      <c r="AH40" s="179"/>
      <c r="AI40" s="179"/>
      <c r="AJ40" s="11"/>
      <c r="AK40" s="11"/>
      <c r="AL40" s="11"/>
      <c r="AM40" s="11"/>
      <c r="AN40" s="11"/>
      <c r="AO40" s="11"/>
    </row>
    <row r="41" spans="1:41">
      <c r="A41" s="11"/>
      <c r="B41" s="15" t="s">
        <v>38</v>
      </c>
      <c r="C41" s="83">
        <f>IF(C10=0,"",IF(K91="N/A","N/A",SUM(F91:AI91)*12))</f>
        <v>45000.000000000007</v>
      </c>
      <c r="D41" s="85" t="str">
        <f t="shared" si="0"/>
        <v>N/A</v>
      </c>
      <c r="E41" s="11"/>
      <c r="F41" s="188"/>
      <c r="G41" s="188"/>
      <c r="H41" s="188"/>
      <c r="I41" s="188"/>
      <c r="J41" s="188"/>
      <c r="K41" s="188"/>
      <c r="L41" s="188"/>
      <c r="M41" s="188"/>
      <c r="N41" s="188"/>
      <c r="O41" s="188"/>
      <c r="P41" s="179"/>
      <c r="Q41" s="179"/>
      <c r="R41" s="179"/>
      <c r="S41" s="179"/>
      <c r="T41" s="179"/>
      <c r="U41" s="179"/>
      <c r="V41" s="179"/>
      <c r="W41" s="179"/>
      <c r="X41" s="179"/>
      <c r="Y41" s="179"/>
      <c r="Z41" s="179"/>
      <c r="AA41" s="179"/>
      <c r="AB41" s="179"/>
      <c r="AC41" s="179"/>
      <c r="AD41" s="179"/>
      <c r="AE41" s="179"/>
      <c r="AF41" s="179"/>
      <c r="AG41" s="179"/>
      <c r="AH41" s="179"/>
      <c r="AI41" s="179"/>
      <c r="AJ41" s="11"/>
      <c r="AK41" s="11"/>
      <c r="AL41" s="11"/>
      <c r="AM41" s="11"/>
      <c r="AN41" s="11"/>
      <c r="AO41" s="11"/>
    </row>
    <row r="42" spans="1:41" ht="15" thickBot="1">
      <c r="A42" s="11"/>
      <c r="B42" s="97" t="s">
        <v>61</v>
      </c>
      <c r="C42" s="84">
        <f>IF(C10=0,"",IF(F105="Ineligible","Ineligible",SUM(F101:AD101)))</f>
        <v>45000</v>
      </c>
      <c r="D42" s="181">
        <f>IF(C10=0,"",IF(F105="Ineligible","Ineligible",IF(
C10&lt;40000+N("If the loan balance is less than 40,000 THEN"),
Y107+N("The loan balance at 20 years")+N("If not, THEN"),
AD107)))</f>
        <v>0</v>
      </c>
      <c r="E42" s="11"/>
      <c r="F42" s="188"/>
      <c r="G42" s="188"/>
      <c r="H42" s="188"/>
      <c r="I42" s="188"/>
      <c r="J42" s="188"/>
      <c r="K42" s="188"/>
      <c r="L42" s="188"/>
      <c r="M42" s="188"/>
      <c r="N42" s="188"/>
      <c r="O42" s="188"/>
      <c r="P42" s="179"/>
      <c r="Q42" s="179"/>
      <c r="R42" s="179"/>
      <c r="S42" s="179"/>
      <c r="T42" s="179"/>
      <c r="U42" s="179"/>
      <c r="V42" s="179"/>
      <c r="W42" s="179"/>
      <c r="X42" s="179"/>
      <c r="Y42" s="179"/>
      <c r="Z42" s="179"/>
      <c r="AA42" s="179"/>
      <c r="AB42" s="179"/>
      <c r="AC42" s="179"/>
      <c r="AD42" s="179"/>
      <c r="AE42" s="179"/>
      <c r="AF42" s="179"/>
      <c r="AG42" s="179"/>
      <c r="AH42" s="179"/>
      <c r="AI42" s="179"/>
      <c r="AJ42" s="11"/>
      <c r="AK42" s="11"/>
      <c r="AL42" s="11"/>
      <c r="AM42" s="11"/>
      <c r="AN42" s="11"/>
      <c r="AO42" s="11"/>
    </row>
    <row r="43" spans="1:41">
      <c r="A43" s="11"/>
      <c r="B43" s="64"/>
      <c r="C43" s="65"/>
      <c r="D43" s="66"/>
      <c r="E43" s="11"/>
      <c r="F43" s="168"/>
      <c r="G43" s="168"/>
      <c r="H43" s="168"/>
      <c r="I43" s="168"/>
      <c r="J43" s="168"/>
      <c r="K43" s="168"/>
      <c r="L43" s="168"/>
      <c r="M43" s="168"/>
      <c r="N43" s="168"/>
      <c r="O43" s="168"/>
      <c r="P43" s="179"/>
      <c r="Q43" s="179"/>
      <c r="R43" s="179"/>
      <c r="S43" s="179"/>
      <c r="T43" s="179"/>
      <c r="U43" s="179"/>
      <c r="V43" s="179"/>
      <c r="W43" s="179"/>
      <c r="X43" s="179"/>
      <c r="Y43" s="179"/>
      <c r="Z43" s="179"/>
      <c r="AA43" s="179"/>
      <c r="AB43" s="179"/>
      <c r="AC43" s="179"/>
      <c r="AD43" s="179"/>
      <c r="AE43" s="179"/>
      <c r="AF43" s="179"/>
      <c r="AG43" s="179"/>
      <c r="AH43" s="179"/>
      <c r="AI43" s="179"/>
      <c r="AJ43" s="11"/>
      <c r="AK43" s="11"/>
      <c r="AL43" s="11"/>
      <c r="AM43" s="11"/>
      <c r="AN43" s="11"/>
      <c r="AO43" s="11"/>
    </row>
    <row r="44" spans="1:41">
      <c r="A44" s="11"/>
      <c r="B44" s="136" t="s">
        <v>51</v>
      </c>
      <c r="C44" s="65"/>
      <c r="D44" s="66"/>
      <c r="E44" s="11"/>
      <c r="F44" s="168"/>
      <c r="G44" s="168"/>
      <c r="H44" s="168"/>
      <c r="I44" s="168"/>
      <c r="J44" s="168"/>
      <c r="K44" s="168"/>
      <c r="L44" s="168"/>
      <c r="M44" s="168"/>
      <c r="N44" s="168"/>
      <c r="O44" s="168"/>
      <c r="P44" s="177"/>
      <c r="Q44" s="177"/>
      <c r="R44" s="177"/>
      <c r="S44" s="177"/>
      <c r="T44" s="177"/>
      <c r="U44" s="177"/>
      <c r="V44" s="177"/>
      <c r="W44" s="177"/>
      <c r="X44" s="177"/>
      <c r="Y44" s="177"/>
      <c r="Z44" s="177"/>
      <c r="AA44" s="177"/>
      <c r="AB44" s="177"/>
      <c r="AC44" s="177"/>
      <c r="AD44" s="177"/>
      <c r="AE44" s="178"/>
      <c r="AF44" s="177"/>
      <c r="AG44" s="177"/>
      <c r="AH44" s="177"/>
      <c r="AI44" s="177"/>
      <c r="AJ44" s="11"/>
      <c r="AK44" s="11"/>
      <c r="AL44" s="11"/>
      <c r="AM44" s="11"/>
      <c r="AN44" s="11"/>
      <c r="AO44" s="11"/>
    </row>
    <row r="45" spans="1:41" hidden="1">
      <c r="A45" s="11"/>
      <c r="B45" s="136"/>
      <c r="C45" s="65"/>
      <c r="D45" s="66"/>
      <c r="E45" s="11"/>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8"/>
      <c r="AF45" s="177"/>
      <c r="AG45" s="177"/>
      <c r="AH45" s="177"/>
      <c r="AI45" s="177"/>
      <c r="AJ45" s="11"/>
      <c r="AK45" s="11"/>
      <c r="AL45" s="11"/>
      <c r="AM45" s="11"/>
      <c r="AN45" s="11"/>
      <c r="AO45" s="11"/>
    </row>
    <row r="46" spans="1:41" hidden="1">
      <c r="A46" s="11"/>
      <c r="B46" s="136"/>
      <c r="C46" s="65"/>
      <c r="D46" s="66"/>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62"/>
      <c r="AF46" s="11"/>
      <c r="AG46" s="11"/>
      <c r="AH46" s="11"/>
      <c r="AI46" s="11"/>
      <c r="AJ46" s="11"/>
      <c r="AK46" s="11"/>
      <c r="AL46" s="11"/>
      <c r="AM46" s="11"/>
      <c r="AN46" s="11"/>
      <c r="AO46" s="11"/>
    </row>
    <row r="47" spans="1:41" hidden="1">
      <c r="A47" s="11"/>
      <c r="B47" s="136"/>
      <c r="C47" s="65"/>
      <c r="D47" s="66"/>
      <c r="E47" s="11"/>
      <c r="F47" s="179">
        <v>68000</v>
      </c>
      <c r="G47" s="179">
        <f>F47*1.025</f>
        <v>69700</v>
      </c>
      <c r="H47" s="179">
        <f t="shared" ref="H47:H50" si="1">G47*1.025</f>
        <v>71442.5</v>
      </c>
      <c r="I47" s="179">
        <f t="shared" ref="I47:I50" si="2">H47*1.025</f>
        <v>73228.5625</v>
      </c>
      <c r="J47" s="179">
        <f t="shared" ref="J47:J50" si="3">I47*1.025</f>
        <v>75059.276562499988</v>
      </c>
      <c r="K47" s="179">
        <f t="shared" ref="K47:K50" si="4">J47*1.025</f>
        <v>76935.758476562478</v>
      </c>
      <c r="L47" s="179">
        <f t="shared" ref="L47:L50" si="5">K47*1.025</f>
        <v>78859.152438476536</v>
      </c>
      <c r="M47" s="179">
        <f t="shared" ref="M47:M50" si="6">L47*1.025</f>
        <v>80830.631249438447</v>
      </c>
      <c r="N47" s="179">
        <f t="shared" ref="N47:N50" si="7">M47*1.025</f>
        <v>82851.397030674401</v>
      </c>
      <c r="O47" s="179">
        <f t="shared" ref="O47:O50" si="8">N47*1.025</f>
        <v>84922.681956441258</v>
      </c>
      <c r="P47" s="179">
        <f t="shared" ref="P47:P50" si="9">O47*1.025</f>
        <v>87045.749005352278</v>
      </c>
      <c r="Q47" s="179">
        <f t="shared" ref="Q47:Q50" si="10">P47*1.025</f>
        <v>89221.89273048607</v>
      </c>
      <c r="R47" s="179">
        <f t="shared" ref="R47:R50" si="11">Q47*1.025</f>
        <v>91452.44004874822</v>
      </c>
      <c r="S47" s="179">
        <f t="shared" ref="S47:S50" si="12">R47*1.025</f>
        <v>93738.751049966915</v>
      </c>
      <c r="T47" s="179">
        <f t="shared" ref="T47:T50" si="13">S47*1.025</f>
        <v>96082.219826216082</v>
      </c>
      <c r="U47" s="179">
        <f t="shared" ref="U47:U50" si="14">T47*1.025</f>
        <v>98484.275321871479</v>
      </c>
      <c r="V47" s="179">
        <f t="shared" ref="V47:V50" si="15">U47*1.025</f>
        <v>100946.38220491826</v>
      </c>
      <c r="W47" s="179">
        <f t="shared" ref="W47:W50" si="16">V47*1.025</f>
        <v>103470.04176004122</v>
      </c>
      <c r="X47" s="179">
        <f t="shared" ref="X47:X50" si="17">W47*1.025</f>
        <v>106056.79280404224</v>
      </c>
      <c r="Y47" s="179">
        <f t="shared" ref="Y47:Y50" si="18">X47*1.025</f>
        <v>108708.21262414329</v>
      </c>
      <c r="Z47" s="179">
        <f t="shared" ref="Z47:Z50" si="19">Y47*1.025</f>
        <v>111425.91793974685</v>
      </c>
      <c r="AA47" s="179">
        <f t="shared" ref="AA47:AA50" si="20">Z47*1.025</f>
        <v>114211.56588824051</v>
      </c>
      <c r="AB47" s="179">
        <f t="shared" ref="AB47:AB50" si="21">AA47*1.025</f>
        <v>117066.85503544651</v>
      </c>
      <c r="AC47" s="179">
        <f t="shared" ref="AC47:AC50" si="22">AB47*1.025</f>
        <v>119993.52641133267</v>
      </c>
      <c r="AD47" s="179">
        <f t="shared" ref="AD47:AD50" si="23">AC47*1.025</f>
        <v>122993.36457161598</v>
      </c>
      <c r="AE47" s="179">
        <f t="shared" ref="AE47:AE50" si="24">AD47*1.025</f>
        <v>126068.19868590638</v>
      </c>
      <c r="AF47" s="179">
        <f t="shared" ref="AF47:AF50" si="25">AE47*1.025</f>
        <v>129219.90365305402</v>
      </c>
      <c r="AG47" s="179">
        <f t="shared" ref="AG47:AG50" si="26">AF47*1.025</f>
        <v>132450.40124438037</v>
      </c>
      <c r="AH47" s="179">
        <f t="shared" ref="AH47:AH50" si="27">AG47*1.025</f>
        <v>135761.66127548987</v>
      </c>
      <c r="AI47" s="179">
        <f t="shared" ref="AI47:AI50" si="28">AH47*1.025</f>
        <v>139155.70280737709</v>
      </c>
      <c r="AJ47" s="11"/>
      <c r="AK47" s="11"/>
      <c r="AL47" s="11"/>
      <c r="AM47" s="11"/>
      <c r="AN47" s="11"/>
      <c r="AO47" s="11"/>
    </row>
    <row r="48" spans="1:41" hidden="1">
      <c r="A48" s="11"/>
      <c r="B48" s="136"/>
      <c r="C48" s="65"/>
      <c r="D48" s="66"/>
      <c r="E48" s="11"/>
      <c r="F48" s="179">
        <v>100000</v>
      </c>
      <c r="G48" s="179">
        <f>F48*1.025</f>
        <v>102499.99999999999</v>
      </c>
      <c r="H48" s="179">
        <f t="shared" si="1"/>
        <v>105062.49999999997</v>
      </c>
      <c r="I48" s="179">
        <f t="shared" si="2"/>
        <v>107689.06249999996</v>
      </c>
      <c r="J48" s="179">
        <f t="shared" si="3"/>
        <v>110381.28906249994</v>
      </c>
      <c r="K48" s="179">
        <f t="shared" si="4"/>
        <v>113140.82128906243</v>
      </c>
      <c r="L48" s="179">
        <f t="shared" si="5"/>
        <v>115969.34182128898</v>
      </c>
      <c r="M48" s="179">
        <f t="shared" si="6"/>
        <v>118868.5753668212</v>
      </c>
      <c r="N48" s="179">
        <f t="shared" si="7"/>
        <v>121840.28975099172</v>
      </c>
      <c r="O48" s="179">
        <f t="shared" si="8"/>
        <v>124886.29699476651</v>
      </c>
      <c r="P48" s="179">
        <f t="shared" si="9"/>
        <v>128008.45441963566</v>
      </c>
      <c r="Q48" s="179">
        <f t="shared" si="10"/>
        <v>131208.66578012652</v>
      </c>
      <c r="R48" s="179">
        <f t="shared" si="11"/>
        <v>134488.88242462967</v>
      </c>
      <c r="S48" s="179">
        <f t="shared" si="12"/>
        <v>137851.10448524539</v>
      </c>
      <c r="T48" s="179">
        <f t="shared" si="13"/>
        <v>141297.38209737651</v>
      </c>
      <c r="U48" s="179">
        <f t="shared" si="14"/>
        <v>144829.81664981091</v>
      </c>
      <c r="V48" s="179">
        <f t="shared" si="15"/>
        <v>148450.56206605615</v>
      </c>
      <c r="W48" s="179">
        <f t="shared" si="16"/>
        <v>152161.82611770753</v>
      </c>
      <c r="X48" s="179">
        <f t="shared" si="17"/>
        <v>155965.87177065021</v>
      </c>
      <c r="Y48" s="179">
        <f t="shared" si="18"/>
        <v>159865.01856491645</v>
      </c>
      <c r="Z48" s="179">
        <f t="shared" si="19"/>
        <v>163861.64402903934</v>
      </c>
      <c r="AA48" s="179">
        <f t="shared" si="20"/>
        <v>167958.1851297653</v>
      </c>
      <c r="AB48" s="179">
        <f t="shared" si="21"/>
        <v>172157.13975800943</v>
      </c>
      <c r="AC48" s="179">
        <f t="shared" si="22"/>
        <v>176461.06825195966</v>
      </c>
      <c r="AD48" s="179">
        <f t="shared" si="23"/>
        <v>180872.59495825865</v>
      </c>
      <c r="AE48" s="179">
        <f t="shared" si="24"/>
        <v>185394.40983221511</v>
      </c>
      <c r="AF48" s="179">
        <f t="shared" si="25"/>
        <v>190029.27007802046</v>
      </c>
      <c r="AG48" s="179">
        <f t="shared" si="26"/>
        <v>194780.00182997095</v>
      </c>
      <c r="AH48" s="179">
        <f t="shared" si="27"/>
        <v>199649.50187572019</v>
      </c>
      <c r="AI48" s="179">
        <f t="shared" si="28"/>
        <v>204640.73942261317</v>
      </c>
      <c r="AJ48" s="11"/>
      <c r="AK48" s="11"/>
      <c r="AL48" s="11"/>
      <c r="AM48" s="11"/>
      <c r="AN48" s="11"/>
      <c r="AO48" s="11"/>
    </row>
    <row r="49" spans="1:498" hidden="1">
      <c r="A49" s="11"/>
      <c r="B49" s="136"/>
      <c r="C49" s="65"/>
      <c r="D49" s="66"/>
      <c r="E49" s="11"/>
      <c r="F49" s="179">
        <v>150000</v>
      </c>
      <c r="G49" s="179">
        <f>F49*1.025</f>
        <v>153750</v>
      </c>
      <c r="H49" s="179">
        <f t="shared" si="1"/>
        <v>157593.75</v>
      </c>
      <c r="I49" s="179">
        <f t="shared" si="2"/>
        <v>161533.59375</v>
      </c>
      <c r="J49" s="179">
        <f t="shared" si="3"/>
        <v>165571.93359375</v>
      </c>
      <c r="K49" s="179">
        <f t="shared" si="4"/>
        <v>169711.23193359372</v>
      </c>
      <c r="L49" s="179">
        <f t="shared" si="5"/>
        <v>173954.01273193356</v>
      </c>
      <c r="M49" s="179">
        <f t="shared" si="6"/>
        <v>178302.86305023188</v>
      </c>
      <c r="N49" s="179">
        <f t="shared" si="7"/>
        <v>182760.43462648767</v>
      </c>
      <c r="O49" s="179">
        <f t="shared" si="8"/>
        <v>187329.44549214985</v>
      </c>
      <c r="P49" s="179">
        <f t="shared" si="9"/>
        <v>192012.68162945358</v>
      </c>
      <c r="Q49" s="179">
        <f t="shared" si="10"/>
        <v>196812.9986701899</v>
      </c>
      <c r="R49" s="179">
        <f t="shared" si="11"/>
        <v>201733.32363694464</v>
      </c>
      <c r="S49" s="179">
        <f t="shared" si="12"/>
        <v>206776.65672786825</v>
      </c>
      <c r="T49" s="179">
        <f t="shared" si="13"/>
        <v>211946.07314606494</v>
      </c>
      <c r="U49" s="179">
        <f t="shared" si="14"/>
        <v>217244.72497471655</v>
      </c>
      <c r="V49" s="179">
        <f t="shared" si="15"/>
        <v>222675.84309908445</v>
      </c>
      <c r="W49" s="179">
        <f t="shared" si="16"/>
        <v>228242.73917656153</v>
      </c>
      <c r="X49" s="179">
        <f t="shared" si="17"/>
        <v>233948.80765597554</v>
      </c>
      <c r="Y49" s="179">
        <f t="shared" si="18"/>
        <v>239797.52784737491</v>
      </c>
      <c r="Z49" s="179">
        <f t="shared" si="19"/>
        <v>245792.46604355925</v>
      </c>
      <c r="AA49" s="179">
        <f t="shared" si="20"/>
        <v>251937.27769464822</v>
      </c>
      <c r="AB49" s="179">
        <f t="shared" si="21"/>
        <v>258235.7096370144</v>
      </c>
      <c r="AC49" s="179">
        <f t="shared" si="22"/>
        <v>264691.60237793974</v>
      </c>
      <c r="AD49" s="179">
        <f t="shared" si="23"/>
        <v>271308.89243738819</v>
      </c>
      <c r="AE49" s="179">
        <f t="shared" si="24"/>
        <v>278091.61474832287</v>
      </c>
      <c r="AF49" s="179">
        <f t="shared" si="25"/>
        <v>285043.9051170309</v>
      </c>
      <c r="AG49" s="179">
        <f t="shared" si="26"/>
        <v>292170.00274495664</v>
      </c>
      <c r="AH49" s="179">
        <f t="shared" si="27"/>
        <v>299474.2528135805</v>
      </c>
      <c r="AI49" s="179">
        <f t="shared" si="28"/>
        <v>306961.10913391999</v>
      </c>
      <c r="AJ49" s="11"/>
      <c r="AK49" s="11"/>
      <c r="AL49" s="11"/>
      <c r="AM49" s="11"/>
      <c r="AN49" s="11"/>
      <c r="AO49" s="11"/>
    </row>
    <row r="50" spans="1:498" hidden="1">
      <c r="A50" s="11"/>
      <c r="B50" s="136"/>
      <c r="C50" s="65"/>
      <c r="D50" s="66"/>
      <c r="E50" s="11"/>
      <c r="F50" s="179">
        <v>200000</v>
      </c>
      <c r="G50" s="179">
        <f>F50*1.025</f>
        <v>204999.99999999997</v>
      </c>
      <c r="H50" s="179">
        <f t="shared" si="1"/>
        <v>210124.99999999994</v>
      </c>
      <c r="I50" s="179">
        <f t="shared" si="2"/>
        <v>215378.12499999991</v>
      </c>
      <c r="J50" s="179">
        <f t="shared" si="3"/>
        <v>220762.57812499988</v>
      </c>
      <c r="K50" s="179">
        <f t="shared" si="4"/>
        <v>226281.64257812485</v>
      </c>
      <c r="L50" s="179">
        <f t="shared" si="5"/>
        <v>231938.68364257796</v>
      </c>
      <c r="M50" s="179">
        <f t="shared" si="6"/>
        <v>237737.1507336424</v>
      </c>
      <c r="N50" s="179">
        <f t="shared" si="7"/>
        <v>243680.57950198345</v>
      </c>
      <c r="O50" s="179">
        <f t="shared" si="8"/>
        <v>249772.59398953302</v>
      </c>
      <c r="P50" s="179">
        <f t="shared" si="9"/>
        <v>256016.90883927132</v>
      </c>
      <c r="Q50" s="179">
        <f t="shared" si="10"/>
        <v>262417.33156025305</v>
      </c>
      <c r="R50" s="179">
        <f t="shared" si="11"/>
        <v>268977.76484925934</v>
      </c>
      <c r="S50" s="179">
        <f t="shared" si="12"/>
        <v>275702.20897049078</v>
      </c>
      <c r="T50" s="179">
        <f t="shared" si="13"/>
        <v>282594.76419475302</v>
      </c>
      <c r="U50" s="179">
        <f t="shared" si="14"/>
        <v>289659.63329962181</v>
      </c>
      <c r="V50" s="179">
        <f t="shared" si="15"/>
        <v>296901.12413211231</v>
      </c>
      <c r="W50" s="179">
        <f t="shared" si="16"/>
        <v>304323.65223541507</v>
      </c>
      <c r="X50" s="179">
        <f t="shared" si="17"/>
        <v>311931.74354130041</v>
      </c>
      <c r="Y50" s="179">
        <f t="shared" si="18"/>
        <v>319730.0371298329</v>
      </c>
      <c r="Z50" s="179">
        <f t="shared" si="19"/>
        <v>327723.28805807867</v>
      </c>
      <c r="AA50" s="179">
        <f t="shared" si="20"/>
        <v>335916.37025953061</v>
      </c>
      <c r="AB50" s="179">
        <f t="shared" si="21"/>
        <v>344314.27951601887</v>
      </c>
      <c r="AC50" s="179">
        <f t="shared" si="22"/>
        <v>352922.13650391932</v>
      </c>
      <c r="AD50" s="179">
        <f t="shared" si="23"/>
        <v>361745.18991651729</v>
      </c>
      <c r="AE50" s="179">
        <f t="shared" si="24"/>
        <v>370788.81966443022</v>
      </c>
      <c r="AF50" s="179">
        <f t="shared" si="25"/>
        <v>380058.54015604092</v>
      </c>
      <c r="AG50" s="179">
        <f t="shared" si="26"/>
        <v>389560.0036599419</v>
      </c>
      <c r="AH50" s="179">
        <f t="shared" si="27"/>
        <v>399299.00375144038</v>
      </c>
      <c r="AI50" s="179">
        <f t="shared" si="28"/>
        <v>409281.47884522635</v>
      </c>
      <c r="AJ50" s="11"/>
      <c r="AK50" s="11"/>
      <c r="AL50" s="11"/>
      <c r="AM50" s="11"/>
      <c r="AN50" s="11"/>
      <c r="AO50" s="11"/>
    </row>
    <row r="51" spans="1:498" s="20" customFormat="1">
      <c r="A51" s="60"/>
      <c r="B51" s="67"/>
      <c r="C51" s="191" t="s">
        <v>29</v>
      </c>
      <c r="D51" s="191"/>
      <c r="E51" s="192"/>
      <c r="F51" s="63">
        <v>1</v>
      </c>
      <c r="G51" s="63">
        <f t="shared" ref="G51:AD51" si="29">F51+1</f>
        <v>2</v>
      </c>
      <c r="H51" s="63">
        <f t="shared" si="29"/>
        <v>3</v>
      </c>
      <c r="I51" s="63">
        <f t="shared" si="29"/>
        <v>4</v>
      </c>
      <c r="J51" s="63">
        <f t="shared" si="29"/>
        <v>5</v>
      </c>
      <c r="K51" s="63">
        <f t="shared" si="29"/>
        <v>6</v>
      </c>
      <c r="L51" s="63">
        <f t="shared" si="29"/>
        <v>7</v>
      </c>
      <c r="M51" s="63">
        <f t="shared" si="29"/>
        <v>8</v>
      </c>
      <c r="N51" s="63">
        <f t="shared" si="29"/>
        <v>9</v>
      </c>
      <c r="O51" s="63">
        <f t="shared" si="29"/>
        <v>10</v>
      </c>
      <c r="P51" s="63">
        <f t="shared" si="29"/>
        <v>11</v>
      </c>
      <c r="Q51" s="63">
        <f t="shared" si="29"/>
        <v>12</v>
      </c>
      <c r="R51" s="63">
        <f t="shared" si="29"/>
        <v>13</v>
      </c>
      <c r="S51" s="63">
        <f t="shared" si="29"/>
        <v>14</v>
      </c>
      <c r="T51" s="63">
        <f t="shared" si="29"/>
        <v>15</v>
      </c>
      <c r="U51" s="63">
        <f t="shared" si="29"/>
        <v>16</v>
      </c>
      <c r="V51" s="63">
        <f t="shared" si="29"/>
        <v>17</v>
      </c>
      <c r="W51" s="63">
        <f t="shared" si="29"/>
        <v>18</v>
      </c>
      <c r="X51" s="63">
        <f t="shared" si="29"/>
        <v>19</v>
      </c>
      <c r="Y51" s="63">
        <f t="shared" si="29"/>
        <v>20</v>
      </c>
      <c r="Z51" s="63">
        <f t="shared" si="29"/>
        <v>21</v>
      </c>
      <c r="AA51" s="63">
        <f t="shared" si="29"/>
        <v>22</v>
      </c>
      <c r="AB51" s="63">
        <f t="shared" si="29"/>
        <v>23</v>
      </c>
      <c r="AC51" s="63">
        <f t="shared" si="29"/>
        <v>24</v>
      </c>
      <c r="AD51" s="63">
        <f t="shared" si="29"/>
        <v>25</v>
      </c>
      <c r="AE51" s="63">
        <v>26</v>
      </c>
      <c r="AF51" s="63">
        <v>27</v>
      </c>
      <c r="AG51" s="63">
        <v>28</v>
      </c>
      <c r="AH51" s="63">
        <v>29</v>
      </c>
      <c r="AI51" s="63">
        <v>30</v>
      </c>
      <c r="AJ51" s="60"/>
      <c r="AK51" s="60"/>
      <c r="AL51" s="60"/>
      <c r="AM51" s="60"/>
      <c r="AN51" s="60"/>
      <c r="AO51" s="6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0"/>
      <c r="ND51" s="30"/>
      <c r="NE51" s="30"/>
      <c r="NF51" s="30"/>
      <c r="NG51" s="30"/>
      <c r="NH51" s="30"/>
      <c r="NI51" s="30"/>
      <c r="NJ51" s="30"/>
      <c r="NK51" s="30"/>
      <c r="NL51" s="30"/>
      <c r="NM51" s="30"/>
      <c r="NN51" s="30"/>
      <c r="NO51" s="30"/>
      <c r="NP51" s="30"/>
      <c r="NQ51" s="30"/>
      <c r="NR51" s="30"/>
      <c r="NS51" s="30"/>
      <c r="NT51" s="30"/>
      <c r="NU51" s="30"/>
      <c r="NV51" s="30"/>
      <c r="NW51" s="30"/>
      <c r="NX51" s="30"/>
      <c r="NY51" s="30"/>
      <c r="NZ51" s="30"/>
      <c r="OA51" s="30"/>
      <c r="OB51" s="30"/>
      <c r="OC51" s="30"/>
      <c r="OD51" s="30"/>
      <c r="OE51" s="30"/>
      <c r="OF51" s="30"/>
      <c r="OG51" s="30"/>
      <c r="OH51" s="30"/>
      <c r="OI51" s="30"/>
      <c r="OJ51" s="30"/>
      <c r="OK51" s="30"/>
      <c r="OL51" s="30"/>
      <c r="OM51" s="30"/>
      <c r="ON51" s="30"/>
      <c r="OO51" s="30"/>
      <c r="OP51" s="30"/>
      <c r="OQ51" s="30"/>
      <c r="OR51" s="30"/>
      <c r="OS51" s="30"/>
      <c r="OT51" s="30"/>
      <c r="OU51" s="30"/>
      <c r="OV51" s="30"/>
      <c r="OW51" s="30"/>
      <c r="OX51" s="30"/>
      <c r="OY51" s="30"/>
      <c r="OZ51" s="30"/>
      <c r="PA51" s="30"/>
      <c r="PB51" s="30"/>
      <c r="PC51" s="30"/>
      <c r="PD51" s="30"/>
      <c r="PE51" s="30"/>
      <c r="PF51" s="30"/>
      <c r="PG51" s="30"/>
      <c r="PH51" s="30"/>
      <c r="PI51" s="30"/>
      <c r="PJ51" s="30"/>
      <c r="PK51" s="30"/>
      <c r="PL51" s="30"/>
      <c r="PM51" s="30"/>
      <c r="PN51" s="30"/>
      <c r="PO51" s="30"/>
      <c r="PP51" s="30"/>
      <c r="PQ51" s="30"/>
      <c r="PR51" s="30"/>
      <c r="PS51" s="30"/>
      <c r="PT51" s="30"/>
      <c r="PU51" s="30"/>
      <c r="PV51" s="30"/>
      <c r="PW51" s="30"/>
      <c r="PX51" s="30"/>
      <c r="PY51" s="30"/>
      <c r="PZ51" s="30"/>
      <c r="QA51" s="30"/>
      <c r="QB51" s="30"/>
      <c r="QC51" s="30"/>
      <c r="QD51" s="30"/>
      <c r="QE51" s="30"/>
      <c r="QF51" s="30"/>
      <c r="QG51" s="30"/>
      <c r="QH51" s="30"/>
      <c r="QI51" s="30"/>
      <c r="QJ51" s="30"/>
      <c r="QK51" s="30"/>
      <c r="QL51" s="30"/>
      <c r="QM51" s="30"/>
      <c r="QN51" s="30"/>
      <c r="QO51" s="30"/>
      <c r="QP51" s="30"/>
      <c r="QQ51" s="30"/>
      <c r="QR51" s="30"/>
      <c r="QS51" s="30"/>
      <c r="QT51" s="30"/>
      <c r="QU51" s="30"/>
      <c r="QV51" s="30"/>
      <c r="QW51" s="30"/>
      <c r="QX51" s="30"/>
      <c r="QY51" s="30"/>
      <c r="QZ51" s="30"/>
      <c r="RA51" s="30"/>
      <c r="RB51" s="30"/>
      <c r="RC51" s="30"/>
      <c r="RD51" s="30"/>
      <c r="RE51" s="30"/>
      <c r="RF51" s="30"/>
      <c r="RG51" s="30"/>
      <c r="RH51" s="30"/>
      <c r="RI51" s="30"/>
      <c r="RJ51" s="30"/>
      <c r="RK51" s="30"/>
      <c r="RL51" s="30"/>
      <c r="RM51" s="30"/>
      <c r="RN51" s="30"/>
      <c r="RO51" s="30"/>
      <c r="RP51" s="30"/>
      <c r="RQ51" s="30"/>
      <c r="RR51" s="30"/>
      <c r="RS51" s="30"/>
      <c r="RT51" s="30"/>
      <c r="RU51" s="30"/>
      <c r="RV51" s="30"/>
      <c r="RW51" s="30"/>
      <c r="RX51" s="30"/>
      <c r="RY51" s="30"/>
      <c r="RZ51" s="30"/>
      <c r="SA51" s="30"/>
      <c r="SB51" s="30"/>
      <c r="SC51" s="30"/>
      <c r="SD51" s="30"/>
    </row>
    <row r="52" spans="1:498" s="20" customFormat="1" hidden="1">
      <c r="A52" s="60"/>
      <c r="B52" s="67" t="s">
        <v>4</v>
      </c>
      <c r="C52" s="69"/>
      <c r="D52" s="69"/>
      <c r="E52" s="101"/>
      <c r="F52" s="20">
        <f t="shared" ref="F52:AI52" si="30">IF(AND($C$21&lt;=F51,$C$21&lt;&gt;0),5,IF(AND($C$20&lt;=F51,$C$20&lt;&gt;0),4,IF(AND($C$19&lt;=F51,$C$19&lt;&gt;0),3,IF(AND($C$18&lt;=F51,$C$18&lt;&gt;0),2,IF(AND($C$17&lt;=F51,$C$17&lt;&gt;0),1,0)))))</f>
        <v>0</v>
      </c>
      <c r="G52" s="20">
        <f t="shared" si="30"/>
        <v>0</v>
      </c>
      <c r="H52" s="20">
        <f t="shared" si="30"/>
        <v>0</v>
      </c>
      <c r="I52" s="20">
        <f t="shared" si="30"/>
        <v>0</v>
      </c>
      <c r="J52" s="20">
        <f t="shared" si="30"/>
        <v>0</v>
      </c>
      <c r="K52" s="20">
        <f t="shared" si="30"/>
        <v>0</v>
      </c>
      <c r="L52" s="20">
        <f t="shared" si="30"/>
        <v>0</v>
      </c>
      <c r="M52" s="20">
        <f t="shared" si="30"/>
        <v>0</v>
      </c>
      <c r="N52" s="20">
        <f t="shared" si="30"/>
        <v>0</v>
      </c>
      <c r="O52" s="20">
        <f t="shared" si="30"/>
        <v>0</v>
      </c>
      <c r="P52" s="20">
        <f t="shared" si="30"/>
        <v>0</v>
      </c>
      <c r="Q52" s="20">
        <f t="shared" si="30"/>
        <v>0</v>
      </c>
      <c r="R52" s="20">
        <f t="shared" si="30"/>
        <v>0</v>
      </c>
      <c r="S52" s="20">
        <f t="shared" si="30"/>
        <v>0</v>
      </c>
      <c r="T52" s="20">
        <f t="shared" si="30"/>
        <v>0</v>
      </c>
      <c r="U52" s="20">
        <f t="shared" si="30"/>
        <v>0</v>
      </c>
      <c r="V52" s="20">
        <f t="shared" si="30"/>
        <v>0</v>
      </c>
      <c r="W52" s="20">
        <f t="shared" si="30"/>
        <v>0</v>
      </c>
      <c r="X52" s="20">
        <f t="shared" si="30"/>
        <v>0</v>
      </c>
      <c r="Y52" s="20">
        <f t="shared" si="30"/>
        <v>0</v>
      </c>
      <c r="Z52" s="20">
        <f t="shared" si="30"/>
        <v>0</v>
      </c>
      <c r="AA52" s="20">
        <f t="shared" si="30"/>
        <v>0</v>
      </c>
      <c r="AB52" s="20">
        <f t="shared" si="30"/>
        <v>0</v>
      </c>
      <c r="AC52" s="20">
        <f t="shared" si="30"/>
        <v>0</v>
      </c>
      <c r="AD52" s="20">
        <f t="shared" si="30"/>
        <v>0</v>
      </c>
      <c r="AE52" s="20">
        <f t="shared" si="30"/>
        <v>0</v>
      </c>
      <c r="AF52" s="20">
        <f t="shared" si="30"/>
        <v>0</v>
      </c>
      <c r="AG52" s="20">
        <f t="shared" si="30"/>
        <v>0</v>
      </c>
      <c r="AH52" s="20">
        <f t="shared" si="30"/>
        <v>0</v>
      </c>
      <c r="AI52" s="20">
        <f t="shared" si="30"/>
        <v>0</v>
      </c>
      <c r="AJ52" s="60"/>
      <c r="AK52" s="60"/>
      <c r="AL52" s="60"/>
      <c r="AM52" s="60"/>
      <c r="AN52" s="60"/>
      <c r="AO52" s="6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row>
    <row r="53" spans="1:498" s="20" customFormat="1">
      <c r="A53" s="60"/>
      <c r="B53" s="174" t="s">
        <v>64</v>
      </c>
      <c r="C53" s="193" t="s">
        <v>52</v>
      </c>
      <c r="D53" s="193"/>
      <c r="E53" s="193"/>
      <c r="F53" s="139">
        <v>38000</v>
      </c>
      <c r="G53" s="139">
        <f>F53*1.04</f>
        <v>39520</v>
      </c>
      <c r="H53" s="139">
        <f t="shared" ref="H53:AD53" si="31">G53*1.04</f>
        <v>41100.800000000003</v>
      </c>
      <c r="I53" s="139">
        <f t="shared" si="31"/>
        <v>42744.832000000002</v>
      </c>
      <c r="J53" s="139">
        <f t="shared" si="31"/>
        <v>44454.62528</v>
      </c>
      <c r="K53" s="139">
        <f t="shared" si="31"/>
        <v>46232.810291200003</v>
      </c>
      <c r="L53" s="139">
        <f t="shared" si="31"/>
        <v>48082.122702848006</v>
      </c>
      <c r="M53" s="139">
        <f t="shared" si="31"/>
        <v>50005.407610961927</v>
      </c>
      <c r="N53" s="139">
        <f t="shared" si="31"/>
        <v>52005.623915400407</v>
      </c>
      <c r="O53" s="139">
        <f t="shared" si="31"/>
        <v>54085.848872016424</v>
      </c>
      <c r="P53" s="139">
        <f t="shared" si="31"/>
        <v>56249.282826897084</v>
      </c>
      <c r="Q53" s="139">
        <f t="shared" si="31"/>
        <v>58499.254139972967</v>
      </c>
      <c r="R53" s="139">
        <f t="shared" si="31"/>
        <v>60839.224305571886</v>
      </c>
      <c r="S53" s="139">
        <f t="shared" si="31"/>
        <v>63272.793277794764</v>
      </c>
      <c r="T53" s="139">
        <f t="shared" si="31"/>
        <v>65803.70500890656</v>
      </c>
      <c r="U53" s="139">
        <f t="shared" si="31"/>
        <v>68435.85320926283</v>
      </c>
      <c r="V53" s="139">
        <f t="shared" si="31"/>
        <v>71173.287337633345</v>
      </c>
      <c r="W53" s="139">
        <f t="shared" si="31"/>
        <v>74020.218831138685</v>
      </c>
      <c r="X53" s="139">
        <f t="shared" si="31"/>
        <v>76981.027584384239</v>
      </c>
      <c r="Y53" s="139">
        <f t="shared" si="31"/>
        <v>80060.268687759613</v>
      </c>
      <c r="Z53" s="139">
        <f t="shared" si="31"/>
        <v>83262.679435269994</v>
      </c>
      <c r="AA53" s="139">
        <f t="shared" si="31"/>
        <v>86593.186612680802</v>
      </c>
      <c r="AB53" s="139">
        <f t="shared" si="31"/>
        <v>90056.914077188034</v>
      </c>
      <c r="AC53" s="139">
        <f t="shared" si="31"/>
        <v>93659.190640275556</v>
      </c>
      <c r="AD53" s="139">
        <f t="shared" si="31"/>
        <v>97405.558265886575</v>
      </c>
      <c r="AE53" s="107"/>
      <c r="AF53" s="108"/>
      <c r="AG53" s="108"/>
      <c r="AH53" s="108"/>
      <c r="AI53" s="109"/>
      <c r="AJ53" s="60"/>
      <c r="AK53" s="60"/>
      <c r="AL53" s="60"/>
      <c r="AM53" s="60"/>
      <c r="AN53" s="60"/>
      <c r="AO53" s="6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row>
    <row r="54" spans="1:498" s="47" customFormat="1">
      <c r="A54" s="60"/>
      <c r="B54" s="69"/>
      <c r="C54" s="194" t="s">
        <v>53</v>
      </c>
      <c r="D54" s="195"/>
      <c r="E54" s="195"/>
      <c r="F54" s="48">
        <f>IF(
F53&gt;F50+N("If income is greater than 200k THEN"),
F53+N("He has no exemption, so AGI is his income")+N("If income is less than or equal to 200k THEN"),
IF(
F53&gt;F49+N("If income is greater than 150k but less than or equal to 200 k THEN"),
(F53*0.98)+N("AGI is 98 percent of income")+N("If his income is less than or equal to 150k THEN"),
IF(
F53&gt;F48+N("If his income is greater than 100k but less than or equal to 150k THEN"),
(F53*0.95)+N("AGI equals 95 percent of income")+N("If his income is less than or equal to 100k THEN"),
IF(
F53&gt;F47+N("IF income is greater tahn 68k but less than or equal to 100k THEN"),
(F53*0.85)+N("AGI equals 85 percent of income")+N("If income less than or equal to 68k, THEN"),
(F53*0.9)+N("AGI equals 90 percent of income")))))</f>
        <v>34200</v>
      </c>
      <c r="G54" s="48">
        <f>IF(
G53&gt;G50+N("If income is greater than 200k THEN"),
G53+N("He has no exemption, so AGI is his income")+N("If income is less than or equal to 200k THEN"),
IF(
G53&gt;G49+N("If income is greater than 150k but less than or equal to 200 k THEN"),
(G53*0.98)+N("AGI is 98 percent of income")+N("If his income is less than or equal to 150k THEN"),
IF(
G53&gt;G48+N("If his income is greater than 100k but less than or equal to 150k THEN"),
(G53*0.95)+N("AGI equals 95 percent of income")+N("If his income is less than or equal to 100k THEN"),
IF(
G53&gt;G47+N("IF income is greater tahn 68k but less than or equal to 100k THEN"),
(G53*0.85)+N("AGI equals 85 percent of income")+N("If income less than or equal to 68k, THEN"),
(G53*0.9)+N("AGI equals 90 percent of income")))))</f>
        <v>35568</v>
      </c>
      <c r="H54" s="48">
        <f t="shared" ref="H54:AC54" si="32">IF(
H53&gt;H50+N("If income is greater than 200k THEN"),
H53+N("He has no exemption, so AGI is his income")+N("If income is less than or equal to 200k THEN"),
IF(
H53&gt;H49+N("If income is greater than 150k but less than or equal to 200 k THEN"),
(H53*0.98)+N("AGI is 98 percent of income")+N("If his income is less than or equal to 150k THEN"),
IF(
H53&gt;H48+N("If his income is greater than 100k but less than or equal to 150k THEN"),
(H53*0.95)+N("AGI equals 95 percent of income")+N("If his income is less than or equal to 100k THEN"),
IF(
H53&gt;H47+N("IF income is greater tahn 68k but less than or equal to 100k THEN"),
(H53*0.85)+N("AGI equals 85 percent of income")+N("If income less than or equal to 68k, THEN"),
(H53*0.9)+N("AGI equals 90 percent of income")))))</f>
        <v>36990.720000000001</v>
      </c>
      <c r="I54" s="48">
        <f t="shared" si="32"/>
        <v>38470.3488</v>
      </c>
      <c r="J54" s="48">
        <f t="shared" si="32"/>
        <v>40009.162752000004</v>
      </c>
      <c r="K54" s="48">
        <f t="shared" si="32"/>
        <v>41609.529262080003</v>
      </c>
      <c r="L54" s="48">
        <f t="shared" si="32"/>
        <v>43273.910432563207</v>
      </c>
      <c r="M54" s="48">
        <f t="shared" si="32"/>
        <v>45004.866849865735</v>
      </c>
      <c r="N54" s="48">
        <f t="shared" si="32"/>
        <v>46805.061523860364</v>
      </c>
      <c r="O54" s="48">
        <f t="shared" si="32"/>
        <v>48677.263984814781</v>
      </c>
      <c r="P54" s="48">
        <f t="shared" si="32"/>
        <v>50624.354544207374</v>
      </c>
      <c r="Q54" s="48">
        <f t="shared" si="32"/>
        <v>52649.328725975669</v>
      </c>
      <c r="R54" s="48">
        <f t="shared" si="32"/>
        <v>54755.301875014702</v>
      </c>
      <c r="S54" s="48">
        <f t="shared" si="32"/>
        <v>56945.513950015287</v>
      </c>
      <c r="T54" s="48">
        <f t="shared" si="32"/>
        <v>59223.334508015905</v>
      </c>
      <c r="U54" s="48">
        <f t="shared" si="32"/>
        <v>61592.267888336552</v>
      </c>
      <c r="V54" s="48">
        <f t="shared" si="32"/>
        <v>64055.958603870014</v>
      </c>
      <c r="W54" s="48">
        <f t="shared" si="32"/>
        <v>66618.196948024823</v>
      </c>
      <c r="X54" s="48">
        <f t="shared" si="32"/>
        <v>69282.924825945811</v>
      </c>
      <c r="Y54" s="48">
        <f t="shared" si="32"/>
        <v>72054.241818983661</v>
      </c>
      <c r="Z54" s="48">
        <f t="shared" si="32"/>
        <v>74936.411491742998</v>
      </c>
      <c r="AA54" s="48">
        <f t="shared" si="32"/>
        <v>77933.867951412729</v>
      </c>
      <c r="AB54" s="48">
        <f t="shared" si="32"/>
        <v>81051.222669469236</v>
      </c>
      <c r="AC54" s="48">
        <f t="shared" si="32"/>
        <v>84293.271576248007</v>
      </c>
      <c r="AD54" s="48">
        <f>IF(
AD53&gt;AD50+N("If income is greater than 200k THEN"),
AD53+N("He has no exemption, so AGI is his income")+N("If income is less than or equal to 200k THEN"),
IF(
AD53&gt;AD49+N("If income is greater than 150k but less than or equal to 200 k THEN"),
(AD53*0.98)+N("AGI is 98 percent of income")+N("If his income is less than or equal to 150k THEN"),
IF(
AD53&gt;AD48+N("If his income is greater than 100k but less than or equal to 150k THEN"),
(AD53*0.95)+N("AGI equals 95 percent of income")+N("If his income is less than or equal to 100k THEN"),
IF(
AD53&gt;AD47+N("IF income is greater tahn 68k but less than or equal to 100k THEN"),
(AD53*0.85)+N("AGI equals 85 percent of income")+N("If income less than or equal to 68k, THEN"),
(AD53*0.9)+N("AGI equals 90 percent of income")))))</f>
        <v>87665.002439297925</v>
      </c>
      <c r="AE54" s="110"/>
      <c r="AF54" s="111"/>
      <c r="AG54" s="111"/>
      <c r="AH54" s="111"/>
      <c r="AI54" s="112"/>
      <c r="AJ54" s="60"/>
      <c r="AK54" s="60"/>
      <c r="AL54" s="60"/>
      <c r="AM54" s="60"/>
      <c r="AN54" s="60"/>
      <c r="AO54" s="6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row>
    <row r="55" spans="1:498" s="20" customFormat="1" hidden="1">
      <c r="A55" s="60"/>
      <c r="B55" s="69" t="s">
        <v>8</v>
      </c>
      <c r="C55" s="69"/>
      <c r="D55" s="69">
        <f>11170+(C16*3960)</f>
        <v>11170</v>
      </c>
      <c r="E55" s="37"/>
      <c r="F55" s="22">
        <f t="shared" ref="F55:AI55" si="33">(F56+(F52*F57))*1.5</f>
        <v>16755</v>
      </c>
      <c r="G55" s="22">
        <f t="shared" si="33"/>
        <v>17175.550499999998</v>
      </c>
      <c r="H55" s="22">
        <f t="shared" si="33"/>
        <v>17606.656817549996</v>
      </c>
      <c r="I55" s="22">
        <f t="shared" si="33"/>
        <v>18048.5839036705</v>
      </c>
      <c r="J55" s="22">
        <f t="shared" si="33"/>
        <v>18501.603359652629</v>
      </c>
      <c r="K55" s="22">
        <f t="shared" si="33"/>
        <v>18965.993603979907</v>
      </c>
      <c r="L55" s="22">
        <f t="shared" si="33"/>
        <v>19442.0400434398</v>
      </c>
      <c r="M55" s="22">
        <f t="shared" si="33"/>
        <v>19930.035248530137</v>
      </c>
      <c r="N55" s="22">
        <f t="shared" si="33"/>
        <v>20430.279133268239</v>
      </c>
      <c r="O55" s="22">
        <f t="shared" si="33"/>
        <v>20943.079139513273</v>
      </c>
      <c r="P55" s="22">
        <f t="shared" si="33"/>
        <v>21468.750425915052</v>
      </c>
      <c r="Q55" s="22">
        <f t="shared" si="33"/>
        <v>22007.61606160552</v>
      </c>
      <c r="R55" s="22">
        <f t="shared" si="33"/>
        <v>22560.007224751815</v>
      </c>
      <c r="S55" s="22">
        <f t="shared" si="33"/>
        <v>23126.263406093083</v>
      </c>
      <c r="T55" s="22">
        <f t="shared" si="33"/>
        <v>23706.732617586014</v>
      </c>
      <c r="U55" s="22">
        <f t="shared" si="33"/>
        <v>24301.771606287424</v>
      </c>
      <c r="V55" s="22">
        <f t="shared" si="33"/>
        <v>24911.746073605231</v>
      </c>
      <c r="W55" s="22">
        <f t="shared" si="33"/>
        <v>25537.03090005272</v>
      </c>
      <c r="X55" s="22">
        <f t="shared" si="33"/>
        <v>26178.01037564404</v>
      </c>
      <c r="Y55" s="22">
        <f t="shared" si="33"/>
        <v>26835.078436072705</v>
      </c>
      <c r="Z55" s="22">
        <f t="shared" si="33"/>
        <v>27508.638904818126</v>
      </c>
      <c r="AA55" s="22">
        <f t="shared" si="33"/>
        <v>28199.105741329058</v>
      </c>
      <c r="AB55" s="22">
        <f t="shared" si="33"/>
        <v>28906.903295436416</v>
      </c>
      <c r="AC55" s="22">
        <f t="shared" si="33"/>
        <v>29632.466568151867</v>
      </c>
      <c r="AD55" s="22">
        <f t="shared" si="33"/>
        <v>30376.241479012475</v>
      </c>
      <c r="AE55" s="22">
        <f t="shared" si="33"/>
        <v>31138.685140135683</v>
      </c>
      <c r="AF55" s="22">
        <f t="shared" si="33"/>
        <v>31920.266137153085</v>
      </c>
      <c r="AG55" s="22">
        <f t="shared" si="33"/>
        <v>32721.464817195629</v>
      </c>
      <c r="AH55" s="22">
        <f t="shared" si="33"/>
        <v>33542.773584107235</v>
      </c>
      <c r="AI55" s="22">
        <f t="shared" si="33"/>
        <v>34384.697201068324</v>
      </c>
      <c r="AJ55" s="60"/>
      <c r="AK55" s="60"/>
      <c r="AL55" s="60"/>
      <c r="AM55" s="60"/>
      <c r="AN55" s="60"/>
      <c r="AO55" s="6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row>
    <row r="56" spans="1:498" s="20" customFormat="1" hidden="1">
      <c r="A56" s="60"/>
      <c r="B56" s="69" t="s">
        <v>9</v>
      </c>
      <c r="C56" s="69"/>
      <c r="D56" s="69"/>
      <c r="E56" s="37"/>
      <c r="F56" s="22">
        <v>11170</v>
      </c>
      <c r="G56" s="22">
        <f>F56*1.0251</f>
        <v>11450.366999999998</v>
      </c>
      <c r="H56" s="22">
        <f t="shared" ref="H56:AI56" si="34">G56*1.0251</f>
        <v>11737.771211699997</v>
      </c>
      <c r="I56" s="22">
        <f t="shared" si="34"/>
        <v>12032.389269113666</v>
      </c>
      <c r="J56" s="22">
        <f t="shared" si="34"/>
        <v>12334.402239768418</v>
      </c>
      <c r="K56" s="22">
        <f t="shared" si="34"/>
        <v>12643.995735986604</v>
      </c>
      <c r="L56" s="22">
        <f t="shared" si="34"/>
        <v>12961.360028959867</v>
      </c>
      <c r="M56" s="22">
        <f t="shared" si="34"/>
        <v>13286.690165686758</v>
      </c>
      <c r="N56" s="22">
        <f t="shared" si="34"/>
        <v>13620.186088845494</v>
      </c>
      <c r="O56" s="22">
        <f t="shared" si="34"/>
        <v>13962.052759675515</v>
      </c>
      <c r="P56" s="22">
        <f t="shared" si="34"/>
        <v>14312.500283943369</v>
      </c>
      <c r="Q56" s="22">
        <f t="shared" si="34"/>
        <v>14671.744041070346</v>
      </c>
      <c r="R56" s="22">
        <f t="shared" si="34"/>
        <v>15040.00481650121</v>
      </c>
      <c r="S56" s="22">
        <f t="shared" si="34"/>
        <v>15417.508937395389</v>
      </c>
      <c r="T56" s="22">
        <f t="shared" si="34"/>
        <v>15804.488411724011</v>
      </c>
      <c r="U56" s="22">
        <f t="shared" si="34"/>
        <v>16201.181070858282</v>
      </c>
      <c r="V56" s="22">
        <f t="shared" si="34"/>
        <v>16607.830715736822</v>
      </c>
      <c r="W56" s="22">
        <f t="shared" si="34"/>
        <v>17024.687266701814</v>
      </c>
      <c r="X56" s="22">
        <f t="shared" si="34"/>
        <v>17452.006917096027</v>
      </c>
      <c r="Y56" s="22">
        <f t="shared" si="34"/>
        <v>17890.052290715135</v>
      </c>
      <c r="Z56" s="22">
        <f t="shared" si="34"/>
        <v>18339.092603212084</v>
      </c>
      <c r="AA56" s="22">
        <f t="shared" si="34"/>
        <v>18799.403827552705</v>
      </c>
      <c r="AB56" s="22">
        <f t="shared" si="34"/>
        <v>19271.268863624278</v>
      </c>
      <c r="AC56" s="22">
        <f t="shared" si="34"/>
        <v>19754.977712101245</v>
      </c>
      <c r="AD56" s="22">
        <f t="shared" si="34"/>
        <v>20250.827652674983</v>
      </c>
      <c r="AE56" s="22">
        <f t="shared" si="34"/>
        <v>20759.123426757124</v>
      </c>
      <c r="AF56" s="22">
        <f t="shared" si="34"/>
        <v>21280.177424768724</v>
      </c>
      <c r="AG56" s="22">
        <f t="shared" si="34"/>
        <v>21814.309878130418</v>
      </c>
      <c r="AH56" s="22">
        <f t="shared" si="34"/>
        <v>22361.849056071489</v>
      </c>
      <c r="AI56" s="22">
        <f t="shared" si="34"/>
        <v>22923.13146737888</v>
      </c>
      <c r="AJ56" s="60"/>
      <c r="AK56" s="60"/>
      <c r="AL56" s="60"/>
      <c r="AM56" s="60"/>
      <c r="AN56" s="60"/>
      <c r="AO56" s="6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row>
    <row r="57" spans="1:498" s="20" customFormat="1" hidden="1">
      <c r="A57" s="60"/>
      <c r="B57" s="69" t="s">
        <v>10</v>
      </c>
      <c r="C57" s="69"/>
      <c r="D57" s="69"/>
      <c r="E57" s="37"/>
      <c r="F57" s="22">
        <v>3960</v>
      </c>
      <c r="G57" s="22">
        <f>F57*1.0258</f>
        <v>4062.1680000000001</v>
      </c>
      <c r="H57" s="22">
        <f t="shared" ref="H57:AI57" si="35">G57*1.0258</f>
        <v>4166.9719344000005</v>
      </c>
      <c r="I57" s="22">
        <f t="shared" si="35"/>
        <v>4274.4798103075209</v>
      </c>
      <c r="J57" s="22">
        <f t="shared" si="35"/>
        <v>4384.7613894134547</v>
      </c>
      <c r="K57" s="22">
        <f t="shared" si="35"/>
        <v>4497.8882332603216</v>
      </c>
      <c r="L57" s="22">
        <f t="shared" si="35"/>
        <v>4613.9337496784383</v>
      </c>
      <c r="M57" s="22">
        <f t="shared" si="35"/>
        <v>4732.9732404201422</v>
      </c>
      <c r="N57" s="22">
        <f t="shared" si="35"/>
        <v>4855.0839500229822</v>
      </c>
      <c r="O57" s="22">
        <f t="shared" si="35"/>
        <v>4980.3451159335755</v>
      </c>
      <c r="P57" s="22">
        <f t="shared" si="35"/>
        <v>5108.8380199246621</v>
      </c>
      <c r="Q57" s="22">
        <f t="shared" si="35"/>
        <v>5240.6460408387184</v>
      </c>
      <c r="R57" s="22">
        <f t="shared" si="35"/>
        <v>5375.8547086923572</v>
      </c>
      <c r="S57" s="22">
        <f t="shared" si="35"/>
        <v>5514.5517601766205</v>
      </c>
      <c r="T57" s="22">
        <f t="shared" si="35"/>
        <v>5656.8271955891778</v>
      </c>
      <c r="U57" s="22">
        <f t="shared" si="35"/>
        <v>5802.7733372353787</v>
      </c>
      <c r="V57" s="22">
        <f t="shared" si="35"/>
        <v>5952.4848893360513</v>
      </c>
      <c r="W57" s="22">
        <f t="shared" si="35"/>
        <v>6106.0589994809216</v>
      </c>
      <c r="X57" s="22">
        <f t="shared" si="35"/>
        <v>6263.5953216675298</v>
      </c>
      <c r="Y57" s="22">
        <f t="shared" si="35"/>
        <v>6425.1960809665525</v>
      </c>
      <c r="Z57" s="22">
        <f t="shared" si="35"/>
        <v>6590.9661398554899</v>
      </c>
      <c r="AA57" s="22">
        <f t="shared" si="35"/>
        <v>6761.0130662637621</v>
      </c>
      <c r="AB57" s="22">
        <f t="shared" si="35"/>
        <v>6935.4472033733673</v>
      </c>
      <c r="AC57" s="22">
        <f t="shared" si="35"/>
        <v>7114.3817412204007</v>
      </c>
      <c r="AD57" s="22">
        <f t="shared" si="35"/>
        <v>7297.9327901438874</v>
      </c>
      <c r="AE57" s="22">
        <f t="shared" si="35"/>
        <v>7486.2194561296001</v>
      </c>
      <c r="AF57" s="22">
        <f t="shared" si="35"/>
        <v>7679.3639180977443</v>
      </c>
      <c r="AG57" s="22">
        <f t="shared" si="35"/>
        <v>7877.4915071846663</v>
      </c>
      <c r="AH57" s="22">
        <f t="shared" si="35"/>
        <v>8080.7307880700309</v>
      </c>
      <c r="AI57" s="22">
        <f t="shared" si="35"/>
        <v>8289.2136424022374</v>
      </c>
      <c r="AJ57" s="60"/>
      <c r="AK57" s="60"/>
      <c r="AL57" s="60"/>
      <c r="AM57" s="60"/>
      <c r="AN57" s="60"/>
      <c r="AO57" s="6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row>
    <row r="58" spans="1:498" s="20" customFormat="1" hidden="1">
      <c r="A58" s="60"/>
      <c r="B58" s="69" t="s">
        <v>11</v>
      </c>
      <c r="C58" s="69"/>
      <c r="D58" s="70">
        <f>C11</f>
        <v>0</v>
      </c>
      <c r="E58" s="38"/>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J58" s="60"/>
      <c r="AK58" s="60"/>
      <c r="AL58" s="60"/>
      <c r="AM58" s="60"/>
      <c r="AN58" s="60"/>
      <c r="AO58" s="6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row>
    <row r="59" spans="1:498" s="20" customFormat="1" hidden="1">
      <c r="A59" s="60"/>
      <c r="B59" s="69" t="s">
        <v>12</v>
      </c>
      <c r="C59" s="69"/>
      <c r="D59" s="71">
        <f>F85*12</f>
        <v>4500</v>
      </c>
      <c r="E59" s="39"/>
      <c r="G59" s="22"/>
      <c r="H59" s="22"/>
      <c r="I59" s="22"/>
      <c r="J59" s="22"/>
      <c r="K59" s="22"/>
      <c r="L59" s="22"/>
      <c r="M59" s="22"/>
      <c r="N59" s="22"/>
      <c r="O59" s="22"/>
      <c r="P59" s="22"/>
      <c r="Q59" s="22"/>
      <c r="R59" s="22"/>
      <c r="S59" s="22"/>
      <c r="T59" s="22"/>
      <c r="U59" s="22"/>
      <c r="V59" s="22"/>
      <c r="W59" s="22"/>
      <c r="X59" s="22"/>
      <c r="Y59" s="22"/>
      <c r="Z59" s="22"/>
      <c r="AA59" s="22"/>
      <c r="AB59" s="22"/>
      <c r="AC59" s="22"/>
      <c r="AD59" s="22"/>
      <c r="AJ59" s="60"/>
      <c r="AK59" s="60"/>
      <c r="AL59" s="60"/>
      <c r="AM59" s="60"/>
      <c r="AN59" s="60"/>
      <c r="AO59" s="6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0"/>
      <c r="NK59" s="30"/>
      <c r="NL59" s="30"/>
      <c r="NM59" s="30"/>
      <c r="NN59" s="30"/>
      <c r="NO59" s="30"/>
      <c r="NP59" s="30"/>
      <c r="NQ59" s="30"/>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30"/>
    </row>
    <row r="60" spans="1:498" s="20" customFormat="1" hidden="1">
      <c r="A60" s="60"/>
      <c r="B60" s="69" t="s">
        <v>13</v>
      </c>
      <c r="C60" s="69"/>
      <c r="D60" s="69"/>
      <c r="E60" s="40"/>
      <c r="F60" s="23">
        <f>F74*12</f>
        <v>2616.75</v>
      </c>
      <c r="G60" s="23">
        <f>IF(
F63=0+N("If the preceding year's loan balance is zero then"),
0+N("the current IBR payment is zero")+N("If the condition is not met then"),
IF(
AND(
G63=0+N("If this year's loan balance will be zero AND"),
I63=0+N("two year's from now it will be zero, then")),
F63+N("this is the last year of payment, and therefore the total payment made this year will simply be the remaining loan balance from last year")+N("If not then"),
G74*12+N("The monthly IBR payment multiplied by twelve")))</f>
        <v>2758.8674250000004</v>
      </c>
      <c r="H60" s="23">
        <f>IF(
G63=0+N("If the preceding year's loan balance is zero then"),
0+N("the current IBR payment is zero")+N("If the condition is not met then"),
IF(
AND(
H63=0+N("If this year's loan balance will be zero AND"),
J63=0+N("two year's from now it will be zero, then")),
G63+N("this is the last year of payment, and therefore the total payment made this year will simply be the remaining loan balance from last year")+N("If not then"),
H74*12+N("The monthly IBR payment multiplied by twelve")))</f>
        <v>2907.6094773675009</v>
      </c>
      <c r="I60" s="23">
        <f>IF(
H63=0+N("If the preceding year's loan balance is zero then"),
0+N("the current IBR payment is zero")+N("If the condition is not met then"),
IF(
AND(
I63=0+N("If this year's loan balance will be zero AND"),
K63=0+N("two year's from now it will be zero, then")),
H63+N("this is the last year of payment, and therefore the total payment made this year will simply be the remaining loan balance from last year")+N("If not then"),
I74*12+N("The monthly IBR payment multiplied by twelve")))</f>
        <v>3063.2647344494249</v>
      </c>
      <c r="J60" s="23">
        <f t="shared" ref="J60:Y60" si="36">IF(
I63=0+N("If the preceding year's loan balance is zero then"),
0+N("the current IBR payment is zero")+N("If the condition is not met then"),
IF(
AND(
J63=0+N("If this year's loan balance will be zero AND"),
L63=0+N("two year's from now it will be zero, then")),
I63+N("this is the last year of payment, and therefore the total payment made this year will simply be the remaining loan balance from last year")+N("If not then"),
J74*12+N("The monthly IBR payment multiplied by twelve")))</f>
        <v>3226.1339088521063</v>
      </c>
      <c r="K60" s="23">
        <f t="shared" si="36"/>
        <v>3396.530348715014</v>
      </c>
      <c r="L60" s="23">
        <f t="shared" si="36"/>
        <v>3574.7805583685108</v>
      </c>
      <c r="M60" s="23">
        <f t="shared" si="36"/>
        <v>3761.2247402003395</v>
      </c>
      <c r="N60" s="23">
        <f t="shared" si="36"/>
        <v>3956.2173585888186</v>
      </c>
      <c r="O60" s="23">
        <f t="shared" si="36"/>
        <v>4160.1277267952264</v>
      </c>
      <c r="P60" s="23">
        <f t="shared" si="36"/>
        <v>4373.3406177438483</v>
      </c>
      <c r="Q60" s="23">
        <f t="shared" si="36"/>
        <v>4500</v>
      </c>
      <c r="R60" s="23">
        <f t="shared" si="36"/>
        <v>2705.153103919205</v>
      </c>
      <c r="S60" s="23">
        <f t="shared" si="36"/>
        <v>0</v>
      </c>
      <c r="T60" s="23">
        <f t="shared" si="36"/>
        <v>0</v>
      </c>
      <c r="U60" s="23">
        <f t="shared" si="36"/>
        <v>0</v>
      </c>
      <c r="V60" s="23">
        <f t="shared" si="36"/>
        <v>0</v>
      </c>
      <c r="W60" s="23">
        <f t="shared" si="36"/>
        <v>0</v>
      </c>
      <c r="X60" s="23">
        <f t="shared" si="36"/>
        <v>0</v>
      </c>
      <c r="Y60" s="23">
        <f t="shared" si="36"/>
        <v>0</v>
      </c>
      <c r="Z60" s="23">
        <f>IF(
$C$15=0.1+N("If the interest rate is ten percent, THEN"),
0+N("The annual IBR payment is zero because the loan have been forgiven")+N("If that condition is not met THEN"),
IF(
Y63=0+N("If the preceding year's loan balance is zero then"),
0+N("the current IBR payment is zero")+N("If the condition is not met then"),
IF(
AND(
Z63=0+N("If this year's loan balance will be zero AND"),
AB63=0+N("two year's from now it will be zero, then")),
Y63+N("this is the last year of payment, and therefore the total payment made this year will simply be the remaining loan balance from last year")+N("If not then"),
Z74*12+N("The monthly IBR payment multiplied by twelve"))))</f>
        <v>0</v>
      </c>
      <c r="AA60" s="23">
        <f t="shared" ref="AA60:AC60" si="37">IF(
$C$15=0.1+N("If the interest rate is ten percent, THEN"),
0+N("The annual IBR payment is zero because the loan have been forgiven")+N("If that condition is not met THEN"),
IF(
Z63=0+N("If the preceding year's loan balance is zero then"),
0+N("the current IBR payment is zero")+N("If the condition is not met then"),
IF(
AND(
AA63=0+N("If this year's loan balance will be zero AND"),
AC63=0+N("two year's from now it will be zero, then")),
Z63+N("this is the last year of payment, and therefore the total payment made this year will simply be the remaining loan balance from last year")+N("If not then"),
AA74*12+N("The monthly IBR payment multiplied by twelve"))))</f>
        <v>0</v>
      </c>
      <c r="AB60" s="23">
        <f t="shared" si="37"/>
        <v>0</v>
      </c>
      <c r="AC60" s="23">
        <f t="shared" si="37"/>
        <v>0</v>
      </c>
      <c r="AD60" s="23">
        <f>IF($C$15=0.1,0,IF(AC63=0,0,IF(AND(AD63=0,AF63=0),AC63,AD74*12)))</f>
        <v>0</v>
      </c>
      <c r="AE60" s="7"/>
      <c r="AF60" s="7"/>
      <c r="AG60" s="7"/>
      <c r="AH60" s="7"/>
      <c r="AI60" s="7"/>
      <c r="AJ60" s="60"/>
      <c r="AK60" s="60"/>
      <c r="AL60" s="60"/>
      <c r="AM60" s="60"/>
      <c r="AN60" s="60"/>
      <c r="AO60" s="6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row>
    <row r="61" spans="1:498" s="20" customFormat="1" hidden="1">
      <c r="A61" s="60"/>
      <c r="B61" s="69" t="s">
        <v>14</v>
      </c>
      <c r="C61" s="69"/>
      <c r="D61" s="69"/>
      <c r="E61" s="41"/>
      <c r="F61" s="23">
        <f>D63*C11</f>
        <v>0</v>
      </c>
      <c r="G61" s="23">
        <f t="shared" ref="G61:AD61" si="38">IF(
F74=$F$85+N("If the IBR monthly payment equals the standard monhtly payment, then"),
F63*$C$11+N("The annual interest rate is the previous year's loan principal multiplied by the interest rate")+N("If the condition was not met then..."),
IF(
F62&gt;0+N("IF the student negatively amortized the previous year, then"),
$D$63*$C$11+N("Annual interest is the original loan balance multiplied by the interest rate")+N("If they made a principal payment in the previous year then..."),
F63*$C$11+N("Since the previous year's loan balance must be lower tahn the original loan balance, the annual interest is the previous year's loan balance multiplied by the interest rate")))</f>
        <v>0</v>
      </c>
      <c r="H61" s="24">
        <f t="shared" si="38"/>
        <v>0</v>
      </c>
      <c r="I61" s="24">
        <f t="shared" si="38"/>
        <v>0</v>
      </c>
      <c r="J61" s="24">
        <f t="shared" si="38"/>
        <v>0</v>
      </c>
      <c r="K61" s="24">
        <f t="shared" si="38"/>
        <v>0</v>
      </c>
      <c r="L61" s="24">
        <f t="shared" si="38"/>
        <v>0</v>
      </c>
      <c r="M61" s="24">
        <f t="shared" si="38"/>
        <v>0</v>
      </c>
      <c r="N61" s="24">
        <f t="shared" si="38"/>
        <v>0</v>
      </c>
      <c r="O61" s="24">
        <f t="shared" si="38"/>
        <v>0</v>
      </c>
      <c r="P61" s="24">
        <f t="shared" si="38"/>
        <v>0</v>
      </c>
      <c r="Q61" s="24">
        <f t="shared" si="38"/>
        <v>0</v>
      </c>
      <c r="R61" s="24">
        <f t="shared" si="38"/>
        <v>0</v>
      </c>
      <c r="S61" s="24">
        <f t="shared" si="38"/>
        <v>0</v>
      </c>
      <c r="T61" s="24">
        <f t="shared" si="38"/>
        <v>0</v>
      </c>
      <c r="U61" s="24">
        <f t="shared" si="38"/>
        <v>0</v>
      </c>
      <c r="V61" s="24">
        <f t="shared" si="38"/>
        <v>0</v>
      </c>
      <c r="W61" s="24">
        <f t="shared" si="38"/>
        <v>0</v>
      </c>
      <c r="X61" s="24">
        <f t="shared" si="38"/>
        <v>0</v>
      </c>
      <c r="Y61" s="24">
        <f t="shared" si="38"/>
        <v>0</v>
      </c>
      <c r="Z61" s="24">
        <f t="shared" si="38"/>
        <v>0</v>
      </c>
      <c r="AA61" s="24">
        <f t="shared" si="38"/>
        <v>0</v>
      </c>
      <c r="AB61" s="24">
        <f t="shared" si="38"/>
        <v>0</v>
      </c>
      <c r="AC61" s="24">
        <f t="shared" si="38"/>
        <v>0</v>
      </c>
      <c r="AD61" s="24">
        <f t="shared" si="38"/>
        <v>0</v>
      </c>
      <c r="AE61" s="25"/>
      <c r="AF61" s="25"/>
      <c r="AG61" s="25"/>
      <c r="AH61" s="25"/>
      <c r="AI61" s="25"/>
      <c r="AJ61" s="60"/>
      <c r="AK61" s="60"/>
      <c r="AL61" s="60"/>
      <c r="AM61" s="60"/>
      <c r="AN61" s="60"/>
      <c r="AO61" s="6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30"/>
      <c r="OM61" s="30"/>
      <c r="ON61" s="30"/>
      <c r="OO61" s="30"/>
      <c r="OP61" s="30"/>
      <c r="OQ61" s="30"/>
      <c r="OR61" s="30"/>
      <c r="OS61" s="30"/>
      <c r="OT61" s="30"/>
      <c r="OU61" s="30"/>
      <c r="OV61" s="30"/>
      <c r="OW61" s="30"/>
      <c r="OX61" s="30"/>
      <c r="OY61" s="30"/>
      <c r="OZ61" s="30"/>
      <c r="PA61" s="30"/>
      <c r="PB61" s="30"/>
      <c r="PC61" s="30"/>
      <c r="PD61" s="30"/>
      <c r="PE61" s="30"/>
      <c r="PF61" s="30"/>
      <c r="PG61" s="30"/>
      <c r="PH61" s="30"/>
      <c r="PI61" s="30"/>
      <c r="PJ61" s="30"/>
      <c r="PK61" s="30"/>
      <c r="PL61" s="30"/>
      <c r="PM61" s="30"/>
      <c r="PN61" s="30"/>
      <c r="PO61" s="30"/>
      <c r="PP61" s="30"/>
      <c r="PQ61" s="30"/>
      <c r="PR61" s="30"/>
      <c r="PS61" s="30"/>
      <c r="PT61" s="30"/>
      <c r="PU61" s="30"/>
      <c r="PV61" s="30"/>
      <c r="PW61" s="30"/>
      <c r="PX61" s="30"/>
      <c r="PY61" s="30"/>
      <c r="PZ61" s="30"/>
      <c r="QA61" s="30"/>
      <c r="QB61" s="30"/>
      <c r="QC61" s="30"/>
      <c r="QD61" s="30"/>
      <c r="QE61" s="30"/>
      <c r="QF61" s="30"/>
      <c r="QG61" s="30"/>
      <c r="QH61" s="30"/>
      <c r="QI61" s="30"/>
      <c r="QJ61" s="30"/>
      <c r="QK61" s="30"/>
      <c r="QL61" s="30"/>
      <c r="QM61" s="30"/>
      <c r="QN61" s="30"/>
      <c r="QO61" s="30"/>
      <c r="QP61" s="30"/>
      <c r="QQ61" s="30"/>
      <c r="QR61" s="30"/>
      <c r="QS61" s="30"/>
      <c r="QT61" s="30"/>
      <c r="QU61" s="30"/>
      <c r="QV61" s="30"/>
      <c r="QW61" s="30"/>
      <c r="QX61" s="30"/>
      <c r="QY61" s="30"/>
      <c r="QZ61" s="30"/>
      <c r="RA61" s="30"/>
      <c r="RB61" s="30"/>
      <c r="RC61" s="30"/>
      <c r="RD61" s="30"/>
      <c r="RE61" s="30"/>
      <c r="RF61" s="30"/>
      <c r="RG61" s="30"/>
      <c r="RH61" s="30"/>
      <c r="RI61" s="30"/>
      <c r="RJ61" s="30"/>
      <c r="RK61" s="30"/>
      <c r="RL61" s="30"/>
      <c r="RM61" s="30"/>
      <c r="RN61" s="30"/>
      <c r="RO61" s="30"/>
      <c r="RP61" s="30"/>
      <c r="RQ61" s="30"/>
      <c r="RR61" s="30"/>
      <c r="RS61" s="30"/>
      <c r="RT61" s="30"/>
      <c r="RU61" s="30"/>
      <c r="RV61" s="30"/>
      <c r="RW61" s="30"/>
      <c r="RX61" s="30"/>
      <c r="RY61" s="30"/>
      <c r="RZ61" s="30"/>
      <c r="SA61" s="30"/>
      <c r="SB61" s="30"/>
      <c r="SC61" s="30"/>
      <c r="SD61" s="30"/>
    </row>
    <row r="62" spans="1:498" s="20" customFormat="1" hidden="1">
      <c r="A62" s="60"/>
      <c r="B62" s="69" t="s">
        <v>15</v>
      </c>
      <c r="C62" s="69"/>
      <c r="D62" s="69"/>
      <c r="E62" s="41"/>
      <c r="F62" s="26">
        <f>($C$26*$C$11)-((F74*12)*C32)+N("CNAPP equals the annual interest on unsubs minus the the percentage of the annual IBR payment that would be put towards unsubs")</f>
        <v>-2616.75</v>
      </c>
      <c r="G62" s="26">
        <f>IF(
F62=-$C$10+N("IF the principal payment from the previous year equals the original loan balance then"),
0+N("The CAN/PP euals zero, because you have paid of the loan")+N("if CAN/PP does not equal the original loan balance, then..."),
IF(
$C$11=0+N("If the interest rate is zero, then"),
(-(G74*12))+F62+N("CNAPP equals the last year's CNAPP minus whatever the annual IBR payment was")+N("If the interest rate is not zero, then..."),
IF(
G61=0+N("If the annual interest paid equals zero, then..."),
0+N("CNAPP equals zero")+N("If the annual interest rate does not equal zero, then..."),
(($C$26*$C$11)-((G74*12)*$C$32))+F62+N("CNAPP equals the previous CNAPP plus the annual interest on unsubs minus the the percentage of the annual IBR payment that would be put towards unsubs"))))</f>
        <v>-5375.6174250000004</v>
      </c>
      <c r="H62" s="27">
        <f>IF(
G62=-$C$10+N("IF the principal payment from the previous year equals the original loan balance then"),
0+N("The CAN/PP euals zero, because you have paid of the loan")+N("if CAN/PP does not equal the original loan balance, then..."),
IF(
$C$11=0+N("If the interest rate is zero, then"),
(-(H74*12))+G62+N("CNAPP equals the last year's CNAPP minus whatever the annual IBR payment was")+N("If the interest rate is not zero, then..."),
IF(
H61=0+N("If the annual interest paid equals zero, then..."),
0+N("CNAPP equals zero")+N("If the annual interest rate does not equal zero, then..."),
(($C$26*$C$11)-((H74*12)*$C$32))+G62+N("CNAPP equals the previous CNAPP plus the annual interest on unsubs minus the the percentage of the annual IBR payment that would be put towards unsubs"))))</f>
        <v>-8283.2269023675017</v>
      </c>
      <c r="I62" s="27">
        <f t="shared" ref="I62:AD62" si="39">IF(
H62=-$C10+N("IF the principal payment from the previous year equals the original loan balance then"),
0+N("The CAN/PP euals zero, because you have paid of the loan")+N("if CAN/PP does not equal the original loan balance, then..."),
IF(
$C11=0+N("If the interest rate is zero, then"),
(-(I74*12))+H62+N("CNAPP equals the last year's CNAPP minus whatever the annual IBR payment was")+N("If the interest rate is not zero, then..."),
IF(
I61=0+N("If the annual interest paid equals zero, then..."),
0+N("CNAPP equals zero")+N("If the annual interest rate does not equal zero, then..."),
I61-(I74*12)+H62+N("CNAPP equals the previous CNAPP plus the annual interest minus the annual IBR payment"))))</f>
        <v>-11346.491636816927</v>
      </c>
      <c r="J62" s="27">
        <f t="shared" si="39"/>
        <v>-14572.625545669034</v>
      </c>
      <c r="K62" s="27">
        <f t="shared" si="39"/>
        <v>-17969.15589438405</v>
      </c>
      <c r="L62" s="27">
        <f t="shared" si="39"/>
        <v>-21543.936452752561</v>
      </c>
      <c r="M62" s="27">
        <f t="shared" si="39"/>
        <v>-25305.161192952903</v>
      </c>
      <c r="N62" s="27">
        <f t="shared" si="39"/>
        <v>-29261.378551541722</v>
      </c>
      <c r="O62" s="27">
        <f t="shared" si="39"/>
        <v>-33421.50627833695</v>
      </c>
      <c r="P62" s="27">
        <f t="shared" si="39"/>
        <v>-37794.846896080795</v>
      </c>
      <c r="Q62" s="27">
        <f t="shared" si="39"/>
        <v>-42294.846896080795</v>
      </c>
      <c r="R62" s="27">
        <f t="shared" si="39"/>
        <v>-46794.846896080795</v>
      </c>
      <c r="S62" s="27">
        <f t="shared" si="39"/>
        <v>-46794.846896080795</v>
      </c>
      <c r="T62" s="27">
        <f t="shared" si="39"/>
        <v>-46794.846896080795</v>
      </c>
      <c r="U62" s="27">
        <f t="shared" si="39"/>
        <v>-46794.846896080795</v>
      </c>
      <c r="V62" s="27">
        <f t="shared" si="39"/>
        <v>-46794.846896080795</v>
      </c>
      <c r="W62" s="27">
        <f t="shared" si="39"/>
        <v>-46794.846896080795</v>
      </c>
      <c r="X62" s="27">
        <f t="shared" si="39"/>
        <v>-46794.846896080795</v>
      </c>
      <c r="Y62" s="27">
        <f t="shared" si="39"/>
        <v>-46794.846896080795</v>
      </c>
      <c r="Z62" s="27">
        <f t="shared" si="39"/>
        <v>-46794.846896080795</v>
      </c>
      <c r="AA62" s="27">
        <f t="shared" si="39"/>
        <v>-46794.846896080795</v>
      </c>
      <c r="AB62" s="27">
        <f t="shared" si="39"/>
        <v>-46794.846896080795</v>
      </c>
      <c r="AC62" s="27">
        <f t="shared" si="39"/>
        <v>-46794.846896080795</v>
      </c>
      <c r="AD62" s="27">
        <f t="shared" si="39"/>
        <v>-46794.846896080795</v>
      </c>
      <c r="AE62" s="28"/>
      <c r="AF62" s="28"/>
      <c r="AG62" s="28"/>
      <c r="AH62" s="28"/>
      <c r="AI62" s="28"/>
      <c r="AJ62" s="60"/>
      <c r="AK62" s="60"/>
      <c r="AL62" s="60"/>
      <c r="AM62" s="60"/>
      <c r="AN62" s="60"/>
      <c r="AO62" s="6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row>
    <row r="63" spans="1:498" s="20" customFormat="1" hidden="1">
      <c r="A63" s="60"/>
      <c r="B63" s="69" t="s">
        <v>16</v>
      </c>
      <c r="C63" s="69"/>
      <c r="D63" s="72">
        <f>C10</f>
        <v>45000</v>
      </c>
      <c r="E63" s="42"/>
      <c r="F63" s="26">
        <f>$C$10+F62</f>
        <v>42383.25</v>
      </c>
      <c r="G63" s="26">
        <f t="shared" ref="G63:X63" si="40">IF(
OR(
F63&lt;=0+N("If either the loan balance from the preceding year is less than or equal to zero OR"),
AND(
$C11=0+N("if the interest rate is zero AND"),
(F63-(F74*12))&lt;0+N("The loan balance is less than the annual IBR payment then"))),
0+N("the loan balance equals zero, if these conditions were not satisfied then"),
IF(
($C10+G62)&lt;0+N("If the principal payment is greaterthan the original loan balance then"),
0+N("the loan balance is zero")+N("If not, then"),
IF(
(G97*$C$15)/12&gt;=$C$85+N("If the IBR payment is greater than or equal to the standard payment then"),
(F63*(1+$C$11))-(G74*12)+N("the previous loan balance plus interest minus the annual IBR payment is the new loan balance")+N("If the condition is false then"),
($C10+G62)+N("the new loan balance is the original minus the principal or plus the negative amortization (the plus sign is in the formula because negative amortization is postitive and principal payment is negative in the spreadsheet"))))</f>
        <v>39624.382574999996</v>
      </c>
      <c r="H63" s="26">
        <f t="shared" si="40"/>
        <v>36716.773097632497</v>
      </c>
      <c r="I63" s="26">
        <f t="shared" si="40"/>
        <v>33653.508363183071</v>
      </c>
      <c r="J63" s="26">
        <f t="shared" si="40"/>
        <v>30427.374454330966</v>
      </c>
      <c r="K63" s="26">
        <f t="shared" si="40"/>
        <v>27030.84410561595</v>
      </c>
      <c r="L63" s="26">
        <f t="shared" si="40"/>
        <v>23456.063547247439</v>
      </c>
      <c r="M63" s="26">
        <f t="shared" si="40"/>
        <v>19694.838807047097</v>
      </c>
      <c r="N63" s="26">
        <f t="shared" si="40"/>
        <v>15738.621448458278</v>
      </c>
      <c r="O63" s="26">
        <f t="shared" si="40"/>
        <v>11578.49372166305</v>
      </c>
      <c r="P63" s="26">
        <f t="shared" si="40"/>
        <v>7205.153103919205</v>
      </c>
      <c r="Q63" s="26">
        <f t="shared" si="40"/>
        <v>2705.153103919205</v>
      </c>
      <c r="R63" s="26">
        <f t="shared" si="40"/>
        <v>0</v>
      </c>
      <c r="S63" s="26">
        <f t="shared" si="40"/>
        <v>0</v>
      </c>
      <c r="T63" s="26">
        <f t="shared" si="40"/>
        <v>0</v>
      </c>
      <c r="U63" s="26">
        <f t="shared" si="40"/>
        <v>0</v>
      </c>
      <c r="V63" s="26">
        <f t="shared" si="40"/>
        <v>0</v>
      </c>
      <c r="W63" s="26">
        <f t="shared" si="40"/>
        <v>0</v>
      </c>
      <c r="X63" s="26">
        <f t="shared" si="40"/>
        <v>0</v>
      </c>
      <c r="Y63" s="26">
        <f t="shared" ref="Y63:AD63" si="41">IF(
OR(
X63&lt;=0+N("If either the loan balance from the preceding year is less than or equal to zero OR"),
AND(
Y51&gt;20+N("IT is later than teh 20th year AND"),
$C$15=0.1+N("Percentage as share is 10 percent OR")),
AND(
$C11=0+N("if the interest rate is zero AND"),
(X63-(X74*12))&lt;0+N("The loan balance is less than the annual IBR payment then"))),
0+N("the loan balance equals zero, if these conditions were not satisfied then"),
IF(
($C10+Y62)&lt;0+N("If the principal payment is greaterthan the original loan balance then"),
0+N("the loan balance is zero")+N("If not, then"),
IF(
(Y97*$C$15)/12&gt;=$C$85+N("If the IBR payment is greater than or equal to the standard payment then"),
(X63*(1+$C$11))-(Y74*12)+N("the previous loan balance plus interest minus the annual IBR payment is the new loan balance")+N("If the condition is false then"),
($C10+Y62)+N("the new loan balance is the original minus the principal or plus the negative amortization (the plus sign is in the formula because negative amortization is postitive and principal payment is negative in the spreadsheet"))))</f>
        <v>0</v>
      </c>
      <c r="Z63" s="26">
        <f t="shared" si="41"/>
        <v>0</v>
      </c>
      <c r="AA63" s="26">
        <f t="shared" si="41"/>
        <v>0</v>
      </c>
      <c r="AB63" s="26">
        <f t="shared" si="41"/>
        <v>0</v>
      </c>
      <c r="AC63" s="26">
        <f t="shared" si="41"/>
        <v>0</v>
      </c>
      <c r="AD63" s="26">
        <f t="shared" si="41"/>
        <v>0</v>
      </c>
      <c r="AE63" s="28"/>
      <c r="AF63" s="28"/>
      <c r="AG63" s="28"/>
      <c r="AH63" s="28"/>
      <c r="AI63" s="28"/>
      <c r="AJ63" s="60"/>
      <c r="AK63" s="60"/>
      <c r="AL63" s="60"/>
      <c r="AM63" s="60"/>
      <c r="AN63" s="60"/>
      <c r="AO63" s="6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row>
    <row r="64" spans="1:498" s="20" customFormat="1" hidden="1">
      <c r="A64" s="60"/>
      <c r="B64" s="67"/>
      <c r="C64" s="69"/>
      <c r="D64" s="73"/>
      <c r="E64" s="73"/>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2"/>
      <c r="AF64" s="60"/>
      <c r="AG64" s="60"/>
      <c r="AH64" s="60"/>
      <c r="AI64" s="60"/>
      <c r="AJ64" s="60"/>
      <c r="AK64" s="60"/>
      <c r="AL64" s="60"/>
      <c r="AM64" s="60"/>
      <c r="AN64" s="60"/>
      <c r="AO64" s="6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c r="MD64" s="30"/>
      <c r="ME64" s="30"/>
      <c r="MF64" s="30"/>
      <c r="MG64" s="30"/>
      <c r="MH64" s="30"/>
      <c r="MI64" s="30"/>
      <c r="MJ64" s="30"/>
      <c r="MK64" s="30"/>
      <c r="ML64" s="30"/>
      <c r="MM64" s="30"/>
      <c r="MN64" s="30"/>
      <c r="MO64" s="30"/>
      <c r="MP64" s="30"/>
      <c r="MQ64" s="30"/>
      <c r="MR64" s="30"/>
      <c r="MS64" s="30"/>
      <c r="MT64" s="30"/>
      <c r="MU64" s="30"/>
      <c r="MV64" s="30"/>
      <c r="MW64" s="30"/>
      <c r="MX64" s="30"/>
      <c r="MY64" s="30"/>
      <c r="MZ64" s="30"/>
      <c r="NA64" s="30"/>
      <c r="NB64" s="30"/>
      <c r="NC64" s="30"/>
      <c r="ND64" s="30"/>
      <c r="NE64" s="30"/>
      <c r="NF64" s="30"/>
      <c r="NG64" s="30"/>
      <c r="NH64" s="30"/>
      <c r="NI64" s="30"/>
      <c r="NJ64" s="30"/>
      <c r="NK64" s="30"/>
      <c r="NL64" s="30"/>
      <c r="NM64" s="30"/>
      <c r="NN64" s="30"/>
      <c r="NO64" s="30"/>
      <c r="NP64" s="30"/>
      <c r="NQ64" s="30"/>
      <c r="NR64" s="30"/>
      <c r="NS64" s="30"/>
      <c r="NT64" s="30"/>
      <c r="NU64" s="30"/>
      <c r="NV64" s="30"/>
      <c r="NW64" s="30"/>
      <c r="NX64" s="30"/>
      <c r="NY64" s="30"/>
      <c r="NZ64" s="30"/>
      <c r="OA64" s="30"/>
      <c r="OB64" s="30"/>
      <c r="OC64" s="30"/>
      <c r="OD64" s="30"/>
      <c r="OE64" s="30"/>
      <c r="OF64" s="30"/>
      <c r="OG64" s="30"/>
      <c r="OH64" s="30"/>
      <c r="OI64" s="30"/>
      <c r="OJ64" s="30"/>
      <c r="OK64" s="30"/>
      <c r="OL64" s="30"/>
      <c r="OM64" s="30"/>
      <c r="ON64" s="30"/>
      <c r="OO64" s="30"/>
      <c r="OP64" s="30"/>
      <c r="OQ64" s="30"/>
      <c r="OR64" s="30"/>
      <c r="OS64" s="30"/>
      <c r="OT64" s="30"/>
      <c r="OU64" s="30"/>
      <c r="OV64" s="30"/>
      <c r="OW64" s="30"/>
      <c r="OX64" s="30"/>
      <c r="OY64" s="30"/>
      <c r="OZ64" s="30"/>
      <c r="PA64" s="30"/>
      <c r="PB64" s="30"/>
      <c r="PC64" s="30"/>
      <c r="PD64" s="30"/>
      <c r="PE64" s="30"/>
      <c r="PF64" s="30"/>
      <c r="PG64" s="30"/>
      <c r="PH64" s="30"/>
      <c r="PI64" s="30"/>
      <c r="PJ64" s="30"/>
      <c r="PK64" s="30"/>
      <c r="PL64" s="30"/>
      <c r="PM64" s="30"/>
      <c r="PN64" s="30"/>
      <c r="PO64" s="30"/>
      <c r="PP64" s="30"/>
      <c r="PQ64" s="30"/>
      <c r="PR64" s="30"/>
      <c r="PS64" s="30"/>
      <c r="PT64" s="30"/>
      <c r="PU64" s="30"/>
      <c r="PV64" s="30"/>
      <c r="PW64" s="30"/>
      <c r="PX64" s="30"/>
      <c r="PY64" s="30"/>
      <c r="PZ64" s="30"/>
      <c r="QA64" s="30"/>
      <c r="QB64" s="30"/>
      <c r="QC64" s="30"/>
      <c r="QD64" s="30"/>
      <c r="QE64" s="30"/>
      <c r="QF64" s="30"/>
      <c r="QG64" s="30"/>
      <c r="QH64" s="30"/>
      <c r="QI64" s="30"/>
      <c r="QJ64" s="30"/>
      <c r="QK64" s="30"/>
      <c r="QL64" s="30"/>
      <c r="QM64" s="30"/>
      <c r="QN64" s="30"/>
      <c r="QO64" s="30"/>
      <c r="QP64" s="30"/>
      <c r="QQ64" s="30"/>
      <c r="QR64" s="30"/>
      <c r="QS64" s="30"/>
      <c r="QT64" s="30"/>
      <c r="QU64" s="30"/>
      <c r="QV64" s="30"/>
      <c r="QW64" s="30"/>
      <c r="QX64" s="30"/>
      <c r="QY64" s="30"/>
      <c r="QZ64" s="30"/>
      <c r="RA64" s="30"/>
      <c r="RB64" s="30"/>
      <c r="RC64" s="30"/>
      <c r="RD64" s="30"/>
      <c r="RE64" s="30"/>
      <c r="RF64" s="30"/>
      <c r="RG64" s="30"/>
      <c r="RH64" s="30"/>
      <c r="RI64" s="30"/>
      <c r="RJ64" s="30"/>
      <c r="RK64" s="30"/>
      <c r="RL64" s="30"/>
      <c r="RM64" s="30"/>
      <c r="RN64" s="30"/>
      <c r="RO64" s="30"/>
      <c r="RP64" s="30"/>
      <c r="RQ64" s="30"/>
      <c r="RR64" s="30"/>
      <c r="RS64" s="30"/>
      <c r="RT64" s="30"/>
      <c r="RU64" s="30"/>
      <c r="RV64" s="30"/>
      <c r="RW64" s="30"/>
      <c r="RX64" s="30"/>
      <c r="RY64" s="30"/>
      <c r="RZ64" s="30"/>
      <c r="SA64" s="30"/>
      <c r="SB64" s="30"/>
      <c r="SC64" s="30"/>
      <c r="SD64" s="30"/>
    </row>
    <row r="65" spans="1:498" s="20" customFormat="1" hidden="1">
      <c r="A65" s="60"/>
      <c r="B65" s="67"/>
      <c r="C65" s="113">
        <f>SUM(F65:Y65)</f>
        <v>45000</v>
      </c>
      <c r="D65" s="73"/>
      <c r="E65" s="73"/>
      <c r="F65" s="156">
        <f>F70*12</f>
        <v>1744.5</v>
      </c>
      <c r="G65" s="156">
        <f>IF(
F68=0+N("If the preceding year's loan balance is zero then"),
0+N("the current IBR payment is zero")+N("If the condition is not met then"),
IF(
AND(
G68=0+N("If this year's loan balance will be zero AND"),
I68=0+N("two year's from now it will be zero, then")),
F68+N("this is the last year of payment, and therefore the total payment made this year will simply be the remaining loan balance from last year")+N("If not then"),
G70*12+N("The monthly IBR payment multiplied by twelve")))</f>
        <v>1839.2449500000002</v>
      </c>
      <c r="H65" s="156">
        <f>IF(
G68=0+N("If the preceding year's loan balance is zero then"),
0+N("the current IBR payment is zero")+N("If the condition is not met then"),
IF(
AND(
H68=0+N("If this year's loan balance will be zero AND"),
J68=0+N("two year's from now it will be zero, then")),
G68+N("this is the last year of payment, and therefore the total payment made this year will simply be the remaining loan balance from last year")+N("If not then"),
H70*12+N("The monthly IBR payment multiplied by twelve")))</f>
        <v>1938.4063182450004</v>
      </c>
      <c r="I65" s="156">
        <f>IF(
H68=0+N("If the preceding year's loan balance is zero then"),
0+N("the current IBR payment is zero")+N("If the condition is not met then"),
IF(
AND(
I68=0+N("If this year's loan balance will be zero AND"),
K68=0+N("two year's from now it will be zero, then")),
H68+N("this is the last year of payment, and therefore the total payment made this year will simply be the remaining loan balance from last year")+N("If not then"),
I70*12+N("The monthly IBR payment multiplied by twelve")))</f>
        <v>2042.1764896329501</v>
      </c>
      <c r="J65" s="156">
        <f t="shared" ref="J65:AD65" si="42">IF(
I68=0+N("If the preceding year's loan balance is zero then"),
0+N("the current IBR payment is zero")+N("If the condition is not met then"),
IF(
AND(
J68=0+N("If this year's loan balance will be zero AND"),
L68=0+N("two year's from now it will be zero, then")),
I68+N("this is the last year of payment, and therefore the total payment made this year will simply be the remaining loan balance from last year")+N("If not then"),
J70*12+N("The monthly IBR payment multiplied by twelve")))</f>
        <v>2150.7559392347375</v>
      </c>
      <c r="K65" s="156">
        <f t="shared" si="42"/>
        <v>2264.3535658100095</v>
      </c>
      <c r="L65" s="156">
        <f t="shared" si="42"/>
        <v>2383.187038912341</v>
      </c>
      <c r="M65" s="156">
        <f t="shared" si="42"/>
        <v>2507.48316013356</v>
      </c>
      <c r="N65" s="156">
        <f t="shared" si="42"/>
        <v>2637.4782390592127</v>
      </c>
      <c r="O65" s="156">
        <f t="shared" si="42"/>
        <v>2773.4184845301511</v>
      </c>
      <c r="P65" s="156">
        <f t="shared" si="42"/>
        <v>2915.5604118292322</v>
      </c>
      <c r="Q65" s="156">
        <f t="shared" si="42"/>
        <v>3064.1712664370152</v>
      </c>
      <c r="R65" s="156">
        <f t="shared" si="42"/>
        <v>3219.5294650262886</v>
      </c>
      <c r="S65" s="156">
        <f t="shared" si="42"/>
        <v>3381.9250543922203</v>
      </c>
      <c r="T65" s="156">
        <f t="shared" si="42"/>
        <v>3551.6601890429893</v>
      </c>
      <c r="U65" s="156">
        <f t="shared" si="42"/>
        <v>3729.0496282049126</v>
      </c>
      <c r="V65" s="156">
        <f t="shared" si="42"/>
        <v>2857.0997995093821</v>
      </c>
      <c r="W65" s="156">
        <f t="shared" si="42"/>
        <v>0</v>
      </c>
      <c r="X65" s="156">
        <f t="shared" si="42"/>
        <v>0</v>
      </c>
      <c r="Y65" s="156">
        <f t="shared" si="42"/>
        <v>0</v>
      </c>
      <c r="Z65" s="156">
        <f t="shared" si="42"/>
        <v>0</v>
      </c>
      <c r="AA65" s="156">
        <f t="shared" si="42"/>
        <v>0</v>
      </c>
      <c r="AB65" s="156">
        <f t="shared" si="42"/>
        <v>0</v>
      </c>
      <c r="AC65" s="156">
        <f t="shared" si="42"/>
        <v>0</v>
      </c>
      <c r="AD65" s="156">
        <f t="shared" si="42"/>
        <v>0</v>
      </c>
      <c r="AE65" s="62"/>
      <c r="AF65" s="60"/>
      <c r="AG65" s="60"/>
      <c r="AH65" s="60"/>
      <c r="AI65" s="60"/>
      <c r="AJ65" s="60"/>
      <c r="AK65" s="60"/>
      <c r="AL65" s="60"/>
      <c r="AM65" s="60"/>
      <c r="AN65" s="60"/>
      <c r="AO65" s="6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0"/>
      <c r="ND65" s="30"/>
      <c r="NE65" s="30"/>
      <c r="NF65" s="30"/>
      <c r="NG65" s="30"/>
      <c r="NH65" s="30"/>
      <c r="NI65" s="30"/>
      <c r="NJ65" s="30"/>
      <c r="NK65" s="30"/>
      <c r="NL65" s="30"/>
      <c r="NM65" s="30"/>
      <c r="NN65" s="30"/>
      <c r="NO65" s="30"/>
      <c r="NP65" s="30"/>
      <c r="NQ65" s="30"/>
      <c r="NR65" s="30"/>
      <c r="NS65" s="30"/>
      <c r="NT65" s="30"/>
      <c r="NU65" s="30"/>
      <c r="NV65" s="30"/>
      <c r="NW65" s="30"/>
      <c r="NX65" s="30"/>
      <c r="NY65" s="30"/>
      <c r="NZ65" s="30"/>
      <c r="OA65" s="30"/>
      <c r="OB65" s="30"/>
      <c r="OC65" s="30"/>
      <c r="OD65" s="30"/>
      <c r="OE65" s="30"/>
      <c r="OF65" s="30"/>
      <c r="OG65" s="30"/>
      <c r="OH65" s="30"/>
      <c r="OI65" s="30"/>
      <c r="OJ65" s="30"/>
      <c r="OK65" s="30"/>
      <c r="OL65" s="30"/>
      <c r="OM65" s="30"/>
      <c r="ON65" s="30"/>
      <c r="OO65" s="30"/>
      <c r="OP65" s="30"/>
      <c r="OQ65" s="30"/>
      <c r="OR65" s="30"/>
      <c r="OS65" s="30"/>
      <c r="OT65" s="30"/>
      <c r="OU65" s="30"/>
      <c r="OV65" s="30"/>
      <c r="OW65" s="30"/>
      <c r="OX65" s="30"/>
      <c r="OY65" s="30"/>
      <c r="OZ65" s="30"/>
      <c r="PA65" s="30"/>
      <c r="PB65" s="30"/>
      <c r="PC65" s="30"/>
      <c r="PD65" s="30"/>
      <c r="PE65" s="30"/>
      <c r="PF65" s="30"/>
      <c r="PG65" s="30"/>
      <c r="PH65" s="30"/>
      <c r="PI65" s="30"/>
      <c r="PJ65" s="30"/>
      <c r="PK65" s="30"/>
      <c r="PL65" s="30"/>
      <c r="PM65" s="30"/>
      <c r="PN65" s="30"/>
      <c r="PO65" s="30"/>
      <c r="PP65" s="30"/>
      <c r="PQ65" s="30"/>
      <c r="PR65" s="30"/>
      <c r="PS65" s="30"/>
      <c r="PT65" s="30"/>
      <c r="PU65" s="30"/>
      <c r="PV65" s="30"/>
      <c r="PW65" s="30"/>
      <c r="PX65" s="30"/>
      <c r="PY65" s="30"/>
      <c r="PZ65" s="30"/>
      <c r="QA65" s="30"/>
      <c r="QB65" s="30"/>
      <c r="QC65" s="30"/>
      <c r="QD65" s="30"/>
      <c r="QE65" s="30"/>
      <c r="QF65" s="30"/>
      <c r="QG65" s="30"/>
      <c r="QH65" s="30"/>
      <c r="QI65" s="30"/>
      <c r="QJ65" s="30"/>
      <c r="QK65" s="30"/>
      <c r="QL65" s="30"/>
      <c r="QM65" s="30"/>
      <c r="QN65" s="30"/>
      <c r="QO65" s="30"/>
      <c r="QP65" s="30"/>
      <c r="QQ65" s="30"/>
      <c r="QR65" s="30"/>
      <c r="QS65" s="30"/>
      <c r="QT65" s="30"/>
      <c r="QU65" s="30"/>
      <c r="QV65" s="30"/>
      <c r="QW65" s="30"/>
      <c r="QX65" s="30"/>
      <c r="QY65" s="30"/>
      <c r="QZ65" s="30"/>
      <c r="RA65" s="30"/>
      <c r="RB65" s="30"/>
      <c r="RC65" s="30"/>
      <c r="RD65" s="30"/>
      <c r="RE65" s="30"/>
      <c r="RF65" s="30"/>
      <c r="RG65" s="30"/>
      <c r="RH65" s="30"/>
      <c r="RI65" s="30"/>
      <c r="RJ65" s="30"/>
      <c r="RK65" s="30"/>
      <c r="RL65" s="30"/>
      <c r="RM65" s="30"/>
      <c r="RN65" s="30"/>
      <c r="RO65" s="30"/>
      <c r="RP65" s="30"/>
      <c r="RQ65" s="30"/>
      <c r="RR65" s="30"/>
      <c r="RS65" s="30"/>
      <c r="RT65" s="30"/>
      <c r="RU65" s="30"/>
      <c r="RV65" s="30"/>
      <c r="RW65" s="30"/>
      <c r="RX65" s="30"/>
      <c r="RY65" s="30"/>
      <c r="RZ65" s="30"/>
      <c r="SA65" s="30"/>
      <c r="SB65" s="30"/>
      <c r="SC65" s="30"/>
      <c r="SD65" s="30"/>
    </row>
    <row r="66" spans="1:498" s="20" customFormat="1" hidden="1">
      <c r="A66" s="60"/>
      <c r="B66" s="67"/>
      <c r="C66" s="69"/>
      <c r="D66" s="73"/>
      <c r="E66" s="73"/>
      <c r="F66" s="156">
        <f>D63*C11</f>
        <v>0</v>
      </c>
      <c r="G66" s="156">
        <f>IF(
F70=$F$85+N("If the IBR monthly payment equals the standard monhtly payment, then"),
F68*$C$11+N("The annual interest rate is the previous year's loan principal multiplied by the interest rate")+N("If the condition was not met then..."),
IF(
F67&gt;0+N("IF the student negatively amortized the previous year, then"),
$D$63*$C$11+N("Annual interest is the original loan balance multiplied by the interest rate")+N("If they made a principal payment in the previous year then..."),
F68*$C$11+N("Since the previous year's loan balance must be lower tahn the original loan balance, the annual interest is the previous year's loan balance multiplied by the interest rate")))</f>
        <v>0</v>
      </c>
      <c r="H66" s="156">
        <f>IF(
G70=$F$85+N("If the IBR monthly payment equals the standard monhtly payment, then"),
G68*$C$11+N("The annual interest rate is the previous year's loan principal multiplied by the interest rate")+N("If the condition was not met then..."),
IF(
G67&gt;0+N("IF the student negatively amortized the previous year, then"),
$D$63*$C$11+N("Annual interest is the original loan balance multiplied by the interest rate")+N("If they made a principal payment in the previous year then..."),
G68*$C$11+N("Since the previous year's loan balance must be lower tahn the original loan balance, the annual interest is the previous year's loan balance multiplied by the interest rate")))</f>
        <v>0</v>
      </c>
      <c r="I66" s="156">
        <f>IF(
H70=$F$85+N("If the IBR monthly payment equals the standard monhtly payment, then"),
H68*$C$11+N("The annual interest rate is the previous year's loan principal multiplied by the interest rate")+N("If the condition was not met then..."),
IF(
H67&gt;0+N("IF the student negatively amortized the previous year, then"),
$D$63*$C$11+N("Annual interest is the original loan balance multiplied by the interest rate")+N("If they made a principal payment in the previous year then..."),
H68*$C$11+N("Since the previous year's loan balance must be lower tahn the original loan balance, the annual interest is the previous year's loan balance multiplied by the interest rate")))</f>
        <v>0</v>
      </c>
      <c r="J66" s="156">
        <f t="shared" ref="J66:AD66" si="43">IF(
I70=$F$85+N("If the IBR monthly payment equals the standard monhtly payment, then"),
I68*$C$11+N("The annual interest rate is the previous year's loan principal multiplied by the interest rate")+N("If the condition was not met then..."),
IF(
I67&gt;0+N("IF the student negatively amortized the previous year, then"),
$D$63*$C$11+N("Annual interest is the original loan balance multiplied by the interest rate")+N("If they made a principal payment in the previous year then..."),
I68*$C$11+N("Since the previous year's loan balance must be lower tahn the original loan balance, the annual interest is the previous year's loan balance multiplied by the interest rate")))</f>
        <v>0</v>
      </c>
      <c r="K66" s="156">
        <f t="shared" si="43"/>
        <v>0</v>
      </c>
      <c r="L66" s="156">
        <f t="shared" si="43"/>
        <v>0</v>
      </c>
      <c r="M66" s="156">
        <f t="shared" si="43"/>
        <v>0</v>
      </c>
      <c r="N66" s="156">
        <f t="shared" si="43"/>
        <v>0</v>
      </c>
      <c r="O66" s="156">
        <f t="shared" si="43"/>
        <v>0</v>
      </c>
      <c r="P66" s="156">
        <f t="shared" si="43"/>
        <v>0</v>
      </c>
      <c r="Q66" s="156">
        <f t="shared" si="43"/>
        <v>0</v>
      </c>
      <c r="R66" s="156">
        <f t="shared" si="43"/>
        <v>0</v>
      </c>
      <c r="S66" s="156">
        <f t="shared" si="43"/>
        <v>0</v>
      </c>
      <c r="T66" s="156">
        <f t="shared" si="43"/>
        <v>0</v>
      </c>
      <c r="U66" s="156">
        <f t="shared" si="43"/>
        <v>0</v>
      </c>
      <c r="V66" s="156">
        <f t="shared" si="43"/>
        <v>0</v>
      </c>
      <c r="W66" s="156">
        <f t="shared" si="43"/>
        <v>0</v>
      </c>
      <c r="X66" s="156">
        <f t="shared" si="43"/>
        <v>0</v>
      </c>
      <c r="Y66" s="156">
        <f t="shared" si="43"/>
        <v>0</v>
      </c>
      <c r="Z66" s="156">
        <f t="shared" si="43"/>
        <v>0</v>
      </c>
      <c r="AA66" s="156">
        <f t="shared" si="43"/>
        <v>0</v>
      </c>
      <c r="AB66" s="156">
        <f t="shared" si="43"/>
        <v>0</v>
      </c>
      <c r="AC66" s="156">
        <f t="shared" si="43"/>
        <v>0</v>
      </c>
      <c r="AD66" s="156">
        <f t="shared" si="43"/>
        <v>0</v>
      </c>
      <c r="AE66" s="62"/>
      <c r="AF66" s="60"/>
      <c r="AG66" s="60"/>
      <c r="AH66" s="60"/>
      <c r="AI66" s="60"/>
      <c r="AJ66" s="60"/>
      <c r="AK66" s="60"/>
      <c r="AL66" s="60"/>
      <c r="AM66" s="60"/>
      <c r="AN66" s="60"/>
      <c r="AO66" s="6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c r="JL66" s="30"/>
      <c r="JM66" s="30"/>
      <c r="JN66" s="30"/>
      <c r="JO66" s="30"/>
      <c r="JP66" s="30"/>
      <c r="JQ66" s="30"/>
      <c r="JR66" s="30"/>
      <c r="JS66" s="30"/>
      <c r="JT66" s="30"/>
      <c r="JU66" s="30"/>
      <c r="JV66" s="30"/>
      <c r="JW66" s="30"/>
      <c r="JX66" s="30"/>
      <c r="JY66" s="30"/>
      <c r="JZ66" s="30"/>
      <c r="KA66" s="30"/>
      <c r="KB66" s="30"/>
      <c r="KC66" s="30"/>
      <c r="KD66" s="30"/>
      <c r="KE66" s="30"/>
      <c r="KF66" s="30"/>
      <c r="KG66" s="30"/>
      <c r="KH66" s="30"/>
      <c r="KI66" s="30"/>
      <c r="KJ66" s="30"/>
      <c r="KK66" s="30"/>
      <c r="KL66" s="30"/>
      <c r="KM66" s="30"/>
      <c r="KN66" s="30"/>
      <c r="KO66" s="30"/>
      <c r="KP66" s="30"/>
      <c r="KQ66" s="30"/>
      <c r="KR66" s="30"/>
      <c r="KS66" s="30"/>
      <c r="KT66" s="30"/>
      <c r="KU66" s="30"/>
      <c r="KV66" s="30"/>
      <c r="KW66" s="30"/>
      <c r="KX66" s="30"/>
      <c r="KY66" s="30"/>
      <c r="KZ66" s="30"/>
      <c r="LA66" s="30"/>
      <c r="LB66" s="30"/>
      <c r="LC66" s="30"/>
      <c r="LD66" s="30"/>
      <c r="LE66" s="30"/>
      <c r="LF66" s="30"/>
      <c r="LG66" s="30"/>
      <c r="LH66" s="30"/>
      <c r="LI66" s="30"/>
      <c r="LJ66" s="30"/>
      <c r="LK66" s="30"/>
      <c r="LL66" s="30"/>
      <c r="LM66" s="30"/>
      <c r="LN66" s="30"/>
      <c r="LO66" s="30"/>
      <c r="LP66" s="30"/>
      <c r="LQ66" s="30"/>
      <c r="LR66" s="30"/>
      <c r="LS66" s="30"/>
      <c r="LT66" s="30"/>
      <c r="LU66" s="30"/>
      <c r="LV66" s="30"/>
      <c r="LW66" s="30"/>
      <c r="LX66" s="30"/>
      <c r="LY66" s="30"/>
      <c r="LZ66" s="30"/>
      <c r="MA66" s="30"/>
      <c r="MB66" s="30"/>
      <c r="MC66" s="30"/>
      <c r="MD66" s="30"/>
      <c r="ME66" s="30"/>
      <c r="MF66" s="30"/>
      <c r="MG66" s="30"/>
      <c r="MH66" s="30"/>
      <c r="MI66" s="30"/>
      <c r="MJ66" s="30"/>
      <c r="MK66" s="30"/>
      <c r="ML66" s="30"/>
      <c r="MM66" s="30"/>
      <c r="MN66" s="30"/>
      <c r="MO66" s="30"/>
      <c r="MP66" s="30"/>
      <c r="MQ66" s="30"/>
      <c r="MR66" s="30"/>
      <c r="MS66" s="30"/>
      <c r="MT66" s="30"/>
      <c r="MU66" s="30"/>
      <c r="MV66" s="30"/>
      <c r="MW66" s="30"/>
      <c r="MX66" s="30"/>
      <c r="MY66" s="30"/>
      <c r="MZ66" s="30"/>
      <c r="NA66" s="30"/>
      <c r="NB66" s="30"/>
      <c r="NC66" s="30"/>
      <c r="ND66" s="30"/>
      <c r="NE66" s="30"/>
      <c r="NF66" s="30"/>
      <c r="NG66" s="30"/>
      <c r="NH66" s="30"/>
      <c r="NI66" s="30"/>
      <c r="NJ66" s="30"/>
      <c r="NK66" s="30"/>
      <c r="NL66" s="30"/>
      <c r="NM66" s="30"/>
      <c r="NN66" s="30"/>
      <c r="NO66" s="30"/>
      <c r="NP66" s="30"/>
      <c r="NQ66" s="30"/>
      <c r="NR66" s="30"/>
      <c r="NS66" s="30"/>
      <c r="NT66" s="30"/>
      <c r="NU66" s="30"/>
      <c r="NV66" s="30"/>
      <c r="NW66" s="30"/>
      <c r="NX66" s="30"/>
      <c r="NY66" s="30"/>
      <c r="NZ66" s="30"/>
      <c r="OA66" s="30"/>
      <c r="OB66" s="30"/>
      <c r="OC66" s="30"/>
      <c r="OD66" s="30"/>
      <c r="OE66" s="30"/>
      <c r="OF66" s="30"/>
      <c r="OG66" s="30"/>
      <c r="OH66" s="30"/>
      <c r="OI66" s="30"/>
      <c r="OJ66" s="30"/>
      <c r="OK66" s="30"/>
      <c r="OL66" s="30"/>
      <c r="OM66" s="30"/>
      <c r="ON66" s="30"/>
      <c r="OO66" s="30"/>
      <c r="OP66" s="30"/>
      <c r="OQ66" s="30"/>
      <c r="OR66" s="30"/>
      <c r="OS66" s="30"/>
      <c r="OT66" s="30"/>
      <c r="OU66" s="30"/>
      <c r="OV66" s="30"/>
      <c r="OW66" s="30"/>
      <c r="OX66" s="30"/>
      <c r="OY66" s="30"/>
      <c r="OZ66" s="30"/>
      <c r="PA66" s="30"/>
      <c r="PB66" s="30"/>
      <c r="PC66" s="30"/>
      <c r="PD66" s="30"/>
      <c r="PE66" s="30"/>
      <c r="PF66" s="30"/>
      <c r="PG66" s="30"/>
      <c r="PH66" s="30"/>
      <c r="PI66" s="30"/>
      <c r="PJ66" s="30"/>
      <c r="PK66" s="30"/>
      <c r="PL66" s="30"/>
      <c r="PM66" s="30"/>
      <c r="PN66" s="30"/>
      <c r="PO66" s="30"/>
      <c r="PP66" s="30"/>
      <c r="PQ66" s="30"/>
      <c r="PR66" s="30"/>
      <c r="PS66" s="30"/>
      <c r="PT66" s="30"/>
      <c r="PU66" s="30"/>
      <c r="PV66" s="30"/>
      <c r="PW66" s="30"/>
      <c r="PX66" s="30"/>
      <c r="PY66" s="30"/>
      <c r="PZ66" s="30"/>
      <c r="QA66" s="30"/>
      <c r="QB66" s="30"/>
      <c r="QC66" s="30"/>
      <c r="QD66" s="30"/>
      <c r="QE66" s="30"/>
      <c r="QF66" s="30"/>
      <c r="QG66" s="30"/>
      <c r="QH66" s="30"/>
      <c r="QI66" s="30"/>
      <c r="QJ66" s="30"/>
      <c r="QK66" s="30"/>
      <c r="QL66" s="30"/>
      <c r="QM66" s="30"/>
      <c r="QN66" s="30"/>
      <c r="QO66" s="30"/>
      <c r="QP66" s="30"/>
      <c r="QQ66" s="30"/>
      <c r="QR66" s="30"/>
      <c r="QS66" s="30"/>
      <c r="QT66" s="30"/>
      <c r="QU66" s="30"/>
      <c r="QV66" s="30"/>
      <c r="QW66" s="30"/>
      <c r="QX66" s="30"/>
      <c r="QY66" s="30"/>
      <c r="QZ66" s="30"/>
      <c r="RA66" s="30"/>
      <c r="RB66" s="30"/>
      <c r="RC66" s="30"/>
      <c r="RD66" s="30"/>
      <c r="RE66" s="30"/>
      <c r="RF66" s="30"/>
      <c r="RG66" s="30"/>
      <c r="RH66" s="30"/>
      <c r="RI66" s="30"/>
      <c r="RJ66" s="30"/>
      <c r="RK66" s="30"/>
      <c r="RL66" s="30"/>
      <c r="RM66" s="30"/>
      <c r="RN66" s="30"/>
      <c r="RO66" s="30"/>
      <c r="RP66" s="30"/>
      <c r="RQ66" s="30"/>
      <c r="RR66" s="30"/>
      <c r="RS66" s="30"/>
      <c r="RT66" s="30"/>
      <c r="RU66" s="30"/>
      <c r="RV66" s="30"/>
      <c r="RW66" s="30"/>
      <c r="RX66" s="30"/>
      <c r="RY66" s="30"/>
      <c r="RZ66" s="30"/>
      <c r="SA66" s="30"/>
      <c r="SB66" s="30"/>
      <c r="SC66" s="30"/>
      <c r="SD66" s="30"/>
    </row>
    <row r="67" spans="1:498" s="20" customFormat="1" hidden="1">
      <c r="A67" s="60"/>
      <c r="B67" s="67"/>
      <c r="C67" s="69"/>
      <c r="D67" s="73"/>
      <c r="E67" s="73"/>
      <c r="F67" s="156">
        <f>($C$26*$C$11)-((F70*12)*C32)+N("CNAPP equals the annual interest on unsubs minus the the percentage of the annual IBR payment that would be put towards unsubs")</f>
        <v>-1744.5</v>
      </c>
      <c r="G67" s="156">
        <f>IF(
F67=-$C$10+N("IF the principal payment from the previous year equals the original loan balance then"),
0+N("The CAN/PP euals zero, because you have paid of the loan")+N("if CAN/PP does not equal the original loan balance, then..."),
IF(
$C$11=0+N("If the interest rate is zero, then"),
(-(G70*12))+F67+N("CNAPP equals the last year's CNAPP minus whatever the annual IBR payment was")+N("If the interest rate is not zero, then..."),
IF(
G66=0+N("If the annual interest paid equals zero, then..."),
0+N("CNAPP equals zero")+N("If the annual interest rate does not equal zero, then..."),
(($C$26*$C$11)-((G70*12)*$C$32))+F67+N("CNAPP equals the previous CNAPP plus the annual interest on unsubs minus the the percentage of the annual IBR payment that would be put towards unsubs"))))</f>
        <v>-3583.7449500000002</v>
      </c>
      <c r="H67" s="156">
        <f>IF(
G67=-$C$10+N("IF the principal payment from the previous year equals the original loan balance then"),
0+N("The CAN/PP euals zero, because you have paid of the loan")+N("if CAN/PP does not equal the original loan balance, then..."),
IF(
$C$11=0+N("If the interest rate is zero, then"),
(-(H70*12))+G67+N("CNAPP equals the last year's CNAPP minus whatever the annual IBR payment was")+N("If the interest rate is not zero, then..."),
IF(
H66=0+N("If the annual interest paid equals zero, then..."),
0+N("CNAPP equals zero")+N("If the annual interest rate does not equal zero, then..."),
(($C$26*$C$11)-((H70*12)*$C$32))+G67+N("CNAPP equals the previous CNAPP plus the annual interest on unsubs minus the the percentage of the annual IBR payment that would be put towards unsubs"))))</f>
        <v>-5522.1512682450011</v>
      </c>
      <c r="I67" s="156">
        <f>IF(
H67=-$C10+N("IF the principal payment from the previous year equals the original loan balance then"),
0+N("The CAN/PP euals zero, because you have paid of the loan")+N("if CAN/PP does not equal the original loan balance, then..."),
IF(
$C11=0+N("If the interest rate is zero, then"),
(-(I70*12))+H67+N("CNAPP equals the last year's CNAPP minus whatever the annual IBR payment was")+N("If the interest rate is not zero, then..."),
IF(
I66=0+N("If the annual interest paid equals zero, then..."),
0+N("CNAPP equals zero")+N("If the annual interest rate does not equal zero, then..."),
I66-(I70*12)+H67+N("CNAPP equals the previous CNAPP plus the annual interest minus the annual IBR payment"))))</f>
        <v>-7564.3277578779507</v>
      </c>
      <c r="J67" s="156">
        <f t="shared" ref="J67:AD67" si="44">IF(
I67=-$C10+N("IF the principal payment from the previous year equals the original loan balance then"),
0+N("The CAN/PP euals zero, because you have paid of the loan")+N("if CAN/PP does not equal the original loan balance, then..."),
IF(
$C11=0+N("If the interest rate is zero, then"),
(-(J70*12))+I67+N("CNAPP equals the last year's CNAPP minus whatever the annual IBR payment was")+N("If the interest rate is not zero, then..."),
IF(
J66=0+N("If the annual interest paid equals zero, then..."),
0+N("CNAPP equals zero")+N("If the annual interest rate does not equal zero, then..."),
J66-(J70*12)+I67+N("CNAPP equals the previous CNAPP plus the annual interest minus the annual IBR payment"))))</f>
        <v>-9715.0836971126882</v>
      </c>
      <c r="K67" s="156">
        <f t="shared" si="44"/>
        <v>-11979.437262922698</v>
      </c>
      <c r="L67" s="156">
        <f t="shared" si="44"/>
        <v>-14362.62430183504</v>
      </c>
      <c r="M67" s="156">
        <f t="shared" si="44"/>
        <v>-16870.107461968601</v>
      </c>
      <c r="N67" s="156">
        <f t="shared" si="44"/>
        <v>-19507.585701027812</v>
      </c>
      <c r="O67" s="156">
        <f t="shared" si="44"/>
        <v>-22281.004185557962</v>
      </c>
      <c r="P67" s="156">
        <f t="shared" si="44"/>
        <v>-25196.564597387194</v>
      </c>
      <c r="Q67" s="156">
        <f t="shared" si="44"/>
        <v>-28260.735863824208</v>
      </c>
      <c r="R67" s="156">
        <f t="shared" si="44"/>
        <v>-31480.265328850495</v>
      </c>
      <c r="S67" s="156">
        <f t="shared" si="44"/>
        <v>-34862.190383242712</v>
      </c>
      <c r="T67" s="156">
        <f t="shared" si="44"/>
        <v>-38413.850572285701</v>
      </c>
      <c r="U67" s="156">
        <f t="shared" si="44"/>
        <v>-42142.900200490614</v>
      </c>
      <c r="V67" s="156">
        <f t="shared" si="44"/>
        <v>-46057.321453517092</v>
      </c>
      <c r="W67" s="156">
        <f t="shared" si="44"/>
        <v>-46057.321453517092</v>
      </c>
      <c r="X67" s="156">
        <f t="shared" si="44"/>
        <v>-46057.321453517092</v>
      </c>
      <c r="Y67" s="156">
        <f t="shared" si="44"/>
        <v>-46057.321453517092</v>
      </c>
      <c r="Z67" s="156">
        <f t="shared" si="44"/>
        <v>-46057.321453517092</v>
      </c>
      <c r="AA67" s="156">
        <f t="shared" si="44"/>
        <v>-46057.321453517092</v>
      </c>
      <c r="AB67" s="156">
        <f t="shared" si="44"/>
        <v>-46057.321453517092</v>
      </c>
      <c r="AC67" s="156">
        <f t="shared" si="44"/>
        <v>-46057.321453517092</v>
      </c>
      <c r="AD67" s="156">
        <f t="shared" si="44"/>
        <v>-46057.321453517092</v>
      </c>
      <c r="AE67" s="62"/>
      <c r="AF67" s="60"/>
      <c r="AG67" s="60"/>
      <c r="AH67" s="60"/>
      <c r="AI67" s="60"/>
      <c r="AJ67" s="60"/>
      <c r="AK67" s="60"/>
      <c r="AL67" s="60"/>
      <c r="AM67" s="60"/>
      <c r="AN67" s="60"/>
      <c r="AO67" s="6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c r="KB67" s="30"/>
      <c r="KC67" s="30"/>
      <c r="KD67" s="30"/>
      <c r="KE67" s="30"/>
      <c r="KF67" s="30"/>
      <c r="KG67" s="30"/>
      <c r="KH67" s="30"/>
      <c r="KI67" s="30"/>
      <c r="KJ67" s="30"/>
      <c r="KK67" s="30"/>
      <c r="KL67" s="30"/>
      <c r="KM67" s="30"/>
      <c r="KN67" s="30"/>
      <c r="KO67" s="30"/>
      <c r="KP67" s="30"/>
      <c r="KQ67" s="30"/>
      <c r="KR67" s="30"/>
      <c r="KS67" s="30"/>
      <c r="KT67" s="30"/>
      <c r="KU67" s="30"/>
      <c r="KV67" s="30"/>
      <c r="KW67" s="30"/>
      <c r="KX67" s="30"/>
      <c r="KY67" s="30"/>
      <c r="KZ67" s="30"/>
      <c r="LA67" s="30"/>
      <c r="LB67" s="30"/>
      <c r="LC67" s="30"/>
      <c r="LD67" s="30"/>
      <c r="LE67" s="30"/>
      <c r="LF67" s="30"/>
      <c r="LG67" s="30"/>
      <c r="LH67" s="30"/>
      <c r="LI67" s="30"/>
      <c r="LJ67" s="30"/>
      <c r="LK67" s="30"/>
      <c r="LL67" s="30"/>
      <c r="LM67" s="30"/>
      <c r="LN67" s="30"/>
      <c r="LO67" s="30"/>
      <c r="LP67" s="30"/>
      <c r="LQ67" s="30"/>
      <c r="LR67" s="30"/>
      <c r="LS67" s="30"/>
      <c r="LT67" s="30"/>
      <c r="LU67" s="30"/>
      <c r="LV67" s="30"/>
      <c r="LW67" s="30"/>
      <c r="LX67" s="30"/>
      <c r="LY67" s="30"/>
      <c r="LZ67" s="30"/>
      <c r="MA67" s="30"/>
      <c r="MB67" s="30"/>
      <c r="MC67" s="30"/>
      <c r="MD67" s="30"/>
      <c r="ME67" s="30"/>
      <c r="MF67" s="30"/>
      <c r="MG67" s="30"/>
      <c r="MH67" s="30"/>
      <c r="MI67" s="30"/>
      <c r="MJ67" s="30"/>
      <c r="MK67" s="30"/>
      <c r="ML67" s="30"/>
      <c r="MM67" s="30"/>
      <c r="MN67" s="30"/>
      <c r="MO67" s="30"/>
      <c r="MP67" s="30"/>
      <c r="MQ67" s="30"/>
      <c r="MR67" s="30"/>
      <c r="MS67" s="30"/>
      <c r="MT67" s="30"/>
      <c r="MU67" s="30"/>
      <c r="MV67" s="30"/>
      <c r="MW67" s="30"/>
      <c r="MX67" s="30"/>
      <c r="MY67" s="30"/>
      <c r="MZ67" s="30"/>
      <c r="NA67" s="30"/>
      <c r="NB67" s="30"/>
      <c r="NC67" s="30"/>
      <c r="ND67" s="30"/>
      <c r="NE67" s="30"/>
      <c r="NF67" s="30"/>
      <c r="NG67" s="30"/>
      <c r="NH67" s="30"/>
      <c r="NI67" s="30"/>
      <c r="NJ67" s="30"/>
      <c r="NK67" s="30"/>
      <c r="NL67" s="30"/>
      <c r="NM67" s="30"/>
      <c r="NN67" s="30"/>
      <c r="NO67" s="30"/>
      <c r="NP67" s="30"/>
      <c r="NQ67" s="30"/>
      <c r="NR67" s="30"/>
      <c r="NS67" s="30"/>
      <c r="NT67" s="30"/>
      <c r="NU67" s="30"/>
      <c r="NV67" s="30"/>
      <c r="NW67" s="30"/>
      <c r="NX67" s="30"/>
      <c r="NY67" s="30"/>
      <c r="NZ67" s="30"/>
      <c r="OA67" s="30"/>
      <c r="OB67" s="30"/>
      <c r="OC67" s="30"/>
      <c r="OD67" s="30"/>
      <c r="OE67" s="30"/>
      <c r="OF67" s="30"/>
      <c r="OG67" s="30"/>
      <c r="OH67" s="30"/>
      <c r="OI67" s="30"/>
      <c r="OJ67" s="30"/>
      <c r="OK67" s="30"/>
      <c r="OL67" s="30"/>
      <c r="OM67" s="30"/>
      <c r="ON67" s="30"/>
      <c r="OO67" s="30"/>
      <c r="OP67" s="30"/>
      <c r="OQ67" s="30"/>
      <c r="OR67" s="30"/>
      <c r="OS67" s="30"/>
      <c r="OT67" s="30"/>
      <c r="OU67" s="30"/>
      <c r="OV67" s="30"/>
      <c r="OW67" s="30"/>
      <c r="OX67" s="30"/>
      <c r="OY67" s="30"/>
      <c r="OZ67" s="30"/>
      <c r="PA67" s="30"/>
      <c r="PB67" s="30"/>
      <c r="PC67" s="30"/>
      <c r="PD67" s="30"/>
      <c r="PE67" s="30"/>
      <c r="PF67" s="30"/>
      <c r="PG67" s="30"/>
      <c r="PH67" s="30"/>
      <c r="PI67" s="30"/>
      <c r="PJ67" s="30"/>
      <c r="PK67" s="30"/>
      <c r="PL67" s="30"/>
      <c r="PM67" s="30"/>
      <c r="PN67" s="30"/>
      <c r="PO67" s="30"/>
      <c r="PP67" s="30"/>
      <c r="PQ67" s="30"/>
      <c r="PR67" s="30"/>
      <c r="PS67" s="30"/>
      <c r="PT67" s="30"/>
      <c r="PU67" s="30"/>
      <c r="PV67" s="30"/>
      <c r="PW67" s="30"/>
      <c r="PX67" s="30"/>
      <c r="PY67" s="30"/>
      <c r="PZ67" s="30"/>
      <c r="QA67" s="30"/>
      <c r="QB67" s="30"/>
      <c r="QC67" s="30"/>
      <c r="QD67" s="30"/>
      <c r="QE67" s="30"/>
      <c r="QF67" s="30"/>
      <c r="QG67" s="30"/>
      <c r="QH67" s="30"/>
      <c r="QI67" s="30"/>
      <c r="QJ67" s="30"/>
      <c r="QK67" s="30"/>
      <c r="QL67" s="30"/>
      <c r="QM67" s="30"/>
      <c r="QN67" s="30"/>
      <c r="QO67" s="30"/>
      <c r="QP67" s="30"/>
      <c r="QQ67" s="30"/>
      <c r="QR67" s="30"/>
      <c r="QS67" s="30"/>
      <c r="QT67" s="30"/>
      <c r="QU67" s="30"/>
      <c r="QV67" s="30"/>
      <c r="QW67" s="30"/>
      <c r="QX67" s="30"/>
      <c r="QY67" s="30"/>
      <c r="QZ67" s="30"/>
      <c r="RA67" s="30"/>
      <c r="RB67" s="30"/>
      <c r="RC67" s="30"/>
      <c r="RD67" s="30"/>
      <c r="RE67" s="30"/>
      <c r="RF67" s="30"/>
      <c r="RG67" s="30"/>
      <c r="RH67" s="30"/>
      <c r="RI67" s="30"/>
      <c r="RJ67" s="30"/>
      <c r="RK67" s="30"/>
      <c r="RL67" s="30"/>
      <c r="RM67" s="30"/>
      <c r="RN67" s="30"/>
      <c r="RO67" s="30"/>
      <c r="RP67" s="30"/>
      <c r="RQ67" s="30"/>
      <c r="RR67" s="30"/>
      <c r="RS67" s="30"/>
      <c r="RT67" s="30"/>
      <c r="RU67" s="30"/>
      <c r="RV67" s="30"/>
      <c r="RW67" s="30"/>
      <c r="RX67" s="30"/>
      <c r="RY67" s="30"/>
      <c r="RZ67" s="30"/>
      <c r="SA67" s="30"/>
      <c r="SB67" s="30"/>
      <c r="SC67" s="30"/>
      <c r="SD67" s="30"/>
    </row>
    <row r="68" spans="1:498" s="20" customFormat="1" hidden="1">
      <c r="A68" s="60"/>
      <c r="B68" s="67"/>
      <c r="C68" s="69"/>
      <c r="D68" s="73"/>
      <c r="E68" s="73"/>
      <c r="F68" s="156">
        <f>$C$10+F67</f>
        <v>43255.5</v>
      </c>
      <c r="G68" s="156">
        <f>IF(
OR(
F68&lt;=0+N("If either the loan balance from the preceding year is less than or equal to zero OR"),
AND(
$C11=0+N("if the interest rate is zero AND"),
(F68-(F70*12))&lt;0+N("The loan balance is less than the annual IBR payment then"))),
0+N("the loan balance equals zero, if these conditions were not satisfied then"),
IF(
($C10+G67)&lt;0+N("If the principal payment is greaterthan the original loan balance then"),
0+N("the loan balance is zero")+N("If not, then"),
IF(
(G97*$C$15)/12&gt;=$C$85+N("If the IBR payment is greater than or equal to the standard payment then"),
(F68*(1+$C$11))-(G70*12)+N("the previous loan balance plus interest minus the annual IBR payment is the new loan balance")+N("If the condition is false then"),
($C10+G67)+N("the new loan balance is the original minus the principal or plus the negative amortization (the plus sign is in the formula because negative amortization is postitive and principal payment is negative in the spreadsheet"))))</f>
        <v>41416.25505</v>
      </c>
      <c r="H68" s="156">
        <f>IF(
OR(
G68&lt;=0+N("If either the loan balance from the preceding year is less than or equal to zero OR"),
AND(
$C11=0+N("if the interest rate is zero AND"),
(G68-(G70*12))&lt;0+N("The loan balance is less than the annual IBR payment then"))),
0+N("the loan balance equals zero, if these conditions were not satisfied then"),
IF(
($C10+H67)&lt;0+N("If the principal payment is greaterthan the original loan balance then"),
0+N("the loan balance is zero")+N("If not, then"),
IF(
(H97*$C$15)/12&gt;=$C$85+N("If the IBR payment is greater than or equal to the standard payment then"),
(G68*(1+$C$11))-(H70*12)+N("the previous loan balance plus interest minus the annual IBR payment is the new loan balance")+N("If the condition is false then"),
($C10+H67)+N("the new loan balance is the original minus the principal or plus the negative amortization (the plus sign is in the formula because negative amortization is postitive and principal payment is negative in the spreadsheet"))))</f>
        <v>39477.848731755003</v>
      </c>
      <c r="I68" s="156">
        <f t="shared" ref="I68:AD68" si="45">IF(
OR(
H68&lt;=0+N("If either the loan balance from the preceding year is less than or equal to zero OR"),
AND(
$C11=0+N("if the interest rate is zero AND"),
(H68-(H70*12))&lt;0+N("The loan balance is less than the annual IBR payment then"))),
0+N("the loan balance equals zero, if these conditions were not satisfied then"),
IF(
($C10+I67)&lt;0+N("If the principal payment is greaterthan the original loan balance then"),
0+N("the loan balance is zero")+N("If not, then"),
IF(
(I97*$C$15)/12&gt;=$C$85+N("If the IBR payment is greater than or equal to the standard payment then"),
(H68*(1+$C$11))-(I70*12)+N("the previous loan balance plus interest minus the annual IBR payment is the new loan balance")+N("If the condition is false then"),
($C10+I67)+N("the new loan balance is the original minus the principal or plus the negative amortization (the plus sign is in the formula because negative amortization is postitive and principal payment is negative in the spreadsheet"))))</f>
        <v>37435.672242122047</v>
      </c>
      <c r="J68" s="156">
        <f t="shared" si="45"/>
        <v>35284.916302887315</v>
      </c>
      <c r="K68" s="156">
        <f t="shared" si="45"/>
        <v>33020.5627370773</v>
      </c>
      <c r="L68" s="156">
        <f t="shared" si="45"/>
        <v>30637.37569816496</v>
      </c>
      <c r="M68" s="156">
        <f t="shared" si="45"/>
        <v>28129.892538031399</v>
      </c>
      <c r="N68" s="156">
        <f t="shared" si="45"/>
        <v>25492.414298972188</v>
      </c>
      <c r="O68" s="156">
        <f t="shared" si="45"/>
        <v>22718.995814442038</v>
      </c>
      <c r="P68" s="156">
        <f t="shared" si="45"/>
        <v>19803.435402612806</v>
      </c>
      <c r="Q68" s="156">
        <f t="shared" si="45"/>
        <v>16739.264136175792</v>
      </c>
      <c r="R68" s="156">
        <f t="shared" si="45"/>
        <v>13519.734671149505</v>
      </c>
      <c r="S68" s="156">
        <f t="shared" si="45"/>
        <v>10137.809616757284</v>
      </c>
      <c r="T68" s="156">
        <f t="shared" si="45"/>
        <v>6586.1494277142947</v>
      </c>
      <c r="U68" s="156">
        <f t="shared" si="45"/>
        <v>2857.0997995093821</v>
      </c>
      <c r="V68" s="156">
        <f t="shared" si="45"/>
        <v>0</v>
      </c>
      <c r="W68" s="156">
        <f t="shared" si="45"/>
        <v>0</v>
      </c>
      <c r="X68" s="156">
        <f t="shared" si="45"/>
        <v>0</v>
      </c>
      <c r="Y68" s="156">
        <f t="shared" si="45"/>
        <v>0</v>
      </c>
      <c r="Z68" s="156">
        <f t="shared" si="45"/>
        <v>0</v>
      </c>
      <c r="AA68" s="156">
        <f t="shared" si="45"/>
        <v>0</v>
      </c>
      <c r="AB68" s="156">
        <f t="shared" si="45"/>
        <v>0</v>
      </c>
      <c r="AC68" s="156">
        <f t="shared" si="45"/>
        <v>0</v>
      </c>
      <c r="AD68" s="156">
        <f t="shared" si="45"/>
        <v>0</v>
      </c>
      <c r="AE68" s="62"/>
      <c r="AF68" s="60"/>
      <c r="AG68" s="60"/>
      <c r="AH68" s="60"/>
      <c r="AI68" s="60"/>
      <c r="AJ68" s="60"/>
      <c r="AK68" s="60"/>
      <c r="AL68" s="60"/>
      <c r="AM68" s="60"/>
      <c r="AN68" s="60"/>
      <c r="AO68" s="6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c r="KB68" s="30"/>
      <c r="KC68" s="30"/>
      <c r="KD68" s="30"/>
      <c r="KE68" s="30"/>
      <c r="KF68" s="30"/>
      <c r="KG68" s="30"/>
      <c r="KH68" s="30"/>
      <c r="KI68" s="30"/>
      <c r="KJ68" s="30"/>
      <c r="KK68" s="30"/>
      <c r="KL68" s="30"/>
      <c r="KM68" s="30"/>
      <c r="KN68" s="30"/>
      <c r="KO68" s="30"/>
      <c r="KP68" s="30"/>
      <c r="KQ68" s="30"/>
      <c r="KR68" s="30"/>
      <c r="KS68" s="30"/>
      <c r="KT68" s="30"/>
      <c r="KU68" s="30"/>
      <c r="KV68" s="30"/>
      <c r="KW68" s="30"/>
      <c r="KX68" s="30"/>
      <c r="KY68" s="30"/>
      <c r="KZ68" s="30"/>
      <c r="LA68" s="30"/>
      <c r="LB68" s="30"/>
      <c r="LC68" s="30"/>
      <c r="LD68" s="30"/>
      <c r="LE68" s="30"/>
      <c r="LF68" s="30"/>
      <c r="LG68" s="30"/>
      <c r="LH68" s="30"/>
      <c r="LI68" s="30"/>
      <c r="LJ68" s="30"/>
      <c r="LK68" s="30"/>
      <c r="LL68" s="30"/>
      <c r="LM68" s="30"/>
      <c r="LN68" s="30"/>
      <c r="LO68" s="30"/>
      <c r="LP68" s="30"/>
      <c r="LQ68" s="30"/>
      <c r="LR68" s="30"/>
      <c r="LS68" s="30"/>
      <c r="LT68" s="30"/>
      <c r="LU68" s="30"/>
      <c r="LV68" s="30"/>
      <c r="LW68" s="30"/>
      <c r="LX68" s="30"/>
      <c r="LY68" s="30"/>
      <c r="LZ68" s="30"/>
      <c r="MA68" s="30"/>
      <c r="MB68" s="30"/>
      <c r="MC68" s="30"/>
      <c r="MD68" s="30"/>
      <c r="ME68" s="30"/>
      <c r="MF68" s="30"/>
      <c r="MG68" s="30"/>
      <c r="MH68" s="30"/>
      <c r="MI68" s="30"/>
      <c r="MJ68" s="30"/>
      <c r="MK68" s="30"/>
      <c r="ML68" s="30"/>
      <c r="MM68" s="30"/>
      <c r="MN68" s="30"/>
      <c r="MO68" s="30"/>
      <c r="MP68" s="30"/>
      <c r="MQ68" s="30"/>
      <c r="MR68" s="30"/>
      <c r="MS68" s="30"/>
      <c r="MT68" s="30"/>
      <c r="MU68" s="30"/>
      <c r="MV68" s="30"/>
      <c r="MW68" s="30"/>
      <c r="MX68" s="30"/>
      <c r="MY68" s="30"/>
      <c r="MZ68" s="30"/>
      <c r="NA68" s="30"/>
      <c r="NB68" s="30"/>
      <c r="NC68" s="30"/>
      <c r="ND68" s="30"/>
      <c r="NE68" s="30"/>
      <c r="NF68" s="30"/>
      <c r="NG68" s="30"/>
      <c r="NH68" s="30"/>
      <c r="NI68" s="30"/>
      <c r="NJ68" s="30"/>
      <c r="NK68" s="30"/>
      <c r="NL68" s="30"/>
      <c r="NM68" s="30"/>
      <c r="NN68" s="30"/>
      <c r="NO68" s="30"/>
      <c r="NP68" s="30"/>
      <c r="NQ68" s="30"/>
      <c r="NR68" s="30"/>
      <c r="NS68" s="30"/>
      <c r="NT68" s="30"/>
      <c r="NU68" s="30"/>
      <c r="NV68" s="30"/>
      <c r="NW68" s="30"/>
      <c r="NX68" s="30"/>
      <c r="NY68" s="30"/>
      <c r="NZ68" s="30"/>
      <c r="OA68" s="30"/>
      <c r="OB68" s="30"/>
      <c r="OC68" s="30"/>
      <c r="OD68" s="30"/>
      <c r="OE68" s="30"/>
      <c r="OF68" s="30"/>
      <c r="OG68" s="30"/>
      <c r="OH68" s="30"/>
      <c r="OI68" s="30"/>
      <c r="OJ68" s="30"/>
      <c r="OK68" s="30"/>
      <c r="OL68" s="30"/>
      <c r="OM68" s="30"/>
      <c r="ON68" s="30"/>
      <c r="OO68" s="30"/>
      <c r="OP68" s="30"/>
      <c r="OQ68" s="30"/>
      <c r="OR68" s="30"/>
      <c r="OS68" s="30"/>
      <c r="OT68" s="30"/>
      <c r="OU68" s="30"/>
      <c r="OV68" s="30"/>
      <c r="OW68" s="30"/>
      <c r="OX68" s="30"/>
      <c r="OY68" s="30"/>
      <c r="OZ68" s="30"/>
      <c r="PA68" s="30"/>
      <c r="PB68" s="30"/>
      <c r="PC68" s="30"/>
      <c r="PD68" s="30"/>
      <c r="PE68" s="30"/>
      <c r="PF68" s="30"/>
      <c r="PG68" s="30"/>
      <c r="PH68" s="30"/>
      <c r="PI68" s="30"/>
      <c r="PJ68" s="30"/>
      <c r="PK68" s="30"/>
      <c r="PL68" s="30"/>
      <c r="PM68" s="30"/>
      <c r="PN68" s="30"/>
      <c r="PO68" s="30"/>
      <c r="PP68" s="30"/>
      <c r="PQ68" s="30"/>
      <c r="PR68" s="30"/>
      <c r="PS68" s="30"/>
      <c r="PT68" s="30"/>
      <c r="PU68" s="30"/>
      <c r="PV68" s="30"/>
      <c r="PW68" s="30"/>
      <c r="PX68" s="30"/>
      <c r="PY68" s="30"/>
      <c r="PZ68" s="30"/>
      <c r="QA68" s="30"/>
      <c r="QB68" s="30"/>
      <c r="QC68" s="30"/>
      <c r="QD68" s="30"/>
      <c r="QE68" s="30"/>
      <c r="QF68" s="30"/>
      <c r="QG68" s="30"/>
      <c r="QH68" s="30"/>
      <c r="QI68" s="30"/>
      <c r="QJ68" s="30"/>
      <c r="QK68" s="30"/>
      <c r="QL68" s="30"/>
      <c r="QM68" s="30"/>
      <c r="QN68" s="30"/>
      <c r="QO68" s="30"/>
      <c r="QP68" s="30"/>
      <c r="QQ68" s="30"/>
      <c r="QR68" s="30"/>
      <c r="QS68" s="30"/>
      <c r="QT68" s="30"/>
      <c r="QU68" s="30"/>
      <c r="QV68" s="30"/>
      <c r="QW68" s="30"/>
      <c r="QX68" s="30"/>
      <c r="QY68" s="30"/>
      <c r="QZ68" s="30"/>
      <c r="RA68" s="30"/>
      <c r="RB68" s="30"/>
      <c r="RC68" s="30"/>
      <c r="RD68" s="30"/>
      <c r="RE68" s="30"/>
      <c r="RF68" s="30"/>
      <c r="RG68" s="30"/>
      <c r="RH68" s="30"/>
      <c r="RI68" s="30"/>
      <c r="RJ68" s="30"/>
      <c r="RK68" s="30"/>
      <c r="RL68" s="30"/>
      <c r="RM68" s="30"/>
      <c r="RN68" s="30"/>
      <c r="RO68" s="30"/>
      <c r="RP68" s="30"/>
      <c r="RQ68" s="30"/>
      <c r="RR68" s="30"/>
      <c r="RS68" s="30"/>
      <c r="RT68" s="30"/>
      <c r="RU68" s="30"/>
      <c r="RV68" s="30"/>
      <c r="RW68" s="30"/>
      <c r="RX68" s="30"/>
      <c r="RY68" s="30"/>
      <c r="RZ68" s="30"/>
      <c r="SA68" s="30"/>
      <c r="SB68" s="30"/>
      <c r="SC68" s="30"/>
      <c r="SD68" s="30"/>
    </row>
    <row r="69" spans="1:498" s="20" customFormat="1" hidden="1">
      <c r="A69" s="60"/>
      <c r="B69" s="67"/>
      <c r="C69" s="69"/>
      <c r="D69" s="73"/>
      <c r="E69" s="73"/>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62"/>
      <c r="AF69" s="60"/>
      <c r="AG69" s="60"/>
      <c r="AH69" s="60"/>
      <c r="AI69" s="60"/>
      <c r="AJ69" s="60"/>
      <c r="AK69" s="60"/>
      <c r="AL69" s="60"/>
      <c r="AM69" s="60"/>
      <c r="AN69" s="60"/>
      <c r="AO69" s="6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c r="KB69" s="30"/>
      <c r="KC69" s="30"/>
      <c r="KD69" s="30"/>
      <c r="KE69" s="30"/>
      <c r="KF69" s="30"/>
      <c r="KG69" s="30"/>
      <c r="KH69" s="30"/>
      <c r="KI69" s="30"/>
      <c r="KJ69" s="30"/>
      <c r="KK69" s="30"/>
      <c r="KL69" s="30"/>
      <c r="KM69" s="30"/>
      <c r="KN69" s="30"/>
      <c r="KO69" s="30"/>
      <c r="KP69" s="30"/>
      <c r="KQ69" s="30"/>
      <c r="KR69" s="30"/>
      <c r="KS69" s="30"/>
      <c r="KT69" s="30"/>
      <c r="KU69" s="30"/>
      <c r="KV69" s="30"/>
      <c r="KW69" s="30"/>
      <c r="KX69" s="30"/>
      <c r="KY69" s="30"/>
      <c r="KZ69" s="30"/>
      <c r="LA69" s="30"/>
      <c r="LB69" s="30"/>
      <c r="LC69" s="30"/>
      <c r="LD69" s="30"/>
      <c r="LE69" s="30"/>
      <c r="LF69" s="30"/>
      <c r="LG69" s="30"/>
      <c r="LH69" s="30"/>
      <c r="LI69" s="30"/>
      <c r="LJ69" s="30"/>
      <c r="LK69" s="30"/>
      <c r="LL69" s="30"/>
      <c r="LM69" s="30"/>
      <c r="LN69" s="30"/>
      <c r="LO69" s="30"/>
      <c r="LP69" s="30"/>
      <c r="LQ69" s="30"/>
      <c r="LR69" s="30"/>
      <c r="LS69" s="30"/>
      <c r="LT69" s="30"/>
      <c r="LU69" s="30"/>
      <c r="LV69" s="30"/>
      <c r="LW69" s="30"/>
      <c r="LX69" s="30"/>
      <c r="LY69" s="30"/>
      <c r="LZ69" s="30"/>
      <c r="MA69" s="30"/>
      <c r="MB69" s="30"/>
      <c r="MC69" s="30"/>
      <c r="MD69" s="30"/>
      <c r="ME69" s="30"/>
      <c r="MF69" s="30"/>
      <c r="MG69" s="30"/>
      <c r="MH69" s="30"/>
      <c r="MI69" s="30"/>
      <c r="MJ69" s="30"/>
      <c r="MK69" s="30"/>
      <c r="ML69" s="30"/>
      <c r="MM69" s="30"/>
      <c r="MN69" s="30"/>
      <c r="MO69" s="30"/>
      <c r="MP69" s="30"/>
      <c r="MQ69" s="30"/>
      <c r="MR69" s="30"/>
      <c r="MS69" s="30"/>
      <c r="MT69" s="30"/>
      <c r="MU69" s="30"/>
      <c r="MV69" s="30"/>
      <c r="MW69" s="30"/>
      <c r="MX69" s="30"/>
      <c r="MY69" s="30"/>
      <c r="MZ69" s="30"/>
      <c r="NA69" s="30"/>
      <c r="NB69" s="30"/>
      <c r="NC69" s="30"/>
      <c r="ND69" s="30"/>
      <c r="NE69" s="30"/>
      <c r="NF69" s="30"/>
      <c r="NG69" s="30"/>
      <c r="NH69" s="30"/>
      <c r="NI69" s="30"/>
      <c r="NJ69" s="30"/>
      <c r="NK69" s="30"/>
      <c r="NL69" s="30"/>
      <c r="NM69" s="30"/>
      <c r="NN69" s="30"/>
      <c r="NO69" s="30"/>
      <c r="NP69" s="30"/>
      <c r="NQ69" s="30"/>
      <c r="NR69" s="30"/>
      <c r="NS69" s="30"/>
      <c r="NT69" s="30"/>
      <c r="NU69" s="30"/>
      <c r="NV69" s="30"/>
      <c r="NW69" s="30"/>
      <c r="NX69" s="30"/>
      <c r="NY69" s="30"/>
      <c r="NZ69" s="30"/>
      <c r="OA69" s="30"/>
      <c r="OB69" s="30"/>
      <c r="OC69" s="30"/>
      <c r="OD69" s="30"/>
      <c r="OE69" s="30"/>
      <c r="OF69" s="30"/>
      <c r="OG69" s="30"/>
      <c r="OH69" s="30"/>
      <c r="OI69" s="30"/>
      <c r="OJ69" s="30"/>
      <c r="OK69" s="30"/>
      <c r="OL69" s="30"/>
      <c r="OM69" s="30"/>
      <c r="ON69" s="30"/>
      <c r="OO69" s="30"/>
      <c r="OP69" s="30"/>
      <c r="OQ69" s="30"/>
      <c r="OR69" s="30"/>
      <c r="OS69" s="30"/>
      <c r="OT69" s="30"/>
      <c r="OU69" s="30"/>
      <c r="OV69" s="30"/>
      <c r="OW69" s="30"/>
      <c r="OX69" s="30"/>
      <c r="OY69" s="30"/>
      <c r="OZ69" s="30"/>
      <c r="PA69" s="30"/>
      <c r="PB69" s="30"/>
      <c r="PC69" s="30"/>
      <c r="PD69" s="30"/>
      <c r="PE69" s="30"/>
      <c r="PF69" s="30"/>
      <c r="PG69" s="30"/>
      <c r="PH69" s="30"/>
      <c r="PI69" s="30"/>
      <c r="PJ69" s="30"/>
      <c r="PK69" s="30"/>
      <c r="PL69" s="30"/>
      <c r="PM69" s="30"/>
      <c r="PN69" s="30"/>
      <c r="PO69" s="30"/>
      <c r="PP69" s="30"/>
      <c r="PQ69" s="30"/>
      <c r="PR69" s="30"/>
      <c r="PS69" s="30"/>
      <c r="PT69" s="30"/>
      <c r="PU69" s="30"/>
      <c r="PV69" s="30"/>
      <c r="PW69" s="30"/>
      <c r="PX69" s="30"/>
      <c r="PY69" s="30"/>
      <c r="PZ69" s="30"/>
      <c r="QA69" s="30"/>
      <c r="QB69" s="30"/>
      <c r="QC69" s="30"/>
      <c r="QD69" s="30"/>
      <c r="QE69" s="30"/>
      <c r="QF69" s="30"/>
      <c r="QG69" s="30"/>
      <c r="QH69" s="30"/>
      <c r="QI69" s="30"/>
      <c r="QJ69" s="30"/>
      <c r="QK69" s="30"/>
      <c r="QL69" s="30"/>
      <c r="QM69" s="30"/>
      <c r="QN69" s="30"/>
      <c r="QO69" s="30"/>
      <c r="QP69" s="30"/>
      <c r="QQ69" s="30"/>
      <c r="QR69" s="30"/>
      <c r="QS69" s="30"/>
      <c r="QT69" s="30"/>
      <c r="QU69" s="30"/>
      <c r="QV69" s="30"/>
      <c r="QW69" s="30"/>
      <c r="QX69" s="30"/>
      <c r="QY69" s="30"/>
      <c r="QZ69" s="30"/>
      <c r="RA69" s="30"/>
      <c r="RB69" s="30"/>
      <c r="RC69" s="30"/>
      <c r="RD69" s="30"/>
      <c r="RE69" s="30"/>
      <c r="RF69" s="30"/>
      <c r="RG69" s="30"/>
      <c r="RH69" s="30"/>
      <c r="RI69" s="30"/>
      <c r="RJ69" s="30"/>
      <c r="RK69" s="30"/>
      <c r="RL69" s="30"/>
      <c r="RM69" s="30"/>
      <c r="RN69" s="30"/>
      <c r="RO69" s="30"/>
      <c r="RP69" s="30"/>
      <c r="RQ69" s="30"/>
      <c r="RR69" s="30"/>
      <c r="RS69" s="30"/>
      <c r="RT69" s="30"/>
      <c r="RU69" s="30"/>
      <c r="RV69" s="30"/>
      <c r="RW69" s="30"/>
      <c r="RX69" s="30"/>
      <c r="RY69" s="30"/>
      <c r="RZ69" s="30"/>
      <c r="SA69" s="30"/>
      <c r="SB69" s="30"/>
      <c r="SC69" s="30"/>
      <c r="SD69" s="30"/>
    </row>
    <row r="70" spans="1:498" s="20" customFormat="1" hidden="1">
      <c r="A70" s="60"/>
      <c r="B70" s="67"/>
      <c r="C70" s="69"/>
      <c r="D70" s="73"/>
      <c r="E70" s="73"/>
      <c r="F70" s="156">
        <f>IF((F97*0.1)/12&lt;=0,0,IF(((F97*0.1)/12)&lt;($D$59/12),((F97*0.1)/12),"Ineligible"))</f>
        <v>145.375</v>
      </c>
      <c r="G70" s="156">
        <f>IF($F$70="Ineligible","",
IF($C$10=0,"",
IF(
G51&gt;20+N("IT is later than teh 20th year"),
0,
IF(
F68=0,
0+N("If loan balance from the preceding year is zero then IBR payment is zero, if not then"),
IF(
(G97*0.1)/12&lt;0,
0+N(""),
IF(
((G97*0.1)/12)&lt;($D$59/12)+N("If the IBR payment is less than the standard"),
((G97*0.1)/12)+N("Then the IBR payment"),
$F$85+N("If IBR is greater or equal to teh standard, then the standard plan")))))))</f>
        <v>153.27041250000002</v>
      </c>
      <c r="H70" s="156">
        <f>IF($F$70="Ineligible","",
IF($C$10=0,"",
IF(
H51&gt;20+N("IT is later than teh 20th year"),
0,
IF(
G68=0,
0+N("If loan balance from the preceding year is zero then IBR payment is zero, if not then"),
IF(
(H97*0.1)/12&lt;0,
0+N(""),
IF(
((H97*0.1)/12)&lt;($D$59/12)+N("If the IBR payment is less than the standard"),
((H97*0.1)/12)+N("Then the IBR payment"),
$F$85+N("If IBR is greater or equal to teh standard, then the standard plan")))))))</f>
        <v>161.53385985375004</v>
      </c>
      <c r="I70" s="156">
        <f>IF($F$70="Ineligible","",
IF($C$10=0,"",
IF(
I51&gt;20+N("IT is later than teh 20th year"),
0,
IF(
H68=0,
0+N("If loan balance from the preceding year is zero then IBR payment is zero, if not then"),
IF(
(I97*0.1)/12&lt;0,
0+N(""),
IF(
((I97*0.1)/12)&lt;($D$59/12)+N("If the IBR payment is less than the standard"),
((I97*0.1)/12)+N("Then the IBR payment"),
$F$85+N("If IBR is greater or equal to teh standard, then the standard plan")))))))</f>
        <v>170.18137413607917</v>
      </c>
      <c r="J70" s="156">
        <f t="shared" ref="J70:AD70" si="46">IF($F$70="Ineligible","",
IF($C$10=0,"",
IF(
J51&gt;20+N("IT is later than teh 20th year"),
0,
IF(
I68=0,
0+N("If loan balance from the preceding year is zero then IBR payment is zero, if not then"),
IF(
(J97*0.1)/12&lt;0,
0+N(""),
IF(
((J97*0.1)/12)&lt;($D$59/12)+N("If the IBR payment is less than the standard"),
((J97*0.1)/12)+N("Then the IBR payment"),
$F$85+N("If IBR is greater or equal to teh standard, then the standard plan")))))))</f>
        <v>179.22966160289479</v>
      </c>
      <c r="K70" s="156">
        <f t="shared" si="46"/>
        <v>188.69613048416747</v>
      </c>
      <c r="L70" s="156">
        <f t="shared" si="46"/>
        <v>198.59891990936174</v>
      </c>
      <c r="M70" s="156">
        <f t="shared" si="46"/>
        <v>208.95693001113</v>
      </c>
      <c r="N70" s="156">
        <f t="shared" si="46"/>
        <v>219.7898532549344</v>
      </c>
      <c r="O70" s="156">
        <f t="shared" si="46"/>
        <v>231.11820704417926</v>
      </c>
      <c r="P70" s="156">
        <f t="shared" si="46"/>
        <v>242.96336765243601</v>
      </c>
      <c r="Q70" s="156">
        <f t="shared" si="46"/>
        <v>255.34760553641794</v>
      </c>
      <c r="R70" s="156">
        <f t="shared" si="46"/>
        <v>268.29412208552407</v>
      </c>
      <c r="S70" s="156">
        <f t="shared" si="46"/>
        <v>281.82708786601836</v>
      </c>
      <c r="T70" s="156">
        <f t="shared" si="46"/>
        <v>295.97168242024912</v>
      </c>
      <c r="U70" s="156">
        <f t="shared" si="46"/>
        <v>310.75413568374273</v>
      </c>
      <c r="V70" s="156">
        <f t="shared" si="46"/>
        <v>326.20177108553986</v>
      </c>
      <c r="W70" s="156">
        <f t="shared" si="46"/>
        <v>0</v>
      </c>
      <c r="X70" s="156">
        <f t="shared" si="46"/>
        <v>0</v>
      </c>
      <c r="Y70" s="156">
        <f t="shared" si="46"/>
        <v>0</v>
      </c>
      <c r="Z70" s="156">
        <f t="shared" si="46"/>
        <v>0</v>
      </c>
      <c r="AA70" s="156">
        <f t="shared" si="46"/>
        <v>0</v>
      </c>
      <c r="AB70" s="156">
        <f t="shared" si="46"/>
        <v>0</v>
      </c>
      <c r="AC70" s="156">
        <f t="shared" si="46"/>
        <v>0</v>
      </c>
      <c r="AD70" s="156">
        <f t="shared" si="46"/>
        <v>0</v>
      </c>
      <c r="AE70" s="62"/>
      <c r="AF70" s="60"/>
      <c r="AG70" s="60"/>
      <c r="AH70" s="60"/>
      <c r="AI70" s="60"/>
      <c r="AJ70" s="60"/>
      <c r="AK70" s="60"/>
      <c r="AL70" s="60"/>
      <c r="AM70" s="60"/>
      <c r="AN70" s="60"/>
      <c r="AO70" s="6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c r="KJ70" s="30"/>
      <c r="KK70" s="30"/>
      <c r="KL70" s="30"/>
      <c r="KM70" s="30"/>
      <c r="KN70" s="30"/>
      <c r="KO70" s="30"/>
      <c r="KP70" s="30"/>
      <c r="KQ70" s="30"/>
      <c r="KR70" s="30"/>
      <c r="KS70" s="30"/>
      <c r="KT70" s="30"/>
      <c r="KU70" s="30"/>
      <c r="KV70" s="30"/>
      <c r="KW70" s="30"/>
      <c r="KX70" s="30"/>
      <c r="KY70" s="30"/>
      <c r="KZ70" s="30"/>
      <c r="LA70" s="30"/>
      <c r="LB70" s="30"/>
      <c r="LC70" s="30"/>
      <c r="LD70" s="30"/>
      <c r="LE70" s="30"/>
      <c r="LF70" s="30"/>
      <c r="LG70" s="30"/>
      <c r="LH70" s="30"/>
      <c r="LI70" s="30"/>
      <c r="LJ70" s="30"/>
      <c r="LK70" s="30"/>
      <c r="LL70" s="30"/>
      <c r="LM70" s="30"/>
      <c r="LN70" s="30"/>
      <c r="LO70" s="30"/>
      <c r="LP70" s="30"/>
      <c r="LQ70" s="30"/>
      <c r="LR70" s="30"/>
      <c r="LS70" s="30"/>
      <c r="LT70" s="30"/>
      <c r="LU70" s="30"/>
      <c r="LV70" s="30"/>
      <c r="LW70" s="30"/>
      <c r="LX70" s="30"/>
      <c r="LY70" s="30"/>
      <c r="LZ70" s="30"/>
      <c r="MA70" s="30"/>
      <c r="MB70" s="30"/>
      <c r="MC70" s="30"/>
      <c r="MD70" s="30"/>
      <c r="ME70" s="30"/>
      <c r="MF70" s="30"/>
      <c r="MG70" s="30"/>
      <c r="MH70" s="30"/>
      <c r="MI70" s="30"/>
      <c r="MJ70" s="30"/>
      <c r="MK70" s="30"/>
      <c r="ML70" s="30"/>
      <c r="MM70" s="30"/>
      <c r="MN70" s="30"/>
      <c r="MO70" s="30"/>
      <c r="MP70" s="30"/>
      <c r="MQ70" s="30"/>
      <c r="MR70" s="30"/>
      <c r="MS70" s="30"/>
      <c r="MT70" s="30"/>
      <c r="MU70" s="30"/>
      <c r="MV70" s="30"/>
      <c r="MW70" s="30"/>
      <c r="MX70" s="30"/>
      <c r="MY70" s="30"/>
      <c r="MZ70" s="30"/>
      <c r="NA70" s="30"/>
      <c r="NB70" s="30"/>
      <c r="NC70" s="30"/>
      <c r="ND70" s="30"/>
      <c r="NE70" s="30"/>
      <c r="NF70" s="30"/>
      <c r="NG70" s="30"/>
      <c r="NH70" s="30"/>
      <c r="NI70" s="30"/>
      <c r="NJ70" s="30"/>
      <c r="NK70" s="30"/>
      <c r="NL70" s="30"/>
      <c r="NM70" s="30"/>
      <c r="NN70" s="30"/>
      <c r="NO70" s="30"/>
      <c r="NP70" s="30"/>
      <c r="NQ70" s="30"/>
      <c r="NR70" s="30"/>
      <c r="NS70" s="30"/>
      <c r="NT70" s="30"/>
      <c r="NU70" s="30"/>
      <c r="NV70" s="30"/>
      <c r="NW70" s="30"/>
      <c r="NX70" s="30"/>
      <c r="NY70" s="30"/>
      <c r="NZ70" s="30"/>
      <c r="OA70" s="30"/>
      <c r="OB70" s="30"/>
      <c r="OC70" s="30"/>
      <c r="OD70" s="30"/>
      <c r="OE70" s="30"/>
      <c r="OF70" s="30"/>
      <c r="OG70" s="30"/>
      <c r="OH70" s="30"/>
      <c r="OI70" s="30"/>
      <c r="OJ70" s="30"/>
      <c r="OK70" s="30"/>
      <c r="OL70" s="30"/>
      <c r="OM70" s="30"/>
      <c r="ON70" s="30"/>
      <c r="OO70" s="30"/>
      <c r="OP70" s="30"/>
      <c r="OQ70" s="30"/>
      <c r="OR70" s="30"/>
      <c r="OS70" s="30"/>
      <c r="OT70" s="30"/>
      <c r="OU70" s="30"/>
      <c r="OV70" s="30"/>
      <c r="OW70" s="30"/>
      <c r="OX70" s="30"/>
      <c r="OY70" s="30"/>
      <c r="OZ70" s="30"/>
      <c r="PA70" s="30"/>
      <c r="PB70" s="30"/>
      <c r="PC70" s="30"/>
      <c r="PD70" s="30"/>
      <c r="PE70" s="30"/>
      <c r="PF70" s="30"/>
      <c r="PG70" s="30"/>
      <c r="PH70" s="30"/>
      <c r="PI70" s="30"/>
      <c r="PJ70" s="30"/>
      <c r="PK70" s="30"/>
      <c r="PL70" s="30"/>
      <c r="PM70" s="30"/>
      <c r="PN70" s="30"/>
      <c r="PO70" s="30"/>
      <c r="PP70" s="30"/>
      <c r="PQ70" s="30"/>
      <c r="PR70" s="30"/>
      <c r="PS70" s="30"/>
      <c r="PT70" s="30"/>
      <c r="PU70" s="30"/>
      <c r="PV70" s="30"/>
      <c r="PW70" s="30"/>
      <c r="PX70" s="30"/>
      <c r="PY70" s="30"/>
      <c r="PZ70" s="30"/>
      <c r="QA70" s="30"/>
      <c r="QB70" s="30"/>
      <c r="QC70" s="30"/>
      <c r="QD70" s="30"/>
      <c r="QE70" s="30"/>
      <c r="QF70" s="30"/>
      <c r="QG70" s="30"/>
      <c r="QH70" s="30"/>
      <c r="QI70" s="30"/>
      <c r="QJ70" s="30"/>
      <c r="QK70" s="30"/>
      <c r="QL70" s="30"/>
      <c r="QM70" s="30"/>
      <c r="QN70" s="30"/>
      <c r="QO70" s="30"/>
      <c r="QP70" s="30"/>
      <c r="QQ70" s="30"/>
      <c r="QR70" s="30"/>
      <c r="QS70" s="30"/>
      <c r="QT70" s="30"/>
      <c r="QU70" s="30"/>
      <c r="QV70" s="30"/>
      <c r="QW70" s="30"/>
      <c r="QX70" s="30"/>
      <c r="QY70" s="30"/>
      <c r="QZ70" s="30"/>
      <c r="RA70" s="30"/>
      <c r="RB70" s="30"/>
      <c r="RC70" s="30"/>
      <c r="RD70" s="30"/>
      <c r="RE70" s="30"/>
      <c r="RF70" s="30"/>
      <c r="RG70" s="30"/>
      <c r="RH70" s="30"/>
      <c r="RI70" s="30"/>
      <c r="RJ70" s="30"/>
      <c r="RK70" s="30"/>
      <c r="RL70" s="30"/>
      <c r="RM70" s="30"/>
      <c r="RN70" s="30"/>
      <c r="RO70" s="30"/>
      <c r="RP70" s="30"/>
      <c r="RQ70" s="30"/>
      <c r="RR70" s="30"/>
      <c r="RS70" s="30"/>
      <c r="RT70" s="30"/>
      <c r="RU70" s="30"/>
      <c r="RV70" s="30"/>
      <c r="RW70" s="30"/>
      <c r="RX70" s="30"/>
      <c r="RY70" s="30"/>
      <c r="RZ70" s="30"/>
      <c r="SA70" s="30"/>
      <c r="SB70" s="30"/>
      <c r="SC70" s="30"/>
      <c r="SD70" s="30"/>
    </row>
    <row r="71" spans="1:498" s="20" customFormat="1" hidden="1">
      <c r="A71" s="60"/>
      <c r="B71" s="67"/>
      <c r="C71" s="69"/>
      <c r="D71" s="73"/>
      <c r="E71" s="73"/>
      <c r="F71" s="156">
        <f>IF($F$70="Ineligible","",IF($C$10=0,"",F68))</f>
        <v>43255.5</v>
      </c>
      <c r="G71" s="156">
        <f>IF($F$70="Ineligible","",IF($C$10=0,"",G68))</f>
        <v>41416.25505</v>
      </c>
      <c r="H71" s="156">
        <f>IF($F$70="Ineligible","",IF($C$10=0,"",H68))</f>
        <v>39477.848731755003</v>
      </c>
      <c r="I71" s="156">
        <f>IF($F$70="Ineligible","",IF($C$10=0,"",I68))</f>
        <v>37435.672242122047</v>
      </c>
      <c r="J71" s="156">
        <f t="shared" ref="J71:AD71" si="47">IF($F$70="Ineligible","",IF($C$10=0,"",J68))</f>
        <v>35284.916302887315</v>
      </c>
      <c r="K71" s="156">
        <f t="shared" si="47"/>
        <v>33020.5627370773</v>
      </c>
      <c r="L71" s="156">
        <f t="shared" si="47"/>
        <v>30637.37569816496</v>
      </c>
      <c r="M71" s="156">
        <f t="shared" si="47"/>
        <v>28129.892538031399</v>
      </c>
      <c r="N71" s="156">
        <f t="shared" si="47"/>
        <v>25492.414298972188</v>
      </c>
      <c r="O71" s="156">
        <f t="shared" si="47"/>
        <v>22718.995814442038</v>
      </c>
      <c r="P71" s="156">
        <f t="shared" si="47"/>
        <v>19803.435402612806</v>
      </c>
      <c r="Q71" s="156">
        <f t="shared" si="47"/>
        <v>16739.264136175792</v>
      </c>
      <c r="R71" s="156">
        <f t="shared" si="47"/>
        <v>13519.734671149505</v>
      </c>
      <c r="S71" s="156">
        <f t="shared" si="47"/>
        <v>10137.809616757284</v>
      </c>
      <c r="T71" s="156">
        <f t="shared" si="47"/>
        <v>6586.1494277142947</v>
      </c>
      <c r="U71" s="156">
        <f t="shared" si="47"/>
        <v>2857.0997995093821</v>
      </c>
      <c r="V71" s="156">
        <f t="shared" si="47"/>
        <v>0</v>
      </c>
      <c r="W71" s="156">
        <f t="shared" si="47"/>
        <v>0</v>
      </c>
      <c r="X71" s="156">
        <f t="shared" si="47"/>
        <v>0</v>
      </c>
      <c r="Y71" s="156">
        <f t="shared" si="47"/>
        <v>0</v>
      </c>
      <c r="Z71" s="156">
        <f t="shared" si="47"/>
        <v>0</v>
      </c>
      <c r="AA71" s="156">
        <f t="shared" si="47"/>
        <v>0</v>
      </c>
      <c r="AB71" s="156">
        <f t="shared" si="47"/>
        <v>0</v>
      </c>
      <c r="AC71" s="156">
        <f t="shared" si="47"/>
        <v>0</v>
      </c>
      <c r="AD71" s="156">
        <f t="shared" si="47"/>
        <v>0</v>
      </c>
      <c r="AE71" s="62"/>
      <c r="AF71" s="60"/>
      <c r="AG71" s="60"/>
      <c r="AH71" s="60"/>
      <c r="AI71" s="60"/>
      <c r="AJ71" s="60"/>
      <c r="AK71" s="60"/>
      <c r="AL71" s="60"/>
      <c r="AM71" s="60"/>
      <c r="AN71" s="60"/>
      <c r="AO71" s="6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0"/>
      <c r="ND71" s="30"/>
      <c r="NE71" s="30"/>
      <c r="NF71" s="30"/>
      <c r="NG71" s="30"/>
      <c r="NH71" s="30"/>
      <c r="NI71" s="30"/>
      <c r="NJ71" s="30"/>
      <c r="NK71" s="30"/>
      <c r="NL71" s="30"/>
      <c r="NM71" s="30"/>
      <c r="NN71" s="30"/>
      <c r="NO71" s="30"/>
      <c r="NP71" s="30"/>
      <c r="NQ71" s="30"/>
      <c r="NR71" s="30"/>
      <c r="NS71" s="30"/>
      <c r="NT71" s="30"/>
      <c r="NU71" s="30"/>
      <c r="NV71" s="30"/>
      <c r="NW71" s="30"/>
      <c r="NX71" s="30"/>
      <c r="NY71" s="30"/>
      <c r="NZ71" s="30"/>
      <c r="OA71" s="30"/>
      <c r="OB71" s="30"/>
      <c r="OC71" s="30"/>
      <c r="OD71" s="30"/>
      <c r="OE71" s="30"/>
      <c r="OF71" s="30"/>
      <c r="OG71" s="30"/>
      <c r="OH71" s="30"/>
      <c r="OI71" s="30"/>
      <c r="OJ71" s="30"/>
      <c r="OK71" s="30"/>
      <c r="OL71" s="30"/>
      <c r="OM71" s="30"/>
      <c r="ON71" s="30"/>
      <c r="OO71" s="30"/>
      <c r="OP71" s="30"/>
      <c r="OQ71" s="30"/>
      <c r="OR71" s="30"/>
      <c r="OS71" s="30"/>
      <c r="OT71" s="30"/>
      <c r="OU71" s="30"/>
      <c r="OV71" s="30"/>
      <c r="OW71" s="30"/>
      <c r="OX71" s="30"/>
      <c r="OY71" s="30"/>
      <c r="OZ71" s="30"/>
      <c r="PA71" s="30"/>
      <c r="PB71" s="30"/>
      <c r="PC71" s="30"/>
      <c r="PD71" s="30"/>
      <c r="PE71" s="30"/>
      <c r="PF71" s="30"/>
      <c r="PG71" s="30"/>
      <c r="PH71" s="30"/>
      <c r="PI71" s="30"/>
      <c r="PJ71" s="30"/>
      <c r="PK71" s="30"/>
      <c r="PL71" s="30"/>
      <c r="PM71" s="30"/>
      <c r="PN71" s="30"/>
      <c r="PO71" s="30"/>
      <c r="PP71" s="30"/>
      <c r="PQ71" s="30"/>
      <c r="PR71" s="30"/>
      <c r="PS71" s="30"/>
      <c r="PT71" s="30"/>
      <c r="PU71" s="30"/>
      <c r="PV71" s="30"/>
      <c r="PW71" s="30"/>
      <c r="PX71" s="30"/>
      <c r="PY71" s="30"/>
      <c r="PZ71" s="30"/>
      <c r="QA71" s="30"/>
      <c r="QB71" s="30"/>
      <c r="QC71" s="30"/>
      <c r="QD71" s="30"/>
      <c r="QE71" s="30"/>
      <c r="QF71" s="30"/>
      <c r="QG71" s="30"/>
      <c r="QH71" s="30"/>
      <c r="QI71" s="30"/>
      <c r="QJ71" s="30"/>
      <c r="QK71" s="30"/>
      <c r="QL71" s="30"/>
      <c r="QM71" s="30"/>
      <c r="QN71" s="30"/>
      <c r="QO71" s="30"/>
      <c r="QP71" s="30"/>
      <c r="QQ71" s="30"/>
      <c r="QR71" s="30"/>
      <c r="QS71" s="30"/>
      <c r="QT71" s="30"/>
      <c r="QU71" s="30"/>
      <c r="QV71" s="30"/>
      <c r="QW71" s="30"/>
      <c r="QX71" s="30"/>
      <c r="QY71" s="30"/>
      <c r="QZ71" s="30"/>
      <c r="RA71" s="30"/>
      <c r="RB71" s="30"/>
      <c r="RC71" s="30"/>
      <c r="RD71" s="30"/>
      <c r="RE71" s="30"/>
      <c r="RF71" s="30"/>
      <c r="RG71" s="30"/>
      <c r="RH71" s="30"/>
      <c r="RI71" s="30"/>
      <c r="RJ71" s="30"/>
      <c r="RK71" s="30"/>
      <c r="RL71" s="30"/>
      <c r="RM71" s="30"/>
      <c r="RN71" s="30"/>
      <c r="RO71" s="30"/>
      <c r="RP71" s="30"/>
      <c r="RQ71" s="30"/>
      <c r="RR71" s="30"/>
      <c r="RS71" s="30"/>
      <c r="RT71" s="30"/>
      <c r="RU71" s="30"/>
      <c r="RV71" s="30"/>
      <c r="RW71" s="30"/>
      <c r="RX71" s="30"/>
      <c r="RY71" s="30"/>
      <c r="RZ71" s="30"/>
      <c r="SA71" s="30"/>
      <c r="SB71" s="30"/>
      <c r="SC71" s="30"/>
      <c r="SD71" s="30"/>
    </row>
    <row r="72" spans="1:498" s="20" customFormat="1" hidden="1">
      <c r="A72" s="60"/>
      <c r="B72" s="67"/>
      <c r="C72" s="69"/>
      <c r="D72" s="73"/>
      <c r="E72" s="73"/>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2"/>
      <c r="AF72" s="60"/>
      <c r="AG72" s="60"/>
      <c r="AH72" s="60"/>
      <c r="AI72" s="60"/>
      <c r="AJ72" s="60"/>
      <c r="AK72" s="60"/>
      <c r="AL72" s="60"/>
      <c r="AM72" s="60"/>
      <c r="AN72" s="60"/>
      <c r="AO72" s="6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0"/>
      <c r="ND72" s="30"/>
      <c r="NE72" s="30"/>
      <c r="NF72" s="30"/>
      <c r="NG72" s="30"/>
      <c r="NH72" s="30"/>
      <c r="NI72" s="30"/>
      <c r="NJ72" s="30"/>
      <c r="NK72" s="30"/>
      <c r="NL72" s="30"/>
      <c r="NM72" s="30"/>
      <c r="NN72" s="30"/>
      <c r="NO72" s="30"/>
      <c r="NP72" s="30"/>
      <c r="NQ72" s="30"/>
      <c r="NR72" s="30"/>
      <c r="NS72" s="30"/>
      <c r="NT72" s="30"/>
      <c r="NU72" s="30"/>
      <c r="NV72" s="30"/>
      <c r="NW72" s="30"/>
      <c r="NX72" s="30"/>
      <c r="NY72" s="30"/>
      <c r="NZ72" s="30"/>
      <c r="OA72" s="30"/>
      <c r="OB72" s="30"/>
      <c r="OC72" s="30"/>
      <c r="OD72" s="30"/>
      <c r="OE72" s="30"/>
      <c r="OF72" s="30"/>
      <c r="OG72" s="30"/>
      <c r="OH72" s="30"/>
      <c r="OI72" s="30"/>
      <c r="OJ72" s="30"/>
      <c r="OK72" s="30"/>
      <c r="OL72" s="30"/>
      <c r="OM72" s="30"/>
      <c r="ON72" s="30"/>
      <c r="OO72" s="30"/>
      <c r="OP72" s="30"/>
      <c r="OQ72" s="30"/>
      <c r="OR72" s="30"/>
      <c r="OS72" s="30"/>
      <c r="OT72" s="30"/>
      <c r="OU72" s="30"/>
      <c r="OV72" s="30"/>
      <c r="OW72" s="30"/>
      <c r="OX72" s="30"/>
      <c r="OY72" s="30"/>
      <c r="OZ72" s="30"/>
      <c r="PA72" s="30"/>
      <c r="PB72" s="30"/>
      <c r="PC72" s="30"/>
      <c r="PD72" s="30"/>
      <c r="PE72" s="30"/>
      <c r="PF72" s="30"/>
      <c r="PG72" s="30"/>
      <c r="PH72" s="30"/>
      <c r="PI72" s="30"/>
      <c r="PJ72" s="30"/>
      <c r="PK72" s="30"/>
      <c r="PL72" s="30"/>
      <c r="PM72" s="30"/>
      <c r="PN72" s="30"/>
      <c r="PO72" s="30"/>
      <c r="PP72" s="30"/>
      <c r="PQ72" s="30"/>
      <c r="PR72" s="30"/>
      <c r="PS72" s="30"/>
      <c r="PT72" s="30"/>
      <c r="PU72" s="30"/>
      <c r="PV72" s="30"/>
      <c r="PW72" s="30"/>
      <c r="PX72" s="30"/>
      <c r="PY72" s="30"/>
      <c r="PZ72" s="30"/>
      <c r="QA72" s="30"/>
      <c r="QB72" s="30"/>
      <c r="QC72" s="30"/>
      <c r="QD72" s="30"/>
      <c r="QE72" s="30"/>
      <c r="QF72" s="30"/>
      <c r="QG72" s="30"/>
      <c r="QH72" s="30"/>
      <c r="QI72" s="30"/>
      <c r="QJ72" s="30"/>
      <c r="QK72" s="30"/>
      <c r="QL72" s="30"/>
      <c r="QM72" s="30"/>
      <c r="QN72" s="30"/>
      <c r="QO72" s="30"/>
      <c r="QP72" s="30"/>
      <c r="QQ72" s="30"/>
      <c r="QR72" s="30"/>
      <c r="QS72" s="30"/>
      <c r="QT72" s="30"/>
      <c r="QU72" s="30"/>
      <c r="QV72" s="30"/>
      <c r="QW72" s="30"/>
      <c r="QX72" s="30"/>
      <c r="QY72" s="30"/>
      <c r="QZ72" s="30"/>
      <c r="RA72" s="30"/>
      <c r="RB72" s="30"/>
      <c r="RC72" s="30"/>
      <c r="RD72" s="30"/>
      <c r="RE72" s="30"/>
      <c r="RF72" s="30"/>
      <c r="RG72" s="30"/>
      <c r="RH72" s="30"/>
      <c r="RI72" s="30"/>
      <c r="RJ72" s="30"/>
      <c r="RK72" s="30"/>
      <c r="RL72" s="30"/>
      <c r="RM72" s="30"/>
      <c r="RN72" s="30"/>
      <c r="RO72" s="30"/>
      <c r="RP72" s="30"/>
      <c r="RQ72" s="30"/>
      <c r="RR72" s="30"/>
      <c r="RS72" s="30"/>
      <c r="RT72" s="30"/>
      <c r="RU72" s="30"/>
      <c r="RV72" s="30"/>
      <c r="RW72" s="30"/>
      <c r="RX72" s="30"/>
      <c r="RY72" s="30"/>
      <c r="RZ72" s="30"/>
      <c r="SA72" s="30"/>
      <c r="SB72" s="30"/>
      <c r="SC72" s="30"/>
      <c r="SD72" s="30"/>
    </row>
    <row r="73" spans="1:498" s="20" customFormat="1">
      <c r="A73" s="60"/>
      <c r="B73" s="67"/>
      <c r="C73" s="69"/>
      <c r="D73" s="73"/>
      <c r="E73" s="73"/>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2"/>
      <c r="AF73" s="60"/>
      <c r="AG73" s="60"/>
      <c r="AH73" s="60"/>
      <c r="AI73" s="60"/>
      <c r="AJ73" s="60"/>
      <c r="AK73" s="60"/>
      <c r="AL73" s="60"/>
      <c r="AM73" s="60"/>
      <c r="AN73" s="60"/>
      <c r="AO73" s="6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0"/>
      <c r="ND73" s="30"/>
      <c r="NE73" s="30"/>
      <c r="NF73" s="30"/>
      <c r="NG73" s="30"/>
      <c r="NH73" s="30"/>
      <c r="NI73" s="30"/>
      <c r="NJ73" s="30"/>
      <c r="NK73" s="30"/>
      <c r="NL73" s="30"/>
      <c r="NM73" s="30"/>
      <c r="NN73" s="30"/>
      <c r="NO73" s="30"/>
      <c r="NP73" s="30"/>
      <c r="NQ73" s="30"/>
      <c r="NR73" s="30"/>
      <c r="NS73" s="30"/>
      <c r="NT73" s="30"/>
      <c r="NU73" s="30"/>
      <c r="NV73" s="30"/>
      <c r="NW73" s="30"/>
      <c r="NX73" s="30"/>
      <c r="NY73" s="30"/>
      <c r="NZ73" s="30"/>
      <c r="OA73" s="30"/>
      <c r="OB73" s="30"/>
      <c r="OC73" s="30"/>
      <c r="OD73" s="30"/>
      <c r="OE73" s="30"/>
      <c r="OF73" s="30"/>
      <c r="OG73" s="30"/>
      <c r="OH73" s="30"/>
      <c r="OI73" s="30"/>
      <c r="OJ73" s="30"/>
      <c r="OK73" s="30"/>
      <c r="OL73" s="30"/>
      <c r="OM73" s="30"/>
      <c r="ON73" s="30"/>
      <c r="OO73" s="30"/>
      <c r="OP73" s="30"/>
      <c r="OQ73" s="30"/>
      <c r="OR73" s="30"/>
      <c r="OS73" s="30"/>
      <c r="OT73" s="30"/>
      <c r="OU73" s="30"/>
      <c r="OV73" s="30"/>
      <c r="OW73" s="30"/>
      <c r="OX73" s="30"/>
      <c r="OY73" s="30"/>
      <c r="OZ73" s="30"/>
      <c r="PA73" s="30"/>
      <c r="PB73" s="30"/>
      <c r="PC73" s="30"/>
      <c r="PD73" s="30"/>
      <c r="PE73" s="30"/>
      <c r="PF73" s="30"/>
      <c r="PG73" s="30"/>
      <c r="PH73" s="30"/>
      <c r="PI73" s="30"/>
      <c r="PJ73" s="30"/>
      <c r="PK73" s="30"/>
      <c r="PL73" s="30"/>
      <c r="PM73" s="30"/>
      <c r="PN73" s="30"/>
      <c r="PO73" s="30"/>
      <c r="PP73" s="30"/>
      <c r="PQ73" s="30"/>
      <c r="PR73" s="30"/>
      <c r="PS73" s="30"/>
      <c r="PT73" s="30"/>
      <c r="PU73" s="30"/>
      <c r="PV73" s="30"/>
      <c r="PW73" s="30"/>
      <c r="PX73" s="30"/>
      <c r="PY73" s="30"/>
      <c r="PZ73" s="30"/>
      <c r="QA73" s="30"/>
      <c r="QB73" s="30"/>
      <c r="QC73" s="30"/>
      <c r="QD73" s="30"/>
      <c r="QE73" s="30"/>
      <c r="QF73" s="30"/>
      <c r="QG73" s="30"/>
      <c r="QH73" s="30"/>
      <c r="QI73" s="30"/>
      <c r="QJ73" s="30"/>
      <c r="QK73" s="30"/>
      <c r="QL73" s="30"/>
      <c r="QM73" s="30"/>
      <c r="QN73" s="30"/>
      <c r="QO73" s="30"/>
      <c r="QP73" s="30"/>
      <c r="QQ73" s="30"/>
      <c r="QR73" s="30"/>
      <c r="QS73" s="30"/>
      <c r="QT73" s="30"/>
      <c r="QU73" s="30"/>
      <c r="QV73" s="30"/>
      <c r="QW73" s="30"/>
      <c r="QX73" s="30"/>
      <c r="QY73" s="30"/>
      <c r="QZ73" s="30"/>
      <c r="RA73" s="30"/>
      <c r="RB73" s="30"/>
      <c r="RC73" s="30"/>
      <c r="RD73" s="30"/>
      <c r="RE73" s="30"/>
      <c r="RF73" s="30"/>
      <c r="RG73" s="30"/>
      <c r="RH73" s="30"/>
      <c r="RI73" s="30"/>
      <c r="RJ73" s="30"/>
      <c r="RK73" s="30"/>
      <c r="RL73" s="30"/>
      <c r="RM73" s="30"/>
      <c r="RN73" s="30"/>
      <c r="RO73" s="30"/>
      <c r="RP73" s="30"/>
      <c r="RQ73" s="30"/>
      <c r="RR73" s="30"/>
      <c r="RS73" s="30"/>
      <c r="RT73" s="30"/>
      <c r="RU73" s="30"/>
      <c r="RV73" s="30"/>
      <c r="RW73" s="30"/>
      <c r="RX73" s="30"/>
      <c r="RY73" s="30"/>
      <c r="RZ73" s="30"/>
      <c r="SA73" s="30"/>
      <c r="SB73" s="30"/>
      <c r="SC73" s="30"/>
      <c r="SD73" s="30"/>
    </row>
    <row r="74" spans="1:498" s="47" customFormat="1">
      <c r="A74" s="60"/>
      <c r="B74" s="175">
        <v>4</v>
      </c>
      <c r="C74" s="199" t="s">
        <v>57</v>
      </c>
      <c r="D74" s="199"/>
      <c r="E74" s="199"/>
      <c r="F74" s="57">
        <f>IF((F97*$C$15)/12&lt;=0,0,IF(((F97*$C$15)/12)&lt;($D$59/12),((F97*$C$15)/12),"Ineligible"))</f>
        <v>218.0625</v>
      </c>
      <c r="G74" s="58">
        <f t="shared" ref="G74:V74" si="48">IF($F$74="Ineligible","",
IF($C$10=0,"",
IF(
AND(
G51&gt;20+N("IT is later than teh 20th year AND"),
$C$15=0.1+N("Percentage as share is 10 percent THEN")),
0,
IF(
F63=0,
0+N("If loan balance from the preceding year is zero then IBR payment is zero, if not then"),
IF(
(G97*$C$15)/12&lt;0,
0+N(""),
IF(
((G97*$C$15)/12)&lt;($D$59/12)+N("If the IBR payment is less than the standard"),
((G97*$C$15)/12)+N("Then the IBR payment"),
$F$85+N("If IBR is greater or equal to teh standard, then the standard plan")))))))</f>
        <v>229.90561875000003</v>
      </c>
      <c r="H74" s="58">
        <f t="shared" si="48"/>
        <v>242.30078978062508</v>
      </c>
      <c r="I74" s="58">
        <f t="shared" si="48"/>
        <v>255.27206120411873</v>
      </c>
      <c r="J74" s="58">
        <f t="shared" si="48"/>
        <v>268.84449240434219</v>
      </c>
      <c r="K74" s="58">
        <f t="shared" si="48"/>
        <v>283.04419572625119</v>
      </c>
      <c r="L74" s="58">
        <f t="shared" si="48"/>
        <v>297.89837986404257</v>
      </c>
      <c r="M74" s="58">
        <f t="shared" si="48"/>
        <v>313.43539501669494</v>
      </c>
      <c r="N74" s="58">
        <f t="shared" si="48"/>
        <v>329.68477988240153</v>
      </c>
      <c r="O74" s="58">
        <f t="shared" si="48"/>
        <v>346.67731056626889</v>
      </c>
      <c r="P74" s="58">
        <f t="shared" si="48"/>
        <v>364.44505147865402</v>
      </c>
      <c r="Q74" s="58">
        <f t="shared" si="48"/>
        <v>375</v>
      </c>
      <c r="R74" s="58">
        <f t="shared" si="48"/>
        <v>375</v>
      </c>
      <c r="S74" s="58">
        <f t="shared" si="48"/>
        <v>0</v>
      </c>
      <c r="T74" s="58">
        <f t="shared" si="48"/>
        <v>0</v>
      </c>
      <c r="U74" s="58">
        <f t="shared" si="48"/>
        <v>0</v>
      </c>
      <c r="V74" s="58">
        <f t="shared" si="48"/>
        <v>0</v>
      </c>
      <c r="W74" s="58">
        <f t="shared" ref="W74:X74" si="49">IF($F$74="Ineligible","",
IF($C$10=0,"",
IF(
AND(
W51&gt;20+N("IT is later than teh 20th year AND"),
$C$15=0.1+N("Percentage as share is 10 percent THEN")),
0,
IF(
V63=0,
0+N("If loan balance from the preceding year is zero then IBR payment is zero, if not then"),
IF(
(W97*$C$15)/12&lt;0,
0+N(""),
IF(
((W97*$C$15)/12)&lt;($D$59/12)+N("If the IBR payment is less than the standard"),
((W97*$C$15)/12)+N("Then the IBR payment"),
$F$85+N("If IBR is greater or equal to teh standard, then the standard plan")))))))</f>
        <v>0</v>
      </c>
      <c r="X74" s="58">
        <f t="shared" si="49"/>
        <v>0</v>
      </c>
      <c r="Y74" s="58">
        <f>IF($F$74="Ineligible","",
IF($C$10=0,"",
IF(
AND(
Y51&gt;20+N("IT is later than teh 20th year AND"),
$C$15=0.1+N("Percentage as share is 10 percent THEN")),
0,
IF(
X63=0,
0+N("If loan balance from the preceding year is zero then IBR payment is zero, if not then"),
IF(
(Y97*$C$15)/12&lt;0,
0+N(""),
IF(
((Y97*$C$15)/12)&lt;($D$59/12)+N("If the IBR payment is less than the standard"),
((Y97*$C$15)/12)+N("Then the IBR payment"),
$F$85+N("If IBR is greater or equal to teh standard, then the standard plan")))))))</f>
        <v>0</v>
      </c>
      <c r="Z74" s="58">
        <f t="shared" ref="Z74:AD74" si="50">IF($F$74="Ineligible","",
IF($C$10=0,"",
IF(
AND(
Z51&gt;20+N("IT is later than teh 20th year AND"),
$C$15=0.1+N("Percentage as share is 10 percent THEN")),
0,
IF(
Y63=0,
0+N("If loan balance from the preceding year is zero then IBR payment is zero, if not then"),
IF(
(Z97*$C$15)/12&lt;0,
0+N(""),
IF(
((Z97*$C$15)/12)&lt;($D$59/12)+N("If the IBR payment is less than the standard"),
((Z97*$C$15)/12)+N("Then the IBR payment"),
$F$85+N("If IBR is greater or equal to teh standard, then the standard plan")))))))</f>
        <v>0</v>
      </c>
      <c r="AA74" s="58">
        <f t="shared" si="50"/>
        <v>0</v>
      </c>
      <c r="AB74" s="58">
        <f t="shared" si="50"/>
        <v>0</v>
      </c>
      <c r="AC74" s="58">
        <f t="shared" si="50"/>
        <v>0</v>
      </c>
      <c r="AD74" s="58">
        <f t="shared" si="50"/>
        <v>0</v>
      </c>
      <c r="AE74" s="121"/>
      <c r="AF74" s="122"/>
      <c r="AG74" s="122"/>
      <c r="AH74" s="122"/>
      <c r="AI74" s="123"/>
      <c r="AJ74" s="60"/>
      <c r="AK74" s="60"/>
      <c r="AL74" s="60"/>
      <c r="AM74" s="60"/>
      <c r="AN74" s="60"/>
      <c r="AO74" s="6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0"/>
      <c r="ND74" s="30"/>
      <c r="NE74" s="30"/>
      <c r="NF74" s="30"/>
      <c r="NG74" s="30"/>
      <c r="NH74" s="30"/>
      <c r="NI74" s="30"/>
      <c r="NJ74" s="30"/>
      <c r="NK74" s="30"/>
      <c r="NL74" s="30"/>
      <c r="NM74" s="30"/>
      <c r="NN74" s="30"/>
      <c r="NO74" s="30"/>
      <c r="NP74" s="30"/>
      <c r="NQ74" s="30"/>
      <c r="NR74" s="30"/>
      <c r="NS74" s="30"/>
      <c r="NT74" s="30"/>
      <c r="NU74" s="30"/>
      <c r="NV74" s="30"/>
      <c r="NW74" s="30"/>
      <c r="NX74" s="30"/>
      <c r="NY74" s="30"/>
      <c r="NZ74" s="30"/>
      <c r="OA74" s="30"/>
      <c r="OB74" s="30"/>
      <c r="OC74" s="30"/>
      <c r="OD74" s="30"/>
      <c r="OE74" s="30"/>
      <c r="OF74" s="30"/>
      <c r="OG74" s="30"/>
      <c r="OH74" s="30"/>
      <c r="OI74" s="30"/>
      <c r="OJ74" s="30"/>
      <c r="OK74" s="30"/>
      <c r="OL74" s="30"/>
      <c r="OM74" s="30"/>
      <c r="ON74" s="30"/>
      <c r="OO74" s="30"/>
      <c r="OP74" s="30"/>
      <c r="OQ74" s="30"/>
      <c r="OR74" s="30"/>
      <c r="OS74" s="30"/>
      <c r="OT74" s="30"/>
      <c r="OU74" s="30"/>
      <c r="OV74" s="30"/>
      <c r="OW74" s="30"/>
      <c r="OX74" s="30"/>
      <c r="OY74" s="30"/>
      <c r="OZ74" s="30"/>
      <c r="PA74" s="30"/>
      <c r="PB74" s="30"/>
      <c r="PC74" s="30"/>
      <c r="PD74" s="30"/>
      <c r="PE74" s="30"/>
      <c r="PF74" s="30"/>
      <c r="PG74" s="30"/>
      <c r="PH74" s="30"/>
      <c r="PI74" s="30"/>
      <c r="PJ74" s="30"/>
      <c r="PK74" s="30"/>
      <c r="PL74" s="30"/>
      <c r="PM74" s="30"/>
      <c r="PN74" s="30"/>
      <c r="PO74" s="30"/>
      <c r="PP74" s="30"/>
      <c r="PQ74" s="30"/>
      <c r="PR74" s="30"/>
      <c r="PS74" s="30"/>
      <c r="PT74" s="30"/>
      <c r="PU74" s="30"/>
      <c r="PV74" s="30"/>
      <c r="PW74" s="30"/>
      <c r="PX74" s="30"/>
      <c r="PY74" s="30"/>
      <c r="PZ74" s="30"/>
      <c r="QA74" s="30"/>
      <c r="QB74" s="30"/>
      <c r="QC74" s="30"/>
      <c r="QD74" s="30"/>
      <c r="QE74" s="30"/>
      <c r="QF74" s="30"/>
      <c r="QG74" s="30"/>
      <c r="QH74" s="30"/>
      <c r="QI74" s="30"/>
      <c r="QJ74" s="30"/>
      <c r="QK74" s="30"/>
      <c r="QL74" s="30"/>
      <c r="QM74" s="30"/>
      <c r="QN74" s="30"/>
      <c r="QO74" s="30"/>
      <c r="QP74" s="30"/>
      <c r="QQ74" s="30"/>
      <c r="QR74" s="30"/>
      <c r="QS74" s="30"/>
      <c r="QT74" s="30"/>
      <c r="QU74" s="30"/>
      <c r="QV74" s="30"/>
      <c r="QW74" s="30"/>
      <c r="QX74" s="30"/>
      <c r="QY74" s="30"/>
      <c r="QZ74" s="30"/>
      <c r="RA74" s="30"/>
      <c r="RB74" s="30"/>
      <c r="RC74" s="30"/>
      <c r="RD74" s="30"/>
      <c r="RE74" s="30"/>
      <c r="RF74" s="30"/>
      <c r="RG74" s="30"/>
      <c r="RH74" s="30"/>
      <c r="RI74" s="30"/>
      <c r="RJ74" s="30"/>
      <c r="RK74" s="30"/>
      <c r="RL74" s="30"/>
      <c r="RM74" s="30"/>
      <c r="RN74" s="30"/>
      <c r="RO74" s="30"/>
      <c r="RP74" s="30"/>
      <c r="RQ74" s="30"/>
      <c r="RR74" s="30"/>
      <c r="RS74" s="30"/>
      <c r="RT74" s="30"/>
      <c r="RU74" s="30"/>
      <c r="RV74" s="30"/>
      <c r="RW74" s="30"/>
      <c r="RX74" s="30"/>
      <c r="RY74" s="30"/>
      <c r="RZ74" s="30"/>
      <c r="SA74" s="30"/>
      <c r="SB74" s="30"/>
      <c r="SC74" s="30"/>
      <c r="SD74" s="30"/>
    </row>
    <row r="75" spans="1:498" s="20" customFormat="1">
      <c r="A75" s="69"/>
      <c r="B75" s="67"/>
      <c r="C75" s="200" t="s">
        <v>44</v>
      </c>
      <c r="D75" s="200"/>
      <c r="E75" s="200"/>
      <c r="F75" s="86">
        <f>IF($F$74="Ineligible","",IF($C$10=0,"",F63))</f>
        <v>42383.25</v>
      </c>
      <c r="G75" s="86">
        <f t="shared" ref="G75:AD75" si="51">IF($F$74="Ineligible","",IF($C$10=0,"",G63))</f>
        <v>39624.382574999996</v>
      </c>
      <c r="H75" s="86">
        <f t="shared" si="51"/>
        <v>36716.773097632497</v>
      </c>
      <c r="I75" s="86">
        <f t="shared" si="51"/>
        <v>33653.508363183071</v>
      </c>
      <c r="J75" s="86">
        <f t="shared" si="51"/>
        <v>30427.374454330966</v>
      </c>
      <c r="K75" s="86">
        <f t="shared" si="51"/>
        <v>27030.84410561595</v>
      </c>
      <c r="L75" s="86">
        <f t="shared" si="51"/>
        <v>23456.063547247439</v>
      </c>
      <c r="M75" s="86">
        <f t="shared" si="51"/>
        <v>19694.838807047097</v>
      </c>
      <c r="N75" s="86">
        <f t="shared" si="51"/>
        <v>15738.621448458278</v>
      </c>
      <c r="O75" s="86">
        <f t="shared" si="51"/>
        <v>11578.49372166305</v>
      </c>
      <c r="P75" s="86">
        <f t="shared" si="51"/>
        <v>7205.153103919205</v>
      </c>
      <c r="Q75" s="86">
        <f t="shared" si="51"/>
        <v>2705.153103919205</v>
      </c>
      <c r="R75" s="86">
        <f t="shared" si="51"/>
        <v>0</v>
      </c>
      <c r="S75" s="86">
        <f t="shared" si="51"/>
        <v>0</v>
      </c>
      <c r="T75" s="86">
        <f t="shared" si="51"/>
        <v>0</v>
      </c>
      <c r="U75" s="86">
        <f t="shared" si="51"/>
        <v>0</v>
      </c>
      <c r="V75" s="86">
        <f t="shared" si="51"/>
        <v>0</v>
      </c>
      <c r="W75" s="86">
        <f t="shared" si="51"/>
        <v>0</v>
      </c>
      <c r="X75" s="86">
        <f t="shared" si="51"/>
        <v>0</v>
      </c>
      <c r="Y75" s="86">
        <f t="shared" si="51"/>
        <v>0</v>
      </c>
      <c r="Z75" s="86">
        <f t="shared" si="51"/>
        <v>0</v>
      </c>
      <c r="AA75" s="86">
        <f t="shared" si="51"/>
        <v>0</v>
      </c>
      <c r="AB75" s="86">
        <f t="shared" si="51"/>
        <v>0</v>
      </c>
      <c r="AC75" s="86">
        <f t="shared" si="51"/>
        <v>0</v>
      </c>
      <c r="AD75" s="86">
        <f t="shared" si="51"/>
        <v>0</v>
      </c>
      <c r="AE75" s="124"/>
      <c r="AF75" s="125"/>
      <c r="AG75" s="125"/>
      <c r="AH75" s="125"/>
      <c r="AI75" s="126"/>
      <c r="AJ75" s="69"/>
      <c r="AK75" s="69"/>
      <c r="AL75" s="69"/>
      <c r="AM75" s="69"/>
      <c r="AN75" s="69"/>
      <c r="AO75" s="69"/>
      <c r="AP75" s="21"/>
      <c r="AQ75" s="21"/>
      <c r="AR75" s="21"/>
      <c r="AS75" s="21"/>
      <c r="AT75" s="21"/>
      <c r="AU75" s="21"/>
      <c r="AV75" s="21"/>
      <c r="AW75" s="21"/>
      <c r="AX75" s="21"/>
      <c r="AY75" s="21"/>
      <c r="AZ75" s="21"/>
      <c r="BA75" s="21"/>
      <c r="BB75" s="21"/>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0"/>
      <c r="ND75" s="30"/>
      <c r="NE75" s="30"/>
      <c r="NF75" s="30"/>
      <c r="NG75" s="30"/>
      <c r="NH75" s="30"/>
      <c r="NI75" s="30"/>
      <c r="NJ75" s="30"/>
      <c r="NK75" s="30"/>
      <c r="NL75" s="30"/>
      <c r="NM75" s="30"/>
      <c r="NN75" s="30"/>
      <c r="NO75" s="30"/>
      <c r="NP75" s="30"/>
      <c r="NQ75" s="30"/>
      <c r="NR75" s="30"/>
      <c r="NS75" s="30"/>
      <c r="NT75" s="30"/>
      <c r="NU75" s="30"/>
      <c r="NV75" s="30"/>
      <c r="NW75" s="30"/>
      <c r="NX75" s="30"/>
      <c r="NY75" s="30"/>
      <c r="NZ75" s="30"/>
      <c r="OA75" s="30"/>
      <c r="OB75" s="30"/>
      <c r="OC75" s="30"/>
      <c r="OD75" s="30"/>
      <c r="OE75" s="30"/>
      <c r="OF75" s="30"/>
      <c r="OG75" s="30"/>
      <c r="OH75" s="30"/>
      <c r="OI75" s="30"/>
      <c r="OJ75" s="30"/>
      <c r="OK75" s="30"/>
      <c r="OL75" s="30"/>
      <c r="OM75" s="30"/>
      <c r="ON75" s="30"/>
      <c r="OO75" s="30"/>
      <c r="OP75" s="30"/>
      <c r="OQ75" s="30"/>
      <c r="OR75" s="30"/>
      <c r="OS75" s="30"/>
      <c r="OT75" s="30"/>
      <c r="OU75" s="30"/>
      <c r="OV75" s="30"/>
      <c r="OW75" s="30"/>
      <c r="OX75" s="30"/>
      <c r="OY75" s="30"/>
      <c r="OZ75" s="30"/>
      <c r="PA75" s="30"/>
      <c r="PB75" s="30"/>
      <c r="PC75" s="30"/>
      <c r="PD75" s="30"/>
      <c r="PE75" s="30"/>
      <c r="PF75" s="30"/>
      <c r="PG75" s="30"/>
      <c r="PH75" s="30"/>
      <c r="PI75" s="30"/>
      <c r="PJ75" s="30"/>
      <c r="PK75" s="30"/>
      <c r="PL75" s="30"/>
      <c r="PM75" s="30"/>
      <c r="PN75" s="30"/>
      <c r="PO75" s="30"/>
      <c r="PP75" s="30"/>
      <c r="PQ75" s="30"/>
      <c r="PR75" s="30"/>
      <c r="PS75" s="30"/>
      <c r="PT75" s="30"/>
      <c r="PU75" s="30"/>
      <c r="PV75" s="30"/>
      <c r="PW75" s="30"/>
      <c r="PX75" s="30"/>
      <c r="PY75" s="30"/>
      <c r="PZ75" s="30"/>
      <c r="QA75" s="30"/>
      <c r="QB75" s="30"/>
      <c r="QC75" s="30"/>
      <c r="QD75" s="30"/>
      <c r="QE75" s="30"/>
      <c r="QF75" s="30"/>
      <c r="QG75" s="30"/>
      <c r="QH75" s="30"/>
      <c r="QI75" s="30"/>
      <c r="QJ75" s="30"/>
      <c r="QK75" s="30"/>
      <c r="QL75" s="30"/>
      <c r="QM75" s="30"/>
      <c r="QN75" s="30"/>
      <c r="QO75" s="30"/>
      <c r="QP75" s="30"/>
      <c r="QQ75" s="30"/>
      <c r="QR75" s="30"/>
      <c r="QS75" s="30"/>
      <c r="QT75" s="30"/>
      <c r="QU75" s="30"/>
      <c r="QV75" s="30"/>
      <c r="QW75" s="30"/>
      <c r="QX75" s="30"/>
      <c r="QY75" s="30"/>
      <c r="QZ75" s="30"/>
      <c r="RA75" s="30"/>
      <c r="RB75" s="30"/>
      <c r="RC75" s="30"/>
      <c r="RD75" s="30"/>
      <c r="RE75" s="30"/>
      <c r="RF75" s="30"/>
      <c r="RG75" s="30"/>
      <c r="RH75" s="30"/>
      <c r="RI75" s="30"/>
      <c r="RJ75" s="30"/>
      <c r="RK75" s="30"/>
      <c r="RL75" s="30"/>
      <c r="RM75" s="30"/>
      <c r="RN75" s="30"/>
      <c r="RO75" s="30"/>
      <c r="RP75" s="30"/>
      <c r="RQ75" s="30"/>
      <c r="RR75" s="30"/>
      <c r="RS75" s="30"/>
      <c r="RT75" s="30"/>
      <c r="RU75" s="30"/>
      <c r="RV75" s="30"/>
      <c r="RW75" s="30"/>
      <c r="RX75" s="30"/>
      <c r="RY75" s="30"/>
      <c r="RZ75" s="30"/>
      <c r="SA75" s="30"/>
      <c r="SB75" s="30"/>
      <c r="SC75" s="30"/>
      <c r="SD75" s="30"/>
    </row>
    <row r="76" spans="1:498" s="20" customFormat="1">
      <c r="A76" s="69"/>
      <c r="B76" s="67"/>
      <c r="C76" s="157"/>
      <c r="D76" s="157"/>
      <c r="E76" s="15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3"/>
      <c r="AF76" s="113"/>
      <c r="AG76" s="113"/>
      <c r="AH76" s="113"/>
      <c r="AI76" s="113"/>
      <c r="AJ76" s="69"/>
      <c r="AK76" s="69"/>
      <c r="AL76" s="69"/>
      <c r="AM76" s="69"/>
      <c r="AN76" s="69"/>
      <c r="AO76" s="69"/>
      <c r="AP76" s="21"/>
      <c r="AQ76" s="21"/>
      <c r="AR76" s="21"/>
      <c r="AS76" s="21"/>
      <c r="AT76" s="21"/>
      <c r="AU76" s="21"/>
      <c r="AV76" s="21"/>
      <c r="AW76" s="21"/>
      <c r="AX76" s="21"/>
      <c r="AY76" s="21"/>
      <c r="AZ76" s="21"/>
      <c r="BA76" s="21"/>
      <c r="BB76" s="21"/>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0"/>
      <c r="ND76" s="30"/>
      <c r="NE76" s="30"/>
      <c r="NF76" s="30"/>
      <c r="NG76" s="30"/>
      <c r="NH76" s="30"/>
      <c r="NI76" s="30"/>
      <c r="NJ76" s="30"/>
      <c r="NK76" s="30"/>
      <c r="NL76" s="30"/>
      <c r="NM76" s="30"/>
      <c r="NN76" s="30"/>
      <c r="NO76" s="30"/>
      <c r="NP76" s="30"/>
      <c r="NQ76" s="30"/>
      <c r="NR76" s="30"/>
      <c r="NS76" s="30"/>
      <c r="NT76" s="30"/>
      <c r="NU76" s="30"/>
      <c r="NV76" s="30"/>
      <c r="NW76" s="30"/>
      <c r="NX76" s="30"/>
      <c r="NY76" s="30"/>
      <c r="NZ76" s="30"/>
      <c r="OA76" s="30"/>
      <c r="OB76" s="30"/>
      <c r="OC76" s="30"/>
      <c r="OD76" s="30"/>
      <c r="OE76" s="30"/>
      <c r="OF76" s="30"/>
      <c r="OG76" s="30"/>
      <c r="OH76" s="30"/>
      <c r="OI76" s="30"/>
      <c r="OJ76" s="30"/>
      <c r="OK76" s="30"/>
      <c r="OL76" s="30"/>
      <c r="OM76" s="30"/>
      <c r="ON76" s="30"/>
      <c r="OO76" s="30"/>
      <c r="OP76" s="30"/>
      <c r="OQ76" s="30"/>
      <c r="OR76" s="30"/>
      <c r="OS76" s="30"/>
      <c r="OT76" s="30"/>
      <c r="OU76" s="30"/>
      <c r="OV76" s="30"/>
      <c r="OW76" s="30"/>
      <c r="OX76" s="30"/>
      <c r="OY76" s="30"/>
      <c r="OZ76" s="30"/>
      <c r="PA76" s="30"/>
      <c r="PB76" s="30"/>
      <c r="PC76" s="30"/>
      <c r="PD76" s="30"/>
      <c r="PE76" s="30"/>
      <c r="PF76" s="30"/>
      <c r="PG76" s="30"/>
      <c r="PH76" s="30"/>
      <c r="PI76" s="30"/>
      <c r="PJ76" s="30"/>
      <c r="PK76" s="30"/>
      <c r="PL76" s="30"/>
      <c r="PM76" s="30"/>
      <c r="PN76" s="30"/>
      <c r="PO76" s="30"/>
      <c r="PP76" s="30"/>
      <c r="PQ76" s="30"/>
      <c r="PR76" s="30"/>
      <c r="PS76" s="30"/>
      <c r="PT76" s="30"/>
      <c r="PU76" s="30"/>
      <c r="PV76" s="30"/>
      <c r="PW76" s="30"/>
      <c r="PX76" s="30"/>
      <c r="PY76" s="30"/>
      <c r="PZ76" s="30"/>
      <c r="QA76" s="30"/>
      <c r="QB76" s="30"/>
      <c r="QC76" s="30"/>
      <c r="QD76" s="30"/>
      <c r="QE76" s="30"/>
      <c r="QF76" s="30"/>
      <c r="QG76" s="30"/>
      <c r="QH76" s="30"/>
      <c r="QI76" s="30"/>
      <c r="QJ76" s="30"/>
      <c r="QK76" s="30"/>
      <c r="QL76" s="30"/>
      <c r="QM76" s="30"/>
      <c r="QN76" s="30"/>
      <c r="QO76" s="30"/>
      <c r="QP76" s="30"/>
      <c r="QQ76" s="30"/>
      <c r="QR76" s="30"/>
      <c r="QS76" s="30"/>
      <c r="QT76" s="30"/>
      <c r="QU76" s="30"/>
      <c r="QV76" s="30"/>
      <c r="QW76" s="30"/>
      <c r="QX76" s="30"/>
      <c r="QY76" s="30"/>
      <c r="QZ76" s="30"/>
      <c r="RA76" s="30"/>
      <c r="RB76" s="30"/>
      <c r="RC76" s="30"/>
      <c r="RD76" s="30"/>
      <c r="RE76" s="30"/>
      <c r="RF76" s="30"/>
      <c r="RG76" s="30"/>
      <c r="RH76" s="30"/>
      <c r="RI76" s="30"/>
      <c r="RJ76" s="30"/>
      <c r="RK76" s="30"/>
      <c r="RL76" s="30"/>
      <c r="RM76" s="30"/>
      <c r="RN76" s="30"/>
      <c r="RO76" s="30"/>
      <c r="RP76" s="30"/>
      <c r="RQ76" s="30"/>
      <c r="RR76" s="30"/>
      <c r="RS76" s="30"/>
      <c r="RT76" s="30"/>
      <c r="RU76" s="30"/>
      <c r="RV76" s="30"/>
      <c r="RW76" s="30"/>
      <c r="RX76" s="30"/>
      <c r="RY76" s="30"/>
      <c r="RZ76" s="30"/>
      <c r="SA76" s="30"/>
      <c r="SB76" s="30"/>
      <c r="SC76" s="30"/>
      <c r="SD76" s="30"/>
    </row>
    <row r="77" spans="1:498" s="20" customFormat="1">
      <c r="A77" s="69"/>
      <c r="B77" s="174">
        <v>5</v>
      </c>
      <c r="C77" s="201" t="s">
        <v>58</v>
      </c>
      <c r="D77" s="201"/>
      <c r="E77" s="201"/>
      <c r="F77" s="120">
        <f>F70</f>
        <v>145.375</v>
      </c>
      <c r="G77" s="159">
        <f t="shared" ref="G77:Y77" si="52">G70</f>
        <v>153.27041250000002</v>
      </c>
      <c r="H77" s="159">
        <f t="shared" si="52"/>
        <v>161.53385985375004</v>
      </c>
      <c r="I77" s="159">
        <f t="shared" si="52"/>
        <v>170.18137413607917</v>
      </c>
      <c r="J77" s="159">
        <f t="shared" si="52"/>
        <v>179.22966160289479</v>
      </c>
      <c r="K77" s="159">
        <f t="shared" si="52"/>
        <v>188.69613048416747</v>
      </c>
      <c r="L77" s="159">
        <f t="shared" si="52"/>
        <v>198.59891990936174</v>
      </c>
      <c r="M77" s="159">
        <f t="shared" si="52"/>
        <v>208.95693001113</v>
      </c>
      <c r="N77" s="159">
        <f t="shared" si="52"/>
        <v>219.7898532549344</v>
      </c>
      <c r="O77" s="159">
        <f t="shared" si="52"/>
        <v>231.11820704417926</v>
      </c>
      <c r="P77" s="159">
        <f t="shared" si="52"/>
        <v>242.96336765243601</v>
      </c>
      <c r="Q77" s="159">
        <f t="shared" si="52"/>
        <v>255.34760553641794</v>
      </c>
      <c r="R77" s="159">
        <f t="shared" si="52"/>
        <v>268.29412208552407</v>
      </c>
      <c r="S77" s="159">
        <f t="shared" si="52"/>
        <v>281.82708786601836</v>
      </c>
      <c r="T77" s="159">
        <f t="shared" si="52"/>
        <v>295.97168242024912</v>
      </c>
      <c r="U77" s="159">
        <f t="shared" si="52"/>
        <v>310.75413568374273</v>
      </c>
      <c r="V77" s="159">
        <f t="shared" si="52"/>
        <v>326.20177108553986</v>
      </c>
      <c r="W77" s="159">
        <f t="shared" si="52"/>
        <v>0</v>
      </c>
      <c r="X77" s="159">
        <f t="shared" si="52"/>
        <v>0</v>
      </c>
      <c r="Y77" s="118">
        <f t="shared" si="52"/>
        <v>0</v>
      </c>
      <c r="Z77" s="121"/>
      <c r="AA77" s="122"/>
      <c r="AB77" s="122"/>
      <c r="AC77" s="122"/>
      <c r="AD77" s="122"/>
      <c r="AE77" s="122"/>
      <c r="AF77" s="122"/>
      <c r="AG77" s="122"/>
      <c r="AH77" s="122"/>
      <c r="AI77" s="123"/>
      <c r="AJ77" s="69"/>
      <c r="AK77" s="69"/>
      <c r="AL77" s="69"/>
      <c r="AM77" s="69"/>
      <c r="AN77" s="69"/>
      <c r="AO77" s="69"/>
      <c r="AP77" s="21"/>
      <c r="AQ77" s="21"/>
      <c r="AR77" s="21"/>
      <c r="AS77" s="21"/>
      <c r="AT77" s="21"/>
      <c r="AU77" s="21"/>
      <c r="AV77" s="21"/>
      <c r="AW77" s="21"/>
      <c r="AX77" s="21"/>
      <c r="AY77" s="21"/>
      <c r="AZ77" s="21"/>
      <c r="BA77" s="21"/>
      <c r="BB77" s="21"/>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0"/>
      <c r="ND77" s="30"/>
      <c r="NE77" s="30"/>
      <c r="NF77" s="30"/>
      <c r="NG77" s="30"/>
      <c r="NH77" s="30"/>
      <c r="NI77" s="30"/>
      <c r="NJ77" s="30"/>
      <c r="NK77" s="30"/>
      <c r="NL77" s="30"/>
      <c r="NM77" s="30"/>
      <c r="NN77" s="30"/>
      <c r="NO77" s="30"/>
      <c r="NP77" s="30"/>
      <c r="NQ77" s="30"/>
      <c r="NR77" s="30"/>
      <c r="NS77" s="30"/>
      <c r="NT77" s="30"/>
      <c r="NU77" s="30"/>
      <c r="NV77" s="30"/>
      <c r="NW77" s="30"/>
      <c r="NX77" s="30"/>
      <c r="NY77" s="30"/>
      <c r="NZ77" s="30"/>
      <c r="OA77" s="30"/>
      <c r="OB77" s="30"/>
      <c r="OC77" s="30"/>
      <c r="OD77" s="30"/>
      <c r="OE77" s="30"/>
      <c r="OF77" s="30"/>
      <c r="OG77" s="30"/>
      <c r="OH77" s="30"/>
      <c r="OI77" s="30"/>
      <c r="OJ77" s="30"/>
      <c r="OK77" s="30"/>
      <c r="OL77" s="30"/>
      <c r="OM77" s="30"/>
      <c r="ON77" s="30"/>
      <c r="OO77" s="30"/>
      <c r="OP77" s="30"/>
      <c r="OQ77" s="30"/>
      <c r="OR77" s="30"/>
      <c r="OS77" s="30"/>
      <c r="OT77" s="30"/>
      <c r="OU77" s="30"/>
      <c r="OV77" s="30"/>
      <c r="OW77" s="30"/>
      <c r="OX77" s="30"/>
      <c r="OY77" s="30"/>
      <c r="OZ77" s="30"/>
      <c r="PA77" s="30"/>
      <c r="PB77" s="30"/>
      <c r="PC77" s="30"/>
      <c r="PD77" s="30"/>
      <c r="PE77" s="30"/>
      <c r="PF77" s="30"/>
      <c r="PG77" s="30"/>
      <c r="PH77" s="30"/>
      <c r="PI77" s="30"/>
      <c r="PJ77" s="30"/>
      <c r="PK77" s="30"/>
      <c r="PL77" s="30"/>
      <c r="PM77" s="30"/>
      <c r="PN77" s="30"/>
      <c r="PO77" s="30"/>
      <c r="PP77" s="30"/>
      <c r="PQ77" s="30"/>
      <c r="PR77" s="30"/>
      <c r="PS77" s="30"/>
      <c r="PT77" s="30"/>
      <c r="PU77" s="30"/>
      <c r="PV77" s="30"/>
      <c r="PW77" s="30"/>
      <c r="PX77" s="30"/>
      <c r="PY77" s="30"/>
      <c r="PZ77" s="30"/>
      <c r="QA77" s="30"/>
      <c r="QB77" s="30"/>
      <c r="QC77" s="30"/>
      <c r="QD77" s="30"/>
      <c r="QE77" s="30"/>
      <c r="QF77" s="30"/>
      <c r="QG77" s="30"/>
      <c r="QH77" s="30"/>
      <c r="QI77" s="30"/>
      <c r="QJ77" s="30"/>
      <c r="QK77" s="30"/>
      <c r="QL77" s="30"/>
      <c r="QM77" s="30"/>
      <c r="QN77" s="30"/>
      <c r="QO77" s="30"/>
      <c r="QP77" s="30"/>
      <c r="QQ77" s="30"/>
      <c r="QR77" s="30"/>
      <c r="QS77" s="30"/>
      <c r="QT77" s="30"/>
      <c r="QU77" s="30"/>
      <c r="QV77" s="30"/>
      <c r="QW77" s="30"/>
      <c r="QX77" s="30"/>
      <c r="QY77" s="30"/>
      <c r="QZ77" s="30"/>
      <c r="RA77" s="30"/>
      <c r="RB77" s="30"/>
      <c r="RC77" s="30"/>
      <c r="RD77" s="30"/>
      <c r="RE77" s="30"/>
      <c r="RF77" s="30"/>
      <c r="RG77" s="30"/>
      <c r="RH77" s="30"/>
      <c r="RI77" s="30"/>
      <c r="RJ77" s="30"/>
      <c r="RK77" s="30"/>
      <c r="RL77" s="30"/>
      <c r="RM77" s="30"/>
      <c r="RN77" s="30"/>
      <c r="RO77" s="30"/>
      <c r="RP77" s="30"/>
      <c r="RQ77" s="30"/>
      <c r="RR77" s="30"/>
      <c r="RS77" s="30"/>
      <c r="RT77" s="30"/>
      <c r="RU77" s="30"/>
      <c r="RV77" s="30"/>
      <c r="RW77" s="30"/>
      <c r="RX77" s="30"/>
      <c r="RY77" s="30"/>
      <c r="RZ77" s="30"/>
      <c r="SA77" s="30"/>
      <c r="SB77" s="30"/>
      <c r="SC77" s="30"/>
      <c r="SD77" s="30"/>
    </row>
    <row r="78" spans="1:498" s="20" customFormat="1">
      <c r="A78" s="69"/>
      <c r="B78" s="67"/>
      <c r="C78" s="200" t="s">
        <v>44</v>
      </c>
      <c r="D78" s="200"/>
      <c r="E78" s="200"/>
      <c r="F78" s="161">
        <f>F71</f>
        <v>43255.5</v>
      </c>
      <c r="G78" s="160">
        <f t="shared" ref="G78:Y78" si="53">G71</f>
        <v>41416.25505</v>
      </c>
      <c r="H78" s="160">
        <f t="shared" si="53"/>
        <v>39477.848731755003</v>
      </c>
      <c r="I78" s="160">
        <f t="shared" si="53"/>
        <v>37435.672242122047</v>
      </c>
      <c r="J78" s="160">
        <f t="shared" si="53"/>
        <v>35284.916302887315</v>
      </c>
      <c r="K78" s="160">
        <f t="shared" si="53"/>
        <v>33020.5627370773</v>
      </c>
      <c r="L78" s="160">
        <f t="shared" si="53"/>
        <v>30637.37569816496</v>
      </c>
      <c r="M78" s="160">
        <f t="shared" si="53"/>
        <v>28129.892538031399</v>
      </c>
      <c r="N78" s="160">
        <f t="shared" si="53"/>
        <v>25492.414298972188</v>
      </c>
      <c r="O78" s="160">
        <f t="shared" si="53"/>
        <v>22718.995814442038</v>
      </c>
      <c r="P78" s="160">
        <f t="shared" si="53"/>
        <v>19803.435402612806</v>
      </c>
      <c r="Q78" s="160">
        <f t="shared" si="53"/>
        <v>16739.264136175792</v>
      </c>
      <c r="R78" s="160">
        <f t="shared" si="53"/>
        <v>13519.734671149505</v>
      </c>
      <c r="S78" s="160">
        <f t="shared" si="53"/>
        <v>10137.809616757284</v>
      </c>
      <c r="T78" s="160">
        <f t="shared" si="53"/>
        <v>6586.1494277142947</v>
      </c>
      <c r="U78" s="160">
        <f t="shared" si="53"/>
        <v>2857.0997995093821</v>
      </c>
      <c r="V78" s="160">
        <f t="shared" si="53"/>
        <v>0</v>
      </c>
      <c r="W78" s="160">
        <f t="shared" si="53"/>
        <v>0</v>
      </c>
      <c r="X78" s="160">
        <f t="shared" si="53"/>
        <v>0</v>
      </c>
      <c r="Y78" s="162">
        <f t="shared" si="53"/>
        <v>0</v>
      </c>
      <c r="Z78" s="124"/>
      <c r="AA78" s="125"/>
      <c r="AB78" s="125"/>
      <c r="AC78" s="125"/>
      <c r="AD78" s="125"/>
      <c r="AE78" s="125"/>
      <c r="AF78" s="125"/>
      <c r="AG78" s="125"/>
      <c r="AH78" s="125"/>
      <c r="AI78" s="126"/>
      <c r="AJ78" s="69"/>
      <c r="AK78" s="69"/>
      <c r="AL78" s="69"/>
      <c r="AM78" s="69"/>
      <c r="AN78" s="69"/>
      <c r="AO78" s="69"/>
      <c r="AP78" s="21"/>
      <c r="AQ78" s="21"/>
      <c r="AR78" s="21"/>
      <c r="AS78" s="21"/>
      <c r="AT78" s="21"/>
      <c r="AU78" s="21"/>
      <c r="AV78" s="21"/>
      <c r="AW78" s="21"/>
      <c r="AX78" s="21"/>
      <c r="AY78" s="21"/>
      <c r="AZ78" s="21"/>
      <c r="BA78" s="21"/>
      <c r="BB78" s="21"/>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0"/>
      <c r="ND78" s="30"/>
      <c r="NE78" s="30"/>
      <c r="NF78" s="30"/>
      <c r="NG78" s="30"/>
      <c r="NH78" s="30"/>
      <c r="NI78" s="30"/>
      <c r="NJ78" s="30"/>
      <c r="NK78" s="30"/>
      <c r="NL78" s="30"/>
      <c r="NM78" s="30"/>
      <c r="NN78" s="30"/>
      <c r="NO78" s="30"/>
      <c r="NP78" s="30"/>
      <c r="NQ78" s="30"/>
      <c r="NR78" s="30"/>
      <c r="NS78" s="30"/>
      <c r="NT78" s="30"/>
      <c r="NU78" s="30"/>
      <c r="NV78" s="30"/>
      <c r="NW78" s="30"/>
      <c r="NX78" s="30"/>
      <c r="NY78" s="30"/>
      <c r="NZ78" s="30"/>
      <c r="OA78" s="30"/>
      <c r="OB78" s="30"/>
      <c r="OC78" s="30"/>
      <c r="OD78" s="30"/>
      <c r="OE78" s="30"/>
      <c r="OF78" s="30"/>
      <c r="OG78" s="30"/>
      <c r="OH78" s="30"/>
      <c r="OI78" s="30"/>
      <c r="OJ78" s="30"/>
      <c r="OK78" s="30"/>
      <c r="OL78" s="30"/>
      <c r="OM78" s="30"/>
      <c r="ON78" s="30"/>
      <c r="OO78" s="30"/>
      <c r="OP78" s="30"/>
      <c r="OQ78" s="30"/>
      <c r="OR78" s="30"/>
      <c r="OS78" s="30"/>
      <c r="OT78" s="30"/>
      <c r="OU78" s="30"/>
      <c r="OV78" s="30"/>
      <c r="OW78" s="30"/>
      <c r="OX78" s="30"/>
      <c r="OY78" s="30"/>
      <c r="OZ78" s="30"/>
      <c r="PA78" s="30"/>
      <c r="PB78" s="30"/>
      <c r="PC78" s="30"/>
      <c r="PD78" s="30"/>
      <c r="PE78" s="30"/>
      <c r="PF78" s="30"/>
      <c r="PG78" s="30"/>
      <c r="PH78" s="30"/>
      <c r="PI78" s="30"/>
      <c r="PJ78" s="30"/>
      <c r="PK78" s="30"/>
      <c r="PL78" s="30"/>
      <c r="PM78" s="30"/>
      <c r="PN78" s="30"/>
      <c r="PO78" s="30"/>
      <c r="PP78" s="30"/>
      <c r="PQ78" s="30"/>
      <c r="PR78" s="30"/>
      <c r="PS78" s="30"/>
      <c r="PT78" s="30"/>
      <c r="PU78" s="30"/>
      <c r="PV78" s="30"/>
      <c r="PW78" s="30"/>
      <c r="PX78" s="30"/>
      <c r="PY78" s="30"/>
      <c r="PZ78" s="30"/>
      <c r="QA78" s="30"/>
      <c r="QB78" s="30"/>
      <c r="QC78" s="30"/>
      <c r="QD78" s="30"/>
      <c r="QE78" s="30"/>
      <c r="QF78" s="30"/>
      <c r="QG78" s="30"/>
      <c r="QH78" s="30"/>
      <c r="QI78" s="30"/>
      <c r="QJ78" s="30"/>
      <c r="QK78" s="30"/>
      <c r="QL78" s="30"/>
      <c r="QM78" s="30"/>
      <c r="QN78" s="30"/>
      <c r="QO78" s="30"/>
      <c r="QP78" s="30"/>
      <c r="QQ78" s="30"/>
      <c r="QR78" s="30"/>
      <c r="QS78" s="30"/>
      <c r="QT78" s="30"/>
      <c r="QU78" s="30"/>
      <c r="QV78" s="30"/>
      <c r="QW78" s="30"/>
      <c r="QX78" s="30"/>
      <c r="QY78" s="30"/>
      <c r="QZ78" s="30"/>
      <c r="RA78" s="30"/>
      <c r="RB78" s="30"/>
      <c r="RC78" s="30"/>
      <c r="RD78" s="30"/>
      <c r="RE78" s="30"/>
      <c r="RF78" s="30"/>
      <c r="RG78" s="30"/>
      <c r="RH78" s="30"/>
      <c r="RI78" s="30"/>
      <c r="RJ78" s="30"/>
      <c r="RK78" s="30"/>
      <c r="RL78" s="30"/>
      <c r="RM78" s="30"/>
      <c r="RN78" s="30"/>
      <c r="RO78" s="30"/>
      <c r="RP78" s="30"/>
      <c r="RQ78" s="30"/>
      <c r="RR78" s="30"/>
      <c r="RS78" s="30"/>
      <c r="RT78" s="30"/>
      <c r="RU78" s="30"/>
      <c r="RV78" s="30"/>
      <c r="RW78" s="30"/>
      <c r="RX78" s="30"/>
      <c r="RY78" s="30"/>
      <c r="RZ78" s="30"/>
      <c r="SA78" s="30"/>
      <c r="SB78" s="30"/>
      <c r="SC78" s="30"/>
      <c r="SD78" s="30"/>
    </row>
    <row r="79" spans="1:498" s="89" customFormat="1" ht="25.5" customHeight="1">
      <c r="A79" s="69"/>
      <c r="B79" s="67"/>
      <c r="C79" s="69"/>
      <c r="D79" s="68"/>
      <c r="E79" s="146"/>
      <c r="F79" s="158"/>
      <c r="G79" s="158"/>
      <c r="H79" s="158"/>
      <c r="I79" s="158"/>
      <c r="J79" s="158"/>
      <c r="K79" s="158"/>
      <c r="L79" s="158"/>
      <c r="M79" s="158"/>
      <c r="N79" s="158"/>
      <c r="O79" s="158"/>
      <c r="P79" s="113"/>
      <c r="Q79" s="113"/>
      <c r="R79" s="113"/>
      <c r="S79" s="113"/>
      <c r="T79" s="113"/>
      <c r="U79" s="113"/>
      <c r="V79" s="113"/>
      <c r="W79" s="113"/>
      <c r="X79" s="113"/>
      <c r="Y79" s="113"/>
      <c r="Z79" s="113"/>
      <c r="AA79" s="113"/>
      <c r="AB79" s="113"/>
      <c r="AC79" s="113"/>
      <c r="AD79" s="113"/>
      <c r="AE79" s="113"/>
      <c r="AF79" s="113"/>
      <c r="AG79" s="113"/>
      <c r="AH79" s="113"/>
      <c r="AI79" s="113"/>
      <c r="AJ79" s="69"/>
      <c r="AK79" s="69"/>
      <c r="AL79" s="69"/>
      <c r="AM79" s="69"/>
      <c r="AN79" s="69"/>
      <c r="AO79" s="69"/>
      <c r="AP79" s="69"/>
      <c r="AQ79" s="69"/>
      <c r="AR79" s="69"/>
      <c r="AS79" s="69"/>
      <c r="AT79" s="69"/>
      <c r="AU79" s="69"/>
      <c r="AV79" s="69"/>
      <c r="AW79" s="69"/>
      <c r="AX79" s="69"/>
      <c r="AY79" s="69"/>
      <c r="AZ79" s="69"/>
      <c r="BA79" s="69"/>
      <c r="BB79" s="69"/>
    </row>
    <row r="80" spans="1:498" s="47" customFormat="1">
      <c r="A80" s="69"/>
      <c r="B80" s="175">
        <v>6</v>
      </c>
      <c r="C80" s="196" t="s">
        <v>45</v>
      </c>
      <c r="D80" s="196"/>
      <c r="E80" s="196"/>
      <c r="F80" s="87">
        <f>IF($C$10=0,"",F85)</f>
        <v>375</v>
      </c>
      <c r="G80" s="87">
        <f t="shared" ref="G80:O80" si="54">IF($C$10=0,"",G85)</f>
        <v>375</v>
      </c>
      <c r="H80" s="87">
        <f t="shared" si="54"/>
        <v>375</v>
      </c>
      <c r="I80" s="87">
        <f t="shared" si="54"/>
        <v>375</v>
      </c>
      <c r="J80" s="87">
        <f t="shared" si="54"/>
        <v>375</v>
      </c>
      <c r="K80" s="87">
        <f t="shared" si="54"/>
        <v>375</v>
      </c>
      <c r="L80" s="87">
        <f t="shared" si="54"/>
        <v>375</v>
      </c>
      <c r="M80" s="87">
        <f t="shared" si="54"/>
        <v>375</v>
      </c>
      <c r="N80" s="87">
        <f t="shared" si="54"/>
        <v>375</v>
      </c>
      <c r="O80" s="87">
        <f t="shared" si="54"/>
        <v>375</v>
      </c>
      <c r="P80" s="118"/>
      <c r="Q80" s="119"/>
      <c r="R80" s="119"/>
      <c r="S80" s="119"/>
      <c r="T80" s="119"/>
      <c r="U80" s="119"/>
      <c r="V80" s="119"/>
      <c r="W80" s="119"/>
      <c r="X80" s="119"/>
      <c r="Y80" s="119"/>
      <c r="Z80" s="119"/>
      <c r="AA80" s="119"/>
      <c r="AB80" s="119"/>
      <c r="AC80" s="119"/>
      <c r="AD80" s="119"/>
      <c r="AE80" s="119"/>
      <c r="AF80" s="119"/>
      <c r="AG80" s="119"/>
      <c r="AH80" s="119"/>
      <c r="AI80" s="120"/>
      <c r="AJ80" s="60"/>
      <c r="AK80" s="60"/>
      <c r="AL80" s="60"/>
      <c r="AM80" s="60"/>
      <c r="AN80" s="60"/>
      <c r="AO80" s="6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0"/>
      <c r="ND80" s="30"/>
      <c r="NE80" s="30"/>
      <c r="NF80" s="30"/>
      <c r="NG80" s="30"/>
      <c r="NH80" s="30"/>
      <c r="NI80" s="30"/>
      <c r="NJ80" s="30"/>
      <c r="NK80" s="30"/>
      <c r="NL80" s="30"/>
      <c r="NM80" s="30"/>
      <c r="NN80" s="30"/>
      <c r="NO80" s="30"/>
      <c r="NP80" s="30"/>
      <c r="NQ80" s="30"/>
      <c r="NR80" s="30"/>
      <c r="NS80" s="30"/>
      <c r="NT80" s="30"/>
      <c r="NU80" s="30"/>
      <c r="NV80" s="30"/>
      <c r="NW80" s="30"/>
      <c r="NX80" s="30"/>
      <c r="NY80" s="30"/>
      <c r="NZ80" s="30"/>
      <c r="OA80" s="30"/>
      <c r="OB80" s="30"/>
      <c r="OC80" s="30"/>
      <c r="OD80" s="30"/>
      <c r="OE80" s="30"/>
      <c r="OF80" s="30"/>
      <c r="OG80" s="30"/>
      <c r="OH80" s="30"/>
      <c r="OI80" s="30"/>
      <c r="OJ80" s="30"/>
      <c r="OK80" s="30"/>
      <c r="OL80" s="30"/>
      <c r="OM80" s="30"/>
      <c r="ON80" s="30"/>
      <c r="OO80" s="30"/>
      <c r="OP80" s="30"/>
      <c r="OQ80" s="30"/>
      <c r="OR80" s="30"/>
      <c r="OS80" s="30"/>
      <c r="OT80" s="30"/>
      <c r="OU80" s="30"/>
      <c r="OV80" s="30"/>
      <c r="OW80" s="30"/>
      <c r="OX80" s="30"/>
      <c r="OY80" s="30"/>
      <c r="OZ80" s="30"/>
      <c r="PA80" s="30"/>
      <c r="PB80" s="30"/>
      <c r="PC80" s="30"/>
      <c r="PD80" s="30"/>
      <c r="PE80" s="30"/>
      <c r="PF80" s="30"/>
      <c r="PG80" s="30"/>
      <c r="PH80" s="30"/>
      <c r="PI80" s="30"/>
      <c r="PJ80" s="30"/>
      <c r="PK80" s="30"/>
      <c r="PL80" s="30"/>
      <c r="PM80" s="30"/>
      <c r="PN80" s="30"/>
      <c r="PO80" s="30"/>
      <c r="PP80" s="30"/>
      <c r="PQ80" s="30"/>
      <c r="PR80" s="30"/>
      <c r="PS80" s="30"/>
      <c r="PT80" s="30"/>
      <c r="PU80" s="30"/>
      <c r="PV80" s="30"/>
      <c r="PW80" s="30"/>
      <c r="PX80" s="30"/>
      <c r="PY80" s="30"/>
      <c r="PZ80" s="30"/>
      <c r="QA80" s="30"/>
      <c r="QB80" s="30"/>
      <c r="QC80" s="30"/>
      <c r="QD80" s="30"/>
      <c r="QE80" s="30"/>
      <c r="QF80" s="30"/>
      <c r="QG80" s="30"/>
      <c r="QH80" s="30"/>
      <c r="QI80" s="30"/>
      <c r="QJ80" s="30"/>
      <c r="QK80" s="30"/>
      <c r="QL80" s="30"/>
      <c r="QM80" s="30"/>
      <c r="QN80" s="30"/>
      <c r="QO80" s="30"/>
      <c r="QP80" s="30"/>
      <c r="QQ80" s="30"/>
      <c r="QR80" s="30"/>
      <c r="QS80" s="30"/>
      <c r="QT80" s="30"/>
      <c r="QU80" s="30"/>
      <c r="QV80" s="30"/>
      <c r="QW80" s="30"/>
      <c r="QX80" s="30"/>
      <c r="QY80" s="30"/>
      <c r="QZ80" s="30"/>
      <c r="RA80" s="30"/>
      <c r="RB80" s="30"/>
      <c r="RC80" s="30"/>
      <c r="RD80" s="30"/>
      <c r="RE80" s="30"/>
      <c r="RF80" s="30"/>
      <c r="RG80" s="30"/>
      <c r="RH80" s="30"/>
      <c r="RI80" s="30"/>
      <c r="RJ80" s="30"/>
      <c r="RK80" s="30"/>
      <c r="RL80" s="30"/>
      <c r="RM80" s="30"/>
      <c r="RN80" s="30"/>
      <c r="RO80" s="30"/>
      <c r="RP80" s="30"/>
      <c r="RQ80" s="30"/>
      <c r="RR80" s="30"/>
      <c r="RS80" s="30"/>
      <c r="RT80" s="30"/>
      <c r="RU80" s="30"/>
      <c r="RV80" s="30"/>
      <c r="RW80" s="30"/>
      <c r="RX80" s="30"/>
      <c r="RY80" s="30"/>
      <c r="RZ80" s="30"/>
      <c r="SA80" s="30"/>
      <c r="SB80" s="30"/>
      <c r="SC80" s="30"/>
      <c r="SD80" s="30"/>
    </row>
    <row r="81" spans="1:498" s="47" customFormat="1">
      <c r="A81" s="69"/>
      <c r="B81" s="69"/>
      <c r="C81" s="196" t="s">
        <v>46</v>
      </c>
      <c r="D81" s="196"/>
      <c r="E81" s="196"/>
      <c r="F81" s="87">
        <f>IF($C$10=0,"",F83)</f>
        <v>150</v>
      </c>
      <c r="G81" s="87">
        <f t="shared" ref="G81:AI81" si="55">IF($C$10=0,"",G83)</f>
        <v>150</v>
      </c>
      <c r="H81" s="87">
        <f t="shared" si="55"/>
        <v>150</v>
      </c>
      <c r="I81" s="87">
        <f t="shared" si="55"/>
        <v>150</v>
      </c>
      <c r="J81" s="87">
        <f t="shared" si="55"/>
        <v>150</v>
      </c>
      <c r="K81" s="87">
        <f t="shared" si="55"/>
        <v>150</v>
      </c>
      <c r="L81" s="87">
        <f t="shared" si="55"/>
        <v>150</v>
      </c>
      <c r="M81" s="87">
        <f t="shared" si="55"/>
        <v>150</v>
      </c>
      <c r="N81" s="87">
        <f t="shared" si="55"/>
        <v>150</v>
      </c>
      <c r="O81" s="87">
        <f t="shared" si="55"/>
        <v>150</v>
      </c>
      <c r="P81" s="87">
        <f t="shared" si="55"/>
        <v>150</v>
      </c>
      <c r="Q81" s="87">
        <f t="shared" si="55"/>
        <v>150</v>
      </c>
      <c r="R81" s="87">
        <f t="shared" si="55"/>
        <v>150</v>
      </c>
      <c r="S81" s="87">
        <f t="shared" si="55"/>
        <v>150</v>
      </c>
      <c r="T81" s="87">
        <f t="shared" si="55"/>
        <v>150</v>
      </c>
      <c r="U81" s="87">
        <f t="shared" si="55"/>
        <v>150</v>
      </c>
      <c r="V81" s="87">
        <f t="shared" si="55"/>
        <v>150</v>
      </c>
      <c r="W81" s="87">
        <f t="shared" si="55"/>
        <v>150</v>
      </c>
      <c r="X81" s="87">
        <f t="shared" si="55"/>
        <v>150</v>
      </c>
      <c r="Y81" s="87">
        <f t="shared" si="55"/>
        <v>150</v>
      </c>
      <c r="Z81" s="87">
        <f t="shared" si="55"/>
        <v>150</v>
      </c>
      <c r="AA81" s="87">
        <f t="shared" si="55"/>
        <v>150</v>
      </c>
      <c r="AB81" s="87">
        <f t="shared" si="55"/>
        <v>150</v>
      </c>
      <c r="AC81" s="87">
        <f t="shared" si="55"/>
        <v>150</v>
      </c>
      <c r="AD81" s="87">
        <f t="shared" si="55"/>
        <v>150</v>
      </c>
      <c r="AE81" s="87">
        <f t="shared" si="55"/>
        <v>0</v>
      </c>
      <c r="AF81" s="87">
        <f t="shared" si="55"/>
        <v>0</v>
      </c>
      <c r="AG81" s="87">
        <f t="shared" si="55"/>
        <v>0</v>
      </c>
      <c r="AH81" s="87">
        <f t="shared" si="55"/>
        <v>0</v>
      </c>
      <c r="AI81" s="87">
        <f t="shared" si="55"/>
        <v>0</v>
      </c>
      <c r="AJ81" s="60"/>
      <c r="AK81" s="60"/>
      <c r="AL81" s="60"/>
      <c r="AM81" s="60"/>
      <c r="AN81" s="60"/>
      <c r="AO81" s="6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0"/>
      <c r="ND81" s="30"/>
      <c r="NE81" s="30"/>
      <c r="NF81" s="30"/>
      <c r="NG81" s="30"/>
      <c r="NH81" s="30"/>
      <c r="NI81" s="30"/>
      <c r="NJ81" s="30"/>
      <c r="NK81" s="30"/>
      <c r="NL81" s="30"/>
      <c r="NM81" s="30"/>
      <c r="NN81" s="30"/>
      <c r="NO81" s="30"/>
      <c r="NP81" s="30"/>
      <c r="NQ81" s="30"/>
      <c r="NR81" s="30"/>
      <c r="NS81" s="30"/>
      <c r="NT81" s="30"/>
      <c r="NU81" s="30"/>
      <c r="NV81" s="30"/>
      <c r="NW81" s="30"/>
      <c r="NX81" s="30"/>
      <c r="NY81" s="30"/>
      <c r="NZ81" s="30"/>
      <c r="OA81" s="30"/>
      <c r="OB81" s="30"/>
      <c r="OC81" s="30"/>
      <c r="OD81" s="30"/>
      <c r="OE81" s="30"/>
      <c r="OF81" s="30"/>
      <c r="OG81" s="30"/>
      <c r="OH81" s="30"/>
      <c r="OI81" s="30"/>
      <c r="OJ81" s="30"/>
      <c r="OK81" s="30"/>
      <c r="OL81" s="30"/>
      <c r="OM81" s="30"/>
      <c r="ON81" s="30"/>
      <c r="OO81" s="30"/>
      <c r="OP81" s="30"/>
      <c r="OQ81" s="30"/>
      <c r="OR81" s="30"/>
      <c r="OS81" s="30"/>
      <c r="OT81" s="30"/>
      <c r="OU81" s="30"/>
      <c r="OV81" s="30"/>
      <c r="OW81" s="30"/>
      <c r="OX81" s="30"/>
      <c r="OY81" s="30"/>
      <c r="OZ81" s="30"/>
      <c r="PA81" s="30"/>
      <c r="PB81" s="30"/>
      <c r="PC81" s="30"/>
      <c r="PD81" s="30"/>
      <c r="PE81" s="30"/>
      <c r="PF81" s="30"/>
      <c r="PG81" s="30"/>
      <c r="PH81" s="30"/>
      <c r="PI81" s="30"/>
      <c r="PJ81" s="30"/>
      <c r="PK81" s="30"/>
      <c r="PL81" s="30"/>
      <c r="PM81" s="30"/>
      <c r="PN81" s="30"/>
      <c r="PO81" s="30"/>
      <c r="PP81" s="30"/>
      <c r="PQ81" s="30"/>
      <c r="PR81" s="30"/>
      <c r="PS81" s="30"/>
      <c r="PT81" s="30"/>
      <c r="PU81" s="30"/>
      <c r="PV81" s="30"/>
      <c r="PW81" s="30"/>
      <c r="PX81" s="30"/>
      <c r="PY81" s="30"/>
      <c r="PZ81" s="30"/>
      <c r="QA81" s="30"/>
      <c r="QB81" s="30"/>
      <c r="QC81" s="30"/>
      <c r="QD81" s="30"/>
      <c r="QE81" s="30"/>
      <c r="QF81" s="30"/>
      <c r="QG81" s="30"/>
      <c r="QH81" s="30"/>
      <c r="QI81" s="30"/>
      <c r="QJ81" s="30"/>
      <c r="QK81" s="30"/>
      <c r="QL81" s="30"/>
      <c r="QM81" s="30"/>
      <c r="QN81" s="30"/>
      <c r="QO81" s="30"/>
      <c r="QP81" s="30"/>
      <c r="QQ81" s="30"/>
      <c r="QR81" s="30"/>
      <c r="QS81" s="30"/>
      <c r="QT81" s="30"/>
      <c r="QU81" s="30"/>
      <c r="QV81" s="30"/>
      <c r="QW81" s="30"/>
      <c r="QX81" s="30"/>
      <c r="QY81" s="30"/>
      <c r="QZ81" s="30"/>
      <c r="RA81" s="30"/>
      <c r="RB81" s="30"/>
      <c r="RC81" s="30"/>
      <c r="RD81" s="30"/>
      <c r="RE81" s="30"/>
      <c r="RF81" s="30"/>
      <c r="RG81" s="30"/>
      <c r="RH81" s="30"/>
      <c r="RI81" s="30"/>
      <c r="RJ81" s="30"/>
      <c r="RK81" s="30"/>
      <c r="RL81" s="30"/>
      <c r="RM81" s="30"/>
      <c r="RN81" s="30"/>
      <c r="RO81" s="30"/>
      <c r="RP81" s="30"/>
      <c r="RQ81" s="30"/>
      <c r="RR81" s="30"/>
      <c r="RS81" s="30"/>
      <c r="RT81" s="30"/>
      <c r="RU81" s="30"/>
      <c r="RV81" s="30"/>
      <c r="RW81" s="30"/>
      <c r="RX81" s="30"/>
      <c r="RY81" s="30"/>
      <c r="RZ81" s="30"/>
      <c r="SA81" s="30"/>
      <c r="SB81" s="30"/>
      <c r="SC81" s="30"/>
      <c r="SD81" s="30"/>
    </row>
    <row r="82" spans="1:498" s="47" customFormat="1">
      <c r="A82" s="69"/>
      <c r="B82" s="69"/>
      <c r="C82" s="196" t="s">
        <v>49</v>
      </c>
      <c r="D82" s="196"/>
      <c r="E82" s="196"/>
      <c r="F82" s="87">
        <f>IF($C$10=0,"",F91)</f>
        <v>124.5</v>
      </c>
      <c r="G82" s="87">
        <f t="shared" ref="G82:AI82" si="56">IF($C$10=0,"",G91)</f>
        <v>124.5</v>
      </c>
      <c r="H82" s="87">
        <f t="shared" si="56"/>
        <v>127.86260869565218</v>
      </c>
      <c r="I82" s="87">
        <f t="shared" si="56"/>
        <v>127.86260869565218</v>
      </c>
      <c r="J82" s="87">
        <f t="shared" si="56"/>
        <v>131.3563602484472</v>
      </c>
      <c r="K82" s="87">
        <f t="shared" si="56"/>
        <v>131.3563602484472</v>
      </c>
      <c r="L82" s="87">
        <f t="shared" si="56"/>
        <v>136.56994705459306</v>
      </c>
      <c r="M82" s="87">
        <f t="shared" si="56"/>
        <v>136.56994705459306</v>
      </c>
      <c r="N82" s="87">
        <f t="shared" si="56"/>
        <v>140.25244163778245</v>
      </c>
      <c r="O82" s="87">
        <f t="shared" si="56"/>
        <v>140.25244163778245</v>
      </c>
      <c r="P82" s="87">
        <f t="shared" si="56"/>
        <v>144.11575889380504</v>
      </c>
      <c r="Q82" s="87">
        <f t="shared" si="56"/>
        <v>144.11575889380504</v>
      </c>
      <c r="R82" s="87">
        <f t="shared" si="56"/>
        <v>149.84800368576086</v>
      </c>
      <c r="S82" s="87">
        <f t="shared" si="56"/>
        <v>149.84800368576086</v>
      </c>
      <c r="T82" s="87">
        <f t="shared" si="56"/>
        <v>153.97368898204417</v>
      </c>
      <c r="U82" s="87">
        <f t="shared" si="56"/>
        <v>153.97368898204417</v>
      </c>
      <c r="V82" s="87">
        <f t="shared" si="56"/>
        <v>160.11775985640008</v>
      </c>
      <c r="W82" s="87">
        <f t="shared" si="56"/>
        <v>160.11775985640008</v>
      </c>
      <c r="X82" s="87">
        <f t="shared" si="56"/>
        <v>166.32779820219847</v>
      </c>
      <c r="Y82" s="87">
        <f t="shared" si="56"/>
        <v>166.32779820219847</v>
      </c>
      <c r="Z82" s="87">
        <f t="shared" si="56"/>
        <v>170.7493455044069</v>
      </c>
      <c r="AA82" s="87">
        <f t="shared" si="56"/>
        <v>170.7493455044069</v>
      </c>
      <c r="AB82" s="87">
        <f t="shared" si="56"/>
        <v>175.95984099608776</v>
      </c>
      <c r="AC82" s="87">
        <f t="shared" si="56"/>
        <v>175.95984099608776</v>
      </c>
      <c r="AD82" s="87">
        <f t="shared" si="56"/>
        <v>186.73289248564416</v>
      </c>
      <c r="AE82" s="87">
        <f t="shared" si="56"/>
        <v>0</v>
      </c>
      <c r="AF82" s="87">
        <f t="shared" si="56"/>
        <v>0</v>
      </c>
      <c r="AG82" s="87">
        <f t="shared" si="56"/>
        <v>0</v>
      </c>
      <c r="AH82" s="87">
        <f t="shared" si="56"/>
        <v>0</v>
      </c>
      <c r="AI82" s="87">
        <f t="shared" si="56"/>
        <v>0</v>
      </c>
      <c r="AJ82" s="60"/>
      <c r="AK82" s="60"/>
      <c r="AL82" s="60"/>
      <c r="AM82" s="60"/>
      <c r="AN82" s="60"/>
      <c r="AO82" s="6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row>
    <row r="83" spans="1:498" s="47" customFormat="1" ht="14" hidden="1" customHeight="1">
      <c r="A83" s="69"/>
      <c r="B83" s="69"/>
      <c r="C83" s="69"/>
      <c r="D83" s="68"/>
      <c r="E83" s="99" t="s">
        <v>46</v>
      </c>
      <c r="F83" s="46">
        <f>IF($C10&lt;10000,PMT($C$11/$C$12,12*$C$12,-$C$10),IF($C10&lt;20000,PMT($C$11/$C$12,15*$C$12,-$C$10),IF($C10&lt;40000,PMT($C$11/$C$12,20*$C$12,-$C$10),IF($C10&lt;60000,PMT($C$11/$C$12,25*$C$12,-$C$10),PMT($C$11/$C$12,30*$C$12,-$C$10)))))</f>
        <v>150</v>
      </c>
      <c r="G83" s="16">
        <f t="shared" ref="G83:Q84" si="57">F83</f>
        <v>150</v>
      </c>
      <c r="H83" s="16">
        <f t="shared" si="57"/>
        <v>150</v>
      </c>
      <c r="I83" s="16">
        <f t="shared" si="57"/>
        <v>150</v>
      </c>
      <c r="J83" s="16">
        <f t="shared" si="57"/>
        <v>150</v>
      </c>
      <c r="K83" s="16">
        <f t="shared" si="57"/>
        <v>150</v>
      </c>
      <c r="L83" s="16">
        <f t="shared" si="57"/>
        <v>150</v>
      </c>
      <c r="M83" s="16">
        <f t="shared" si="57"/>
        <v>150</v>
      </c>
      <c r="N83" s="16">
        <f t="shared" si="57"/>
        <v>150</v>
      </c>
      <c r="O83" s="16">
        <f t="shared" si="57"/>
        <v>150</v>
      </c>
      <c r="P83" s="88">
        <f t="shared" si="57"/>
        <v>150</v>
      </c>
      <c r="Q83" s="88">
        <f t="shared" si="57"/>
        <v>150</v>
      </c>
      <c r="R83" s="88">
        <f>IF(C10&lt;10000,0,Q83)</f>
        <v>150</v>
      </c>
      <c r="S83" s="88">
        <f>R83</f>
        <v>150</v>
      </c>
      <c r="T83" s="88">
        <f>S83</f>
        <v>150</v>
      </c>
      <c r="U83" s="88">
        <f>IF(C10&lt;20000,0,T83)</f>
        <v>150</v>
      </c>
      <c r="V83" s="88">
        <f t="shared" ref="V83:Y84" si="58">U83</f>
        <v>150</v>
      </c>
      <c r="W83" s="88">
        <f t="shared" si="58"/>
        <v>150</v>
      </c>
      <c r="X83" s="88">
        <f t="shared" si="58"/>
        <v>150</v>
      </c>
      <c r="Y83" s="88">
        <f t="shared" si="58"/>
        <v>150</v>
      </c>
      <c r="Z83" s="88">
        <f>IF(C10&lt;40000,0,Y83)</f>
        <v>150</v>
      </c>
      <c r="AA83" s="88">
        <f t="shared" ref="AA83:AD84" si="59">Z83</f>
        <v>150</v>
      </c>
      <c r="AB83" s="88">
        <f t="shared" si="59"/>
        <v>150</v>
      </c>
      <c r="AC83" s="88">
        <f t="shared" si="59"/>
        <v>150</v>
      </c>
      <c r="AD83" s="88">
        <f t="shared" si="59"/>
        <v>150</v>
      </c>
      <c r="AE83" s="88">
        <f>IF(C10&lt;60000,0,AD83)</f>
        <v>0</v>
      </c>
      <c r="AF83" s="88">
        <f t="shared" ref="AF83:AI84" si="60">AE83</f>
        <v>0</v>
      </c>
      <c r="AG83" s="88">
        <f t="shared" si="60"/>
        <v>0</v>
      </c>
      <c r="AH83" s="88">
        <f t="shared" si="60"/>
        <v>0</v>
      </c>
      <c r="AI83" s="88">
        <f t="shared" si="60"/>
        <v>0</v>
      </c>
      <c r="AJ83" s="60"/>
      <c r="AK83" s="60"/>
      <c r="AL83" s="60"/>
      <c r="AM83" s="60"/>
      <c r="AN83" s="60"/>
      <c r="AO83" s="6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row>
    <row r="84" spans="1:498" s="20" customFormat="1" ht="14" hidden="1" customHeight="1">
      <c r="A84" s="60"/>
      <c r="B84" s="60" t="s">
        <v>18</v>
      </c>
      <c r="C84" s="60"/>
      <c r="D84" s="74" t="str">
        <f>IF(K84="N/A","N/A",SUM(F84:AI84)*12)</f>
        <v>N/A</v>
      </c>
      <c r="E84" s="43"/>
      <c r="F84" s="34">
        <f>($C$10*$C$11)/12</f>
        <v>0</v>
      </c>
      <c r="G84" s="29">
        <f>($C$10*$C$11)/12</f>
        <v>0</v>
      </c>
      <c r="H84" s="29">
        <f>($C$10*$C$11)/12</f>
        <v>0</v>
      </c>
      <c r="I84" s="29">
        <f>($C$10*$C$11)/12</f>
        <v>0</v>
      </c>
      <c r="J84" s="29">
        <f>IF($C$10&lt;10000,PMT($C$11/$C$12,8*$C$12,-$C$10),IF($C$10&lt;20000,PMT($C$11/$C$12,11*$C$12,-$C$10),IF($C$10&lt;40000,PMT($C$11/$C$12,16*$C$12,-$C$10),IF($C$10&lt;60000,PMT($C$11/$C$12,21*$C$12,-$C$10),PMT($C$11/$C$12,26*$C$12,-$C$10)))))</f>
        <v>178.57142857142858</v>
      </c>
      <c r="K84" s="29" t="str">
        <f>IF(J84&gt;($F$84*3),"N/A",J84)</f>
        <v>N/A</v>
      </c>
      <c r="L84" s="29" t="str">
        <f t="shared" si="57"/>
        <v>N/A</v>
      </c>
      <c r="M84" s="29" t="str">
        <f t="shared" si="57"/>
        <v>N/A</v>
      </c>
      <c r="N84" s="29" t="str">
        <f t="shared" si="57"/>
        <v>N/A</v>
      </c>
      <c r="O84" s="29" t="str">
        <f t="shared" si="57"/>
        <v>N/A</v>
      </c>
      <c r="P84" s="29" t="str">
        <f t="shared" si="57"/>
        <v>N/A</v>
      </c>
      <c r="Q84" s="29" t="str">
        <f t="shared" si="57"/>
        <v>N/A</v>
      </c>
      <c r="R84" s="29" t="str">
        <f>IF($C$10&lt;10000,0,Q84)</f>
        <v>N/A</v>
      </c>
      <c r="S84" s="29" t="str">
        <f>R84</f>
        <v>N/A</v>
      </c>
      <c r="T84" s="29" t="str">
        <f>S84</f>
        <v>N/A</v>
      </c>
      <c r="U84" s="29" t="str">
        <f>IF($C$10&lt;20000,0,T84)</f>
        <v>N/A</v>
      </c>
      <c r="V84" s="29" t="str">
        <f t="shared" si="58"/>
        <v>N/A</v>
      </c>
      <c r="W84" s="29" t="str">
        <f t="shared" si="58"/>
        <v>N/A</v>
      </c>
      <c r="X84" s="29" t="str">
        <f t="shared" si="58"/>
        <v>N/A</v>
      </c>
      <c r="Y84" s="29" t="str">
        <f t="shared" si="58"/>
        <v>N/A</v>
      </c>
      <c r="Z84" s="29" t="str">
        <f>IF($C$10&lt;40000,0,Y84)</f>
        <v>N/A</v>
      </c>
      <c r="AA84" s="29" t="str">
        <f t="shared" si="59"/>
        <v>N/A</v>
      </c>
      <c r="AB84" s="29" t="str">
        <f t="shared" si="59"/>
        <v>N/A</v>
      </c>
      <c r="AC84" s="29" t="str">
        <f t="shared" si="59"/>
        <v>N/A</v>
      </c>
      <c r="AD84" s="29" t="str">
        <f t="shared" si="59"/>
        <v>N/A</v>
      </c>
      <c r="AE84" s="29">
        <f>IF($C$10&lt;60000,0,AD84)</f>
        <v>0</v>
      </c>
      <c r="AF84" s="29">
        <f t="shared" si="60"/>
        <v>0</v>
      </c>
      <c r="AG84" s="29">
        <f t="shared" si="60"/>
        <v>0</v>
      </c>
      <c r="AH84" s="29">
        <f t="shared" si="60"/>
        <v>0</v>
      </c>
      <c r="AI84" s="29">
        <f t="shared" si="60"/>
        <v>0</v>
      </c>
      <c r="AJ84" s="60"/>
      <c r="AK84" s="60"/>
      <c r="AL84" s="60"/>
      <c r="AM84" s="60"/>
      <c r="AN84" s="60"/>
      <c r="AO84" s="6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30"/>
    </row>
    <row r="85" spans="1:498" s="20" customFormat="1" ht="14" hidden="1" customHeight="1">
      <c r="A85" s="60"/>
      <c r="B85" s="60"/>
      <c r="C85" s="75">
        <f>PMT(C$11/12,10*12,-C$10)</f>
        <v>375</v>
      </c>
      <c r="D85" s="60"/>
      <c r="E85" s="44" t="s">
        <v>19</v>
      </c>
      <c r="F85" s="34">
        <f>PMT(C$11/12,10*12,-C$10)</f>
        <v>375</v>
      </c>
      <c r="G85" s="29">
        <f t="shared" ref="G85:O85" si="61">$F$85</f>
        <v>375</v>
      </c>
      <c r="H85" s="29">
        <f t="shared" si="61"/>
        <v>375</v>
      </c>
      <c r="I85" s="29">
        <f t="shared" si="61"/>
        <v>375</v>
      </c>
      <c r="J85" s="29">
        <f t="shared" si="61"/>
        <v>375</v>
      </c>
      <c r="K85" s="29">
        <f t="shared" si="61"/>
        <v>375</v>
      </c>
      <c r="L85" s="29">
        <f t="shared" si="61"/>
        <v>375</v>
      </c>
      <c r="M85" s="29">
        <f t="shared" si="61"/>
        <v>375</v>
      </c>
      <c r="N85" s="29">
        <f t="shared" si="61"/>
        <v>375</v>
      </c>
      <c r="O85" s="29">
        <f t="shared" si="61"/>
        <v>375</v>
      </c>
      <c r="P85" s="29">
        <v>0</v>
      </c>
      <c r="Q85" s="29">
        <v>0</v>
      </c>
      <c r="R85" s="29">
        <v>0</v>
      </c>
      <c r="S85" s="29">
        <v>0</v>
      </c>
      <c r="T85" s="29">
        <v>0</v>
      </c>
      <c r="U85" s="29">
        <v>0</v>
      </c>
      <c r="V85" s="29">
        <v>0</v>
      </c>
      <c r="W85" s="29">
        <v>0</v>
      </c>
      <c r="X85" s="29">
        <v>0</v>
      </c>
      <c r="Y85" s="29">
        <v>0</v>
      </c>
      <c r="Z85" s="29">
        <v>0</v>
      </c>
      <c r="AA85" s="29">
        <v>0</v>
      </c>
      <c r="AB85" s="29">
        <v>0</v>
      </c>
      <c r="AC85" s="29">
        <v>0</v>
      </c>
      <c r="AD85" s="29">
        <v>0</v>
      </c>
      <c r="AE85" s="29"/>
      <c r="AF85" s="29"/>
      <c r="AG85" s="29"/>
      <c r="AH85" s="29"/>
      <c r="AI85" s="29"/>
      <c r="AJ85" s="60"/>
      <c r="AK85" s="60"/>
      <c r="AL85" s="60"/>
      <c r="AM85" s="60"/>
      <c r="AN85" s="60"/>
      <c r="AO85" s="6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0"/>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0"/>
      <c r="ND85" s="30"/>
      <c r="NE85" s="30"/>
      <c r="NF85" s="30"/>
      <c r="NG85" s="30"/>
      <c r="NH85" s="30"/>
      <c r="NI85" s="30"/>
      <c r="NJ85" s="30"/>
      <c r="NK85" s="30"/>
      <c r="NL85" s="30"/>
      <c r="NM85" s="30"/>
      <c r="NN85" s="30"/>
      <c r="NO85" s="30"/>
      <c r="NP85" s="30"/>
      <c r="NQ85" s="30"/>
      <c r="NR85" s="30"/>
      <c r="NS85" s="30"/>
      <c r="NT85" s="30"/>
      <c r="NU85" s="30"/>
      <c r="NV85" s="30"/>
      <c r="NW85" s="30"/>
      <c r="NX85" s="30"/>
      <c r="NY85" s="30"/>
      <c r="NZ85" s="30"/>
      <c r="OA85" s="30"/>
      <c r="OB85" s="30"/>
      <c r="OC85" s="30"/>
      <c r="OD85" s="30"/>
      <c r="OE85" s="30"/>
      <c r="OF85" s="30"/>
      <c r="OG85" s="30"/>
      <c r="OH85" s="30"/>
      <c r="OI85" s="30"/>
      <c r="OJ85" s="30"/>
      <c r="OK85" s="30"/>
      <c r="OL85" s="30"/>
      <c r="OM85" s="30"/>
      <c r="ON85" s="30"/>
      <c r="OO85" s="30"/>
      <c r="OP85" s="30"/>
      <c r="OQ85" s="30"/>
      <c r="OR85" s="30"/>
      <c r="OS85" s="30"/>
      <c r="OT85" s="30"/>
      <c r="OU85" s="30"/>
      <c r="OV85" s="30"/>
      <c r="OW85" s="30"/>
      <c r="OX85" s="30"/>
      <c r="OY85" s="30"/>
      <c r="OZ85" s="30"/>
      <c r="PA85" s="30"/>
      <c r="PB85" s="30"/>
      <c r="PC85" s="30"/>
      <c r="PD85" s="30"/>
      <c r="PE85" s="30"/>
      <c r="PF85" s="30"/>
      <c r="PG85" s="30"/>
      <c r="PH85" s="30"/>
      <c r="PI85" s="30"/>
      <c r="PJ85" s="30"/>
      <c r="PK85" s="30"/>
      <c r="PL85" s="30"/>
      <c r="PM85" s="30"/>
      <c r="PN85" s="30"/>
      <c r="PO85" s="30"/>
      <c r="PP85" s="30"/>
      <c r="PQ85" s="30"/>
      <c r="PR85" s="30"/>
      <c r="PS85" s="30"/>
      <c r="PT85" s="30"/>
      <c r="PU85" s="30"/>
      <c r="PV85" s="30"/>
      <c r="PW85" s="30"/>
      <c r="PX85" s="30"/>
      <c r="PY85" s="30"/>
      <c r="PZ85" s="30"/>
      <c r="QA85" s="30"/>
      <c r="QB85" s="30"/>
      <c r="QC85" s="30"/>
      <c r="QD85" s="30"/>
      <c r="QE85" s="30"/>
      <c r="QF85" s="30"/>
      <c r="QG85" s="30"/>
      <c r="QH85" s="30"/>
      <c r="QI85" s="30"/>
      <c r="QJ85" s="30"/>
      <c r="QK85" s="30"/>
      <c r="QL85" s="30"/>
      <c r="QM85" s="30"/>
      <c r="QN85" s="30"/>
      <c r="QO85" s="30"/>
      <c r="QP85" s="30"/>
      <c r="QQ85" s="30"/>
      <c r="QR85" s="30"/>
      <c r="QS85" s="30"/>
      <c r="QT85" s="30"/>
      <c r="QU85" s="30"/>
      <c r="QV85" s="30"/>
      <c r="QW85" s="30"/>
      <c r="QX85" s="30"/>
      <c r="QY85" s="30"/>
      <c r="QZ85" s="30"/>
      <c r="RA85" s="30"/>
      <c r="RB85" s="30"/>
      <c r="RC85" s="30"/>
      <c r="RD85" s="30"/>
      <c r="RE85" s="30"/>
      <c r="RF85" s="30"/>
      <c r="RG85" s="30"/>
      <c r="RH85" s="30"/>
      <c r="RI85" s="30"/>
      <c r="RJ85" s="30"/>
      <c r="RK85" s="30"/>
      <c r="RL85" s="30"/>
      <c r="RM85" s="30"/>
      <c r="RN85" s="30"/>
      <c r="RO85" s="30"/>
      <c r="RP85" s="30"/>
      <c r="RQ85" s="30"/>
      <c r="RR85" s="30"/>
      <c r="RS85" s="30"/>
      <c r="RT85" s="30"/>
      <c r="RU85" s="30"/>
      <c r="RV85" s="30"/>
      <c r="RW85" s="30"/>
      <c r="RX85" s="30"/>
      <c r="RY85" s="30"/>
      <c r="RZ85" s="30"/>
      <c r="SA85" s="30"/>
      <c r="SB85" s="30"/>
      <c r="SC85" s="30"/>
      <c r="SD85" s="30"/>
    </row>
    <row r="86" spans="1:498" s="20" customFormat="1" ht="14" hidden="1" customHeight="1">
      <c r="A86" s="60"/>
      <c r="B86" s="60" t="s">
        <v>20</v>
      </c>
      <c r="C86" s="60"/>
      <c r="D86" s="76">
        <f>IF(J86="N/A","N/A",SUM(F86:O86)*12)</f>
        <v>45000</v>
      </c>
      <c r="E86" s="45"/>
      <c r="F86" s="35">
        <f>PMT($C$11/12,10*12,(0.69)*-($C$10))</f>
        <v>258.74999999999994</v>
      </c>
      <c r="G86" s="32">
        <f>PMT($C$11/12,10*12,(0.69)*-($C$10))</f>
        <v>258.74999999999994</v>
      </c>
      <c r="H86" s="32">
        <f>PMT($C$11/12,8*12,(0.76)*-($G$90))</f>
        <v>307.08750000000003</v>
      </c>
      <c r="I86" s="32">
        <f>PMT($C$11/12,8*12,(0.76)*-($G$90))</f>
        <v>307.08750000000003</v>
      </c>
      <c r="J86" s="32">
        <f>PMT($C$11/12,6*12,(0.84)*-($I$90))</f>
        <v>366.56549999999993</v>
      </c>
      <c r="K86" s="32">
        <f>PMT($C$11/12,6*12,(0.84)*-($I$90))</f>
        <v>366.56549999999993</v>
      </c>
      <c r="L86" s="32">
        <f>PMT($C$11/12,4*12,(0.9)*-($K$90))</f>
        <v>424.16865000000001</v>
      </c>
      <c r="M86" s="32">
        <f>PMT($C$11/12,4*12,(0.9)*-($K$90))</f>
        <v>424.16865000000001</v>
      </c>
      <c r="N86" s="32">
        <f>PMT($C$11/12,2*12,-($M$90))</f>
        <v>518.42835000000002</v>
      </c>
      <c r="O86" s="32">
        <f>(PMT($C$11/12,2*12,-($M$90)))+((N90-(N87-(N90*$C11)))/12)</f>
        <v>518.42835000000002</v>
      </c>
      <c r="P86" s="29"/>
      <c r="Q86" s="29"/>
      <c r="R86" s="29"/>
      <c r="S86" s="29"/>
      <c r="T86" s="29"/>
      <c r="U86" s="29"/>
      <c r="V86" s="29"/>
      <c r="W86" s="29"/>
      <c r="X86" s="29"/>
      <c r="Y86" s="29"/>
      <c r="Z86" s="29"/>
      <c r="AA86" s="29"/>
      <c r="AB86" s="29"/>
      <c r="AC86" s="29"/>
      <c r="AD86" s="29"/>
      <c r="AE86" s="31"/>
      <c r="AF86" s="31"/>
      <c r="AG86" s="31"/>
      <c r="AH86" s="31"/>
      <c r="AI86" s="31"/>
      <c r="AJ86" s="60"/>
      <c r="AK86" s="60"/>
      <c r="AL86" s="60"/>
      <c r="AM86" s="60"/>
      <c r="AN86" s="60"/>
      <c r="AO86" s="6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30"/>
      <c r="IZ86" s="30"/>
      <c r="JA86" s="30"/>
      <c r="JB86" s="30"/>
      <c r="JC86" s="30"/>
      <c r="JD86" s="30"/>
      <c r="JE86" s="30"/>
      <c r="JF86" s="30"/>
      <c r="JG86" s="30"/>
      <c r="JH86" s="30"/>
      <c r="JI86" s="30"/>
      <c r="JJ86" s="30"/>
      <c r="JK86" s="30"/>
      <c r="JL86" s="30"/>
      <c r="JM86" s="30"/>
      <c r="JN86" s="30"/>
      <c r="JO86" s="30"/>
      <c r="JP86" s="30"/>
      <c r="JQ86" s="30"/>
      <c r="JR86" s="30"/>
      <c r="JS86" s="30"/>
      <c r="JT86" s="30"/>
      <c r="JU86" s="30"/>
      <c r="JV86" s="30"/>
      <c r="JW86" s="30"/>
      <c r="JX86" s="30"/>
      <c r="JY86" s="30"/>
      <c r="JZ86" s="30"/>
      <c r="KA86" s="30"/>
      <c r="KB86" s="30"/>
      <c r="KC86" s="30"/>
      <c r="KD86" s="30"/>
      <c r="KE86" s="30"/>
      <c r="KF86" s="30"/>
      <c r="KG86" s="30"/>
      <c r="KH86" s="30"/>
      <c r="KI86" s="30"/>
      <c r="KJ86" s="30"/>
      <c r="KK86" s="30"/>
      <c r="KL86" s="30"/>
      <c r="KM86" s="30"/>
      <c r="KN86" s="30"/>
      <c r="KO86" s="30"/>
      <c r="KP86" s="30"/>
      <c r="KQ86" s="30"/>
      <c r="KR86" s="30"/>
      <c r="KS86" s="30"/>
      <c r="KT86" s="30"/>
      <c r="KU86" s="30"/>
      <c r="KV86" s="30"/>
      <c r="KW86" s="30"/>
      <c r="KX86" s="30"/>
      <c r="KY86" s="30"/>
      <c r="KZ86" s="30"/>
      <c r="LA86" s="30"/>
      <c r="LB86" s="30"/>
      <c r="LC86" s="30"/>
      <c r="LD86" s="30"/>
      <c r="LE86" s="30"/>
      <c r="LF86" s="30"/>
      <c r="LG86" s="30"/>
      <c r="LH86" s="30"/>
      <c r="LI86" s="30"/>
      <c r="LJ86" s="30"/>
      <c r="LK86" s="30"/>
      <c r="LL86" s="30"/>
      <c r="LM86" s="30"/>
      <c r="LN86" s="30"/>
      <c r="LO86" s="30"/>
      <c r="LP86" s="30"/>
      <c r="LQ86" s="30"/>
      <c r="LR86" s="30"/>
      <c r="LS86" s="30"/>
      <c r="LT86" s="30"/>
      <c r="LU86" s="30"/>
      <c r="LV86" s="30"/>
      <c r="LW86" s="30"/>
      <c r="LX86" s="30"/>
      <c r="LY86" s="30"/>
      <c r="LZ86" s="30"/>
      <c r="MA86" s="30"/>
      <c r="MB86" s="30"/>
      <c r="MC86" s="30"/>
      <c r="MD86" s="30"/>
      <c r="ME86" s="30"/>
      <c r="MF86" s="30"/>
      <c r="MG86" s="30"/>
      <c r="MH86" s="30"/>
      <c r="MI86" s="30"/>
      <c r="MJ86" s="30"/>
      <c r="MK86" s="30"/>
      <c r="ML86" s="30"/>
      <c r="MM86" s="30"/>
      <c r="MN86" s="30"/>
      <c r="MO86" s="30"/>
      <c r="MP86" s="30"/>
      <c r="MQ86" s="30"/>
      <c r="MR86" s="30"/>
      <c r="MS86" s="30"/>
      <c r="MT86" s="30"/>
      <c r="MU86" s="30"/>
      <c r="MV86" s="30"/>
      <c r="MW86" s="30"/>
      <c r="MX86" s="30"/>
      <c r="MY86" s="30"/>
      <c r="MZ86" s="30"/>
      <c r="NA86" s="30"/>
      <c r="NB86" s="30"/>
      <c r="NC86" s="30"/>
      <c r="ND86" s="30"/>
      <c r="NE86" s="30"/>
      <c r="NF86" s="30"/>
      <c r="NG86" s="30"/>
      <c r="NH86" s="30"/>
      <c r="NI86" s="30"/>
      <c r="NJ86" s="30"/>
      <c r="NK86" s="30"/>
      <c r="NL86" s="30"/>
      <c r="NM86" s="30"/>
      <c r="NN86" s="30"/>
      <c r="NO86" s="30"/>
      <c r="NP86" s="30"/>
      <c r="NQ86" s="30"/>
      <c r="NR86" s="30"/>
      <c r="NS86" s="30"/>
      <c r="NT86" s="30"/>
      <c r="NU86" s="30"/>
      <c r="NV86" s="30"/>
      <c r="NW86" s="30"/>
      <c r="NX86" s="30"/>
      <c r="NY86" s="30"/>
      <c r="NZ86" s="30"/>
      <c r="OA86" s="30"/>
      <c r="OB86" s="30"/>
      <c r="OC86" s="30"/>
      <c r="OD86" s="30"/>
      <c r="OE86" s="30"/>
      <c r="OF86" s="30"/>
      <c r="OG86" s="30"/>
      <c r="OH86" s="30"/>
      <c r="OI86" s="30"/>
      <c r="OJ86" s="30"/>
      <c r="OK86" s="30"/>
      <c r="OL86" s="30"/>
      <c r="OM86" s="30"/>
      <c r="ON86" s="30"/>
      <c r="OO86" s="30"/>
      <c r="OP86" s="30"/>
      <c r="OQ86" s="30"/>
      <c r="OR86" s="30"/>
      <c r="OS86" s="30"/>
      <c r="OT86" s="30"/>
      <c r="OU86" s="30"/>
      <c r="OV86" s="30"/>
      <c r="OW86" s="30"/>
      <c r="OX86" s="30"/>
      <c r="OY86" s="30"/>
      <c r="OZ86" s="30"/>
      <c r="PA86" s="30"/>
      <c r="PB86" s="30"/>
      <c r="PC86" s="30"/>
      <c r="PD86" s="30"/>
      <c r="PE86" s="30"/>
      <c r="PF86" s="30"/>
      <c r="PG86" s="30"/>
      <c r="PH86" s="30"/>
      <c r="PI86" s="30"/>
      <c r="PJ86" s="30"/>
      <c r="PK86" s="30"/>
      <c r="PL86" s="30"/>
      <c r="PM86" s="30"/>
      <c r="PN86" s="30"/>
      <c r="PO86" s="30"/>
      <c r="PP86" s="30"/>
      <c r="PQ86" s="30"/>
      <c r="PR86" s="30"/>
      <c r="PS86" s="30"/>
      <c r="PT86" s="30"/>
      <c r="PU86" s="30"/>
      <c r="PV86" s="30"/>
      <c r="PW86" s="30"/>
      <c r="PX86" s="30"/>
      <c r="PY86" s="30"/>
      <c r="PZ86" s="30"/>
      <c r="QA86" s="30"/>
      <c r="QB86" s="30"/>
      <c r="QC86" s="30"/>
      <c r="QD86" s="30"/>
      <c r="QE86" s="30"/>
      <c r="QF86" s="30"/>
      <c r="QG86" s="30"/>
      <c r="QH86" s="30"/>
      <c r="QI86" s="30"/>
      <c r="QJ86" s="30"/>
      <c r="QK86" s="30"/>
      <c r="QL86" s="30"/>
      <c r="QM86" s="30"/>
      <c r="QN86" s="30"/>
      <c r="QO86" s="30"/>
      <c r="QP86" s="30"/>
      <c r="QQ86" s="30"/>
      <c r="QR86" s="30"/>
      <c r="QS86" s="30"/>
      <c r="QT86" s="30"/>
      <c r="QU86" s="30"/>
      <c r="QV86" s="30"/>
      <c r="QW86" s="30"/>
      <c r="QX86" s="30"/>
      <c r="QY86" s="30"/>
      <c r="QZ86" s="30"/>
      <c r="RA86" s="30"/>
      <c r="RB86" s="30"/>
      <c r="RC86" s="30"/>
      <c r="RD86" s="30"/>
      <c r="RE86" s="30"/>
      <c r="RF86" s="30"/>
      <c r="RG86" s="30"/>
      <c r="RH86" s="30"/>
      <c r="RI86" s="30"/>
      <c r="RJ86" s="30"/>
      <c r="RK86" s="30"/>
      <c r="RL86" s="30"/>
      <c r="RM86" s="30"/>
      <c r="RN86" s="30"/>
      <c r="RO86" s="30"/>
      <c r="RP86" s="30"/>
      <c r="RQ86" s="30"/>
      <c r="RR86" s="30"/>
      <c r="RS86" s="30"/>
      <c r="RT86" s="30"/>
      <c r="RU86" s="30"/>
      <c r="RV86" s="30"/>
      <c r="RW86" s="30"/>
      <c r="RX86" s="30"/>
      <c r="RY86" s="30"/>
      <c r="RZ86" s="30"/>
      <c r="SA86" s="30"/>
      <c r="SB86" s="30"/>
      <c r="SC86" s="30"/>
      <c r="SD86" s="30"/>
    </row>
    <row r="87" spans="1:498" s="20" customFormat="1" ht="14" hidden="1" customHeight="1">
      <c r="A87" s="60"/>
      <c r="B87" s="60" t="s">
        <v>21</v>
      </c>
      <c r="C87" s="60"/>
      <c r="D87" s="60"/>
      <c r="E87" s="44"/>
      <c r="F87" s="36">
        <f>F86*12</f>
        <v>3104.9999999999991</v>
      </c>
      <c r="G87" s="33">
        <f>G86*12</f>
        <v>3104.9999999999991</v>
      </c>
      <c r="H87" s="33">
        <f t="shared" ref="H87:AD87" si="62">H86*12</f>
        <v>3685.05</v>
      </c>
      <c r="I87" s="33">
        <f t="shared" si="62"/>
        <v>3685.05</v>
      </c>
      <c r="J87" s="33">
        <f t="shared" si="62"/>
        <v>4398.7859999999991</v>
      </c>
      <c r="K87" s="33">
        <f t="shared" si="62"/>
        <v>4398.7859999999991</v>
      </c>
      <c r="L87" s="33">
        <f t="shared" si="62"/>
        <v>5090.0237999999999</v>
      </c>
      <c r="M87" s="33">
        <f t="shared" si="62"/>
        <v>5090.0237999999999</v>
      </c>
      <c r="N87" s="33">
        <f t="shared" si="62"/>
        <v>6221.1401999999998</v>
      </c>
      <c r="O87" s="33">
        <f>O86*12</f>
        <v>6221.1401999999998</v>
      </c>
      <c r="P87" s="33">
        <f t="shared" si="62"/>
        <v>0</v>
      </c>
      <c r="Q87" s="33">
        <f t="shared" si="62"/>
        <v>0</v>
      </c>
      <c r="R87" s="33">
        <f t="shared" si="62"/>
        <v>0</v>
      </c>
      <c r="S87" s="33">
        <f t="shared" si="62"/>
        <v>0</v>
      </c>
      <c r="T87" s="33">
        <f t="shared" si="62"/>
        <v>0</v>
      </c>
      <c r="U87" s="33">
        <f t="shared" si="62"/>
        <v>0</v>
      </c>
      <c r="V87" s="33">
        <f t="shared" si="62"/>
        <v>0</v>
      </c>
      <c r="W87" s="33">
        <f t="shared" si="62"/>
        <v>0</v>
      </c>
      <c r="X87" s="33">
        <f t="shared" si="62"/>
        <v>0</v>
      </c>
      <c r="Y87" s="33">
        <f t="shared" si="62"/>
        <v>0</v>
      </c>
      <c r="Z87" s="33">
        <f t="shared" si="62"/>
        <v>0</v>
      </c>
      <c r="AA87" s="33">
        <f t="shared" si="62"/>
        <v>0</v>
      </c>
      <c r="AB87" s="33">
        <f t="shared" si="62"/>
        <v>0</v>
      </c>
      <c r="AC87" s="33">
        <f t="shared" si="62"/>
        <v>0</v>
      </c>
      <c r="AD87" s="33">
        <f t="shared" si="62"/>
        <v>0</v>
      </c>
      <c r="AE87" s="31"/>
      <c r="AF87" s="31"/>
      <c r="AG87" s="31"/>
      <c r="AH87" s="31"/>
      <c r="AI87" s="31"/>
      <c r="AJ87" s="60"/>
      <c r="AK87" s="60"/>
      <c r="AL87" s="60"/>
      <c r="AM87" s="60"/>
      <c r="AN87" s="60"/>
      <c r="AO87" s="6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c r="KB87" s="30"/>
      <c r="KC87" s="30"/>
      <c r="KD87" s="30"/>
      <c r="KE87" s="30"/>
      <c r="KF87" s="30"/>
      <c r="KG87" s="30"/>
      <c r="KH87" s="30"/>
      <c r="KI87" s="30"/>
      <c r="KJ87" s="30"/>
      <c r="KK87" s="30"/>
      <c r="KL87" s="30"/>
      <c r="KM87" s="30"/>
      <c r="KN87" s="30"/>
      <c r="KO87" s="30"/>
      <c r="KP87" s="30"/>
      <c r="KQ87" s="30"/>
      <c r="KR87" s="30"/>
      <c r="KS87" s="30"/>
      <c r="KT87" s="30"/>
      <c r="KU87" s="30"/>
      <c r="KV87" s="30"/>
      <c r="KW87" s="30"/>
      <c r="KX87" s="30"/>
      <c r="KY87" s="30"/>
      <c r="KZ87" s="30"/>
      <c r="LA87" s="30"/>
      <c r="LB87" s="30"/>
      <c r="LC87" s="30"/>
      <c r="LD87" s="30"/>
      <c r="LE87" s="30"/>
      <c r="LF87" s="30"/>
      <c r="LG87" s="30"/>
      <c r="LH87" s="30"/>
      <c r="LI87" s="30"/>
      <c r="LJ87" s="30"/>
      <c r="LK87" s="30"/>
      <c r="LL87" s="30"/>
      <c r="LM87" s="30"/>
      <c r="LN87" s="30"/>
      <c r="LO87" s="30"/>
      <c r="LP87" s="30"/>
      <c r="LQ87" s="30"/>
      <c r="LR87" s="30"/>
      <c r="LS87" s="30"/>
      <c r="LT87" s="30"/>
      <c r="LU87" s="30"/>
      <c r="LV87" s="30"/>
      <c r="LW87" s="30"/>
      <c r="LX87" s="30"/>
      <c r="LY87" s="30"/>
      <c r="LZ87" s="30"/>
      <c r="MA87" s="30"/>
      <c r="MB87" s="30"/>
      <c r="MC87" s="30"/>
      <c r="MD87" s="30"/>
      <c r="ME87" s="30"/>
      <c r="MF87" s="30"/>
      <c r="MG87" s="30"/>
      <c r="MH87" s="30"/>
      <c r="MI87" s="30"/>
      <c r="MJ87" s="30"/>
      <c r="MK87" s="30"/>
      <c r="ML87" s="30"/>
      <c r="MM87" s="30"/>
      <c r="MN87" s="30"/>
      <c r="MO87" s="30"/>
      <c r="MP87" s="30"/>
      <c r="MQ87" s="30"/>
      <c r="MR87" s="30"/>
      <c r="MS87" s="30"/>
      <c r="MT87" s="30"/>
      <c r="MU87" s="30"/>
      <c r="MV87" s="30"/>
      <c r="MW87" s="30"/>
      <c r="MX87" s="30"/>
      <c r="MY87" s="30"/>
      <c r="MZ87" s="30"/>
      <c r="NA87" s="30"/>
      <c r="NB87" s="30"/>
      <c r="NC87" s="30"/>
      <c r="ND87" s="30"/>
      <c r="NE87" s="30"/>
      <c r="NF87" s="30"/>
      <c r="NG87" s="30"/>
      <c r="NH87" s="30"/>
      <c r="NI87" s="30"/>
      <c r="NJ87" s="30"/>
      <c r="NK87" s="30"/>
      <c r="NL87" s="30"/>
      <c r="NM87" s="30"/>
      <c r="NN87" s="30"/>
      <c r="NO87" s="30"/>
      <c r="NP87" s="30"/>
      <c r="NQ87" s="30"/>
      <c r="NR87" s="30"/>
      <c r="NS87" s="30"/>
      <c r="NT87" s="30"/>
      <c r="NU87" s="30"/>
      <c r="NV87" s="30"/>
      <c r="NW87" s="30"/>
      <c r="NX87" s="30"/>
      <c r="NY87" s="30"/>
      <c r="NZ87" s="30"/>
      <c r="OA87" s="30"/>
      <c r="OB87" s="30"/>
      <c r="OC87" s="30"/>
      <c r="OD87" s="30"/>
      <c r="OE87" s="30"/>
      <c r="OF87" s="30"/>
      <c r="OG87" s="30"/>
      <c r="OH87" s="30"/>
      <c r="OI87" s="30"/>
      <c r="OJ87" s="30"/>
      <c r="OK87" s="30"/>
      <c r="OL87" s="30"/>
      <c r="OM87" s="30"/>
      <c r="ON87" s="30"/>
      <c r="OO87" s="30"/>
      <c r="OP87" s="30"/>
      <c r="OQ87" s="30"/>
      <c r="OR87" s="30"/>
      <c r="OS87" s="30"/>
      <c r="OT87" s="30"/>
      <c r="OU87" s="30"/>
      <c r="OV87" s="30"/>
      <c r="OW87" s="30"/>
      <c r="OX87" s="30"/>
      <c r="OY87" s="30"/>
      <c r="OZ87" s="30"/>
      <c r="PA87" s="30"/>
      <c r="PB87" s="30"/>
      <c r="PC87" s="30"/>
      <c r="PD87" s="30"/>
      <c r="PE87" s="30"/>
      <c r="PF87" s="30"/>
      <c r="PG87" s="30"/>
      <c r="PH87" s="30"/>
      <c r="PI87" s="30"/>
      <c r="PJ87" s="30"/>
      <c r="PK87" s="30"/>
      <c r="PL87" s="30"/>
      <c r="PM87" s="30"/>
      <c r="PN87" s="30"/>
      <c r="PO87" s="30"/>
      <c r="PP87" s="30"/>
      <c r="PQ87" s="30"/>
      <c r="PR87" s="30"/>
      <c r="PS87" s="30"/>
      <c r="PT87" s="30"/>
      <c r="PU87" s="30"/>
      <c r="PV87" s="30"/>
      <c r="PW87" s="30"/>
      <c r="PX87" s="30"/>
      <c r="PY87" s="30"/>
      <c r="PZ87" s="30"/>
      <c r="QA87" s="30"/>
      <c r="QB87" s="30"/>
      <c r="QC87" s="30"/>
      <c r="QD87" s="30"/>
      <c r="QE87" s="30"/>
      <c r="QF87" s="30"/>
      <c r="QG87" s="30"/>
      <c r="QH87" s="30"/>
      <c r="QI87" s="30"/>
      <c r="QJ87" s="30"/>
      <c r="QK87" s="30"/>
      <c r="QL87" s="30"/>
      <c r="QM87" s="30"/>
      <c r="QN87" s="30"/>
      <c r="QO87" s="30"/>
      <c r="QP87" s="30"/>
      <c r="QQ87" s="30"/>
      <c r="QR87" s="30"/>
      <c r="QS87" s="30"/>
      <c r="QT87" s="30"/>
      <c r="QU87" s="30"/>
      <c r="QV87" s="30"/>
      <c r="QW87" s="30"/>
      <c r="QX87" s="30"/>
      <c r="QY87" s="30"/>
      <c r="QZ87" s="30"/>
      <c r="RA87" s="30"/>
      <c r="RB87" s="30"/>
      <c r="RC87" s="30"/>
      <c r="RD87" s="30"/>
      <c r="RE87" s="30"/>
      <c r="RF87" s="30"/>
      <c r="RG87" s="30"/>
      <c r="RH87" s="30"/>
      <c r="RI87" s="30"/>
      <c r="RJ87" s="30"/>
      <c r="RK87" s="30"/>
      <c r="RL87" s="30"/>
      <c r="RM87" s="30"/>
      <c r="RN87" s="30"/>
      <c r="RO87" s="30"/>
      <c r="RP87" s="30"/>
      <c r="RQ87" s="30"/>
      <c r="RR87" s="30"/>
      <c r="RS87" s="30"/>
      <c r="RT87" s="30"/>
      <c r="RU87" s="30"/>
      <c r="RV87" s="30"/>
      <c r="RW87" s="30"/>
      <c r="RX87" s="30"/>
      <c r="RY87" s="30"/>
      <c r="RZ87" s="30"/>
      <c r="SA87" s="30"/>
      <c r="SB87" s="30"/>
      <c r="SC87" s="30"/>
      <c r="SD87" s="30"/>
    </row>
    <row r="88" spans="1:498" s="20" customFormat="1" ht="14" hidden="1" customHeight="1">
      <c r="A88" s="60"/>
      <c r="B88" s="60" t="s">
        <v>14</v>
      </c>
      <c r="C88" s="60"/>
      <c r="D88" s="60"/>
      <c r="E88" s="44"/>
      <c r="F88" s="36">
        <f>$C$10*$C$11</f>
        <v>0</v>
      </c>
      <c r="G88" s="33">
        <f>F90*$C$11</f>
        <v>0</v>
      </c>
      <c r="H88" s="33">
        <f t="shared" ref="H88:AI88" si="63">G90*$C$11</f>
        <v>0</v>
      </c>
      <c r="I88" s="33">
        <f t="shared" si="63"/>
        <v>0</v>
      </c>
      <c r="J88" s="33">
        <f t="shared" si="63"/>
        <v>0</v>
      </c>
      <c r="K88" s="33">
        <f t="shared" si="63"/>
        <v>0</v>
      </c>
      <c r="L88" s="33">
        <f t="shared" si="63"/>
        <v>0</v>
      </c>
      <c r="M88" s="33">
        <f t="shared" si="63"/>
        <v>0</v>
      </c>
      <c r="N88" s="33">
        <f t="shared" si="63"/>
        <v>0</v>
      </c>
      <c r="O88" s="33">
        <f t="shared" si="63"/>
        <v>0</v>
      </c>
      <c r="P88" s="33">
        <f t="shared" si="63"/>
        <v>0</v>
      </c>
      <c r="Q88" s="33">
        <f t="shared" si="63"/>
        <v>0</v>
      </c>
      <c r="R88" s="33">
        <f t="shared" si="63"/>
        <v>0</v>
      </c>
      <c r="S88" s="33">
        <f t="shared" si="63"/>
        <v>0</v>
      </c>
      <c r="T88" s="33">
        <f t="shared" si="63"/>
        <v>0</v>
      </c>
      <c r="U88" s="33">
        <f t="shared" si="63"/>
        <v>0</v>
      </c>
      <c r="V88" s="33">
        <f t="shared" si="63"/>
        <v>0</v>
      </c>
      <c r="W88" s="33">
        <f t="shared" si="63"/>
        <v>0</v>
      </c>
      <c r="X88" s="33">
        <f t="shared" si="63"/>
        <v>0</v>
      </c>
      <c r="Y88" s="33">
        <f t="shared" si="63"/>
        <v>0</v>
      </c>
      <c r="Z88" s="33">
        <f t="shared" si="63"/>
        <v>0</v>
      </c>
      <c r="AA88" s="33">
        <f t="shared" si="63"/>
        <v>0</v>
      </c>
      <c r="AB88" s="33">
        <f t="shared" si="63"/>
        <v>0</v>
      </c>
      <c r="AC88" s="33">
        <f t="shared" si="63"/>
        <v>0</v>
      </c>
      <c r="AD88" s="33">
        <f>AC90*$C$11</f>
        <v>0</v>
      </c>
      <c r="AE88" s="33">
        <f t="shared" si="63"/>
        <v>0</v>
      </c>
      <c r="AF88" s="33">
        <f t="shared" si="63"/>
        <v>0</v>
      </c>
      <c r="AG88" s="33">
        <f t="shared" si="63"/>
        <v>0</v>
      </c>
      <c r="AH88" s="33">
        <f t="shared" si="63"/>
        <v>0</v>
      </c>
      <c r="AI88" s="33">
        <f t="shared" si="63"/>
        <v>0</v>
      </c>
      <c r="AJ88" s="60"/>
      <c r="AK88" s="60"/>
      <c r="AL88" s="60"/>
      <c r="AM88" s="60"/>
      <c r="AN88" s="60"/>
      <c r="AO88" s="6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c r="KB88" s="30"/>
      <c r="KC88" s="30"/>
      <c r="KD88" s="30"/>
      <c r="KE88" s="30"/>
      <c r="KF88" s="30"/>
      <c r="KG88" s="30"/>
      <c r="KH88" s="30"/>
      <c r="KI88" s="30"/>
      <c r="KJ88" s="30"/>
      <c r="KK88" s="30"/>
      <c r="KL88" s="30"/>
      <c r="KM88" s="30"/>
      <c r="KN88" s="30"/>
      <c r="KO88" s="30"/>
      <c r="KP88" s="30"/>
      <c r="KQ88" s="30"/>
      <c r="KR88" s="30"/>
      <c r="KS88" s="30"/>
      <c r="KT88" s="30"/>
      <c r="KU88" s="30"/>
      <c r="KV88" s="30"/>
      <c r="KW88" s="30"/>
      <c r="KX88" s="30"/>
      <c r="KY88" s="30"/>
      <c r="KZ88" s="30"/>
      <c r="LA88" s="30"/>
      <c r="LB88" s="30"/>
      <c r="LC88" s="30"/>
      <c r="LD88" s="30"/>
      <c r="LE88" s="30"/>
      <c r="LF88" s="30"/>
      <c r="LG88" s="30"/>
      <c r="LH88" s="30"/>
      <c r="LI88" s="30"/>
      <c r="LJ88" s="30"/>
      <c r="LK88" s="30"/>
      <c r="LL88" s="30"/>
      <c r="LM88" s="30"/>
      <c r="LN88" s="30"/>
      <c r="LO88" s="30"/>
      <c r="LP88" s="30"/>
      <c r="LQ88" s="30"/>
      <c r="LR88" s="30"/>
      <c r="LS88" s="30"/>
      <c r="LT88" s="30"/>
      <c r="LU88" s="30"/>
      <c r="LV88" s="30"/>
      <c r="LW88" s="30"/>
      <c r="LX88" s="30"/>
      <c r="LY88" s="30"/>
      <c r="LZ88" s="30"/>
      <c r="MA88" s="30"/>
      <c r="MB88" s="30"/>
      <c r="MC88" s="30"/>
      <c r="MD88" s="30"/>
      <c r="ME88" s="30"/>
      <c r="MF88" s="30"/>
      <c r="MG88" s="30"/>
      <c r="MH88" s="30"/>
      <c r="MI88" s="30"/>
      <c r="MJ88" s="30"/>
      <c r="MK88" s="30"/>
      <c r="ML88" s="30"/>
      <c r="MM88" s="30"/>
      <c r="MN88" s="30"/>
      <c r="MO88" s="30"/>
      <c r="MP88" s="30"/>
      <c r="MQ88" s="30"/>
      <c r="MR88" s="30"/>
      <c r="MS88" s="30"/>
      <c r="MT88" s="30"/>
      <c r="MU88" s="30"/>
      <c r="MV88" s="30"/>
      <c r="MW88" s="30"/>
      <c r="MX88" s="30"/>
      <c r="MY88" s="30"/>
      <c r="MZ88" s="30"/>
      <c r="NA88" s="30"/>
      <c r="NB88" s="30"/>
      <c r="NC88" s="30"/>
      <c r="ND88" s="30"/>
      <c r="NE88" s="30"/>
      <c r="NF88" s="30"/>
      <c r="NG88" s="30"/>
      <c r="NH88" s="30"/>
      <c r="NI88" s="30"/>
      <c r="NJ88" s="30"/>
      <c r="NK88" s="30"/>
      <c r="NL88" s="30"/>
      <c r="NM88" s="30"/>
      <c r="NN88" s="30"/>
      <c r="NO88" s="30"/>
      <c r="NP88" s="30"/>
      <c r="NQ88" s="30"/>
      <c r="NR88" s="30"/>
      <c r="NS88" s="30"/>
      <c r="NT88" s="30"/>
      <c r="NU88" s="30"/>
      <c r="NV88" s="30"/>
      <c r="NW88" s="30"/>
      <c r="NX88" s="30"/>
      <c r="NY88" s="30"/>
      <c r="NZ88" s="30"/>
      <c r="OA88" s="30"/>
      <c r="OB88" s="30"/>
      <c r="OC88" s="30"/>
      <c r="OD88" s="30"/>
      <c r="OE88" s="30"/>
      <c r="OF88" s="30"/>
      <c r="OG88" s="30"/>
      <c r="OH88" s="30"/>
      <c r="OI88" s="30"/>
      <c r="OJ88" s="30"/>
      <c r="OK88" s="30"/>
      <c r="OL88" s="30"/>
      <c r="OM88" s="30"/>
      <c r="ON88" s="30"/>
      <c r="OO88" s="30"/>
      <c r="OP88" s="30"/>
      <c r="OQ88" s="30"/>
      <c r="OR88" s="30"/>
      <c r="OS88" s="30"/>
      <c r="OT88" s="30"/>
      <c r="OU88" s="30"/>
      <c r="OV88" s="30"/>
      <c r="OW88" s="30"/>
      <c r="OX88" s="30"/>
      <c r="OY88" s="30"/>
      <c r="OZ88" s="30"/>
      <c r="PA88" s="30"/>
      <c r="PB88" s="30"/>
      <c r="PC88" s="30"/>
      <c r="PD88" s="30"/>
      <c r="PE88" s="30"/>
      <c r="PF88" s="30"/>
      <c r="PG88" s="30"/>
      <c r="PH88" s="30"/>
      <c r="PI88" s="30"/>
      <c r="PJ88" s="30"/>
      <c r="PK88" s="30"/>
      <c r="PL88" s="30"/>
      <c r="PM88" s="30"/>
      <c r="PN88" s="30"/>
      <c r="PO88" s="30"/>
      <c r="PP88" s="30"/>
      <c r="PQ88" s="30"/>
      <c r="PR88" s="30"/>
      <c r="PS88" s="30"/>
      <c r="PT88" s="30"/>
      <c r="PU88" s="30"/>
      <c r="PV88" s="30"/>
      <c r="PW88" s="30"/>
      <c r="PX88" s="30"/>
      <c r="PY88" s="30"/>
      <c r="PZ88" s="30"/>
      <c r="QA88" s="30"/>
      <c r="QB88" s="30"/>
      <c r="QC88" s="30"/>
      <c r="QD88" s="30"/>
      <c r="QE88" s="30"/>
      <c r="QF88" s="30"/>
      <c r="QG88" s="30"/>
      <c r="QH88" s="30"/>
      <c r="QI88" s="30"/>
      <c r="QJ88" s="30"/>
      <c r="QK88" s="30"/>
      <c r="QL88" s="30"/>
      <c r="QM88" s="30"/>
      <c r="QN88" s="30"/>
      <c r="QO88" s="30"/>
      <c r="QP88" s="30"/>
      <c r="QQ88" s="30"/>
      <c r="QR88" s="30"/>
      <c r="QS88" s="30"/>
      <c r="QT88" s="30"/>
      <c r="QU88" s="30"/>
      <c r="QV88" s="30"/>
      <c r="QW88" s="30"/>
      <c r="QX88" s="30"/>
      <c r="QY88" s="30"/>
      <c r="QZ88" s="30"/>
      <c r="RA88" s="30"/>
      <c r="RB88" s="30"/>
      <c r="RC88" s="30"/>
      <c r="RD88" s="30"/>
      <c r="RE88" s="30"/>
      <c r="RF88" s="30"/>
      <c r="RG88" s="30"/>
      <c r="RH88" s="30"/>
      <c r="RI88" s="30"/>
      <c r="RJ88" s="30"/>
      <c r="RK88" s="30"/>
      <c r="RL88" s="30"/>
      <c r="RM88" s="30"/>
      <c r="RN88" s="30"/>
      <c r="RO88" s="30"/>
      <c r="RP88" s="30"/>
      <c r="RQ88" s="30"/>
      <c r="RR88" s="30"/>
      <c r="RS88" s="30"/>
      <c r="RT88" s="30"/>
      <c r="RU88" s="30"/>
      <c r="RV88" s="30"/>
      <c r="RW88" s="30"/>
      <c r="RX88" s="30"/>
      <c r="RY88" s="30"/>
      <c r="RZ88" s="30"/>
      <c r="SA88" s="30"/>
      <c r="SB88" s="30"/>
      <c r="SC88" s="30"/>
      <c r="SD88" s="30"/>
    </row>
    <row r="89" spans="1:498" s="20" customFormat="1" ht="14" hidden="1" customHeight="1">
      <c r="A89" s="60"/>
      <c r="B89" s="60" t="s">
        <v>22</v>
      </c>
      <c r="C89" s="60"/>
      <c r="D89" s="60"/>
      <c r="E89" s="44"/>
      <c r="F89" s="36">
        <f>F87-F88</f>
        <v>3104.9999999999991</v>
      </c>
      <c r="G89" s="33">
        <f>G87-G88</f>
        <v>3104.9999999999991</v>
      </c>
      <c r="H89" s="33">
        <f t="shared" ref="H89:N89" si="64">H87-H88</f>
        <v>3685.05</v>
      </c>
      <c r="I89" s="33">
        <f t="shared" si="64"/>
        <v>3685.05</v>
      </c>
      <c r="J89" s="33">
        <f t="shared" si="64"/>
        <v>4398.7859999999991</v>
      </c>
      <c r="K89" s="33">
        <f t="shared" si="64"/>
        <v>4398.7859999999991</v>
      </c>
      <c r="L89" s="33">
        <f t="shared" si="64"/>
        <v>5090.0237999999999</v>
      </c>
      <c r="M89" s="33">
        <f t="shared" si="64"/>
        <v>5090.0237999999999</v>
      </c>
      <c r="N89" s="33">
        <f t="shared" si="64"/>
        <v>6221.1401999999998</v>
      </c>
      <c r="O89" s="33">
        <f>O87-O88</f>
        <v>6221.1401999999998</v>
      </c>
      <c r="P89" s="33"/>
      <c r="Q89" s="33"/>
      <c r="R89" s="33"/>
      <c r="S89" s="33"/>
      <c r="T89" s="33"/>
      <c r="U89" s="33"/>
      <c r="V89" s="33"/>
      <c r="W89" s="33"/>
      <c r="X89" s="33"/>
      <c r="Y89" s="33"/>
      <c r="Z89" s="31"/>
      <c r="AA89" s="31"/>
      <c r="AB89" s="31"/>
      <c r="AC89" s="31"/>
      <c r="AD89" s="31"/>
      <c r="AE89" s="31"/>
      <c r="AF89" s="31"/>
      <c r="AG89" s="31"/>
      <c r="AH89" s="31"/>
      <c r="AI89" s="31"/>
      <c r="AJ89" s="60"/>
      <c r="AK89" s="60"/>
      <c r="AL89" s="60"/>
      <c r="AM89" s="60"/>
      <c r="AN89" s="60"/>
      <c r="AO89" s="6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0"/>
      <c r="ND89" s="30"/>
      <c r="NE89" s="30"/>
      <c r="NF89" s="30"/>
      <c r="NG89" s="30"/>
      <c r="NH89" s="30"/>
      <c r="NI89" s="30"/>
      <c r="NJ89" s="30"/>
      <c r="NK89" s="30"/>
      <c r="NL89" s="30"/>
      <c r="NM89" s="30"/>
      <c r="NN89" s="30"/>
      <c r="NO89" s="30"/>
      <c r="NP89" s="30"/>
      <c r="NQ89" s="30"/>
      <c r="NR89" s="30"/>
      <c r="NS89" s="30"/>
      <c r="NT89" s="30"/>
      <c r="NU89" s="30"/>
      <c r="NV89" s="30"/>
      <c r="NW89" s="30"/>
      <c r="NX89" s="30"/>
      <c r="NY89" s="30"/>
      <c r="NZ89" s="30"/>
      <c r="OA89" s="30"/>
      <c r="OB89" s="30"/>
      <c r="OC89" s="30"/>
      <c r="OD89" s="30"/>
      <c r="OE89" s="30"/>
      <c r="OF89" s="30"/>
      <c r="OG89" s="30"/>
      <c r="OH89" s="30"/>
      <c r="OI89" s="30"/>
      <c r="OJ89" s="30"/>
      <c r="OK89" s="30"/>
      <c r="OL89" s="30"/>
      <c r="OM89" s="30"/>
      <c r="ON89" s="30"/>
      <c r="OO89" s="30"/>
      <c r="OP89" s="30"/>
      <c r="OQ89" s="30"/>
      <c r="OR89" s="30"/>
      <c r="OS89" s="30"/>
      <c r="OT89" s="30"/>
      <c r="OU89" s="30"/>
      <c r="OV89" s="30"/>
      <c r="OW89" s="30"/>
      <c r="OX89" s="30"/>
      <c r="OY89" s="30"/>
      <c r="OZ89" s="30"/>
      <c r="PA89" s="30"/>
      <c r="PB89" s="30"/>
      <c r="PC89" s="30"/>
      <c r="PD89" s="30"/>
      <c r="PE89" s="30"/>
      <c r="PF89" s="30"/>
      <c r="PG89" s="30"/>
      <c r="PH89" s="30"/>
      <c r="PI89" s="30"/>
      <c r="PJ89" s="30"/>
      <c r="PK89" s="30"/>
      <c r="PL89" s="30"/>
      <c r="PM89" s="30"/>
      <c r="PN89" s="30"/>
      <c r="PO89" s="30"/>
      <c r="PP89" s="30"/>
      <c r="PQ89" s="30"/>
      <c r="PR89" s="30"/>
      <c r="PS89" s="30"/>
      <c r="PT89" s="30"/>
      <c r="PU89" s="30"/>
      <c r="PV89" s="30"/>
      <c r="PW89" s="30"/>
      <c r="PX89" s="30"/>
      <c r="PY89" s="30"/>
      <c r="PZ89" s="30"/>
      <c r="QA89" s="30"/>
      <c r="QB89" s="30"/>
      <c r="QC89" s="30"/>
      <c r="QD89" s="30"/>
      <c r="QE89" s="30"/>
      <c r="QF89" s="30"/>
      <c r="QG89" s="30"/>
      <c r="QH89" s="30"/>
      <c r="QI89" s="30"/>
      <c r="QJ89" s="30"/>
      <c r="QK89" s="30"/>
      <c r="QL89" s="30"/>
      <c r="QM89" s="30"/>
      <c r="QN89" s="30"/>
      <c r="QO89" s="30"/>
      <c r="QP89" s="30"/>
      <c r="QQ89" s="30"/>
      <c r="QR89" s="30"/>
      <c r="QS89" s="30"/>
      <c r="QT89" s="30"/>
      <c r="QU89" s="30"/>
      <c r="QV89" s="30"/>
      <c r="QW89" s="30"/>
      <c r="QX89" s="30"/>
      <c r="QY89" s="30"/>
      <c r="QZ89" s="30"/>
      <c r="RA89" s="30"/>
      <c r="RB89" s="30"/>
      <c r="RC89" s="30"/>
      <c r="RD89" s="30"/>
      <c r="RE89" s="30"/>
      <c r="RF89" s="30"/>
      <c r="RG89" s="30"/>
      <c r="RH89" s="30"/>
      <c r="RI89" s="30"/>
      <c r="RJ89" s="30"/>
      <c r="RK89" s="30"/>
      <c r="RL89" s="30"/>
      <c r="RM89" s="30"/>
      <c r="RN89" s="30"/>
      <c r="RO89" s="30"/>
      <c r="RP89" s="30"/>
      <c r="RQ89" s="30"/>
      <c r="RR89" s="30"/>
      <c r="RS89" s="30"/>
      <c r="RT89" s="30"/>
      <c r="RU89" s="30"/>
      <c r="RV89" s="30"/>
      <c r="RW89" s="30"/>
      <c r="RX89" s="30"/>
      <c r="RY89" s="30"/>
      <c r="RZ89" s="30"/>
      <c r="SA89" s="30"/>
      <c r="SB89" s="30"/>
      <c r="SC89" s="30"/>
      <c r="SD89" s="30"/>
    </row>
    <row r="90" spans="1:498" s="20" customFormat="1" hidden="1">
      <c r="A90" s="60"/>
      <c r="B90" s="60" t="s">
        <v>16</v>
      </c>
      <c r="C90" s="60"/>
      <c r="D90" s="60"/>
      <c r="E90" s="44"/>
      <c r="F90" s="36">
        <f>$C$10-F89</f>
        <v>41895</v>
      </c>
      <c r="G90" s="33">
        <f>F90-G89</f>
        <v>38790</v>
      </c>
      <c r="H90" s="33">
        <f t="shared" ref="H90:O90" si="65">G90-H89</f>
        <v>35104.949999999997</v>
      </c>
      <c r="I90" s="33">
        <f t="shared" si="65"/>
        <v>31419.899999999998</v>
      </c>
      <c r="J90" s="33">
        <f t="shared" si="65"/>
        <v>27021.113999999998</v>
      </c>
      <c r="K90" s="33">
        <f t="shared" si="65"/>
        <v>22622.327999999998</v>
      </c>
      <c r="L90" s="33">
        <f t="shared" si="65"/>
        <v>17532.304199999999</v>
      </c>
      <c r="M90" s="33">
        <f t="shared" si="65"/>
        <v>12442.2804</v>
      </c>
      <c r="N90" s="33">
        <f t="shared" si="65"/>
        <v>6221.1401999999998</v>
      </c>
      <c r="O90" s="33">
        <f t="shared" si="65"/>
        <v>0</v>
      </c>
      <c r="P90" s="33"/>
      <c r="Q90" s="33"/>
      <c r="R90" s="33"/>
      <c r="S90" s="33"/>
      <c r="T90" s="33"/>
      <c r="U90" s="33"/>
      <c r="V90" s="33"/>
      <c r="W90" s="33"/>
      <c r="X90" s="33"/>
      <c r="Y90" s="33"/>
      <c r="Z90" s="31"/>
      <c r="AA90" s="31"/>
      <c r="AB90" s="31"/>
      <c r="AC90" s="31"/>
      <c r="AD90" s="31"/>
      <c r="AE90" s="31"/>
      <c r="AF90" s="31"/>
      <c r="AG90" s="31"/>
      <c r="AH90" s="31"/>
      <c r="AI90" s="31"/>
      <c r="AJ90" s="60"/>
      <c r="AK90" s="60"/>
      <c r="AL90" s="60"/>
      <c r="AM90" s="60"/>
      <c r="AN90" s="60"/>
      <c r="AO90" s="6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c r="KB90" s="30"/>
      <c r="KC90" s="30"/>
      <c r="KD90" s="30"/>
      <c r="KE90" s="30"/>
      <c r="KF90" s="30"/>
      <c r="KG90" s="30"/>
      <c r="KH90" s="30"/>
      <c r="KI90" s="30"/>
      <c r="KJ90" s="30"/>
      <c r="KK90" s="30"/>
      <c r="KL90" s="30"/>
      <c r="KM90" s="30"/>
      <c r="KN90" s="30"/>
      <c r="KO90" s="30"/>
      <c r="KP90" s="30"/>
      <c r="KQ90" s="30"/>
      <c r="KR90" s="30"/>
      <c r="KS90" s="30"/>
      <c r="KT90" s="30"/>
      <c r="KU90" s="30"/>
      <c r="KV90" s="30"/>
      <c r="KW90" s="30"/>
      <c r="KX90" s="30"/>
      <c r="KY90" s="30"/>
      <c r="KZ90" s="30"/>
      <c r="LA90" s="30"/>
      <c r="LB90" s="30"/>
      <c r="LC90" s="30"/>
      <c r="LD90" s="30"/>
      <c r="LE90" s="30"/>
      <c r="LF90" s="30"/>
      <c r="LG90" s="30"/>
      <c r="LH90" s="30"/>
      <c r="LI90" s="30"/>
      <c r="LJ90" s="30"/>
      <c r="LK90" s="30"/>
      <c r="LL90" s="30"/>
      <c r="LM90" s="30"/>
      <c r="LN90" s="30"/>
      <c r="LO90" s="30"/>
      <c r="LP90" s="30"/>
      <c r="LQ90" s="30"/>
      <c r="LR90" s="30"/>
      <c r="LS90" s="30"/>
      <c r="LT90" s="30"/>
      <c r="LU90" s="30"/>
      <c r="LV90" s="30"/>
      <c r="LW90" s="30"/>
      <c r="LX90" s="30"/>
      <c r="LY90" s="30"/>
      <c r="LZ90" s="30"/>
      <c r="MA90" s="30"/>
      <c r="MB90" s="30"/>
      <c r="MC90" s="30"/>
      <c r="MD90" s="30"/>
      <c r="ME90" s="30"/>
      <c r="MF90" s="30"/>
      <c r="MG90" s="30"/>
      <c r="MH90" s="30"/>
      <c r="MI90" s="30"/>
      <c r="MJ90" s="30"/>
      <c r="MK90" s="30"/>
      <c r="ML90" s="30"/>
      <c r="MM90" s="30"/>
      <c r="MN90" s="30"/>
      <c r="MO90" s="30"/>
      <c r="MP90" s="30"/>
      <c r="MQ90" s="30"/>
      <c r="MR90" s="30"/>
      <c r="MS90" s="30"/>
      <c r="MT90" s="30"/>
      <c r="MU90" s="30"/>
      <c r="MV90" s="30"/>
      <c r="MW90" s="30"/>
      <c r="MX90" s="30"/>
      <c r="MY90" s="30"/>
      <c r="MZ90" s="30"/>
      <c r="NA90" s="30"/>
      <c r="NB90" s="30"/>
      <c r="NC90" s="30"/>
      <c r="ND90" s="30"/>
      <c r="NE90" s="30"/>
      <c r="NF90" s="30"/>
      <c r="NG90" s="30"/>
      <c r="NH90" s="30"/>
      <c r="NI90" s="30"/>
      <c r="NJ90" s="30"/>
      <c r="NK90" s="30"/>
      <c r="NL90" s="30"/>
      <c r="NM90" s="30"/>
      <c r="NN90" s="30"/>
      <c r="NO90" s="30"/>
      <c r="NP90" s="30"/>
      <c r="NQ90" s="30"/>
      <c r="NR90" s="30"/>
      <c r="NS90" s="30"/>
      <c r="NT90" s="30"/>
      <c r="NU90" s="30"/>
      <c r="NV90" s="30"/>
      <c r="NW90" s="30"/>
      <c r="NX90" s="30"/>
      <c r="NY90" s="30"/>
      <c r="NZ90" s="30"/>
      <c r="OA90" s="30"/>
      <c r="OB90" s="30"/>
      <c r="OC90" s="30"/>
      <c r="OD90" s="30"/>
      <c r="OE90" s="30"/>
      <c r="OF90" s="30"/>
      <c r="OG90" s="30"/>
      <c r="OH90" s="30"/>
      <c r="OI90" s="30"/>
      <c r="OJ90" s="30"/>
      <c r="OK90" s="30"/>
      <c r="OL90" s="30"/>
      <c r="OM90" s="30"/>
      <c r="ON90" s="30"/>
      <c r="OO90" s="30"/>
      <c r="OP90" s="30"/>
      <c r="OQ90" s="30"/>
      <c r="OR90" s="30"/>
      <c r="OS90" s="30"/>
      <c r="OT90" s="30"/>
      <c r="OU90" s="30"/>
      <c r="OV90" s="30"/>
      <c r="OW90" s="30"/>
      <c r="OX90" s="30"/>
      <c r="OY90" s="30"/>
      <c r="OZ90" s="30"/>
      <c r="PA90" s="30"/>
      <c r="PB90" s="30"/>
      <c r="PC90" s="30"/>
      <c r="PD90" s="30"/>
      <c r="PE90" s="30"/>
      <c r="PF90" s="30"/>
      <c r="PG90" s="30"/>
      <c r="PH90" s="30"/>
      <c r="PI90" s="30"/>
      <c r="PJ90" s="30"/>
      <c r="PK90" s="30"/>
      <c r="PL90" s="30"/>
      <c r="PM90" s="30"/>
      <c r="PN90" s="30"/>
      <c r="PO90" s="30"/>
      <c r="PP90" s="30"/>
      <c r="PQ90" s="30"/>
      <c r="PR90" s="30"/>
      <c r="PS90" s="30"/>
      <c r="PT90" s="30"/>
      <c r="PU90" s="30"/>
      <c r="PV90" s="30"/>
      <c r="PW90" s="30"/>
      <c r="PX90" s="30"/>
      <c r="PY90" s="30"/>
      <c r="PZ90" s="30"/>
      <c r="QA90" s="30"/>
      <c r="QB90" s="30"/>
      <c r="QC90" s="30"/>
      <c r="QD90" s="30"/>
      <c r="QE90" s="30"/>
      <c r="QF90" s="30"/>
      <c r="QG90" s="30"/>
      <c r="QH90" s="30"/>
      <c r="QI90" s="30"/>
      <c r="QJ90" s="30"/>
      <c r="QK90" s="30"/>
      <c r="QL90" s="30"/>
      <c r="QM90" s="30"/>
      <c r="QN90" s="30"/>
      <c r="QO90" s="30"/>
      <c r="QP90" s="30"/>
      <c r="QQ90" s="30"/>
      <c r="QR90" s="30"/>
      <c r="QS90" s="30"/>
      <c r="QT90" s="30"/>
      <c r="QU90" s="30"/>
      <c r="QV90" s="30"/>
      <c r="QW90" s="30"/>
      <c r="QX90" s="30"/>
      <c r="QY90" s="30"/>
      <c r="QZ90" s="30"/>
      <c r="RA90" s="30"/>
      <c r="RB90" s="30"/>
      <c r="RC90" s="30"/>
      <c r="RD90" s="30"/>
      <c r="RE90" s="30"/>
      <c r="RF90" s="30"/>
      <c r="RG90" s="30"/>
      <c r="RH90" s="30"/>
      <c r="RI90" s="30"/>
      <c r="RJ90" s="30"/>
      <c r="RK90" s="30"/>
      <c r="RL90" s="30"/>
      <c r="RM90" s="30"/>
      <c r="RN90" s="30"/>
      <c r="RO90" s="30"/>
      <c r="RP90" s="30"/>
      <c r="RQ90" s="30"/>
      <c r="RR90" s="30"/>
      <c r="RS90" s="30"/>
      <c r="RT90" s="30"/>
      <c r="RU90" s="30"/>
      <c r="RV90" s="30"/>
      <c r="RW90" s="30"/>
      <c r="RX90" s="30"/>
      <c r="RY90" s="30"/>
      <c r="RZ90" s="30"/>
      <c r="SA90" s="30"/>
      <c r="SB90" s="30"/>
      <c r="SC90" s="30"/>
      <c r="SD90" s="30"/>
    </row>
    <row r="91" spans="1:498" s="47" customFormat="1" hidden="1">
      <c r="A91" s="69"/>
      <c r="B91" s="69"/>
      <c r="C91" s="69"/>
      <c r="D91" s="68"/>
      <c r="E91" s="100" t="s">
        <v>49</v>
      </c>
      <c r="F91" s="46">
        <f>IF($C$10&lt;10000,PMT($C$11/12,12*12,(0.7)*-($C$10)),IF($C$10&lt;20000,PMT($C$11/12,15*12,(0.69)*-($C$10)),IF($C$10&lt;40000,PMT($C$11/12,20*12,(0.75)*-($C$10)),IF($C$10&lt;60000,PMT($C$11/12,25*12,(0.83)*-($C$10)),PMT($C$11/12,30*12,(0.88)*-($C$10))))))</f>
        <v>124.5</v>
      </c>
      <c r="G91" s="16">
        <f>IF($C$10&lt;10000,PMT($C$11/12,12*12,(0.7)*-($C$10)),IF($C$10&lt;20000,PMT($C$11/12,15*12,(0.69)*-($C$10)),IF($C$10&lt;40000,PMT($C$11/12,20*12,(0.75)*-($C$10)),IF($C$10&lt;60000,PMT($C$11/12,25*12,(0.83)*-($C$10)),PMT($C$11/12,30*12,(0.88)*-($C$10))))))</f>
        <v>124.5</v>
      </c>
      <c r="H91" s="16">
        <f>IF($C$10&lt;10000,PMT($C$11/12,10*12,(0.75)*-($G$95)),IF($C$10&lt;20000,PMT($C$11/12,13*12,(0.72)*-($G$95)),IF($C$10&lt;40000,PMT($C$11/12,(20-$G$51)*12,(0.78)*-($G$95)),IF($C$10&lt;60000,PMT($C$11/12,(25-$G$51)*12,(0.84)*-($G$95)),PMT($C$11/12,(30-2)*12,(0.89)*-($G$95))))))</f>
        <v>127.86260869565218</v>
      </c>
      <c r="I91" s="16">
        <f>IF($C$10&lt;10000,PMT($C$11/12,10*12,(0.75)*-($G$95)),IF($C$10&lt;20000,PMT($C$11/12,13*12,(0.72)*-($G$95)),IF($C$10&lt;40000,PMT($C$11/12,(20-$G$51)*12,(0.78)*-($G$95)),IF($C$10&lt;60000,PMT($C$11/12,(25-$G$51)*12,(0.84)*-($G$95)),PMT($C$11/12,(30-2)*12,(0.89)*-($G$95))))))</f>
        <v>127.86260869565218</v>
      </c>
      <c r="J91" s="16">
        <f>IF($C$10&lt;10000,PMT($C$11/12,8*12,(0.81)*-($I$95)),IF($C$10&lt;20000,PMT($C$11/12,11*12,(0.76)*-($I$95)),IF($C$10&lt;40000,PMT($C$11/12,(20-$I51)*12,(0.8)*-($I$95)),IF($C$10&lt;60000,PMT($C$11/12,(25-$I$51)*12,(0.85)*-($I$95)),PMT($C$11/12,(30-4)*12,(0.89)*-($I$95))))))</f>
        <v>131.3563602484472</v>
      </c>
      <c r="K91" s="16">
        <f>IF($C$10&lt;10000,PMT($C$11/12,8*12,(0.81)*-($I$95)),IF($C$10&lt;20000,PMT($C$11/12,11*12,(0.76)*-($I$95)),IF($C$10&lt;40000,PMT($C$11/12,(20-$I51)*12,(0.8)*-($I$95)),IF($C$10&lt;60000,PMT($C$11/12,(25-$I$51)*12,(0.85)*-($I$95)),PMT($C$11/12,(30-4)*12,(0.89)*-($I$95))))))</f>
        <v>131.3563602484472</v>
      </c>
      <c r="L91" s="16">
        <f>IF($C$10&lt;10000,PMT($C$11/12,6*12,(0.87)*-($K$95)),IF($C$10&lt;20000,PMT($C$11/12,9*12,(0.81)*-($K$95)),IF($C$10&lt;40000,PMT($C$11/12,(20-$K$51)*12,(0.82)*-($K$95)),IF($C$10&lt;60000,PMT($C$11/12,(25-$K$51)*12,(0.87)*-($K$95)),PMT($C$11/12,(30-6)*12,(0.9)*-($K$95))))))</f>
        <v>136.56994705459306</v>
      </c>
      <c r="M91" s="16">
        <f>IF($C$10&lt;10000,PMT($C$11/12,6*12,(0.87)*-($K$95)),IF($C$10&lt;20000,PMT($C$11/12,9*12,(0.81)*-($K$95)),IF($C$10&lt;40000,PMT($C$11/12,(20-$K$51)*12,(0.82)*-($K$95)),IF($C$10&lt;60000,PMT($C$11/12,(25-$K$51)*12,(0.87)*-($K$95)),PMT($C$11/12,(30-6)*12,(0.9)*-($K$95))))))</f>
        <v>136.56994705459306</v>
      </c>
      <c r="N91" s="16">
        <f>IF($C$10&lt;10000,PMT($C$11/12,4*12,0.93*-($M$95)),IF($C$10&lt;20000,PMT($C$11/12,7*12,(0.85)*-($M$95)),IF($C$10&lt;40000,PMT($C$11/12,(20-$M$51)*12,(0.85)*-($M$95)),IF($C$10&lt;60000,PMT($C$11/12,(25-$M$51)*12,(0.88)*-($M$95)),PMT($C$11/12,(30-8)*12,(0.91)*-($M$95))))))</f>
        <v>140.25244163778245</v>
      </c>
      <c r="O91" s="16">
        <f>IF($C$10&lt;10000,PMT($C$11/12,4*12,0.93*-($M$95)),IF($C$10&lt;20000,PMT($C$11/12,7*12,(0.85)*-($M$95)),IF($C$10&lt;40000,PMT($C$11/12,(20-$M$51)*12,(0.85)*-($M$95)),IF($C$10&lt;60000,PMT($C$11/12,(25-$M$51)*12,(0.88)*-($M$95)),PMT($C$11/12,(30-8)*12,(0.91)*-($M$95))))))</f>
        <v>140.25244163778245</v>
      </c>
      <c r="P91" s="16">
        <f>IF($C$10&lt;10000,PMT($C$11/12,2*12,-($O$95)),IF($C$10&lt;20000,PMT($C$11/12,5*12,(0.9)*-($O$95)),IF($C$10&lt;40000,PMT($C$11/12,(20-$O$51)*12,(0.88)*-($O$95)),IF($C$10&lt;60000,PMT($C$11/12,(25-$O$51)*12,(0.89)*-($O$95)),PMT($C$11/12,(30-10)*12,(0.915)*-($O$95))))))</f>
        <v>144.11575889380504</v>
      </c>
      <c r="Q91" s="16">
        <f>IF($C$10&lt;10000,(PMT($C$11/12,2*12,-($O$95)))+(((P91*12)-((P91*12)-(P95*$C$11)))/12),IF($C$10&lt;20000,PMT($C$11/12,5*12,(0.9)*-($O$95)),IF($C$10&lt;40000,PMT($C$11/12,(20-$O$51)*12,(0.88)*-($O$95)),IF($C$10&lt;60000,PMT($C$11/12,(25-$O$51)*12,(0.89)*-($O$95)),PMT($C$11/12,(30-10)*12,(0.915)*-($O$95))))))</f>
        <v>144.11575889380504</v>
      </c>
      <c r="R91" s="16">
        <f>IF($C$10&lt;10000,0,IF($C$10&lt;20000,PMT($C$11/12,3*12,(0.94)*-($Q$95)),IF($C$10&lt;40000,PMT($C$11/12,(20-$Q$51)*12,(0.9)*-($Q$95)),IF($C$10&lt;60000,PMT($C$11/12,(25-$Q$51)*12,(0.91)*-($Q$95)),PMT($C$11/12,(30-12)*12,(0.925)*-($Q$95))))))</f>
        <v>149.84800368576086</v>
      </c>
      <c r="S91" s="16">
        <f>IF($C$10&lt;10000,0,IF($C$10&lt;20000,PMT($C$11/12,3*12,(0.94)*-($Q$95)),IF($C$10&lt;40000,PMT($C$11/12,(20-$Q$51)*12,(0.9)*-($Q$95)),IF($C$10&lt;60000,PMT($C$11/12,(25-$Q$51)*12,(0.91)*-($Q$95)),PMT($C$11/12,(30-12)*12,(0.925)*-($Q$95))))))</f>
        <v>149.84800368576086</v>
      </c>
      <c r="T91" s="16">
        <f>IF($C$10&lt;10000,0,IF($C$10&lt;20000,(PMT($C$11/12,12,-($S$95))),IF($C$10&lt;40000,PMT($C$11/12,(20-$S$51)*12,(0.93)*-($S$95)),IF($C$10&lt;60000,PMT($C$11/12,(25-$S$51)*12,(0.92)*-($S$95)),PMT($C$11/12,(30-14)*12,(0.935)*-($S$95))))))</f>
        <v>153.97368898204417</v>
      </c>
      <c r="U91" s="16">
        <f>IF($C$10&lt;20000,0,IF($C$10&lt;40000,PMT($C$11/12,(20-$S$51)*12,(0.93)*-($S$95)),IF($C$10&lt;60000,PMT($C$11/12,(25-$S$51)*12,(0.92)*-($S$95)),PMT($C$11/12,(30-14)*12,(0.935)*-($S$95)))))</f>
        <v>153.97368898204417</v>
      </c>
      <c r="V91" s="16">
        <f>IF($C$10&lt;10000,0,IF($C$10&lt;20000,0,IF($C$10&lt;40000,PMT($C$11/12,(20-$U$51)*12,(0.96)*-($U$95)),IF($C$10&lt;60000,PMT($C$11/12,(25-$U$51)*12,(0.94)*-($U$95)),PMT($C$11/12,(30-16)*12,(0.945)*-($U$95))))))</f>
        <v>160.11775985640008</v>
      </c>
      <c r="W91" s="16">
        <f>IF($C$10&lt;10000,0,IF($C$10&lt;20000,0,IF($C$10&lt;40000,PMT($C$11/12,(20-$U$51)*12,(0.96)*-($U$95)),IF($C$10&lt;60000,PMT($C$11/12,(25-$U$51)*12,(0.94)*-($U$95)),PMT($C$11/12,(30-16)*12,(0.945)*-($U$95))))))</f>
        <v>160.11775985640008</v>
      </c>
      <c r="X91" s="16">
        <f>IF($C$10&lt;10000,0,IF($C$10&lt;20000,0,IF($C$10&lt;40000,PMT($C$11/12,(20-$W$51)*12,-($W$95)),IF($C$10&lt;60000,PMT($C$11/12,(25-$W$51)*12,(0.96)*-($W$95)),PMT($C$11/12,(30-18)*12,(0.955)*-($W$95))))))</f>
        <v>166.32779820219847</v>
      </c>
      <c r="Y91" s="16">
        <f>IF($C$10&lt;10000,0,IF($C$10&lt;20000,0,IF($C$10&lt;40000,(PMT($C$11/12,(20-$W$51)*12,-($W$95)))+(((X91*12)-((X91*12)-(X95*$C$11)))/12),IF($C$10&lt;60000,PMT($C$11/12,(25-$W$51)*12,(0.96)*-($W$95)),PMT($C$11/12,(30-18)*12,(0.955)*-($W$95))))))</f>
        <v>166.32779820219847</v>
      </c>
      <c r="Z91" s="16">
        <f>IF($C$10&lt;40000,0,IF($C$10&lt;60000,PMT($C$11/12,(25-$Y$51)*12,(0.97)*-($Y$95)),PMT($C$11/12,(30-20)*12,(0.965)*-($Y$95))))</f>
        <v>170.7493455044069</v>
      </c>
      <c r="AA91" s="16">
        <f>IF($C$10&lt;40000,0,IF($C$10&lt;60000,PMT($C$11/12,(25-$Y$51)*12,(0.97)*-($Y$95)),PMT($C$11/12,(30-20)*12,(0.965)*-($Y$95))))</f>
        <v>170.7493455044069</v>
      </c>
      <c r="AB91" s="16">
        <f>IF($C$10&lt;40000,0,IF($C$10&lt;60000,PMT($C$11/12,(25-$AA$51)*12,(0.98)*-($AA$95)),PMT($C$11/12,(30-22)*12,(0.975)*-($AA$95))))</f>
        <v>175.95984099608776</v>
      </c>
      <c r="AC91" s="16">
        <f>IF($C$10&lt;40000,0,IF($C$10&lt;60000,PMT($C$11/12,(25-$AA$51)*12,(0.98)*-($AA$95)),PMT($C$11/12,(30-22)*12,(0.975)*-($AA$95))))</f>
        <v>175.95984099608776</v>
      </c>
      <c r="AD91" s="16">
        <f>IF($C$10&lt;40000,0,IF($C$10&lt;60000,PMT($C$11/12,12,-($AC$95)),PMT($C$11/12,(30-24)*12,(0.985)*-($AC$95))))</f>
        <v>186.73289248564416</v>
      </c>
      <c r="AE91" s="16">
        <f>IF($C$10&lt;60000,0,PMT($C$11/12,(30-24)*12,(0.985)*-($AC$95)))</f>
        <v>0</v>
      </c>
      <c r="AF91" s="16">
        <f>IF($C$10&lt;60000,0,PMT($C$11/12,(30-26)*12,(0.99)*-($AE$95)))</f>
        <v>0</v>
      </c>
      <c r="AG91" s="16">
        <f>IF($C$10&lt;60000,0,PMT($C$11/12,(30-26)*12,(0.99)*-($AE$95)))</f>
        <v>0</v>
      </c>
      <c r="AH91" s="16">
        <f>IF($C$10&lt;60000,0,PMT($C$11/12,(30-28)*12,-($AG$95)))</f>
        <v>0</v>
      </c>
      <c r="AI91" s="16">
        <f>IF($C$10&lt;60000,0,(PMT($C$11/12,(30-28)*12,-($AG$95)))+(((AH91*12)-((AH91*12)-(AH95*$C$11)))/12))</f>
        <v>0</v>
      </c>
      <c r="AJ91" s="60"/>
      <c r="AK91" s="60"/>
      <c r="AL91" s="60"/>
      <c r="AM91" s="60"/>
      <c r="AN91" s="60"/>
      <c r="AO91" s="6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c r="JL91" s="30"/>
      <c r="JM91" s="30"/>
      <c r="JN91" s="30"/>
      <c r="JO91" s="30"/>
      <c r="JP91" s="30"/>
      <c r="JQ91" s="30"/>
      <c r="JR91" s="30"/>
      <c r="JS91" s="30"/>
      <c r="JT91" s="30"/>
      <c r="JU91" s="30"/>
      <c r="JV91" s="30"/>
      <c r="JW91" s="30"/>
      <c r="JX91" s="30"/>
      <c r="JY91" s="30"/>
      <c r="JZ91" s="30"/>
      <c r="KA91" s="30"/>
      <c r="KB91" s="30"/>
      <c r="KC91" s="30"/>
      <c r="KD91" s="30"/>
      <c r="KE91" s="30"/>
      <c r="KF91" s="30"/>
      <c r="KG91" s="30"/>
      <c r="KH91" s="30"/>
      <c r="KI91" s="30"/>
      <c r="KJ91" s="30"/>
      <c r="KK91" s="30"/>
      <c r="KL91" s="30"/>
      <c r="KM91" s="30"/>
      <c r="KN91" s="30"/>
      <c r="KO91" s="30"/>
      <c r="KP91" s="30"/>
      <c r="KQ91" s="30"/>
      <c r="KR91" s="30"/>
      <c r="KS91" s="30"/>
      <c r="KT91" s="30"/>
      <c r="KU91" s="30"/>
      <c r="KV91" s="30"/>
      <c r="KW91" s="30"/>
      <c r="KX91" s="30"/>
      <c r="KY91" s="30"/>
      <c r="KZ91" s="30"/>
      <c r="LA91" s="30"/>
      <c r="LB91" s="30"/>
      <c r="LC91" s="30"/>
      <c r="LD91" s="30"/>
      <c r="LE91" s="30"/>
      <c r="LF91" s="30"/>
      <c r="LG91" s="30"/>
      <c r="LH91" s="30"/>
      <c r="LI91" s="30"/>
      <c r="LJ91" s="30"/>
      <c r="LK91" s="30"/>
      <c r="LL91" s="30"/>
      <c r="LM91" s="30"/>
      <c r="LN91" s="30"/>
      <c r="LO91" s="30"/>
      <c r="LP91" s="30"/>
      <c r="LQ91" s="30"/>
      <c r="LR91" s="30"/>
      <c r="LS91" s="30"/>
      <c r="LT91" s="30"/>
      <c r="LU91" s="30"/>
      <c r="LV91" s="30"/>
      <c r="LW91" s="30"/>
      <c r="LX91" s="30"/>
      <c r="LY91" s="30"/>
      <c r="LZ91" s="30"/>
      <c r="MA91" s="30"/>
      <c r="MB91" s="30"/>
      <c r="MC91" s="30"/>
      <c r="MD91" s="30"/>
      <c r="ME91" s="30"/>
      <c r="MF91" s="30"/>
      <c r="MG91" s="30"/>
      <c r="MH91" s="30"/>
      <c r="MI91" s="30"/>
      <c r="MJ91" s="30"/>
      <c r="MK91" s="30"/>
      <c r="ML91" s="30"/>
      <c r="MM91" s="30"/>
      <c r="MN91" s="30"/>
      <c r="MO91" s="30"/>
      <c r="MP91" s="30"/>
      <c r="MQ91" s="30"/>
      <c r="MR91" s="30"/>
      <c r="MS91" s="30"/>
      <c r="MT91" s="30"/>
      <c r="MU91" s="30"/>
      <c r="MV91" s="30"/>
      <c r="MW91" s="30"/>
      <c r="MX91" s="30"/>
      <c r="MY91" s="30"/>
      <c r="MZ91" s="30"/>
      <c r="NA91" s="30"/>
      <c r="NB91" s="30"/>
      <c r="NC91" s="30"/>
      <c r="ND91" s="30"/>
      <c r="NE91" s="30"/>
      <c r="NF91" s="30"/>
      <c r="NG91" s="30"/>
      <c r="NH91" s="30"/>
      <c r="NI91" s="30"/>
      <c r="NJ91" s="30"/>
      <c r="NK91" s="30"/>
      <c r="NL91" s="30"/>
      <c r="NM91" s="30"/>
      <c r="NN91" s="30"/>
      <c r="NO91" s="30"/>
      <c r="NP91" s="30"/>
      <c r="NQ91" s="30"/>
      <c r="NR91" s="30"/>
      <c r="NS91" s="30"/>
      <c r="NT91" s="30"/>
      <c r="NU91" s="30"/>
      <c r="NV91" s="30"/>
      <c r="NW91" s="30"/>
      <c r="NX91" s="30"/>
      <c r="NY91" s="30"/>
      <c r="NZ91" s="30"/>
      <c r="OA91" s="30"/>
      <c r="OB91" s="30"/>
      <c r="OC91" s="30"/>
      <c r="OD91" s="30"/>
      <c r="OE91" s="30"/>
      <c r="OF91" s="30"/>
      <c r="OG91" s="30"/>
      <c r="OH91" s="30"/>
      <c r="OI91" s="30"/>
      <c r="OJ91" s="30"/>
      <c r="OK91" s="30"/>
      <c r="OL91" s="30"/>
      <c r="OM91" s="30"/>
      <c r="ON91" s="30"/>
      <c r="OO91" s="30"/>
      <c r="OP91" s="30"/>
      <c r="OQ91" s="30"/>
      <c r="OR91" s="30"/>
      <c r="OS91" s="30"/>
      <c r="OT91" s="30"/>
      <c r="OU91" s="30"/>
      <c r="OV91" s="30"/>
      <c r="OW91" s="30"/>
      <c r="OX91" s="30"/>
      <c r="OY91" s="30"/>
      <c r="OZ91" s="30"/>
      <c r="PA91" s="30"/>
      <c r="PB91" s="30"/>
      <c r="PC91" s="30"/>
      <c r="PD91" s="30"/>
      <c r="PE91" s="30"/>
      <c r="PF91" s="30"/>
      <c r="PG91" s="30"/>
      <c r="PH91" s="30"/>
      <c r="PI91" s="30"/>
      <c r="PJ91" s="30"/>
      <c r="PK91" s="30"/>
      <c r="PL91" s="30"/>
      <c r="PM91" s="30"/>
      <c r="PN91" s="30"/>
      <c r="PO91" s="30"/>
      <c r="PP91" s="30"/>
      <c r="PQ91" s="30"/>
      <c r="PR91" s="30"/>
      <c r="PS91" s="30"/>
      <c r="PT91" s="30"/>
      <c r="PU91" s="30"/>
      <c r="PV91" s="30"/>
      <c r="PW91" s="30"/>
      <c r="PX91" s="30"/>
      <c r="PY91" s="30"/>
      <c r="PZ91" s="30"/>
      <c r="QA91" s="30"/>
      <c r="QB91" s="30"/>
      <c r="QC91" s="30"/>
      <c r="QD91" s="30"/>
      <c r="QE91" s="30"/>
      <c r="QF91" s="30"/>
      <c r="QG91" s="30"/>
      <c r="QH91" s="30"/>
      <c r="QI91" s="30"/>
      <c r="QJ91" s="30"/>
      <c r="QK91" s="30"/>
      <c r="QL91" s="30"/>
      <c r="QM91" s="30"/>
      <c r="QN91" s="30"/>
      <c r="QO91" s="30"/>
      <c r="QP91" s="30"/>
      <c r="QQ91" s="30"/>
      <c r="QR91" s="30"/>
      <c r="QS91" s="30"/>
      <c r="QT91" s="30"/>
      <c r="QU91" s="30"/>
      <c r="QV91" s="30"/>
      <c r="QW91" s="30"/>
      <c r="QX91" s="30"/>
      <c r="QY91" s="30"/>
      <c r="QZ91" s="30"/>
      <c r="RA91" s="30"/>
      <c r="RB91" s="30"/>
      <c r="RC91" s="30"/>
      <c r="RD91" s="30"/>
      <c r="RE91" s="30"/>
      <c r="RF91" s="30"/>
      <c r="RG91" s="30"/>
      <c r="RH91" s="30"/>
      <c r="RI91" s="30"/>
      <c r="RJ91" s="30"/>
      <c r="RK91" s="30"/>
      <c r="RL91" s="30"/>
      <c r="RM91" s="30"/>
      <c r="RN91" s="30"/>
      <c r="RO91" s="30"/>
      <c r="RP91" s="30"/>
      <c r="RQ91" s="30"/>
      <c r="RR91" s="30"/>
      <c r="RS91" s="30"/>
      <c r="RT91" s="30"/>
      <c r="RU91" s="30"/>
      <c r="RV91" s="30"/>
      <c r="RW91" s="30"/>
      <c r="RX91" s="30"/>
      <c r="RY91" s="30"/>
      <c r="RZ91" s="30"/>
      <c r="SA91" s="30"/>
      <c r="SB91" s="30"/>
      <c r="SC91" s="30"/>
      <c r="SD91" s="30"/>
    </row>
    <row r="92" spans="1:498" s="20" customFormat="1" hidden="1">
      <c r="A92" s="69"/>
      <c r="B92" s="69" t="s">
        <v>23</v>
      </c>
      <c r="C92" s="69"/>
      <c r="D92" s="69"/>
      <c r="E92" s="21"/>
      <c r="F92" s="25">
        <f>F91*12</f>
        <v>1494</v>
      </c>
      <c r="G92" s="25">
        <f>G91*12</f>
        <v>1494</v>
      </c>
      <c r="H92" s="25">
        <f t="shared" ref="H92:N92" si="66">H91*12</f>
        <v>1534.3513043478263</v>
      </c>
      <c r="I92" s="25">
        <f t="shared" si="66"/>
        <v>1534.3513043478263</v>
      </c>
      <c r="J92" s="25">
        <f t="shared" si="66"/>
        <v>1576.2763229813663</v>
      </c>
      <c r="K92" s="25">
        <f t="shared" si="66"/>
        <v>1576.2763229813663</v>
      </c>
      <c r="L92" s="25">
        <f t="shared" si="66"/>
        <v>1638.8393646551167</v>
      </c>
      <c r="M92" s="25">
        <f t="shared" si="66"/>
        <v>1638.8393646551167</v>
      </c>
      <c r="N92" s="25">
        <f t="shared" si="66"/>
        <v>1683.0292996533894</v>
      </c>
      <c r="O92" s="25">
        <f>O91*12</f>
        <v>1683.0292996533894</v>
      </c>
      <c r="P92" s="25">
        <f t="shared" ref="P92:AI92" si="67">P91*12</f>
        <v>1729.3891067256604</v>
      </c>
      <c r="Q92" s="25">
        <f t="shared" si="67"/>
        <v>1729.3891067256604</v>
      </c>
      <c r="R92" s="25">
        <f t="shared" si="67"/>
        <v>1798.1760442291302</v>
      </c>
      <c r="S92" s="25">
        <f t="shared" si="67"/>
        <v>1798.1760442291302</v>
      </c>
      <c r="T92" s="25">
        <f t="shared" si="67"/>
        <v>1847.68426778453</v>
      </c>
      <c r="U92" s="25">
        <f t="shared" si="67"/>
        <v>1847.68426778453</v>
      </c>
      <c r="V92" s="25">
        <f t="shared" si="67"/>
        <v>1921.413118276801</v>
      </c>
      <c r="W92" s="25">
        <f t="shared" si="67"/>
        <v>1921.413118276801</v>
      </c>
      <c r="X92" s="25">
        <f t="shared" si="67"/>
        <v>1995.9335784263817</v>
      </c>
      <c r="Y92" s="25">
        <f t="shared" si="67"/>
        <v>1995.9335784263817</v>
      </c>
      <c r="Z92" s="30">
        <f t="shared" si="67"/>
        <v>2048.9921460528831</v>
      </c>
      <c r="AA92" s="30">
        <f t="shared" si="67"/>
        <v>2048.9921460528831</v>
      </c>
      <c r="AB92" s="30">
        <f t="shared" si="67"/>
        <v>2111.518091953053</v>
      </c>
      <c r="AC92" s="30">
        <f t="shared" si="67"/>
        <v>2111.518091953053</v>
      </c>
      <c r="AD92" s="30">
        <f t="shared" si="67"/>
        <v>2240.79470982773</v>
      </c>
      <c r="AE92" s="20">
        <f t="shared" si="67"/>
        <v>0</v>
      </c>
      <c r="AF92" s="20">
        <f t="shared" si="67"/>
        <v>0</v>
      </c>
      <c r="AG92" s="20">
        <f t="shared" si="67"/>
        <v>0</v>
      </c>
      <c r="AH92" s="20">
        <f t="shared" si="67"/>
        <v>0</v>
      </c>
      <c r="AI92" s="20">
        <f t="shared" si="67"/>
        <v>0</v>
      </c>
      <c r="AJ92" s="60"/>
      <c r="AK92" s="60"/>
      <c r="AL92" s="60"/>
      <c r="AM92" s="60"/>
      <c r="AN92" s="60"/>
      <c r="AO92" s="6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row>
    <row r="93" spans="1:498" s="20" customFormat="1" hidden="1">
      <c r="A93" s="69"/>
      <c r="B93" s="69" t="s">
        <v>14</v>
      </c>
      <c r="C93" s="69"/>
      <c r="D93" s="69"/>
      <c r="E93" s="21"/>
      <c r="F93" s="25">
        <f>$C$10*$C$11</f>
        <v>0</v>
      </c>
      <c r="G93" s="25">
        <f t="shared" ref="G93:P93" si="68">IF(G91=0,0,F95*$C$11)</f>
        <v>0</v>
      </c>
      <c r="H93" s="25">
        <f t="shared" si="68"/>
        <v>0</v>
      </c>
      <c r="I93" s="25">
        <f t="shared" si="68"/>
        <v>0</v>
      </c>
      <c r="J93" s="25">
        <f t="shared" si="68"/>
        <v>0</v>
      </c>
      <c r="K93" s="25">
        <f t="shared" si="68"/>
        <v>0</v>
      </c>
      <c r="L93" s="25">
        <f t="shared" si="68"/>
        <v>0</v>
      </c>
      <c r="M93" s="25">
        <f t="shared" si="68"/>
        <v>0</v>
      </c>
      <c r="N93" s="25">
        <f t="shared" si="68"/>
        <v>0</v>
      </c>
      <c r="O93" s="25">
        <f t="shared" si="68"/>
        <v>0</v>
      </c>
      <c r="P93" s="25">
        <f t="shared" si="68"/>
        <v>0</v>
      </c>
      <c r="Q93" s="25">
        <f>IF(Q91=0,0,P95*$C$11)</f>
        <v>0</v>
      </c>
      <c r="R93" s="25">
        <f>IF(R91=0,0,Q95*$C$11)</f>
        <v>0</v>
      </c>
      <c r="S93" s="25">
        <f t="shared" ref="S93:AI93" si="69">IF(S91=0,0,R95*$C$11)</f>
        <v>0</v>
      </c>
      <c r="T93" s="25">
        <f t="shared" si="69"/>
        <v>0</v>
      </c>
      <c r="U93" s="25">
        <f t="shared" si="69"/>
        <v>0</v>
      </c>
      <c r="V93" s="25">
        <f t="shared" si="69"/>
        <v>0</v>
      </c>
      <c r="W93" s="25">
        <f t="shared" si="69"/>
        <v>0</v>
      </c>
      <c r="X93" s="25">
        <f t="shared" si="69"/>
        <v>0</v>
      </c>
      <c r="Y93" s="25">
        <f t="shared" si="69"/>
        <v>0</v>
      </c>
      <c r="Z93" s="25">
        <f t="shared" si="69"/>
        <v>0</v>
      </c>
      <c r="AA93" s="25">
        <f t="shared" si="69"/>
        <v>0</v>
      </c>
      <c r="AB93" s="25">
        <f t="shared" si="69"/>
        <v>0</v>
      </c>
      <c r="AC93" s="25">
        <f t="shared" si="69"/>
        <v>0</v>
      </c>
      <c r="AD93" s="25">
        <f t="shared" si="69"/>
        <v>0</v>
      </c>
      <c r="AE93" s="22">
        <f t="shared" si="69"/>
        <v>0</v>
      </c>
      <c r="AF93" s="22">
        <f t="shared" si="69"/>
        <v>0</v>
      </c>
      <c r="AG93" s="22">
        <f t="shared" si="69"/>
        <v>0</v>
      </c>
      <c r="AH93" s="22">
        <f t="shared" si="69"/>
        <v>0</v>
      </c>
      <c r="AI93" s="22">
        <f t="shared" si="69"/>
        <v>0</v>
      </c>
      <c r="AJ93" s="60"/>
      <c r="AK93" s="60"/>
      <c r="AL93" s="60"/>
      <c r="AM93" s="60"/>
      <c r="AN93" s="60"/>
      <c r="AO93" s="6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row>
    <row r="94" spans="1:498" s="20" customFormat="1" hidden="1">
      <c r="A94" s="69"/>
      <c r="B94" s="69" t="s">
        <v>22</v>
      </c>
      <c r="C94" s="69"/>
      <c r="D94" s="69"/>
      <c r="E94" s="21"/>
      <c r="F94" s="25">
        <f>F92-F93</f>
        <v>1494</v>
      </c>
      <c r="G94" s="25">
        <f>G92-G93</f>
        <v>1494</v>
      </c>
      <c r="H94" s="25">
        <f t="shared" ref="H94:N94" si="70">H92-H93</f>
        <v>1534.3513043478263</v>
      </c>
      <c r="I94" s="25">
        <f t="shared" si="70"/>
        <v>1534.3513043478263</v>
      </c>
      <c r="J94" s="25">
        <f t="shared" si="70"/>
        <v>1576.2763229813663</v>
      </c>
      <c r="K94" s="25">
        <f t="shared" si="70"/>
        <v>1576.2763229813663</v>
      </c>
      <c r="L94" s="25">
        <f t="shared" si="70"/>
        <v>1638.8393646551167</v>
      </c>
      <c r="M94" s="25">
        <f t="shared" si="70"/>
        <v>1638.8393646551167</v>
      </c>
      <c r="N94" s="25">
        <f t="shared" si="70"/>
        <v>1683.0292996533894</v>
      </c>
      <c r="O94" s="25">
        <f>O92-O93</f>
        <v>1683.0292996533894</v>
      </c>
      <c r="P94" s="25">
        <f t="shared" ref="P94:AI94" si="71">P92-P93</f>
        <v>1729.3891067256604</v>
      </c>
      <c r="Q94" s="25">
        <f t="shared" si="71"/>
        <v>1729.3891067256604</v>
      </c>
      <c r="R94" s="25">
        <f t="shared" si="71"/>
        <v>1798.1760442291302</v>
      </c>
      <c r="S94" s="25">
        <f t="shared" si="71"/>
        <v>1798.1760442291302</v>
      </c>
      <c r="T94" s="25">
        <f t="shared" si="71"/>
        <v>1847.68426778453</v>
      </c>
      <c r="U94" s="25">
        <f t="shared" si="71"/>
        <v>1847.68426778453</v>
      </c>
      <c r="V94" s="25">
        <f t="shared" si="71"/>
        <v>1921.413118276801</v>
      </c>
      <c r="W94" s="25">
        <f t="shared" si="71"/>
        <v>1921.413118276801</v>
      </c>
      <c r="X94" s="25">
        <f t="shared" si="71"/>
        <v>1995.9335784263817</v>
      </c>
      <c r="Y94" s="25">
        <f t="shared" si="71"/>
        <v>1995.9335784263817</v>
      </c>
      <c r="Z94" s="25">
        <f t="shared" si="71"/>
        <v>2048.9921460528831</v>
      </c>
      <c r="AA94" s="25">
        <f t="shared" si="71"/>
        <v>2048.9921460528831</v>
      </c>
      <c r="AB94" s="25">
        <f t="shared" si="71"/>
        <v>2111.518091953053</v>
      </c>
      <c r="AC94" s="25">
        <f t="shared" si="71"/>
        <v>2111.518091953053</v>
      </c>
      <c r="AD94" s="25">
        <f t="shared" si="71"/>
        <v>2240.79470982773</v>
      </c>
      <c r="AE94" s="22">
        <f t="shared" si="71"/>
        <v>0</v>
      </c>
      <c r="AF94" s="22">
        <f t="shared" si="71"/>
        <v>0</v>
      </c>
      <c r="AG94" s="22">
        <f t="shared" si="71"/>
        <v>0</v>
      </c>
      <c r="AH94" s="22">
        <f t="shared" si="71"/>
        <v>0</v>
      </c>
      <c r="AI94" s="22">
        <f t="shared" si="71"/>
        <v>0</v>
      </c>
      <c r="AJ94" s="60"/>
      <c r="AK94" s="60"/>
      <c r="AL94" s="60"/>
      <c r="AM94" s="60"/>
      <c r="AN94" s="60"/>
      <c r="AO94" s="6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c r="MD94" s="30"/>
      <c r="ME94" s="30"/>
      <c r="MF94" s="30"/>
      <c r="MG94" s="30"/>
      <c r="MH94" s="30"/>
      <c r="MI94" s="30"/>
      <c r="MJ94" s="30"/>
      <c r="MK94" s="30"/>
      <c r="ML94" s="30"/>
      <c r="MM94" s="30"/>
      <c r="MN94" s="30"/>
      <c r="MO94" s="30"/>
      <c r="MP94" s="30"/>
      <c r="MQ94" s="30"/>
      <c r="MR94" s="30"/>
      <c r="MS94" s="30"/>
      <c r="MT94" s="30"/>
      <c r="MU94" s="30"/>
      <c r="MV94" s="30"/>
      <c r="MW94" s="30"/>
      <c r="MX94" s="30"/>
      <c r="MY94" s="30"/>
      <c r="MZ94" s="30"/>
      <c r="NA94" s="30"/>
      <c r="NB94" s="30"/>
      <c r="NC94" s="30"/>
      <c r="ND94" s="30"/>
      <c r="NE94" s="30"/>
      <c r="NF94" s="30"/>
      <c r="NG94" s="30"/>
      <c r="NH94" s="30"/>
      <c r="NI94" s="30"/>
      <c r="NJ94" s="30"/>
      <c r="NK94" s="30"/>
      <c r="NL94" s="30"/>
      <c r="NM94" s="30"/>
      <c r="NN94" s="30"/>
      <c r="NO94" s="30"/>
      <c r="NP94" s="30"/>
      <c r="NQ94" s="30"/>
      <c r="NR94" s="30"/>
      <c r="NS94" s="30"/>
      <c r="NT94" s="30"/>
      <c r="NU94" s="30"/>
      <c r="NV94" s="30"/>
      <c r="NW94" s="30"/>
      <c r="NX94" s="30"/>
      <c r="NY94" s="30"/>
      <c r="NZ94" s="30"/>
      <c r="OA94" s="30"/>
      <c r="OB94" s="30"/>
      <c r="OC94" s="30"/>
      <c r="OD94" s="30"/>
      <c r="OE94" s="30"/>
      <c r="OF94" s="30"/>
      <c r="OG94" s="30"/>
      <c r="OH94" s="30"/>
      <c r="OI94" s="30"/>
      <c r="OJ94" s="30"/>
      <c r="OK94" s="30"/>
      <c r="OL94" s="30"/>
      <c r="OM94" s="30"/>
      <c r="ON94" s="30"/>
      <c r="OO94" s="30"/>
      <c r="OP94" s="30"/>
      <c r="OQ94" s="30"/>
      <c r="OR94" s="30"/>
      <c r="OS94" s="30"/>
      <c r="OT94" s="30"/>
      <c r="OU94" s="30"/>
      <c r="OV94" s="30"/>
      <c r="OW94" s="30"/>
      <c r="OX94" s="30"/>
      <c r="OY94" s="30"/>
      <c r="OZ94" s="30"/>
      <c r="PA94" s="30"/>
      <c r="PB94" s="30"/>
      <c r="PC94" s="30"/>
      <c r="PD94" s="30"/>
      <c r="PE94" s="30"/>
      <c r="PF94" s="30"/>
      <c r="PG94" s="30"/>
      <c r="PH94" s="30"/>
      <c r="PI94" s="30"/>
      <c r="PJ94" s="30"/>
      <c r="PK94" s="30"/>
      <c r="PL94" s="30"/>
      <c r="PM94" s="30"/>
      <c r="PN94" s="30"/>
      <c r="PO94" s="30"/>
      <c r="PP94" s="30"/>
      <c r="PQ94" s="30"/>
      <c r="PR94" s="30"/>
      <c r="PS94" s="30"/>
      <c r="PT94" s="30"/>
      <c r="PU94" s="30"/>
      <c r="PV94" s="30"/>
      <c r="PW94" s="30"/>
      <c r="PX94" s="30"/>
      <c r="PY94" s="30"/>
      <c r="PZ94" s="30"/>
      <c r="QA94" s="30"/>
      <c r="QB94" s="30"/>
      <c r="QC94" s="30"/>
      <c r="QD94" s="30"/>
      <c r="QE94" s="30"/>
      <c r="QF94" s="30"/>
      <c r="QG94" s="30"/>
      <c r="QH94" s="30"/>
      <c r="QI94" s="30"/>
      <c r="QJ94" s="30"/>
      <c r="QK94" s="30"/>
      <c r="QL94" s="30"/>
      <c r="QM94" s="30"/>
      <c r="QN94" s="30"/>
      <c r="QO94" s="30"/>
      <c r="QP94" s="30"/>
      <c r="QQ94" s="30"/>
      <c r="QR94" s="30"/>
      <c r="QS94" s="30"/>
      <c r="QT94" s="30"/>
      <c r="QU94" s="30"/>
      <c r="QV94" s="30"/>
      <c r="QW94" s="30"/>
      <c r="QX94" s="30"/>
      <c r="QY94" s="30"/>
      <c r="QZ94" s="30"/>
      <c r="RA94" s="30"/>
      <c r="RB94" s="30"/>
      <c r="RC94" s="30"/>
      <c r="RD94" s="30"/>
      <c r="RE94" s="30"/>
      <c r="RF94" s="30"/>
      <c r="RG94" s="30"/>
      <c r="RH94" s="30"/>
      <c r="RI94" s="30"/>
      <c r="RJ94" s="30"/>
      <c r="RK94" s="30"/>
      <c r="RL94" s="30"/>
      <c r="RM94" s="30"/>
      <c r="RN94" s="30"/>
      <c r="RO94" s="30"/>
      <c r="RP94" s="30"/>
      <c r="RQ94" s="30"/>
      <c r="RR94" s="30"/>
      <c r="RS94" s="30"/>
      <c r="RT94" s="30"/>
      <c r="RU94" s="30"/>
      <c r="RV94" s="30"/>
      <c r="RW94" s="30"/>
      <c r="RX94" s="30"/>
      <c r="RY94" s="30"/>
      <c r="RZ94" s="30"/>
      <c r="SA94" s="30"/>
      <c r="SB94" s="30"/>
      <c r="SC94" s="30"/>
      <c r="SD94" s="30"/>
    </row>
    <row r="95" spans="1:498" s="20" customFormat="1" hidden="1">
      <c r="A95" s="69"/>
      <c r="B95" s="69" t="s">
        <v>16</v>
      </c>
      <c r="C95" s="69"/>
      <c r="D95" s="69"/>
      <c r="E95" s="21"/>
      <c r="F95" s="25">
        <f>$C$10-F94</f>
        <v>43506</v>
      </c>
      <c r="G95" s="25">
        <f t="shared" ref="G95:Q95" si="72">IF(G91=0,0,F95-G94)</f>
        <v>42012</v>
      </c>
      <c r="H95" s="25">
        <f t="shared" si="72"/>
        <v>40477.648695652177</v>
      </c>
      <c r="I95" s="25">
        <f t="shared" si="72"/>
        <v>38943.297391304353</v>
      </c>
      <c r="J95" s="25">
        <f t="shared" si="72"/>
        <v>37367.021068322989</v>
      </c>
      <c r="K95" s="25">
        <f t="shared" si="72"/>
        <v>35790.744745341624</v>
      </c>
      <c r="L95" s="25">
        <f t="shared" si="72"/>
        <v>34151.905380686505</v>
      </c>
      <c r="M95" s="25">
        <f t="shared" si="72"/>
        <v>32513.066016031389</v>
      </c>
      <c r="N95" s="25">
        <f t="shared" si="72"/>
        <v>30830.036716377999</v>
      </c>
      <c r="O95" s="25">
        <f t="shared" si="72"/>
        <v>29147.007416724609</v>
      </c>
      <c r="P95" s="25">
        <f t="shared" si="72"/>
        <v>27417.61830999895</v>
      </c>
      <c r="Q95" s="25">
        <f t="shared" si="72"/>
        <v>25688.229203273291</v>
      </c>
      <c r="R95" s="25">
        <f>IF(R91=0,0,Q95-R94)</f>
        <v>23890.053159044161</v>
      </c>
      <c r="S95" s="25">
        <f t="shared" ref="S95:AI95" si="73">IF(S91=0,0,R95-S94)</f>
        <v>22091.87711481503</v>
      </c>
      <c r="T95" s="25">
        <f t="shared" si="73"/>
        <v>20244.192847030499</v>
      </c>
      <c r="U95" s="25">
        <f t="shared" si="73"/>
        <v>18396.508579245969</v>
      </c>
      <c r="V95" s="25">
        <f t="shared" si="73"/>
        <v>16475.095460969169</v>
      </c>
      <c r="W95" s="25">
        <f t="shared" si="73"/>
        <v>14553.682342692367</v>
      </c>
      <c r="X95" s="25">
        <f t="shared" si="73"/>
        <v>12557.748764265985</v>
      </c>
      <c r="Y95" s="25">
        <f t="shared" si="73"/>
        <v>10561.815185839603</v>
      </c>
      <c r="Z95" s="25">
        <f t="shared" si="73"/>
        <v>8512.8230397867192</v>
      </c>
      <c r="AA95" s="25">
        <f t="shared" si="73"/>
        <v>6463.8308937338361</v>
      </c>
      <c r="AB95" s="25">
        <f t="shared" si="73"/>
        <v>4352.312801780783</v>
      </c>
      <c r="AC95" s="25">
        <f t="shared" si="73"/>
        <v>2240.79470982773</v>
      </c>
      <c r="AD95" s="25">
        <f t="shared" si="73"/>
        <v>0</v>
      </c>
      <c r="AE95" s="22">
        <f t="shared" si="73"/>
        <v>0</v>
      </c>
      <c r="AF95" s="22">
        <f t="shared" si="73"/>
        <v>0</v>
      </c>
      <c r="AG95" s="22">
        <f t="shared" si="73"/>
        <v>0</v>
      </c>
      <c r="AH95" s="22">
        <f t="shared" si="73"/>
        <v>0</v>
      </c>
      <c r="AI95" s="22">
        <f t="shared" si="73"/>
        <v>0</v>
      </c>
      <c r="AJ95" s="60"/>
      <c r="AK95" s="60"/>
      <c r="AL95" s="60"/>
      <c r="AM95" s="60"/>
      <c r="AN95" s="60"/>
      <c r="AO95" s="6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row>
    <row r="96" spans="1:498" s="20" customFormat="1" hidden="1">
      <c r="A96" s="69"/>
      <c r="B96" s="69"/>
      <c r="C96" s="69"/>
      <c r="D96" s="69"/>
      <c r="E96" s="21"/>
      <c r="F96" s="25"/>
      <c r="G96" s="25"/>
      <c r="H96" s="25"/>
      <c r="I96" s="25"/>
      <c r="J96" s="25"/>
      <c r="K96" s="25"/>
      <c r="L96" s="25"/>
      <c r="M96" s="25"/>
      <c r="N96" s="25"/>
      <c r="O96" s="25"/>
      <c r="P96" s="25"/>
      <c r="Q96" s="25"/>
      <c r="R96" s="25"/>
      <c r="S96" s="25"/>
      <c r="T96" s="25"/>
      <c r="U96" s="25"/>
      <c r="V96" s="25"/>
      <c r="W96" s="25"/>
      <c r="X96" s="25"/>
      <c r="Y96" s="25"/>
      <c r="Z96" s="30"/>
      <c r="AA96" s="30"/>
      <c r="AB96" s="30"/>
      <c r="AC96" s="30"/>
      <c r="AD96" s="30"/>
      <c r="AJ96" s="60"/>
      <c r="AK96" s="60"/>
      <c r="AL96" s="60"/>
      <c r="AM96" s="60"/>
      <c r="AN96" s="60"/>
      <c r="AO96" s="6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c r="KB96" s="30"/>
      <c r="KC96" s="30"/>
      <c r="KD96" s="30"/>
      <c r="KE96" s="30"/>
      <c r="KF96" s="30"/>
      <c r="KG96" s="30"/>
      <c r="KH96" s="30"/>
      <c r="KI96" s="30"/>
      <c r="KJ96" s="30"/>
      <c r="KK96" s="30"/>
      <c r="KL96" s="30"/>
      <c r="KM96" s="30"/>
      <c r="KN96" s="30"/>
      <c r="KO96" s="30"/>
      <c r="KP96" s="30"/>
      <c r="KQ96" s="30"/>
      <c r="KR96" s="30"/>
      <c r="KS96" s="30"/>
      <c r="KT96" s="30"/>
      <c r="KU96" s="30"/>
      <c r="KV96" s="30"/>
      <c r="KW96" s="30"/>
      <c r="KX96" s="30"/>
      <c r="KY96" s="30"/>
      <c r="KZ96" s="30"/>
      <c r="LA96" s="30"/>
      <c r="LB96" s="30"/>
      <c r="LC96" s="30"/>
      <c r="LD96" s="30"/>
      <c r="LE96" s="30"/>
      <c r="LF96" s="30"/>
      <c r="LG96" s="30"/>
      <c r="LH96" s="30"/>
      <c r="LI96" s="30"/>
      <c r="LJ96" s="30"/>
      <c r="LK96" s="30"/>
      <c r="LL96" s="30"/>
      <c r="LM96" s="30"/>
      <c r="LN96" s="30"/>
      <c r="LO96" s="30"/>
      <c r="LP96" s="30"/>
      <c r="LQ96" s="30"/>
      <c r="LR96" s="30"/>
      <c r="LS96" s="30"/>
      <c r="LT96" s="30"/>
      <c r="LU96" s="30"/>
      <c r="LV96" s="30"/>
      <c r="LW96" s="30"/>
      <c r="LX96" s="30"/>
      <c r="LY96" s="30"/>
      <c r="LZ96" s="30"/>
      <c r="MA96" s="30"/>
      <c r="MB96" s="30"/>
      <c r="MC96" s="30"/>
      <c r="MD96" s="30"/>
      <c r="ME96" s="30"/>
      <c r="MF96" s="30"/>
      <c r="MG96" s="30"/>
      <c r="MH96" s="30"/>
      <c r="MI96" s="30"/>
      <c r="MJ96" s="30"/>
      <c r="MK96" s="30"/>
      <c r="ML96" s="30"/>
      <c r="MM96" s="30"/>
      <c r="MN96" s="30"/>
      <c r="MO96" s="30"/>
      <c r="MP96" s="30"/>
      <c r="MQ96" s="30"/>
      <c r="MR96" s="30"/>
      <c r="MS96" s="30"/>
      <c r="MT96" s="30"/>
      <c r="MU96" s="30"/>
      <c r="MV96" s="30"/>
      <c r="MW96" s="30"/>
      <c r="MX96" s="30"/>
      <c r="MY96" s="30"/>
      <c r="MZ96" s="30"/>
      <c r="NA96" s="30"/>
      <c r="NB96" s="30"/>
      <c r="NC96" s="30"/>
      <c r="ND96" s="30"/>
      <c r="NE96" s="30"/>
      <c r="NF96" s="30"/>
      <c r="NG96" s="30"/>
      <c r="NH96" s="30"/>
      <c r="NI96" s="30"/>
      <c r="NJ96" s="30"/>
      <c r="NK96" s="30"/>
      <c r="NL96" s="30"/>
      <c r="NM96" s="30"/>
      <c r="NN96" s="30"/>
      <c r="NO96" s="30"/>
      <c r="NP96" s="30"/>
      <c r="NQ96" s="30"/>
      <c r="NR96" s="30"/>
      <c r="NS96" s="30"/>
      <c r="NT96" s="30"/>
      <c r="NU96" s="30"/>
      <c r="NV96" s="30"/>
      <c r="NW96" s="30"/>
      <c r="NX96" s="30"/>
      <c r="NY96" s="30"/>
      <c r="NZ96" s="30"/>
      <c r="OA96" s="30"/>
      <c r="OB96" s="30"/>
      <c r="OC96" s="30"/>
      <c r="OD96" s="30"/>
      <c r="OE96" s="30"/>
      <c r="OF96" s="30"/>
      <c r="OG96" s="30"/>
      <c r="OH96" s="30"/>
      <c r="OI96" s="30"/>
      <c r="OJ96" s="30"/>
      <c r="OK96" s="30"/>
      <c r="OL96" s="30"/>
      <c r="OM96" s="30"/>
      <c r="ON96" s="30"/>
      <c r="OO96" s="30"/>
      <c r="OP96" s="30"/>
      <c r="OQ96" s="30"/>
      <c r="OR96" s="30"/>
      <c r="OS96" s="30"/>
      <c r="OT96" s="30"/>
      <c r="OU96" s="30"/>
      <c r="OV96" s="30"/>
      <c r="OW96" s="30"/>
      <c r="OX96" s="30"/>
      <c r="OY96" s="30"/>
      <c r="OZ96" s="30"/>
      <c r="PA96" s="30"/>
      <c r="PB96" s="30"/>
      <c r="PC96" s="30"/>
      <c r="PD96" s="30"/>
      <c r="PE96" s="30"/>
      <c r="PF96" s="30"/>
      <c r="PG96" s="30"/>
      <c r="PH96" s="30"/>
      <c r="PI96" s="30"/>
      <c r="PJ96" s="30"/>
      <c r="PK96" s="30"/>
      <c r="PL96" s="30"/>
      <c r="PM96" s="30"/>
      <c r="PN96" s="30"/>
      <c r="PO96" s="30"/>
      <c r="PP96" s="30"/>
      <c r="PQ96" s="30"/>
      <c r="PR96" s="30"/>
      <c r="PS96" s="30"/>
      <c r="PT96" s="30"/>
      <c r="PU96" s="30"/>
      <c r="PV96" s="30"/>
      <c r="PW96" s="30"/>
      <c r="PX96" s="30"/>
      <c r="PY96" s="30"/>
      <c r="PZ96" s="30"/>
      <c r="QA96" s="30"/>
      <c r="QB96" s="30"/>
      <c r="QC96" s="30"/>
      <c r="QD96" s="30"/>
      <c r="QE96" s="30"/>
      <c r="QF96" s="30"/>
      <c r="QG96" s="30"/>
      <c r="QH96" s="30"/>
      <c r="QI96" s="30"/>
      <c r="QJ96" s="30"/>
      <c r="QK96" s="30"/>
      <c r="QL96" s="30"/>
      <c r="QM96" s="30"/>
      <c r="QN96" s="30"/>
      <c r="QO96" s="30"/>
      <c r="QP96" s="30"/>
      <c r="QQ96" s="30"/>
      <c r="QR96" s="30"/>
      <c r="QS96" s="30"/>
      <c r="QT96" s="30"/>
      <c r="QU96" s="30"/>
      <c r="QV96" s="30"/>
      <c r="QW96" s="30"/>
      <c r="QX96" s="30"/>
      <c r="QY96" s="30"/>
      <c r="QZ96" s="30"/>
      <c r="RA96" s="30"/>
      <c r="RB96" s="30"/>
      <c r="RC96" s="30"/>
      <c r="RD96" s="30"/>
      <c r="RE96" s="30"/>
      <c r="RF96" s="30"/>
      <c r="RG96" s="30"/>
      <c r="RH96" s="30"/>
      <c r="RI96" s="30"/>
      <c r="RJ96" s="30"/>
      <c r="RK96" s="30"/>
      <c r="RL96" s="30"/>
      <c r="RM96" s="30"/>
      <c r="RN96" s="30"/>
      <c r="RO96" s="30"/>
      <c r="RP96" s="30"/>
      <c r="RQ96" s="30"/>
      <c r="RR96" s="30"/>
      <c r="RS96" s="30"/>
      <c r="RT96" s="30"/>
      <c r="RU96" s="30"/>
      <c r="RV96" s="30"/>
      <c r="RW96" s="30"/>
      <c r="RX96" s="30"/>
      <c r="RY96" s="30"/>
      <c r="RZ96" s="30"/>
      <c r="SA96" s="30"/>
      <c r="SB96" s="30"/>
      <c r="SC96" s="30"/>
      <c r="SD96" s="30"/>
    </row>
    <row r="97" spans="1:498" s="20" customFormat="1" hidden="1">
      <c r="A97" s="69"/>
      <c r="B97" s="69" t="s">
        <v>24</v>
      </c>
      <c r="C97" s="69"/>
      <c r="D97" s="69"/>
      <c r="E97" s="21"/>
      <c r="F97" s="25">
        <f t="shared" ref="F97:AI97" si="74">F54-F55+N("Annual income minus exemption")</f>
        <v>17445</v>
      </c>
      <c r="G97" s="25">
        <f t="shared" si="74"/>
        <v>18392.449500000002</v>
      </c>
      <c r="H97" s="25">
        <f t="shared" si="74"/>
        <v>19384.063182450005</v>
      </c>
      <c r="I97" s="25">
        <f t="shared" si="74"/>
        <v>20421.7648963295</v>
      </c>
      <c r="J97" s="25">
        <f t="shared" si="74"/>
        <v>21507.559392347375</v>
      </c>
      <c r="K97" s="25">
        <f t="shared" si="74"/>
        <v>22643.535658100096</v>
      </c>
      <c r="L97" s="25">
        <f t="shared" si="74"/>
        <v>23831.870389123407</v>
      </c>
      <c r="M97" s="25">
        <f t="shared" si="74"/>
        <v>25074.831601335598</v>
      </c>
      <c r="N97" s="25">
        <f t="shared" si="74"/>
        <v>26374.782390592125</v>
      </c>
      <c r="O97" s="25">
        <f t="shared" si="74"/>
        <v>27734.184845301508</v>
      </c>
      <c r="P97" s="25">
        <f t="shared" si="74"/>
        <v>29155.604118292322</v>
      </c>
      <c r="Q97" s="25">
        <f t="shared" si="74"/>
        <v>30641.712664370149</v>
      </c>
      <c r="R97" s="25">
        <f t="shared" si="74"/>
        <v>32195.294650262887</v>
      </c>
      <c r="S97" s="25">
        <f t="shared" si="74"/>
        <v>33819.2505439222</v>
      </c>
      <c r="T97" s="25">
        <f t="shared" si="74"/>
        <v>35516.601890429891</v>
      </c>
      <c r="U97" s="25">
        <f t="shared" si="74"/>
        <v>37290.496282049127</v>
      </c>
      <c r="V97" s="25">
        <f t="shared" si="74"/>
        <v>39144.212530264784</v>
      </c>
      <c r="W97" s="25">
        <f t="shared" si="74"/>
        <v>41081.166047972103</v>
      </c>
      <c r="X97" s="25">
        <f t="shared" si="74"/>
        <v>43104.914450301774</v>
      </c>
      <c r="Y97" s="25">
        <f t="shared" si="74"/>
        <v>45219.163382910956</v>
      </c>
      <c r="Z97" s="25">
        <f t="shared" si="74"/>
        <v>47427.772586924868</v>
      </c>
      <c r="AA97" s="25">
        <f t="shared" si="74"/>
        <v>49734.762210083674</v>
      </c>
      <c r="AB97" s="25">
        <f t="shared" si="74"/>
        <v>52144.319374032821</v>
      </c>
      <c r="AC97" s="25">
        <f t="shared" si="74"/>
        <v>54660.80500809614</v>
      </c>
      <c r="AD97" s="25">
        <f t="shared" si="74"/>
        <v>57288.76096028545</v>
      </c>
      <c r="AE97" s="22">
        <f t="shared" si="74"/>
        <v>-31138.685140135683</v>
      </c>
      <c r="AF97" s="22">
        <f t="shared" si="74"/>
        <v>-31920.266137153085</v>
      </c>
      <c r="AG97" s="22">
        <f t="shared" si="74"/>
        <v>-32721.464817195629</v>
      </c>
      <c r="AH97" s="22">
        <f t="shared" si="74"/>
        <v>-33542.773584107235</v>
      </c>
      <c r="AI97" s="22">
        <f t="shared" si="74"/>
        <v>-34384.697201068324</v>
      </c>
      <c r="AJ97" s="60"/>
      <c r="AK97" s="60"/>
      <c r="AL97" s="60"/>
      <c r="AM97" s="60"/>
      <c r="AN97" s="60"/>
      <c r="AO97" s="6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c r="KB97" s="30"/>
      <c r="KC97" s="30"/>
      <c r="KD97" s="30"/>
      <c r="KE97" s="30"/>
      <c r="KF97" s="30"/>
      <c r="KG97" s="30"/>
      <c r="KH97" s="30"/>
      <c r="KI97" s="30"/>
      <c r="KJ97" s="30"/>
      <c r="KK97" s="30"/>
      <c r="KL97" s="30"/>
      <c r="KM97" s="30"/>
      <c r="KN97" s="30"/>
      <c r="KO97" s="30"/>
      <c r="KP97" s="30"/>
      <c r="KQ97" s="30"/>
      <c r="KR97" s="30"/>
      <c r="KS97" s="30"/>
      <c r="KT97" s="30"/>
      <c r="KU97" s="30"/>
      <c r="KV97" s="30"/>
      <c r="KW97" s="30"/>
      <c r="KX97" s="30"/>
      <c r="KY97" s="30"/>
      <c r="KZ97" s="30"/>
      <c r="LA97" s="30"/>
      <c r="LB97" s="30"/>
      <c r="LC97" s="30"/>
      <c r="LD97" s="30"/>
      <c r="LE97" s="30"/>
      <c r="LF97" s="30"/>
      <c r="LG97" s="30"/>
      <c r="LH97" s="30"/>
      <c r="LI97" s="30"/>
      <c r="LJ97" s="30"/>
      <c r="LK97" s="30"/>
      <c r="LL97" s="30"/>
      <c r="LM97" s="30"/>
      <c r="LN97" s="30"/>
      <c r="LO97" s="30"/>
      <c r="LP97" s="30"/>
      <c r="LQ97" s="30"/>
      <c r="LR97" s="30"/>
      <c r="LS97" s="30"/>
      <c r="LT97" s="30"/>
      <c r="LU97" s="30"/>
      <c r="LV97" s="30"/>
      <c r="LW97" s="30"/>
      <c r="LX97" s="30"/>
      <c r="LY97" s="30"/>
      <c r="LZ97" s="30"/>
      <c r="MA97" s="30"/>
      <c r="MB97" s="30"/>
      <c r="MC97" s="30"/>
      <c r="MD97" s="30"/>
      <c r="ME97" s="30"/>
      <c r="MF97" s="30"/>
      <c r="MG97" s="30"/>
      <c r="MH97" s="30"/>
      <c r="MI97" s="30"/>
      <c r="MJ97" s="30"/>
      <c r="MK97" s="30"/>
      <c r="ML97" s="30"/>
      <c r="MM97" s="30"/>
      <c r="MN97" s="30"/>
      <c r="MO97" s="30"/>
      <c r="MP97" s="30"/>
      <c r="MQ97" s="30"/>
      <c r="MR97" s="30"/>
      <c r="MS97" s="30"/>
      <c r="MT97" s="30"/>
      <c r="MU97" s="30"/>
      <c r="MV97" s="30"/>
      <c r="MW97" s="30"/>
      <c r="MX97" s="30"/>
      <c r="MY97" s="30"/>
      <c r="MZ97" s="30"/>
      <c r="NA97" s="30"/>
      <c r="NB97" s="30"/>
      <c r="NC97" s="30"/>
      <c r="ND97" s="30"/>
      <c r="NE97" s="30"/>
      <c r="NF97" s="30"/>
      <c r="NG97" s="30"/>
      <c r="NH97" s="30"/>
      <c r="NI97" s="30"/>
      <c r="NJ97" s="30"/>
      <c r="NK97" s="30"/>
      <c r="NL97" s="30"/>
      <c r="NM97" s="30"/>
      <c r="NN97" s="30"/>
      <c r="NO97" s="30"/>
      <c r="NP97" s="30"/>
      <c r="NQ97" s="30"/>
      <c r="NR97" s="30"/>
      <c r="NS97" s="30"/>
      <c r="NT97" s="30"/>
      <c r="NU97" s="30"/>
      <c r="NV97" s="30"/>
      <c r="NW97" s="30"/>
      <c r="NX97" s="30"/>
      <c r="NY97" s="30"/>
      <c r="NZ97" s="30"/>
      <c r="OA97" s="30"/>
      <c r="OB97" s="30"/>
      <c r="OC97" s="30"/>
      <c r="OD97" s="30"/>
      <c r="OE97" s="30"/>
      <c r="OF97" s="30"/>
      <c r="OG97" s="30"/>
      <c r="OH97" s="30"/>
      <c r="OI97" s="30"/>
      <c r="OJ97" s="30"/>
      <c r="OK97" s="30"/>
      <c r="OL97" s="30"/>
      <c r="OM97" s="30"/>
      <c r="ON97" s="30"/>
      <c r="OO97" s="30"/>
      <c r="OP97" s="30"/>
      <c r="OQ97" s="30"/>
      <c r="OR97" s="30"/>
      <c r="OS97" s="30"/>
      <c r="OT97" s="30"/>
      <c r="OU97" s="30"/>
      <c r="OV97" s="30"/>
      <c r="OW97" s="30"/>
      <c r="OX97" s="30"/>
      <c r="OY97" s="30"/>
      <c r="OZ97" s="30"/>
      <c r="PA97" s="30"/>
      <c r="PB97" s="30"/>
      <c r="PC97" s="30"/>
      <c r="PD97" s="30"/>
      <c r="PE97" s="30"/>
      <c r="PF97" s="30"/>
      <c r="PG97" s="30"/>
      <c r="PH97" s="30"/>
      <c r="PI97" s="30"/>
      <c r="PJ97" s="30"/>
      <c r="PK97" s="30"/>
      <c r="PL97" s="30"/>
      <c r="PM97" s="30"/>
      <c r="PN97" s="30"/>
      <c r="PO97" s="30"/>
      <c r="PP97" s="30"/>
      <c r="PQ97" s="30"/>
      <c r="PR97" s="30"/>
      <c r="PS97" s="30"/>
      <c r="PT97" s="30"/>
      <c r="PU97" s="30"/>
      <c r="PV97" s="30"/>
      <c r="PW97" s="30"/>
      <c r="PX97" s="30"/>
      <c r="PY97" s="30"/>
      <c r="PZ97" s="30"/>
      <c r="QA97" s="30"/>
      <c r="QB97" s="30"/>
      <c r="QC97" s="30"/>
      <c r="QD97" s="30"/>
      <c r="QE97" s="30"/>
      <c r="QF97" s="30"/>
      <c r="QG97" s="30"/>
      <c r="QH97" s="30"/>
      <c r="QI97" s="30"/>
      <c r="QJ97" s="30"/>
      <c r="QK97" s="30"/>
      <c r="QL97" s="30"/>
      <c r="QM97" s="30"/>
      <c r="QN97" s="30"/>
      <c r="QO97" s="30"/>
      <c r="QP97" s="30"/>
      <c r="QQ97" s="30"/>
      <c r="QR97" s="30"/>
      <c r="QS97" s="30"/>
      <c r="QT97" s="30"/>
      <c r="QU97" s="30"/>
      <c r="QV97" s="30"/>
      <c r="QW97" s="30"/>
      <c r="QX97" s="30"/>
      <c r="QY97" s="30"/>
      <c r="QZ97" s="30"/>
      <c r="RA97" s="30"/>
      <c r="RB97" s="30"/>
      <c r="RC97" s="30"/>
      <c r="RD97" s="30"/>
      <c r="RE97" s="30"/>
      <c r="RF97" s="30"/>
      <c r="RG97" s="30"/>
      <c r="RH97" s="30"/>
      <c r="RI97" s="30"/>
      <c r="RJ97" s="30"/>
      <c r="RK97" s="30"/>
      <c r="RL97" s="30"/>
      <c r="RM97" s="30"/>
      <c r="RN97" s="30"/>
      <c r="RO97" s="30"/>
      <c r="RP97" s="30"/>
      <c r="RQ97" s="30"/>
      <c r="RR97" s="30"/>
      <c r="RS97" s="30"/>
      <c r="RT97" s="30"/>
      <c r="RU97" s="30"/>
      <c r="RV97" s="30"/>
      <c r="RW97" s="30"/>
      <c r="RX97" s="30"/>
      <c r="RY97" s="30"/>
      <c r="RZ97" s="30"/>
      <c r="SA97" s="30"/>
      <c r="SB97" s="30"/>
      <c r="SC97" s="30"/>
      <c r="SD97" s="30"/>
    </row>
    <row r="98" spans="1:498" s="20" customFormat="1" hidden="1">
      <c r="A98" s="69"/>
      <c r="B98" s="69" t="s">
        <v>25</v>
      </c>
      <c r="C98" s="69"/>
      <c r="D98" s="69"/>
      <c r="E98" s="21"/>
      <c r="F98" s="25">
        <f>F97*$C$15+N("Income minus exemption multiplied by the percentage of share of income you must pay")</f>
        <v>2616.75</v>
      </c>
      <c r="G98" s="25">
        <f t="shared" ref="G98:AD98" si="75">G97*$C$15+N("Income minus exemption multiplied by the percentage of share of income you must pay")</f>
        <v>2758.8674250000004</v>
      </c>
      <c r="H98" s="25">
        <f t="shared" si="75"/>
        <v>2907.6094773675009</v>
      </c>
      <c r="I98" s="25">
        <f t="shared" si="75"/>
        <v>3063.2647344494249</v>
      </c>
      <c r="J98" s="25">
        <f t="shared" si="75"/>
        <v>3226.1339088521063</v>
      </c>
      <c r="K98" s="25">
        <f t="shared" si="75"/>
        <v>3396.5303487150145</v>
      </c>
      <c r="L98" s="25">
        <f t="shared" si="75"/>
        <v>3574.7805583685108</v>
      </c>
      <c r="M98" s="25">
        <f t="shared" si="75"/>
        <v>3761.2247402003395</v>
      </c>
      <c r="N98" s="25">
        <f t="shared" si="75"/>
        <v>3956.2173585888186</v>
      </c>
      <c r="O98" s="25">
        <f t="shared" si="75"/>
        <v>4160.1277267952264</v>
      </c>
      <c r="P98" s="25">
        <f t="shared" si="75"/>
        <v>4373.3406177438483</v>
      </c>
      <c r="Q98" s="25">
        <f t="shared" si="75"/>
        <v>4596.2568996555219</v>
      </c>
      <c r="R98" s="25">
        <f t="shared" si="75"/>
        <v>4829.2941975394333</v>
      </c>
      <c r="S98" s="25">
        <f t="shared" si="75"/>
        <v>5072.8875815883302</v>
      </c>
      <c r="T98" s="25">
        <f t="shared" si="75"/>
        <v>5327.4902835644834</v>
      </c>
      <c r="U98" s="25">
        <f t="shared" si="75"/>
        <v>5593.5744423073693</v>
      </c>
      <c r="V98" s="25">
        <f t="shared" si="75"/>
        <v>5871.6318795397174</v>
      </c>
      <c r="W98" s="25">
        <f t="shared" si="75"/>
        <v>6162.1749071958156</v>
      </c>
      <c r="X98" s="25">
        <f t="shared" si="75"/>
        <v>6465.7371675452659</v>
      </c>
      <c r="Y98" s="25">
        <f t="shared" si="75"/>
        <v>6782.8745074366434</v>
      </c>
      <c r="Z98" s="25">
        <f t="shared" si="75"/>
        <v>7114.1658880387304</v>
      </c>
      <c r="AA98" s="25">
        <f t="shared" si="75"/>
        <v>7460.2143315125504</v>
      </c>
      <c r="AB98" s="25">
        <f t="shared" si="75"/>
        <v>7821.6479061049231</v>
      </c>
      <c r="AC98" s="25">
        <f t="shared" si="75"/>
        <v>8199.120751214421</v>
      </c>
      <c r="AD98" s="25">
        <f t="shared" si="75"/>
        <v>8593.3141440428171</v>
      </c>
      <c r="AE98" s="22"/>
      <c r="AF98" s="22"/>
      <c r="AG98" s="22"/>
      <c r="AH98" s="22"/>
      <c r="AI98" s="22"/>
      <c r="AJ98" s="60"/>
      <c r="AK98" s="60"/>
      <c r="AL98" s="60"/>
      <c r="AM98" s="60"/>
      <c r="AN98" s="60"/>
      <c r="AO98" s="6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c r="KB98" s="30"/>
      <c r="KC98" s="30"/>
      <c r="KD98" s="30"/>
      <c r="KE98" s="30"/>
      <c r="KF98" s="30"/>
      <c r="KG98" s="30"/>
      <c r="KH98" s="30"/>
      <c r="KI98" s="30"/>
      <c r="KJ98" s="30"/>
      <c r="KK98" s="30"/>
      <c r="KL98" s="30"/>
      <c r="KM98" s="30"/>
      <c r="KN98" s="30"/>
      <c r="KO98" s="30"/>
      <c r="KP98" s="30"/>
      <c r="KQ98" s="30"/>
      <c r="KR98" s="30"/>
      <c r="KS98" s="30"/>
      <c r="KT98" s="30"/>
      <c r="KU98" s="30"/>
      <c r="KV98" s="30"/>
      <c r="KW98" s="30"/>
      <c r="KX98" s="30"/>
      <c r="KY98" s="30"/>
      <c r="KZ98" s="30"/>
      <c r="LA98" s="30"/>
      <c r="LB98" s="30"/>
      <c r="LC98" s="30"/>
      <c r="LD98" s="30"/>
      <c r="LE98" s="30"/>
      <c r="LF98" s="30"/>
      <c r="LG98" s="30"/>
      <c r="LH98" s="30"/>
      <c r="LI98" s="30"/>
      <c r="LJ98" s="30"/>
      <c r="LK98" s="30"/>
      <c r="LL98" s="30"/>
      <c r="LM98" s="30"/>
      <c r="LN98" s="30"/>
      <c r="LO98" s="30"/>
      <c r="LP98" s="30"/>
      <c r="LQ98" s="30"/>
      <c r="LR98" s="30"/>
      <c r="LS98" s="30"/>
      <c r="LT98" s="30"/>
      <c r="LU98" s="30"/>
      <c r="LV98" s="30"/>
      <c r="LW98" s="30"/>
      <c r="LX98" s="30"/>
      <c r="LY98" s="30"/>
      <c r="LZ98" s="30"/>
      <c r="MA98" s="30"/>
      <c r="MB98" s="30"/>
      <c r="MC98" s="30"/>
      <c r="MD98" s="30"/>
      <c r="ME98" s="30"/>
      <c r="MF98" s="30"/>
      <c r="MG98" s="30"/>
      <c r="MH98" s="30"/>
      <c r="MI98" s="30"/>
      <c r="MJ98" s="30"/>
      <c r="MK98" s="30"/>
      <c r="ML98" s="30"/>
      <c r="MM98" s="30"/>
      <c r="MN98" s="30"/>
      <c r="MO98" s="30"/>
      <c r="MP98" s="30"/>
      <c r="MQ98" s="30"/>
      <c r="MR98" s="30"/>
      <c r="MS98" s="30"/>
      <c r="MT98" s="30"/>
      <c r="MU98" s="30"/>
      <c r="MV98" s="30"/>
      <c r="MW98" s="30"/>
      <c r="MX98" s="30"/>
      <c r="MY98" s="30"/>
      <c r="MZ98" s="30"/>
      <c r="NA98" s="30"/>
      <c r="NB98" s="30"/>
      <c r="NC98" s="30"/>
      <c r="ND98" s="30"/>
      <c r="NE98" s="30"/>
      <c r="NF98" s="30"/>
      <c r="NG98" s="30"/>
      <c r="NH98" s="30"/>
      <c r="NI98" s="30"/>
      <c r="NJ98" s="30"/>
      <c r="NK98" s="30"/>
      <c r="NL98" s="30"/>
      <c r="NM98" s="30"/>
      <c r="NN98" s="30"/>
      <c r="NO98" s="30"/>
      <c r="NP98" s="30"/>
      <c r="NQ98" s="30"/>
      <c r="NR98" s="30"/>
      <c r="NS98" s="30"/>
      <c r="NT98" s="30"/>
      <c r="NU98" s="30"/>
      <c r="NV98" s="30"/>
      <c r="NW98" s="30"/>
      <c r="NX98" s="30"/>
      <c r="NY98" s="30"/>
      <c r="NZ98" s="30"/>
      <c r="OA98" s="30"/>
      <c r="OB98" s="30"/>
      <c r="OC98" s="30"/>
      <c r="OD98" s="30"/>
      <c r="OE98" s="30"/>
      <c r="OF98" s="30"/>
      <c r="OG98" s="30"/>
      <c r="OH98" s="30"/>
      <c r="OI98" s="30"/>
      <c r="OJ98" s="30"/>
      <c r="OK98" s="30"/>
      <c r="OL98" s="30"/>
      <c r="OM98" s="30"/>
      <c r="ON98" s="30"/>
      <c r="OO98" s="30"/>
      <c r="OP98" s="30"/>
      <c r="OQ98" s="30"/>
      <c r="OR98" s="30"/>
      <c r="OS98" s="30"/>
      <c r="OT98" s="30"/>
      <c r="OU98" s="30"/>
      <c r="OV98" s="30"/>
      <c r="OW98" s="30"/>
      <c r="OX98" s="30"/>
      <c r="OY98" s="30"/>
      <c r="OZ98" s="30"/>
      <c r="PA98" s="30"/>
      <c r="PB98" s="30"/>
      <c r="PC98" s="30"/>
      <c r="PD98" s="30"/>
      <c r="PE98" s="30"/>
      <c r="PF98" s="30"/>
      <c r="PG98" s="30"/>
      <c r="PH98" s="30"/>
      <c r="PI98" s="30"/>
      <c r="PJ98" s="30"/>
      <c r="PK98" s="30"/>
      <c r="PL98" s="30"/>
      <c r="PM98" s="30"/>
      <c r="PN98" s="30"/>
      <c r="PO98" s="30"/>
      <c r="PP98" s="30"/>
      <c r="PQ98" s="30"/>
      <c r="PR98" s="30"/>
      <c r="PS98" s="30"/>
      <c r="PT98" s="30"/>
      <c r="PU98" s="30"/>
      <c r="PV98" s="30"/>
      <c r="PW98" s="30"/>
      <c r="PX98" s="30"/>
      <c r="PY98" s="30"/>
      <c r="PZ98" s="30"/>
      <c r="QA98" s="30"/>
      <c r="QB98" s="30"/>
      <c r="QC98" s="30"/>
      <c r="QD98" s="30"/>
      <c r="QE98" s="30"/>
      <c r="QF98" s="30"/>
      <c r="QG98" s="30"/>
      <c r="QH98" s="30"/>
      <c r="QI98" s="30"/>
      <c r="QJ98" s="30"/>
      <c r="QK98" s="30"/>
      <c r="QL98" s="30"/>
      <c r="QM98" s="30"/>
      <c r="QN98" s="30"/>
      <c r="QO98" s="30"/>
      <c r="QP98" s="30"/>
      <c r="QQ98" s="30"/>
      <c r="QR98" s="30"/>
      <c r="QS98" s="30"/>
      <c r="QT98" s="30"/>
      <c r="QU98" s="30"/>
      <c r="QV98" s="30"/>
      <c r="QW98" s="30"/>
      <c r="QX98" s="30"/>
      <c r="QY98" s="30"/>
      <c r="QZ98" s="30"/>
      <c r="RA98" s="30"/>
      <c r="RB98" s="30"/>
      <c r="RC98" s="30"/>
      <c r="RD98" s="30"/>
      <c r="RE98" s="30"/>
      <c r="RF98" s="30"/>
      <c r="RG98" s="30"/>
      <c r="RH98" s="30"/>
      <c r="RI98" s="30"/>
      <c r="RJ98" s="30"/>
      <c r="RK98" s="30"/>
      <c r="RL98" s="30"/>
      <c r="RM98" s="30"/>
      <c r="RN98" s="30"/>
      <c r="RO98" s="30"/>
      <c r="RP98" s="30"/>
      <c r="RQ98" s="30"/>
      <c r="RR98" s="30"/>
      <c r="RS98" s="30"/>
      <c r="RT98" s="30"/>
      <c r="RU98" s="30"/>
      <c r="RV98" s="30"/>
      <c r="RW98" s="30"/>
      <c r="RX98" s="30"/>
      <c r="RY98" s="30"/>
      <c r="RZ98" s="30"/>
      <c r="SA98" s="30"/>
      <c r="SB98" s="30"/>
      <c r="SC98" s="30"/>
      <c r="SD98" s="30"/>
    </row>
    <row r="99" spans="1:498" s="20" customFormat="1" hidden="1">
      <c r="A99" s="69"/>
      <c r="B99" s="69"/>
      <c r="C99" s="69"/>
      <c r="D99" s="69"/>
      <c r="E99" s="21"/>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J99" s="60"/>
      <c r="AK99" s="60"/>
      <c r="AL99" s="60"/>
      <c r="AM99" s="60"/>
      <c r="AN99" s="60"/>
      <c r="AO99" s="6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c r="KJ99" s="30"/>
      <c r="KK99" s="30"/>
      <c r="KL99" s="30"/>
      <c r="KM99" s="30"/>
      <c r="KN99" s="30"/>
      <c r="KO99" s="30"/>
      <c r="KP99" s="30"/>
      <c r="KQ99" s="30"/>
      <c r="KR99" s="30"/>
      <c r="KS99" s="30"/>
      <c r="KT99" s="30"/>
      <c r="KU99" s="30"/>
      <c r="KV99" s="30"/>
      <c r="KW99" s="30"/>
      <c r="KX99" s="30"/>
      <c r="KY99" s="30"/>
      <c r="KZ99" s="30"/>
      <c r="LA99" s="30"/>
      <c r="LB99" s="30"/>
      <c r="LC99" s="30"/>
      <c r="LD99" s="30"/>
      <c r="LE99" s="30"/>
      <c r="LF99" s="30"/>
      <c r="LG99" s="30"/>
      <c r="LH99" s="30"/>
      <c r="LI99" s="30"/>
      <c r="LJ99" s="30"/>
      <c r="LK99" s="30"/>
      <c r="LL99" s="30"/>
      <c r="LM99" s="30"/>
      <c r="LN99" s="30"/>
      <c r="LO99" s="30"/>
      <c r="LP99" s="30"/>
      <c r="LQ99" s="30"/>
      <c r="LR99" s="30"/>
      <c r="LS99" s="30"/>
      <c r="LT99" s="30"/>
      <c r="LU99" s="30"/>
      <c r="LV99" s="30"/>
      <c r="LW99" s="30"/>
      <c r="LX99" s="30"/>
      <c r="LY99" s="30"/>
      <c r="LZ99" s="30"/>
      <c r="MA99" s="30"/>
      <c r="MB99" s="30"/>
      <c r="MC99" s="30"/>
      <c r="MD99" s="30"/>
      <c r="ME99" s="30"/>
      <c r="MF99" s="30"/>
      <c r="MG99" s="30"/>
      <c r="MH99" s="30"/>
      <c r="MI99" s="30"/>
      <c r="MJ99" s="30"/>
      <c r="MK99" s="30"/>
      <c r="ML99" s="30"/>
      <c r="MM99" s="30"/>
      <c r="MN99" s="30"/>
      <c r="MO99" s="30"/>
      <c r="MP99" s="30"/>
      <c r="MQ99" s="30"/>
      <c r="MR99" s="30"/>
      <c r="MS99" s="30"/>
      <c r="MT99" s="30"/>
      <c r="MU99" s="30"/>
      <c r="MV99" s="30"/>
      <c r="MW99" s="30"/>
      <c r="MX99" s="30"/>
      <c r="MY99" s="30"/>
      <c r="MZ99" s="30"/>
      <c r="NA99" s="30"/>
      <c r="NB99" s="30"/>
      <c r="NC99" s="30"/>
      <c r="ND99" s="30"/>
      <c r="NE99" s="30"/>
      <c r="NF99" s="30"/>
      <c r="NG99" s="30"/>
      <c r="NH99" s="30"/>
      <c r="NI99" s="30"/>
      <c r="NJ99" s="30"/>
      <c r="NK99" s="30"/>
      <c r="NL99" s="30"/>
      <c r="NM99" s="30"/>
      <c r="NN99" s="30"/>
      <c r="NO99" s="30"/>
      <c r="NP99" s="30"/>
      <c r="NQ99" s="30"/>
      <c r="NR99" s="30"/>
      <c r="NS99" s="30"/>
      <c r="NT99" s="30"/>
      <c r="NU99" s="30"/>
      <c r="NV99" s="30"/>
      <c r="NW99" s="30"/>
      <c r="NX99" s="30"/>
      <c r="NY99" s="30"/>
      <c r="NZ99" s="30"/>
      <c r="OA99" s="30"/>
      <c r="OB99" s="30"/>
      <c r="OC99" s="30"/>
      <c r="OD99" s="30"/>
      <c r="OE99" s="30"/>
      <c r="OF99" s="30"/>
      <c r="OG99" s="30"/>
      <c r="OH99" s="30"/>
      <c r="OI99" s="30"/>
      <c r="OJ99" s="30"/>
      <c r="OK99" s="30"/>
      <c r="OL99" s="30"/>
      <c r="OM99" s="30"/>
      <c r="ON99" s="30"/>
      <c r="OO99" s="30"/>
      <c r="OP99" s="30"/>
      <c r="OQ99" s="30"/>
      <c r="OR99" s="30"/>
      <c r="OS99" s="30"/>
      <c r="OT99" s="30"/>
      <c r="OU99" s="30"/>
      <c r="OV99" s="30"/>
      <c r="OW99" s="30"/>
      <c r="OX99" s="30"/>
      <c r="OY99" s="30"/>
      <c r="OZ99" s="30"/>
      <c r="PA99" s="30"/>
      <c r="PB99" s="30"/>
      <c r="PC99" s="30"/>
      <c r="PD99" s="30"/>
      <c r="PE99" s="30"/>
      <c r="PF99" s="30"/>
      <c r="PG99" s="30"/>
      <c r="PH99" s="30"/>
      <c r="PI99" s="30"/>
      <c r="PJ99" s="30"/>
      <c r="PK99" s="30"/>
      <c r="PL99" s="30"/>
      <c r="PM99" s="30"/>
      <c r="PN99" s="30"/>
      <c r="PO99" s="30"/>
      <c r="PP99" s="30"/>
      <c r="PQ99" s="30"/>
      <c r="PR99" s="30"/>
      <c r="PS99" s="30"/>
      <c r="PT99" s="30"/>
      <c r="PU99" s="30"/>
      <c r="PV99" s="30"/>
      <c r="PW99" s="30"/>
      <c r="PX99" s="30"/>
      <c r="PY99" s="30"/>
      <c r="PZ99" s="30"/>
      <c r="QA99" s="30"/>
      <c r="QB99" s="30"/>
      <c r="QC99" s="30"/>
      <c r="QD99" s="30"/>
      <c r="QE99" s="30"/>
      <c r="QF99" s="30"/>
      <c r="QG99" s="30"/>
      <c r="QH99" s="30"/>
      <c r="QI99" s="30"/>
      <c r="QJ99" s="30"/>
      <c r="QK99" s="30"/>
      <c r="QL99" s="30"/>
      <c r="QM99" s="30"/>
      <c r="QN99" s="30"/>
      <c r="QO99" s="30"/>
      <c r="QP99" s="30"/>
      <c r="QQ99" s="30"/>
      <c r="QR99" s="30"/>
      <c r="QS99" s="30"/>
      <c r="QT99" s="30"/>
      <c r="QU99" s="30"/>
      <c r="QV99" s="30"/>
      <c r="QW99" s="30"/>
      <c r="QX99" s="30"/>
      <c r="QY99" s="30"/>
      <c r="QZ99" s="30"/>
      <c r="RA99" s="30"/>
      <c r="RB99" s="30"/>
      <c r="RC99" s="30"/>
      <c r="RD99" s="30"/>
      <c r="RE99" s="30"/>
      <c r="RF99" s="30"/>
      <c r="RG99" s="30"/>
      <c r="RH99" s="30"/>
      <c r="RI99" s="30"/>
      <c r="RJ99" s="30"/>
      <c r="RK99" s="30"/>
      <c r="RL99" s="30"/>
      <c r="RM99" s="30"/>
      <c r="RN99" s="30"/>
      <c r="RO99" s="30"/>
      <c r="RP99" s="30"/>
      <c r="RQ99" s="30"/>
      <c r="RR99" s="30"/>
      <c r="RS99" s="30"/>
      <c r="RT99" s="30"/>
      <c r="RU99" s="30"/>
      <c r="RV99" s="30"/>
      <c r="RW99" s="30"/>
      <c r="RX99" s="30"/>
      <c r="RY99" s="30"/>
      <c r="RZ99" s="30"/>
      <c r="SA99" s="30"/>
      <c r="SB99" s="30"/>
      <c r="SC99" s="30"/>
      <c r="SD99" s="30"/>
    </row>
    <row r="100" spans="1:498" s="20" customFormat="1" hidden="1">
      <c r="A100" s="69"/>
      <c r="B100" s="91" t="s">
        <v>35</v>
      </c>
      <c r="C100" s="69"/>
      <c r="D100" s="69"/>
      <c r="E100" s="21" t="s">
        <v>7</v>
      </c>
      <c r="F100" s="30">
        <v>1</v>
      </c>
      <c r="G100" s="30">
        <v>2</v>
      </c>
      <c r="H100" s="30">
        <v>3</v>
      </c>
      <c r="I100" s="30">
        <v>4</v>
      </c>
      <c r="J100" s="30">
        <v>5</v>
      </c>
      <c r="K100" s="30">
        <v>6</v>
      </c>
      <c r="L100" s="30">
        <v>7</v>
      </c>
      <c r="M100" s="30">
        <v>8</v>
      </c>
      <c r="N100" s="30">
        <v>9</v>
      </c>
      <c r="O100" s="30">
        <v>10</v>
      </c>
      <c r="P100" s="30">
        <v>11</v>
      </c>
      <c r="Q100" s="30">
        <v>12</v>
      </c>
      <c r="R100" s="30">
        <v>13</v>
      </c>
      <c r="S100" s="30">
        <v>14</v>
      </c>
      <c r="T100" s="30">
        <v>15</v>
      </c>
      <c r="U100" s="30">
        <v>16</v>
      </c>
      <c r="V100" s="30">
        <v>17</v>
      </c>
      <c r="W100" s="30">
        <v>18</v>
      </c>
      <c r="X100" s="30">
        <v>19</v>
      </c>
      <c r="Y100" s="30">
        <v>20</v>
      </c>
      <c r="Z100" s="30">
        <v>21</v>
      </c>
      <c r="AA100" s="30">
        <v>22</v>
      </c>
      <c r="AB100" s="30">
        <v>23</v>
      </c>
      <c r="AC100" s="30">
        <v>24</v>
      </c>
      <c r="AD100" s="30">
        <v>25</v>
      </c>
      <c r="AJ100" s="60"/>
      <c r="AK100" s="60"/>
      <c r="AL100" s="60"/>
      <c r="AM100" s="60"/>
      <c r="AN100" s="60"/>
      <c r="AO100" s="6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c r="JL100" s="30"/>
      <c r="JM100" s="30"/>
      <c r="JN100" s="30"/>
      <c r="JO100" s="30"/>
      <c r="JP100" s="30"/>
      <c r="JQ100" s="30"/>
      <c r="JR100" s="30"/>
      <c r="JS100" s="30"/>
      <c r="JT100" s="30"/>
      <c r="JU100" s="30"/>
      <c r="JV100" s="30"/>
      <c r="JW100" s="30"/>
      <c r="JX100" s="30"/>
      <c r="JY100" s="30"/>
      <c r="JZ100" s="30"/>
      <c r="KA100" s="30"/>
      <c r="KB100" s="30"/>
      <c r="KC100" s="30"/>
      <c r="KD100" s="30"/>
      <c r="KE100" s="30"/>
      <c r="KF100" s="30"/>
      <c r="KG100" s="30"/>
      <c r="KH100" s="30"/>
      <c r="KI100" s="30"/>
      <c r="KJ100" s="30"/>
      <c r="KK100" s="30"/>
      <c r="KL100" s="30"/>
      <c r="KM100" s="30"/>
      <c r="KN100" s="30"/>
      <c r="KO100" s="30"/>
      <c r="KP100" s="30"/>
      <c r="KQ100" s="30"/>
      <c r="KR100" s="30"/>
      <c r="KS100" s="30"/>
      <c r="KT100" s="30"/>
      <c r="KU100" s="30"/>
      <c r="KV100" s="30"/>
      <c r="KW100" s="30"/>
      <c r="KX100" s="30"/>
      <c r="KY100" s="30"/>
      <c r="KZ100" s="30"/>
      <c r="LA100" s="30"/>
      <c r="LB100" s="30"/>
      <c r="LC100" s="30"/>
      <c r="LD100" s="30"/>
      <c r="LE100" s="30"/>
      <c r="LF100" s="30"/>
      <c r="LG100" s="30"/>
      <c r="LH100" s="30"/>
      <c r="LI100" s="30"/>
      <c r="LJ100" s="30"/>
      <c r="LK100" s="30"/>
      <c r="LL100" s="30"/>
      <c r="LM100" s="30"/>
      <c r="LN100" s="30"/>
      <c r="LO100" s="30"/>
      <c r="LP100" s="30"/>
      <c r="LQ100" s="30"/>
      <c r="LR100" s="30"/>
      <c r="LS100" s="30"/>
      <c r="LT100" s="30"/>
      <c r="LU100" s="30"/>
      <c r="LV100" s="30"/>
      <c r="LW100" s="30"/>
      <c r="LX100" s="30"/>
      <c r="LY100" s="30"/>
      <c r="LZ100" s="30"/>
      <c r="MA100" s="30"/>
      <c r="MB100" s="30"/>
      <c r="MC100" s="30"/>
      <c r="MD100" s="30"/>
      <c r="ME100" s="30"/>
      <c r="MF100" s="30"/>
      <c r="MG100" s="30"/>
      <c r="MH100" s="30"/>
      <c r="MI100" s="30"/>
      <c r="MJ100" s="30"/>
      <c r="MK100" s="30"/>
      <c r="ML100" s="30"/>
      <c r="MM100" s="30"/>
      <c r="MN100" s="30"/>
      <c r="MO100" s="30"/>
      <c r="MP100" s="30"/>
      <c r="MQ100" s="30"/>
      <c r="MR100" s="30"/>
      <c r="MS100" s="30"/>
      <c r="MT100" s="30"/>
      <c r="MU100" s="30"/>
      <c r="MV100" s="30"/>
      <c r="MW100" s="30"/>
      <c r="MX100" s="30"/>
      <c r="MY100" s="30"/>
      <c r="MZ100" s="30"/>
      <c r="NA100" s="30"/>
      <c r="NB100" s="30"/>
      <c r="NC100" s="30"/>
      <c r="ND100" s="30"/>
      <c r="NE100" s="30"/>
      <c r="NF100" s="30"/>
      <c r="NG100" s="30"/>
      <c r="NH100" s="30"/>
      <c r="NI100" s="30"/>
      <c r="NJ100" s="30"/>
      <c r="NK100" s="30"/>
      <c r="NL100" s="30"/>
      <c r="NM100" s="30"/>
      <c r="NN100" s="30"/>
      <c r="NO100" s="30"/>
      <c r="NP100" s="30"/>
      <c r="NQ100" s="30"/>
      <c r="NR100" s="30"/>
      <c r="NS100" s="30"/>
      <c r="NT100" s="30"/>
      <c r="NU100" s="30"/>
      <c r="NV100" s="30"/>
      <c r="NW100" s="30"/>
      <c r="NX100" s="30"/>
      <c r="NY100" s="30"/>
      <c r="NZ100" s="30"/>
      <c r="OA100" s="30"/>
      <c r="OB100" s="30"/>
      <c r="OC100" s="30"/>
      <c r="OD100" s="30"/>
      <c r="OE100" s="30"/>
      <c r="OF100" s="30"/>
      <c r="OG100" s="30"/>
      <c r="OH100" s="30"/>
      <c r="OI100" s="30"/>
      <c r="OJ100" s="30"/>
      <c r="OK100" s="30"/>
      <c r="OL100" s="30"/>
      <c r="OM100" s="30"/>
      <c r="ON100" s="30"/>
      <c r="OO100" s="30"/>
      <c r="OP100" s="30"/>
      <c r="OQ100" s="30"/>
      <c r="OR100" s="30"/>
      <c r="OS100" s="30"/>
      <c r="OT100" s="30"/>
      <c r="OU100" s="30"/>
      <c r="OV100" s="30"/>
      <c r="OW100" s="30"/>
      <c r="OX100" s="30"/>
      <c r="OY100" s="30"/>
      <c r="OZ100" s="30"/>
      <c r="PA100" s="30"/>
      <c r="PB100" s="30"/>
      <c r="PC100" s="30"/>
      <c r="PD100" s="30"/>
      <c r="PE100" s="30"/>
      <c r="PF100" s="30"/>
      <c r="PG100" s="30"/>
      <c r="PH100" s="30"/>
      <c r="PI100" s="30"/>
      <c r="PJ100" s="30"/>
      <c r="PK100" s="30"/>
      <c r="PL100" s="30"/>
      <c r="PM100" s="30"/>
      <c r="PN100" s="30"/>
      <c r="PO100" s="30"/>
      <c r="PP100" s="30"/>
      <c r="PQ100" s="30"/>
      <c r="PR100" s="30"/>
      <c r="PS100" s="30"/>
      <c r="PT100" s="30"/>
      <c r="PU100" s="30"/>
      <c r="PV100" s="30"/>
      <c r="PW100" s="30"/>
      <c r="PX100" s="30"/>
      <c r="PY100" s="30"/>
      <c r="PZ100" s="30"/>
      <c r="QA100" s="30"/>
      <c r="QB100" s="30"/>
      <c r="QC100" s="30"/>
      <c r="QD100" s="30"/>
      <c r="QE100" s="30"/>
      <c r="QF100" s="30"/>
      <c r="QG100" s="30"/>
      <c r="QH100" s="30"/>
      <c r="QI100" s="30"/>
      <c r="QJ100" s="30"/>
      <c r="QK100" s="30"/>
      <c r="QL100" s="30"/>
      <c r="QM100" s="30"/>
      <c r="QN100" s="30"/>
      <c r="QO100" s="30"/>
      <c r="QP100" s="30"/>
      <c r="QQ100" s="30"/>
      <c r="QR100" s="30"/>
      <c r="QS100" s="30"/>
      <c r="QT100" s="30"/>
      <c r="QU100" s="30"/>
      <c r="QV100" s="30"/>
      <c r="QW100" s="30"/>
      <c r="QX100" s="30"/>
      <c r="QY100" s="30"/>
      <c r="QZ100" s="30"/>
      <c r="RA100" s="30"/>
      <c r="RB100" s="30"/>
      <c r="RC100" s="30"/>
      <c r="RD100" s="30"/>
      <c r="RE100" s="30"/>
      <c r="RF100" s="30"/>
      <c r="RG100" s="30"/>
      <c r="RH100" s="30"/>
      <c r="RI100" s="30"/>
      <c r="RJ100" s="30"/>
      <c r="RK100" s="30"/>
      <c r="RL100" s="30"/>
      <c r="RM100" s="30"/>
      <c r="RN100" s="30"/>
      <c r="RO100" s="30"/>
      <c r="RP100" s="30"/>
      <c r="RQ100" s="30"/>
      <c r="RR100" s="30"/>
      <c r="RS100" s="30"/>
      <c r="RT100" s="30"/>
      <c r="RU100" s="30"/>
      <c r="RV100" s="30"/>
      <c r="RW100" s="30"/>
      <c r="RX100" s="30"/>
      <c r="RY100" s="30"/>
      <c r="RZ100" s="30"/>
      <c r="SA100" s="30"/>
      <c r="SB100" s="30"/>
      <c r="SC100" s="30"/>
      <c r="SD100" s="30"/>
    </row>
    <row r="101" spans="1:498" s="20" customFormat="1" hidden="1">
      <c r="A101" s="69"/>
      <c r="B101" s="69" t="s">
        <v>13</v>
      </c>
      <c r="C101" s="69"/>
      <c r="D101" s="69"/>
      <c r="E101" s="21"/>
      <c r="F101" s="25">
        <f>F109*12</f>
        <v>2616.75</v>
      </c>
      <c r="G101" s="25">
        <f t="shared" ref="G101:Y101" si="76">IF(
AND(
G51&gt;20+N("If it is past the 20th year AND"),
$D$63&lt;=40000+N("The loan balance is greater than 40k THEN")),
0+N("The loan balance is zero")+N("If not, THEN"),
IF(
F107=0+N("If the preceding year's loan balance is zero then"),
0+N("the current IBR payment is zero")+N("If the condition is not met then"),
IF(
AND(
G107=0+N("If this year's loan balance will be zero AND"),
I107=0+N("two year's from now it will be zero, then")),
F107+N("this is the last year of payment, and therefore the total payment made this year will simply be the remaining loan balance from last year")+N("If not then"),
G109*12+N("The monthly IBR payment multiplied by twelve"))))</f>
        <v>2758.8674250000004</v>
      </c>
      <c r="H101" s="25">
        <f t="shared" si="76"/>
        <v>2907.6094773675009</v>
      </c>
      <c r="I101" s="25">
        <f t="shared" si="76"/>
        <v>3063.2647344494249</v>
      </c>
      <c r="J101" s="25">
        <f t="shared" si="76"/>
        <v>3226.1339088521063</v>
      </c>
      <c r="K101" s="25">
        <f t="shared" si="76"/>
        <v>3396.530348715014</v>
      </c>
      <c r="L101" s="25">
        <f t="shared" si="76"/>
        <v>3574.7805583685108</v>
      </c>
      <c r="M101" s="25">
        <f t="shared" si="76"/>
        <v>3761.2247402003395</v>
      </c>
      <c r="N101" s="25">
        <f t="shared" si="76"/>
        <v>3956.2173585888186</v>
      </c>
      <c r="O101" s="25">
        <f t="shared" si="76"/>
        <v>4160.1277267952264</v>
      </c>
      <c r="P101" s="25">
        <f t="shared" si="76"/>
        <v>4373.3406177438483</v>
      </c>
      <c r="Q101" s="25">
        <f t="shared" si="76"/>
        <v>4596.2568996555219</v>
      </c>
      <c r="R101" s="25">
        <f t="shared" si="76"/>
        <v>2608.8962042636831</v>
      </c>
      <c r="S101" s="25">
        <f t="shared" si="76"/>
        <v>0</v>
      </c>
      <c r="T101" s="25">
        <f t="shared" si="76"/>
        <v>0</v>
      </c>
      <c r="U101" s="25">
        <f t="shared" si="76"/>
        <v>0</v>
      </c>
      <c r="V101" s="25">
        <f t="shared" si="76"/>
        <v>0</v>
      </c>
      <c r="W101" s="25">
        <f t="shared" si="76"/>
        <v>0</v>
      </c>
      <c r="X101" s="25">
        <f t="shared" si="76"/>
        <v>0</v>
      </c>
      <c r="Y101" s="25">
        <f t="shared" si="76"/>
        <v>0</v>
      </c>
      <c r="Z101" s="25">
        <f>IF(
AND(
Z51&gt;20+N("If it is past the 20th year AND"),
+C10&lt;=40000+N("The loan balance is greater than 40k THEN")),
0+N("The loan balance is zero")+N("If not, THEN"),
IF(
Y107=0+N("If the preceding year's loan balance is zero then"),
0+N("the current IBR payment is zero")+N("If the condition is not met then"),
IF(
AND(
Z107=0+N("If this year's loan balance will be zero AND"),
AB107=0+N("two year's from now it will be zero, then")),
Y107+N("this is the last year of payment, and therefore the total payment made this year will simply be the remaining loan balance from last year")+N("If not then"),
Z109*12+N("The monthly IBR payment multiplied by twelve"))))</f>
        <v>0</v>
      </c>
      <c r="AA101" s="25">
        <f t="shared" ref="AA101:AD101" si="77">IF(
AND(
AA51&gt;20+N("If it is past the 20th year AND"),
$D$63&lt;=40000+N("The loan balance is greater than 40k THEN")),
0+N("The loan balance is zero")+N("If not, THEN"),
IF(
Z107=0+N("If the preceding year's loan balance is zero then"),
0+N("the current IBR payment is zero")+N("If the condition is not met then"),
IF(
AND(
AA107=0+N("If this year's loan balance will be zero AND"),
AC107=0+N("two year's from now it will be zero, then")),
Z107+N("this is the last year of payment, and therefore the total payment made this year will simply be the remaining loan balance from last year")+N("If not then"),
AA109*12+N("The monthly IBR payment multiplied by twelve"))))</f>
        <v>0</v>
      </c>
      <c r="AB101" s="25">
        <f t="shared" si="77"/>
        <v>0</v>
      </c>
      <c r="AC101" s="25">
        <f t="shared" si="77"/>
        <v>0</v>
      </c>
      <c r="AD101" s="25">
        <f t="shared" si="77"/>
        <v>0</v>
      </c>
      <c r="AJ101" s="60"/>
      <c r="AK101" s="60"/>
      <c r="AL101" s="60"/>
      <c r="AM101" s="60"/>
      <c r="AN101" s="60"/>
      <c r="AO101" s="6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c r="KB101" s="30"/>
      <c r="KC101" s="30"/>
      <c r="KD101" s="30"/>
      <c r="KE101" s="30"/>
      <c r="KF101" s="30"/>
      <c r="KG101" s="30"/>
      <c r="KH101" s="30"/>
      <c r="KI101" s="30"/>
      <c r="KJ101" s="30"/>
      <c r="KK101" s="30"/>
      <c r="KL101" s="30"/>
      <c r="KM101" s="30"/>
      <c r="KN101" s="30"/>
      <c r="KO101" s="30"/>
      <c r="KP101" s="30"/>
      <c r="KQ101" s="30"/>
      <c r="KR101" s="30"/>
      <c r="KS101" s="30"/>
      <c r="KT101" s="30"/>
      <c r="KU101" s="30"/>
      <c r="KV101" s="30"/>
      <c r="KW101" s="30"/>
      <c r="KX101" s="30"/>
      <c r="KY101" s="30"/>
      <c r="KZ101" s="30"/>
      <c r="LA101" s="30"/>
      <c r="LB101" s="30"/>
      <c r="LC101" s="30"/>
      <c r="LD101" s="30"/>
      <c r="LE101" s="30"/>
      <c r="LF101" s="30"/>
      <c r="LG101" s="30"/>
      <c r="LH101" s="30"/>
      <c r="LI101" s="30"/>
      <c r="LJ101" s="30"/>
      <c r="LK101" s="30"/>
      <c r="LL101" s="30"/>
      <c r="LM101" s="30"/>
      <c r="LN101" s="30"/>
      <c r="LO101" s="30"/>
      <c r="LP101" s="30"/>
      <c r="LQ101" s="30"/>
      <c r="LR101" s="30"/>
      <c r="LS101" s="30"/>
      <c r="LT101" s="30"/>
      <c r="LU101" s="30"/>
      <c r="LV101" s="30"/>
      <c r="LW101" s="30"/>
      <c r="LX101" s="30"/>
      <c r="LY101" s="30"/>
      <c r="LZ101" s="30"/>
      <c r="MA101" s="30"/>
      <c r="MB101" s="30"/>
      <c r="MC101" s="30"/>
      <c r="MD101" s="30"/>
      <c r="ME101" s="30"/>
      <c r="MF101" s="30"/>
      <c r="MG101" s="30"/>
      <c r="MH101" s="30"/>
      <c r="MI101" s="30"/>
      <c r="MJ101" s="30"/>
      <c r="MK101" s="30"/>
      <c r="ML101" s="30"/>
      <c r="MM101" s="30"/>
      <c r="MN101" s="30"/>
      <c r="MO101" s="30"/>
      <c r="MP101" s="30"/>
      <c r="MQ101" s="30"/>
      <c r="MR101" s="30"/>
      <c r="MS101" s="30"/>
      <c r="MT101" s="30"/>
      <c r="MU101" s="30"/>
      <c r="MV101" s="30"/>
      <c r="MW101" s="30"/>
      <c r="MX101" s="30"/>
      <c r="MY101" s="30"/>
      <c r="MZ101" s="30"/>
      <c r="NA101" s="30"/>
      <c r="NB101" s="30"/>
      <c r="NC101" s="30"/>
      <c r="ND101" s="30"/>
      <c r="NE101" s="30"/>
      <c r="NF101" s="30"/>
      <c r="NG101" s="30"/>
      <c r="NH101" s="30"/>
      <c r="NI101" s="30"/>
      <c r="NJ101" s="30"/>
      <c r="NK101" s="30"/>
      <c r="NL101" s="30"/>
      <c r="NM101" s="30"/>
      <c r="NN101" s="30"/>
      <c r="NO101" s="30"/>
      <c r="NP101" s="30"/>
      <c r="NQ101" s="30"/>
      <c r="NR101" s="30"/>
      <c r="NS101" s="30"/>
      <c r="NT101" s="30"/>
      <c r="NU101" s="30"/>
      <c r="NV101" s="30"/>
      <c r="NW101" s="30"/>
      <c r="NX101" s="30"/>
      <c r="NY101" s="30"/>
      <c r="NZ101" s="30"/>
      <c r="OA101" s="30"/>
      <c r="OB101" s="30"/>
      <c r="OC101" s="30"/>
      <c r="OD101" s="30"/>
      <c r="OE101" s="30"/>
      <c r="OF101" s="30"/>
      <c r="OG101" s="30"/>
      <c r="OH101" s="30"/>
      <c r="OI101" s="30"/>
      <c r="OJ101" s="30"/>
      <c r="OK101" s="30"/>
      <c r="OL101" s="30"/>
      <c r="OM101" s="30"/>
      <c r="ON101" s="30"/>
      <c r="OO101" s="30"/>
      <c r="OP101" s="30"/>
      <c r="OQ101" s="30"/>
      <c r="OR101" s="30"/>
      <c r="OS101" s="30"/>
      <c r="OT101" s="30"/>
      <c r="OU101" s="30"/>
      <c r="OV101" s="30"/>
      <c r="OW101" s="30"/>
      <c r="OX101" s="30"/>
      <c r="OY101" s="30"/>
      <c r="OZ101" s="30"/>
      <c r="PA101" s="30"/>
      <c r="PB101" s="30"/>
      <c r="PC101" s="30"/>
      <c r="PD101" s="30"/>
      <c r="PE101" s="30"/>
      <c r="PF101" s="30"/>
      <c r="PG101" s="30"/>
      <c r="PH101" s="30"/>
      <c r="PI101" s="30"/>
      <c r="PJ101" s="30"/>
      <c r="PK101" s="30"/>
      <c r="PL101" s="30"/>
      <c r="PM101" s="30"/>
      <c r="PN101" s="30"/>
      <c r="PO101" s="30"/>
      <c r="PP101" s="30"/>
      <c r="PQ101" s="30"/>
      <c r="PR101" s="30"/>
      <c r="PS101" s="30"/>
      <c r="PT101" s="30"/>
      <c r="PU101" s="30"/>
      <c r="PV101" s="30"/>
      <c r="PW101" s="30"/>
      <c r="PX101" s="30"/>
      <c r="PY101" s="30"/>
      <c r="PZ101" s="30"/>
      <c r="QA101" s="30"/>
      <c r="QB101" s="30"/>
      <c r="QC101" s="30"/>
      <c r="QD101" s="30"/>
      <c r="QE101" s="30"/>
      <c r="QF101" s="30"/>
      <c r="QG101" s="30"/>
      <c r="QH101" s="30"/>
      <c r="QI101" s="30"/>
      <c r="QJ101" s="30"/>
      <c r="QK101" s="30"/>
      <c r="QL101" s="30"/>
      <c r="QM101" s="30"/>
      <c r="QN101" s="30"/>
      <c r="QO101" s="30"/>
      <c r="QP101" s="30"/>
      <c r="QQ101" s="30"/>
      <c r="QR101" s="30"/>
      <c r="QS101" s="30"/>
      <c r="QT101" s="30"/>
      <c r="QU101" s="30"/>
      <c r="QV101" s="30"/>
      <c r="QW101" s="30"/>
      <c r="QX101" s="30"/>
      <c r="QY101" s="30"/>
      <c r="QZ101" s="30"/>
      <c r="RA101" s="30"/>
      <c r="RB101" s="30"/>
      <c r="RC101" s="30"/>
      <c r="RD101" s="30"/>
      <c r="RE101" s="30"/>
      <c r="RF101" s="30"/>
      <c r="RG101" s="30"/>
      <c r="RH101" s="30"/>
      <c r="RI101" s="30"/>
      <c r="RJ101" s="30"/>
      <c r="RK101" s="30"/>
      <c r="RL101" s="30"/>
      <c r="RM101" s="30"/>
      <c r="RN101" s="30"/>
      <c r="RO101" s="30"/>
      <c r="RP101" s="30"/>
      <c r="RQ101" s="30"/>
      <c r="RR101" s="30"/>
      <c r="RS101" s="30"/>
      <c r="RT101" s="30"/>
      <c r="RU101" s="30"/>
      <c r="RV101" s="30"/>
      <c r="RW101" s="30"/>
      <c r="RX101" s="30"/>
      <c r="RY101" s="30"/>
      <c r="RZ101" s="30"/>
      <c r="SA101" s="30"/>
      <c r="SB101" s="30"/>
      <c r="SC101" s="30"/>
      <c r="SD101" s="30"/>
    </row>
    <row r="102" spans="1:498" s="20" customFormat="1" hidden="1">
      <c r="A102" s="69"/>
      <c r="B102" s="69" t="s">
        <v>14</v>
      </c>
      <c r="C102" s="69"/>
      <c r="D102" s="69"/>
      <c r="E102" s="21"/>
      <c r="F102" s="25">
        <f>D63*C11</f>
        <v>0</v>
      </c>
      <c r="G102" s="25">
        <f t="shared" ref="G102:AD102" si="78">IF(
F103&gt;0+N("IF the student negatively amortized the previous year, then"),
$D$63*$C$11+N("Annual interest is the original loan balance multiplied by the interest rate")+N("If they made a principal payment in the previous year then..."),
F107*$C$11+N("Since the previous year's loan balance must be lower tahn the original loan balance, the annual interest is the previous year's loan balance multiplied by the interest rate"))</f>
        <v>0</v>
      </c>
      <c r="H102" s="25">
        <f t="shared" si="78"/>
        <v>0</v>
      </c>
      <c r="I102" s="25">
        <f t="shared" si="78"/>
        <v>0</v>
      </c>
      <c r="J102" s="25">
        <f t="shared" si="78"/>
        <v>0</v>
      </c>
      <c r="K102" s="25">
        <f t="shared" si="78"/>
        <v>0</v>
      </c>
      <c r="L102" s="25">
        <f t="shared" si="78"/>
        <v>0</v>
      </c>
      <c r="M102" s="25">
        <f t="shared" si="78"/>
        <v>0</v>
      </c>
      <c r="N102" s="25">
        <f t="shared" si="78"/>
        <v>0</v>
      </c>
      <c r="O102" s="25">
        <f t="shared" si="78"/>
        <v>0</v>
      </c>
      <c r="P102" s="25">
        <f t="shared" si="78"/>
        <v>0</v>
      </c>
      <c r="Q102" s="25">
        <f t="shared" si="78"/>
        <v>0</v>
      </c>
      <c r="R102" s="25">
        <f t="shared" si="78"/>
        <v>0</v>
      </c>
      <c r="S102" s="25">
        <f t="shared" si="78"/>
        <v>0</v>
      </c>
      <c r="T102" s="25">
        <f t="shared" si="78"/>
        <v>0</v>
      </c>
      <c r="U102" s="25">
        <f t="shared" si="78"/>
        <v>0</v>
      </c>
      <c r="V102" s="25">
        <f t="shared" si="78"/>
        <v>0</v>
      </c>
      <c r="W102" s="25">
        <f t="shared" si="78"/>
        <v>0</v>
      </c>
      <c r="X102" s="25">
        <f t="shared" si="78"/>
        <v>0</v>
      </c>
      <c r="Y102" s="25">
        <f t="shared" si="78"/>
        <v>0</v>
      </c>
      <c r="Z102" s="25">
        <f t="shared" si="78"/>
        <v>0</v>
      </c>
      <c r="AA102" s="25">
        <f t="shared" si="78"/>
        <v>0</v>
      </c>
      <c r="AB102" s="25">
        <f t="shared" si="78"/>
        <v>0</v>
      </c>
      <c r="AC102" s="25">
        <f t="shared" si="78"/>
        <v>0</v>
      </c>
      <c r="AD102" s="25">
        <f t="shared" si="78"/>
        <v>0</v>
      </c>
      <c r="AJ102" s="60"/>
      <c r="AK102" s="60"/>
      <c r="AL102" s="60"/>
      <c r="AM102" s="60"/>
      <c r="AN102" s="60"/>
      <c r="AO102" s="6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c r="JL102" s="30"/>
      <c r="JM102" s="30"/>
      <c r="JN102" s="30"/>
      <c r="JO102" s="30"/>
      <c r="JP102" s="30"/>
      <c r="JQ102" s="30"/>
      <c r="JR102" s="30"/>
      <c r="JS102" s="30"/>
      <c r="JT102" s="30"/>
      <c r="JU102" s="30"/>
      <c r="JV102" s="30"/>
      <c r="JW102" s="30"/>
      <c r="JX102" s="30"/>
      <c r="JY102" s="30"/>
      <c r="JZ102" s="30"/>
      <c r="KA102" s="30"/>
      <c r="KB102" s="30"/>
      <c r="KC102" s="30"/>
      <c r="KD102" s="30"/>
      <c r="KE102" s="30"/>
      <c r="KF102" s="30"/>
      <c r="KG102" s="30"/>
      <c r="KH102" s="30"/>
      <c r="KI102" s="30"/>
      <c r="KJ102" s="30"/>
      <c r="KK102" s="30"/>
      <c r="KL102" s="30"/>
      <c r="KM102" s="30"/>
      <c r="KN102" s="30"/>
      <c r="KO102" s="30"/>
      <c r="KP102" s="30"/>
      <c r="KQ102" s="30"/>
      <c r="KR102" s="30"/>
      <c r="KS102" s="30"/>
      <c r="KT102" s="30"/>
      <c r="KU102" s="30"/>
      <c r="KV102" s="30"/>
      <c r="KW102" s="30"/>
      <c r="KX102" s="30"/>
      <c r="KY102" s="30"/>
      <c r="KZ102" s="30"/>
      <c r="LA102" s="30"/>
      <c r="LB102" s="30"/>
      <c r="LC102" s="30"/>
      <c r="LD102" s="30"/>
      <c r="LE102" s="30"/>
      <c r="LF102" s="30"/>
      <c r="LG102" s="30"/>
      <c r="LH102" s="30"/>
      <c r="LI102" s="30"/>
      <c r="LJ102" s="30"/>
      <c r="LK102" s="30"/>
      <c r="LL102" s="30"/>
      <c r="LM102" s="30"/>
      <c r="LN102" s="30"/>
      <c r="LO102" s="30"/>
      <c r="LP102" s="30"/>
      <c r="LQ102" s="30"/>
      <c r="LR102" s="30"/>
      <c r="LS102" s="30"/>
      <c r="LT102" s="30"/>
      <c r="LU102" s="30"/>
      <c r="LV102" s="30"/>
      <c r="LW102" s="30"/>
      <c r="LX102" s="30"/>
      <c r="LY102" s="30"/>
      <c r="LZ102" s="30"/>
      <c r="MA102" s="30"/>
      <c r="MB102" s="30"/>
      <c r="MC102" s="30"/>
      <c r="MD102" s="30"/>
      <c r="ME102" s="30"/>
      <c r="MF102" s="30"/>
      <c r="MG102" s="30"/>
      <c r="MH102" s="30"/>
      <c r="MI102" s="30"/>
      <c r="MJ102" s="30"/>
      <c r="MK102" s="30"/>
      <c r="ML102" s="30"/>
      <c r="MM102" s="30"/>
      <c r="MN102" s="30"/>
      <c r="MO102" s="30"/>
      <c r="MP102" s="30"/>
      <c r="MQ102" s="30"/>
      <c r="MR102" s="30"/>
      <c r="MS102" s="30"/>
      <c r="MT102" s="30"/>
      <c r="MU102" s="30"/>
      <c r="MV102" s="30"/>
      <c r="MW102" s="30"/>
      <c r="MX102" s="30"/>
      <c r="MY102" s="30"/>
      <c r="MZ102" s="30"/>
      <c r="NA102" s="30"/>
      <c r="NB102" s="30"/>
      <c r="NC102" s="30"/>
      <c r="ND102" s="30"/>
      <c r="NE102" s="30"/>
      <c r="NF102" s="30"/>
      <c r="NG102" s="30"/>
      <c r="NH102" s="30"/>
      <c r="NI102" s="30"/>
      <c r="NJ102" s="30"/>
      <c r="NK102" s="30"/>
      <c r="NL102" s="30"/>
      <c r="NM102" s="30"/>
      <c r="NN102" s="30"/>
      <c r="NO102" s="30"/>
      <c r="NP102" s="30"/>
      <c r="NQ102" s="30"/>
      <c r="NR102" s="30"/>
      <c r="NS102" s="30"/>
      <c r="NT102" s="30"/>
      <c r="NU102" s="30"/>
      <c r="NV102" s="30"/>
      <c r="NW102" s="30"/>
      <c r="NX102" s="30"/>
      <c r="NY102" s="30"/>
      <c r="NZ102" s="30"/>
      <c r="OA102" s="30"/>
      <c r="OB102" s="30"/>
      <c r="OC102" s="30"/>
      <c r="OD102" s="30"/>
      <c r="OE102" s="30"/>
      <c r="OF102" s="30"/>
      <c r="OG102" s="30"/>
      <c r="OH102" s="30"/>
      <c r="OI102" s="30"/>
      <c r="OJ102" s="30"/>
      <c r="OK102" s="30"/>
      <c r="OL102" s="30"/>
      <c r="OM102" s="30"/>
      <c r="ON102" s="30"/>
      <c r="OO102" s="30"/>
      <c r="OP102" s="30"/>
      <c r="OQ102" s="30"/>
      <c r="OR102" s="30"/>
      <c r="OS102" s="30"/>
      <c r="OT102" s="30"/>
      <c r="OU102" s="30"/>
      <c r="OV102" s="30"/>
      <c r="OW102" s="30"/>
      <c r="OX102" s="30"/>
      <c r="OY102" s="30"/>
      <c r="OZ102" s="30"/>
      <c r="PA102" s="30"/>
      <c r="PB102" s="30"/>
      <c r="PC102" s="30"/>
      <c r="PD102" s="30"/>
      <c r="PE102" s="30"/>
      <c r="PF102" s="30"/>
      <c r="PG102" s="30"/>
      <c r="PH102" s="30"/>
      <c r="PI102" s="30"/>
      <c r="PJ102" s="30"/>
      <c r="PK102" s="30"/>
      <c r="PL102" s="30"/>
      <c r="PM102" s="30"/>
      <c r="PN102" s="30"/>
      <c r="PO102" s="30"/>
      <c r="PP102" s="30"/>
      <c r="PQ102" s="30"/>
      <c r="PR102" s="30"/>
      <c r="PS102" s="30"/>
      <c r="PT102" s="30"/>
      <c r="PU102" s="30"/>
      <c r="PV102" s="30"/>
      <c r="PW102" s="30"/>
      <c r="PX102" s="30"/>
      <c r="PY102" s="30"/>
      <c r="PZ102" s="30"/>
      <c r="QA102" s="30"/>
      <c r="QB102" s="30"/>
      <c r="QC102" s="30"/>
      <c r="QD102" s="30"/>
      <c r="QE102" s="30"/>
      <c r="QF102" s="30"/>
      <c r="QG102" s="30"/>
      <c r="QH102" s="30"/>
      <c r="QI102" s="30"/>
      <c r="QJ102" s="30"/>
      <c r="QK102" s="30"/>
      <c r="QL102" s="30"/>
      <c r="QM102" s="30"/>
      <c r="QN102" s="30"/>
      <c r="QO102" s="30"/>
      <c r="QP102" s="30"/>
      <c r="QQ102" s="30"/>
      <c r="QR102" s="30"/>
      <c r="QS102" s="30"/>
      <c r="QT102" s="30"/>
      <c r="QU102" s="30"/>
      <c r="QV102" s="30"/>
      <c r="QW102" s="30"/>
      <c r="QX102" s="30"/>
      <c r="QY102" s="30"/>
      <c r="QZ102" s="30"/>
      <c r="RA102" s="30"/>
      <c r="RB102" s="30"/>
      <c r="RC102" s="30"/>
      <c r="RD102" s="30"/>
      <c r="RE102" s="30"/>
      <c r="RF102" s="30"/>
      <c r="RG102" s="30"/>
      <c r="RH102" s="30"/>
      <c r="RI102" s="30"/>
      <c r="RJ102" s="30"/>
      <c r="RK102" s="30"/>
      <c r="RL102" s="30"/>
      <c r="RM102" s="30"/>
      <c r="RN102" s="30"/>
      <c r="RO102" s="30"/>
      <c r="RP102" s="30"/>
      <c r="RQ102" s="30"/>
      <c r="RR102" s="30"/>
      <c r="RS102" s="30"/>
      <c r="RT102" s="30"/>
      <c r="RU102" s="30"/>
      <c r="RV102" s="30"/>
      <c r="RW102" s="30"/>
      <c r="RX102" s="30"/>
      <c r="RY102" s="30"/>
      <c r="RZ102" s="30"/>
      <c r="SA102" s="30"/>
      <c r="SB102" s="30"/>
      <c r="SC102" s="30"/>
      <c r="SD102" s="30"/>
    </row>
    <row r="103" spans="1:498" s="20" customFormat="1" hidden="1">
      <c r="A103" s="69"/>
      <c r="B103" s="69" t="s">
        <v>15</v>
      </c>
      <c r="C103" s="69"/>
      <c r="D103" s="69"/>
      <c r="E103" s="21"/>
      <c r="F103" s="28">
        <f>($C$26*$C$11)-((F109*12)*C32)+N("CNAPP equals the annual interest on unsubs minus the the percentage of the annual IBR payment that would be put towards unsubs")</f>
        <v>-2616.75</v>
      </c>
      <c r="G103" s="28">
        <f>IF(
F103=-$C$10+N("IF the principal payment from the previous year equals the original loan balance then"),
0+N("The CAN/PP euals zero, because you have paid of the loan")+N("if CAN/PP does not equal the original loan balance, then..."),
IF(
$C$11=0+N("If the interest rate is zero, then"),
(-(G109*12))+F103+N("CNAPP equals the last year's CNAPP minus whatever the annual IBR payment was")+N("If the interest rate is not zero, then..."),
IF(
G102=0+N("If the annual interest paid equals zero, then..."),
0+N("CNAPP equals zero")+N("If the annual interest rate does not equal zero, then..."),
(($C$26*$C$11)-((G109*12)*$C$32))+F103+N("CNAPP equals the previous CNAPP plus the annual interest on unsubs minus the the percentage of the annual IBR payment that would be put towards unsubs"))))</f>
        <v>-5375.6174250000004</v>
      </c>
      <c r="H103" s="28">
        <f>IF(
G103=-$C$10+N("IF the principal payment from the previous year equals the original loan balance then"),
0+N("The CAN/PP euals zero, because you have paid of the loan")+N("if CAN/PP does not equal the original loan balance, then..."),
IF(
$C$11=0+N("If the interest rate is zero, then"),
(-(H109*12))+G103+N("CNAPP equals the last year's CNAPP minus whatever the annual IBR payment was")+N("If the interest rate is not zero, then..."),
IF(
H102=0+N("If the annual interest paid equals zero, then..."),
0+N("CNAPP equals zero")+N("If the annual interest rate does not equal zero, then..."),
(($C$26*$C$11)-((H109*12)*$C$32))+G103+N("CNAPP equals the previous CNAPP plus the annual interest on unsubs minus the the percentage of the annual IBR payment that would be put towards unsubs"))))</f>
        <v>-8283.2269023675017</v>
      </c>
      <c r="I103" s="28">
        <f t="shared" ref="I103:AD103" si="79">IF(
H103=-$C$10+N("IF the principal payment from the previous year equals the original loan balance then"),
0+N("The CAN/PP euals zero, because you have paid of the loan")+N("if CAN/PP does not equal the original loan balance, then..."),
IF(
$C$11=0+N("If the interest rate is zero, then"),
(-(I109*12))+H103+N("CNAPP equals the last year's CNAPP minus whatever the annual IBR payment was")+N("If the interest rate is not zero, then..."),
IF(
I102=0+N("If the annual interest paid equals zero, then..."),
0+N("CNAPP equals zero")+N("If the annual interest rate does not equal zero, then..."),
I102-(I109*12)+H103+N("CNAPP equals the previous CNAPP plus the annual interest minus the annual IBR payment"))))</f>
        <v>-11346.491636816927</v>
      </c>
      <c r="J103" s="28">
        <f>IF(
I103=-$C$10+N("IF the principal payment from the previous year equals the original loan balance then"),
0+N("The CAN/PP euals zero, because you have paid of the loan")+N("if CAN/PP does not equal the original loan balance, then..."),
IF(
$C$11=0+N("If the interest rate is zero, then"),
(-(J109*12))+I103+N("CNAPP equals the last year's CNAPP minus whatever the annual IBR payment was")+N("If the interest rate is not zero, then..."),
IF(
J102=0+N("If the annual interest paid equals zero, then..."),
0+N("CNAPP equals zero")+N("If the annual interest rate does not equal zero, then..."),
J102-(J109*12)+I103+N("CNAPP equals the previous CNAPP plus the annual interest minus the annual IBR payment"))))</f>
        <v>-14572.625545669034</v>
      </c>
      <c r="K103" s="28">
        <f t="shared" si="79"/>
        <v>-17969.15589438405</v>
      </c>
      <c r="L103" s="28">
        <f t="shared" si="79"/>
        <v>-21543.936452752561</v>
      </c>
      <c r="M103" s="28">
        <f t="shared" si="79"/>
        <v>-25305.161192952903</v>
      </c>
      <c r="N103" s="28">
        <f t="shared" si="79"/>
        <v>-29261.378551541722</v>
      </c>
      <c r="O103" s="28">
        <f t="shared" si="79"/>
        <v>-33421.50627833695</v>
      </c>
      <c r="P103" s="28">
        <f t="shared" si="79"/>
        <v>-37794.846896080795</v>
      </c>
      <c r="Q103" s="28">
        <f t="shared" si="79"/>
        <v>-42391.103795736315</v>
      </c>
      <c r="R103" s="28">
        <f t="shared" si="79"/>
        <v>-47220.39799327575</v>
      </c>
      <c r="S103" s="28">
        <f t="shared" si="79"/>
        <v>-47220.39799327575</v>
      </c>
      <c r="T103" s="28">
        <f t="shared" si="79"/>
        <v>-47220.39799327575</v>
      </c>
      <c r="U103" s="28">
        <f t="shared" si="79"/>
        <v>-47220.39799327575</v>
      </c>
      <c r="V103" s="28">
        <f t="shared" si="79"/>
        <v>-47220.39799327575</v>
      </c>
      <c r="W103" s="28">
        <f t="shared" si="79"/>
        <v>-47220.39799327575</v>
      </c>
      <c r="X103" s="28">
        <f t="shared" si="79"/>
        <v>-47220.39799327575</v>
      </c>
      <c r="Y103" s="28">
        <f t="shared" si="79"/>
        <v>-47220.39799327575</v>
      </c>
      <c r="Z103" s="28">
        <f t="shared" si="79"/>
        <v>-47220.39799327575</v>
      </c>
      <c r="AA103" s="28">
        <f t="shared" si="79"/>
        <v>-47220.39799327575</v>
      </c>
      <c r="AB103" s="28">
        <f t="shared" si="79"/>
        <v>-47220.39799327575</v>
      </c>
      <c r="AC103" s="28">
        <f t="shared" si="79"/>
        <v>-47220.39799327575</v>
      </c>
      <c r="AD103" s="28">
        <f t="shared" si="79"/>
        <v>-47220.39799327575</v>
      </c>
      <c r="AJ103" s="60"/>
      <c r="AK103" s="60"/>
      <c r="AL103" s="60"/>
      <c r="AM103" s="60"/>
      <c r="AN103" s="60"/>
      <c r="AO103" s="6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30"/>
      <c r="IZ103" s="30"/>
      <c r="JA103" s="30"/>
      <c r="JB103" s="30"/>
      <c r="JC103" s="30"/>
      <c r="JD103" s="30"/>
      <c r="JE103" s="30"/>
      <c r="JF103" s="30"/>
      <c r="JG103" s="30"/>
      <c r="JH103" s="30"/>
      <c r="JI103" s="30"/>
      <c r="JJ103" s="30"/>
      <c r="JK103" s="30"/>
      <c r="JL103" s="30"/>
      <c r="JM103" s="30"/>
      <c r="JN103" s="30"/>
      <c r="JO103" s="30"/>
      <c r="JP103" s="30"/>
      <c r="JQ103" s="30"/>
      <c r="JR103" s="30"/>
      <c r="JS103" s="30"/>
      <c r="JT103" s="30"/>
      <c r="JU103" s="30"/>
      <c r="JV103" s="30"/>
      <c r="JW103" s="30"/>
      <c r="JX103" s="30"/>
      <c r="JY103" s="30"/>
      <c r="JZ103" s="30"/>
      <c r="KA103" s="30"/>
      <c r="KB103" s="30"/>
      <c r="KC103" s="30"/>
      <c r="KD103" s="30"/>
      <c r="KE103" s="30"/>
      <c r="KF103" s="30"/>
      <c r="KG103" s="30"/>
      <c r="KH103" s="30"/>
      <c r="KI103" s="30"/>
      <c r="KJ103" s="30"/>
      <c r="KK103" s="30"/>
      <c r="KL103" s="30"/>
      <c r="KM103" s="30"/>
      <c r="KN103" s="30"/>
      <c r="KO103" s="30"/>
      <c r="KP103" s="30"/>
      <c r="KQ103" s="30"/>
      <c r="KR103" s="30"/>
      <c r="KS103" s="30"/>
      <c r="KT103" s="30"/>
      <c r="KU103" s="30"/>
      <c r="KV103" s="30"/>
      <c r="KW103" s="30"/>
      <c r="KX103" s="30"/>
      <c r="KY103" s="30"/>
      <c r="KZ103" s="30"/>
      <c r="LA103" s="30"/>
      <c r="LB103" s="30"/>
      <c r="LC103" s="30"/>
      <c r="LD103" s="30"/>
      <c r="LE103" s="30"/>
      <c r="LF103" s="30"/>
      <c r="LG103" s="30"/>
      <c r="LH103" s="30"/>
      <c r="LI103" s="30"/>
      <c r="LJ103" s="30"/>
      <c r="LK103" s="30"/>
      <c r="LL103" s="30"/>
      <c r="LM103" s="30"/>
      <c r="LN103" s="30"/>
      <c r="LO103" s="30"/>
      <c r="LP103" s="30"/>
      <c r="LQ103" s="30"/>
      <c r="LR103" s="30"/>
      <c r="LS103" s="30"/>
      <c r="LT103" s="30"/>
      <c r="LU103" s="30"/>
      <c r="LV103" s="30"/>
      <c r="LW103" s="30"/>
      <c r="LX103" s="30"/>
      <c r="LY103" s="30"/>
      <c r="LZ103" s="30"/>
      <c r="MA103" s="30"/>
      <c r="MB103" s="30"/>
      <c r="MC103" s="30"/>
      <c r="MD103" s="30"/>
      <c r="ME103" s="30"/>
      <c r="MF103" s="30"/>
      <c r="MG103" s="30"/>
      <c r="MH103" s="30"/>
      <c r="MI103" s="30"/>
      <c r="MJ103" s="30"/>
      <c r="MK103" s="30"/>
      <c r="ML103" s="30"/>
      <c r="MM103" s="30"/>
      <c r="MN103" s="30"/>
      <c r="MO103" s="30"/>
      <c r="MP103" s="30"/>
      <c r="MQ103" s="30"/>
      <c r="MR103" s="30"/>
      <c r="MS103" s="30"/>
      <c r="MT103" s="30"/>
      <c r="MU103" s="30"/>
      <c r="MV103" s="30"/>
      <c r="MW103" s="30"/>
      <c r="MX103" s="30"/>
      <c r="MY103" s="30"/>
      <c r="MZ103" s="30"/>
      <c r="NA103" s="30"/>
      <c r="NB103" s="30"/>
      <c r="NC103" s="30"/>
      <c r="ND103" s="30"/>
      <c r="NE103" s="30"/>
      <c r="NF103" s="30"/>
      <c r="NG103" s="30"/>
      <c r="NH103" s="30"/>
      <c r="NI103" s="30"/>
      <c r="NJ103" s="30"/>
      <c r="NK103" s="30"/>
      <c r="NL103" s="30"/>
      <c r="NM103" s="30"/>
      <c r="NN103" s="30"/>
      <c r="NO103" s="30"/>
      <c r="NP103" s="30"/>
      <c r="NQ103" s="30"/>
      <c r="NR103" s="30"/>
      <c r="NS103" s="30"/>
      <c r="NT103" s="30"/>
      <c r="NU103" s="30"/>
      <c r="NV103" s="30"/>
      <c r="NW103" s="30"/>
      <c r="NX103" s="30"/>
      <c r="NY103" s="30"/>
      <c r="NZ103" s="30"/>
      <c r="OA103" s="30"/>
      <c r="OB103" s="30"/>
      <c r="OC103" s="30"/>
      <c r="OD103" s="30"/>
      <c r="OE103" s="30"/>
      <c r="OF103" s="30"/>
      <c r="OG103" s="30"/>
      <c r="OH103" s="30"/>
      <c r="OI103" s="30"/>
      <c r="OJ103" s="30"/>
      <c r="OK103" s="30"/>
      <c r="OL103" s="30"/>
      <c r="OM103" s="30"/>
      <c r="ON103" s="30"/>
      <c r="OO103" s="30"/>
      <c r="OP103" s="30"/>
      <c r="OQ103" s="30"/>
      <c r="OR103" s="30"/>
      <c r="OS103" s="30"/>
      <c r="OT103" s="30"/>
      <c r="OU103" s="30"/>
      <c r="OV103" s="30"/>
      <c r="OW103" s="30"/>
      <c r="OX103" s="30"/>
      <c r="OY103" s="30"/>
      <c r="OZ103" s="30"/>
      <c r="PA103" s="30"/>
      <c r="PB103" s="30"/>
      <c r="PC103" s="30"/>
      <c r="PD103" s="30"/>
      <c r="PE103" s="30"/>
      <c r="PF103" s="30"/>
      <c r="PG103" s="30"/>
      <c r="PH103" s="30"/>
      <c r="PI103" s="30"/>
      <c r="PJ103" s="30"/>
      <c r="PK103" s="30"/>
      <c r="PL103" s="30"/>
      <c r="PM103" s="30"/>
      <c r="PN103" s="30"/>
      <c r="PO103" s="30"/>
      <c r="PP103" s="30"/>
      <c r="PQ103" s="30"/>
      <c r="PR103" s="30"/>
      <c r="PS103" s="30"/>
      <c r="PT103" s="30"/>
      <c r="PU103" s="30"/>
      <c r="PV103" s="30"/>
      <c r="PW103" s="30"/>
      <c r="PX103" s="30"/>
      <c r="PY103" s="30"/>
      <c r="PZ103" s="30"/>
      <c r="QA103" s="30"/>
      <c r="QB103" s="30"/>
      <c r="QC103" s="30"/>
      <c r="QD103" s="30"/>
      <c r="QE103" s="30"/>
      <c r="QF103" s="30"/>
      <c r="QG103" s="30"/>
      <c r="QH103" s="30"/>
      <c r="QI103" s="30"/>
      <c r="QJ103" s="30"/>
      <c r="QK103" s="30"/>
      <c r="QL103" s="30"/>
      <c r="QM103" s="30"/>
      <c r="QN103" s="30"/>
      <c r="QO103" s="30"/>
      <c r="QP103" s="30"/>
      <c r="QQ103" s="30"/>
      <c r="QR103" s="30"/>
      <c r="QS103" s="30"/>
      <c r="QT103" s="30"/>
      <c r="QU103" s="30"/>
      <c r="QV103" s="30"/>
      <c r="QW103" s="30"/>
      <c r="QX103" s="30"/>
      <c r="QY103" s="30"/>
      <c r="QZ103" s="30"/>
      <c r="RA103" s="30"/>
      <c r="RB103" s="30"/>
      <c r="RC103" s="30"/>
      <c r="RD103" s="30"/>
      <c r="RE103" s="30"/>
      <c r="RF103" s="30"/>
      <c r="RG103" s="30"/>
      <c r="RH103" s="30"/>
      <c r="RI103" s="30"/>
      <c r="RJ103" s="30"/>
      <c r="RK103" s="30"/>
      <c r="RL103" s="30"/>
      <c r="RM103" s="30"/>
      <c r="RN103" s="30"/>
      <c r="RO103" s="30"/>
      <c r="RP103" s="30"/>
      <c r="RQ103" s="30"/>
      <c r="RR103" s="30"/>
      <c r="RS103" s="30"/>
      <c r="RT103" s="30"/>
      <c r="RU103" s="30"/>
      <c r="RV103" s="30"/>
      <c r="RW103" s="30"/>
      <c r="RX103" s="30"/>
      <c r="RY103" s="30"/>
      <c r="RZ103" s="30"/>
      <c r="SA103" s="30"/>
      <c r="SB103" s="30"/>
      <c r="SC103" s="30"/>
      <c r="SD103" s="30"/>
    </row>
    <row r="104" spans="1:498" s="89" customFormat="1" ht="25.5" customHeight="1">
      <c r="A104" s="69"/>
      <c r="B104" s="69"/>
      <c r="C104" s="69"/>
      <c r="D104" s="69"/>
      <c r="E104" s="145"/>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69"/>
      <c r="AF104" s="69"/>
      <c r="AG104" s="69"/>
      <c r="AH104" s="69"/>
      <c r="AI104" s="69"/>
      <c r="AJ104" s="69"/>
      <c r="AK104" s="69"/>
      <c r="AL104" s="69"/>
      <c r="AM104" s="69"/>
      <c r="AN104" s="69"/>
      <c r="AO104" s="69"/>
    </row>
    <row r="105" spans="1:498" s="47" customFormat="1">
      <c r="A105" s="69"/>
      <c r="B105" s="175">
        <v>7</v>
      </c>
      <c r="C105" s="196" t="s">
        <v>60</v>
      </c>
      <c r="D105" s="196"/>
      <c r="E105" s="196"/>
      <c r="F105" s="92">
        <f>F109</f>
        <v>218.0625</v>
      </c>
      <c r="G105" s="93">
        <f>IF($C$10=0,"",IF($F$105="Ineligible","",G109))</f>
        <v>229.90561875000003</v>
      </c>
      <c r="H105" s="93">
        <f t="shared" ref="H105:AD105" si="80">IF($C$10=0,"",IF($F$105="Ineligible","",H109))</f>
        <v>242.30078978062508</v>
      </c>
      <c r="I105" s="93">
        <f t="shared" si="80"/>
        <v>255.27206120411873</v>
      </c>
      <c r="J105" s="93">
        <f t="shared" si="80"/>
        <v>268.84449240434219</v>
      </c>
      <c r="K105" s="93">
        <f t="shared" si="80"/>
        <v>283.04419572625119</v>
      </c>
      <c r="L105" s="93">
        <f t="shared" si="80"/>
        <v>297.89837986404257</v>
      </c>
      <c r="M105" s="93">
        <f t="shared" si="80"/>
        <v>313.43539501669494</v>
      </c>
      <c r="N105" s="93">
        <f t="shared" si="80"/>
        <v>329.68477988240153</v>
      </c>
      <c r="O105" s="93">
        <f t="shared" si="80"/>
        <v>346.67731056626889</v>
      </c>
      <c r="P105" s="93">
        <f t="shared" si="80"/>
        <v>364.44505147865402</v>
      </c>
      <c r="Q105" s="93">
        <f t="shared" si="80"/>
        <v>383.02140830462685</v>
      </c>
      <c r="R105" s="93">
        <f t="shared" si="80"/>
        <v>402.44118312828613</v>
      </c>
      <c r="S105" s="93">
        <f t="shared" si="80"/>
        <v>0</v>
      </c>
      <c r="T105" s="93">
        <f t="shared" si="80"/>
        <v>0</v>
      </c>
      <c r="U105" s="93">
        <f t="shared" si="80"/>
        <v>0</v>
      </c>
      <c r="V105" s="93">
        <f t="shared" si="80"/>
        <v>0</v>
      </c>
      <c r="W105" s="93">
        <f t="shared" si="80"/>
        <v>0</v>
      </c>
      <c r="X105" s="93">
        <f t="shared" si="80"/>
        <v>0</v>
      </c>
      <c r="Y105" s="93">
        <f t="shared" si="80"/>
        <v>0</v>
      </c>
      <c r="Z105" s="93">
        <f t="shared" si="80"/>
        <v>0</v>
      </c>
      <c r="AA105" s="93">
        <f t="shared" si="80"/>
        <v>0</v>
      </c>
      <c r="AB105" s="93">
        <f t="shared" si="80"/>
        <v>0</v>
      </c>
      <c r="AC105" s="93">
        <f t="shared" si="80"/>
        <v>0</v>
      </c>
      <c r="AD105" s="93">
        <f t="shared" si="80"/>
        <v>0</v>
      </c>
      <c r="AE105" s="127"/>
      <c r="AF105" s="128"/>
      <c r="AG105" s="128"/>
      <c r="AH105" s="128"/>
      <c r="AI105" s="129"/>
      <c r="AJ105" s="69"/>
      <c r="AK105" s="69"/>
      <c r="AL105" s="69"/>
      <c r="AM105" s="69"/>
      <c r="AN105" s="69"/>
      <c r="AO105" s="6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c r="KJ105" s="30"/>
      <c r="KK105" s="30"/>
      <c r="KL105" s="30"/>
      <c r="KM105" s="30"/>
      <c r="KN105" s="30"/>
      <c r="KO105" s="30"/>
      <c r="KP105" s="30"/>
      <c r="KQ105" s="30"/>
      <c r="KR105" s="30"/>
      <c r="KS105" s="30"/>
      <c r="KT105" s="30"/>
      <c r="KU105" s="30"/>
      <c r="KV105" s="30"/>
      <c r="KW105" s="30"/>
      <c r="KX105" s="30"/>
      <c r="KY105" s="30"/>
      <c r="KZ105" s="30"/>
      <c r="LA105" s="30"/>
      <c r="LB105" s="30"/>
      <c r="LC105" s="30"/>
      <c r="LD105" s="30"/>
      <c r="LE105" s="30"/>
      <c r="LF105" s="30"/>
      <c r="LG105" s="30"/>
      <c r="LH105" s="30"/>
      <c r="LI105" s="30"/>
      <c r="LJ105" s="30"/>
      <c r="LK105" s="30"/>
      <c r="LL105" s="30"/>
      <c r="LM105" s="30"/>
      <c r="LN105" s="30"/>
      <c r="LO105" s="30"/>
      <c r="LP105" s="30"/>
      <c r="LQ105" s="30"/>
      <c r="LR105" s="30"/>
      <c r="LS105" s="30"/>
      <c r="LT105" s="30"/>
      <c r="LU105" s="30"/>
      <c r="LV105" s="30"/>
      <c r="LW105" s="30"/>
      <c r="LX105" s="30"/>
      <c r="LY105" s="30"/>
      <c r="LZ105" s="30"/>
      <c r="MA105" s="30"/>
      <c r="MB105" s="30"/>
      <c r="MC105" s="30"/>
      <c r="MD105" s="30"/>
      <c r="ME105" s="30"/>
      <c r="MF105" s="30"/>
      <c r="MG105" s="30"/>
      <c r="MH105" s="30"/>
      <c r="MI105" s="30"/>
      <c r="MJ105" s="30"/>
      <c r="MK105" s="30"/>
      <c r="ML105" s="30"/>
      <c r="MM105" s="30"/>
      <c r="MN105" s="30"/>
      <c r="MO105" s="30"/>
      <c r="MP105" s="30"/>
      <c r="MQ105" s="30"/>
      <c r="MR105" s="30"/>
      <c r="MS105" s="30"/>
      <c r="MT105" s="30"/>
      <c r="MU105" s="30"/>
      <c r="MV105" s="30"/>
      <c r="MW105" s="30"/>
      <c r="MX105" s="30"/>
      <c r="MY105" s="30"/>
      <c r="MZ105" s="30"/>
      <c r="NA105" s="30"/>
      <c r="NB105" s="30"/>
      <c r="NC105" s="30"/>
      <c r="ND105" s="30"/>
      <c r="NE105" s="30"/>
      <c r="NF105" s="30"/>
      <c r="NG105" s="30"/>
      <c r="NH105" s="30"/>
      <c r="NI105" s="30"/>
      <c r="NJ105" s="30"/>
      <c r="NK105" s="30"/>
      <c r="NL105" s="30"/>
      <c r="NM105" s="30"/>
      <c r="NN105" s="30"/>
      <c r="NO105" s="30"/>
      <c r="NP105" s="30"/>
      <c r="NQ105" s="30"/>
      <c r="NR105" s="30"/>
      <c r="NS105" s="30"/>
      <c r="NT105" s="30"/>
      <c r="NU105" s="30"/>
      <c r="NV105" s="30"/>
      <c r="NW105" s="30"/>
      <c r="NX105" s="30"/>
      <c r="NY105" s="30"/>
      <c r="NZ105" s="30"/>
      <c r="OA105" s="30"/>
      <c r="OB105" s="30"/>
      <c r="OC105" s="30"/>
      <c r="OD105" s="30"/>
      <c r="OE105" s="30"/>
      <c r="OF105" s="30"/>
      <c r="OG105" s="30"/>
      <c r="OH105" s="30"/>
      <c r="OI105" s="30"/>
      <c r="OJ105" s="30"/>
      <c r="OK105" s="30"/>
      <c r="OL105" s="30"/>
      <c r="OM105" s="30"/>
      <c r="ON105" s="30"/>
      <c r="OO105" s="30"/>
      <c r="OP105" s="30"/>
      <c r="OQ105" s="30"/>
      <c r="OR105" s="30"/>
      <c r="OS105" s="30"/>
      <c r="OT105" s="30"/>
      <c r="OU105" s="30"/>
      <c r="OV105" s="30"/>
      <c r="OW105" s="30"/>
      <c r="OX105" s="30"/>
      <c r="OY105" s="30"/>
      <c r="OZ105" s="30"/>
      <c r="PA105" s="30"/>
      <c r="PB105" s="30"/>
      <c r="PC105" s="30"/>
      <c r="PD105" s="30"/>
      <c r="PE105" s="30"/>
      <c r="PF105" s="30"/>
      <c r="PG105" s="30"/>
      <c r="PH105" s="30"/>
      <c r="PI105" s="30"/>
      <c r="PJ105" s="30"/>
      <c r="PK105" s="30"/>
      <c r="PL105" s="30"/>
      <c r="PM105" s="30"/>
      <c r="PN105" s="30"/>
      <c r="PO105" s="30"/>
      <c r="PP105" s="30"/>
      <c r="PQ105" s="30"/>
      <c r="PR105" s="30"/>
      <c r="PS105" s="30"/>
      <c r="PT105" s="30"/>
      <c r="PU105" s="30"/>
      <c r="PV105" s="30"/>
      <c r="PW105" s="30"/>
      <c r="PX105" s="30"/>
      <c r="PY105" s="30"/>
      <c r="PZ105" s="30"/>
      <c r="QA105" s="30"/>
      <c r="QB105" s="30"/>
      <c r="QC105" s="30"/>
      <c r="QD105" s="30"/>
      <c r="QE105" s="30"/>
      <c r="QF105" s="30"/>
      <c r="QG105" s="30"/>
      <c r="QH105" s="30"/>
      <c r="QI105" s="30"/>
      <c r="QJ105" s="30"/>
      <c r="QK105" s="30"/>
      <c r="QL105" s="30"/>
      <c r="QM105" s="30"/>
      <c r="QN105" s="30"/>
      <c r="QO105" s="30"/>
      <c r="QP105" s="30"/>
      <c r="QQ105" s="30"/>
      <c r="QR105" s="30"/>
      <c r="QS105" s="30"/>
      <c r="QT105" s="30"/>
      <c r="QU105" s="30"/>
      <c r="QV105" s="30"/>
      <c r="QW105" s="30"/>
      <c r="QX105" s="30"/>
      <c r="QY105" s="30"/>
      <c r="QZ105" s="30"/>
      <c r="RA105" s="30"/>
      <c r="RB105" s="30"/>
      <c r="RC105" s="30"/>
      <c r="RD105" s="30"/>
      <c r="RE105" s="30"/>
      <c r="RF105" s="30"/>
      <c r="RG105" s="30"/>
      <c r="RH105" s="30"/>
      <c r="RI105" s="30"/>
      <c r="RJ105" s="30"/>
      <c r="RK105" s="30"/>
      <c r="RL105" s="30"/>
      <c r="RM105" s="30"/>
      <c r="RN105" s="30"/>
      <c r="RO105" s="30"/>
      <c r="RP105" s="30"/>
      <c r="RQ105" s="30"/>
      <c r="RR105" s="30"/>
      <c r="RS105" s="30"/>
      <c r="RT105" s="30"/>
      <c r="RU105" s="30"/>
      <c r="RV105" s="30"/>
      <c r="RW105" s="30"/>
      <c r="RX105" s="30"/>
      <c r="RY105" s="30"/>
      <c r="RZ105" s="30"/>
      <c r="SA105" s="30"/>
      <c r="SB105" s="30"/>
      <c r="SC105" s="30"/>
      <c r="SD105" s="30"/>
    </row>
    <row r="106" spans="1:498" s="47" customFormat="1">
      <c r="A106" s="69"/>
      <c r="B106" s="69"/>
      <c r="C106" s="197" t="s">
        <v>44</v>
      </c>
      <c r="D106" s="197"/>
      <c r="E106" s="197"/>
      <c r="F106" s="92">
        <f>IF($C$10=0,"",IF($F$105="Ineligible","",F107))</f>
        <v>42383.25</v>
      </c>
      <c r="G106" s="92">
        <f t="shared" ref="G106:AD106" si="81">IF($C$10=0,"",IF($F$105="Ineligible","",G107))</f>
        <v>39624.382574999996</v>
      </c>
      <c r="H106" s="92">
        <f t="shared" si="81"/>
        <v>36716.773097632497</v>
      </c>
      <c r="I106" s="92">
        <f t="shared" si="81"/>
        <v>33653.508363183071</v>
      </c>
      <c r="J106" s="92">
        <f t="shared" si="81"/>
        <v>30427.374454330966</v>
      </c>
      <c r="K106" s="92">
        <f t="shared" si="81"/>
        <v>27030.84410561595</v>
      </c>
      <c r="L106" s="92">
        <f t="shared" si="81"/>
        <v>23456.063547247439</v>
      </c>
      <c r="M106" s="92">
        <f t="shared" si="81"/>
        <v>19694.838807047097</v>
      </c>
      <c r="N106" s="92">
        <f t="shared" si="81"/>
        <v>15738.621448458278</v>
      </c>
      <c r="O106" s="92">
        <f t="shared" si="81"/>
        <v>11578.49372166305</v>
      </c>
      <c r="P106" s="92">
        <f t="shared" si="81"/>
        <v>7205.153103919205</v>
      </c>
      <c r="Q106" s="92">
        <f t="shared" si="81"/>
        <v>2608.8962042636831</v>
      </c>
      <c r="R106" s="92">
        <f t="shared" si="81"/>
        <v>0</v>
      </c>
      <c r="S106" s="92">
        <f t="shared" si="81"/>
        <v>0</v>
      </c>
      <c r="T106" s="92">
        <f t="shared" si="81"/>
        <v>0</v>
      </c>
      <c r="U106" s="92">
        <f t="shared" si="81"/>
        <v>0</v>
      </c>
      <c r="V106" s="92">
        <f t="shared" si="81"/>
        <v>0</v>
      </c>
      <c r="W106" s="92">
        <f t="shared" si="81"/>
        <v>0</v>
      </c>
      <c r="X106" s="92">
        <f t="shared" si="81"/>
        <v>0</v>
      </c>
      <c r="Y106" s="92">
        <f t="shared" si="81"/>
        <v>0</v>
      </c>
      <c r="Z106" s="92">
        <f t="shared" si="81"/>
        <v>0</v>
      </c>
      <c r="AA106" s="92">
        <f t="shared" si="81"/>
        <v>0</v>
      </c>
      <c r="AB106" s="92">
        <f t="shared" si="81"/>
        <v>0</v>
      </c>
      <c r="AC106" s="92">
        <f t="shared" si="81"/>
        <v>0</v>
      </c>
      <c r="AD106" s="92">
        <f t="shared" si="81"/>
        <v>0</v>
      </c>
      <c r="AE106" s="130"/>
      <c r="AF106" s="106"/>
      <c r="AG106" s="106"/>
      <c r="AH106" s="106"/>
      <c r="AI106" s="131"/>
      <c r="AJ106" s="60"/>
      <c r="AK106" s="60"/>
      <c r="AL106" s="60"/>
      <c r="AM106" s="60"/>
      <c r="AN106" s="60"/>
      <c r="AO106" s="6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c r="KB106" s="30"/>
      <c r="KC106" s="30"/>
      <c r="KD106" s="30"/>
      <c r="KE106" s="30"/>
      <c r="KF106" s="30"/>
      <c r="KG106" s="30"/>
      <c r="KH106" s="30"/>
      <c r="KI106" s="30"/>
      <c r="KJ106" s="30"/>
      <c r="KK106" s="30"/>
      <c r="KL106" s="30"/>
      <c r="KM106" s="30"/>
      <c r="KN106" s="30"/>
      <c r="KO106" s="30"/>
      <c r="KP106" s="30"/>
      <c r="KQ106" s="30"/>
      <c r="KR106" s="30"/>
      <c r="KS106" s="30"/>
      <c r="KT106" s="30"/>
      <c r="KU106" s="30"/>
      <c r="KV106" s="30"/>
      <c r="KW106" s="30"/>
      <c r="KX106" s="30"/>
      <c r="KY106" s="30"/>
      <c r="KZ106" s="30"/>
      <c r="LA106" s="30"/>
      <c r="LB106" s="30"/>
      <c r="LC106" s="30"/>
      <c r="LD106" s="30"/>
      <c r="LE106" s="30"/>
      <c r="LF106" s="30"/>
      <c r="LG106" s="30"/>
      <c r="LH106" s="30"/>
      <c r="LI106" s="30"/>
      <c r="LJ106" s="30"/>
      <c r="LK106" s="30"/>
      <c r="LL106" s="30"/>
      <c r="LM106" s="30"/>
      <c r="LN106" s="30"/>
      <c r="LO106" s="30"/>
      <c r="LP106" s="30"/>
      <c r="LQ106" s="30"/>
      <c r="LR106" s="30"/>
      <c r="LS106" s="30"/>
      <c r="LT106" s="30"/>
      <c r="LU106" s="30"/>
      <c r="LV106" s="30"/>
      <c r="LW106" s="30"/>
      <c r="LX106" s="30"/>
      <c r="LY106" s="30"/>
      <c r="LZ106" s="30"/>
      <c r="MA106" s="30"/>
      <c r="MB106" s="30"/>
      <c r="MC106" s="30"/>
      <c r="MD106" s="30"/>
      <c r="ME106" s="30"/>
      <c r="MF106" s="30"/>
      <c r="MG106" s="30"/>
      <c r="MH106" s="30"/>
      <c r="MI106" s="30"/>
      <c r="MJ106" s="30"/>
      <c r="MK106" s="30"/>
      <c r="ML106" s="30"/>
      <c r="MM106" s="30"/>
      <c r="MN106" s="30"/>
      <c r="MO106" s="30"/>
      <c r="MP106" s="30"/>
      <c r="MQ106" s="30"/>
      <c r="MR106" s="30"/>
      <c r="MS106" s="30"/>
      <c r="MT106" s="30"/>
      <c r="MU106" s="30"/>
      <c r="MV106" s="30"/>
      <c r="MW106" s="30"/>
      <c r="MX106" s="30"/>
      <c r="MY106" s="30"/>
      <c r="MZ106" s="30"/>
      <c r="NA106" s="30"/>
      <c r="NB106" s="30"/>
      <c r="NC106" s="30"/>
      <c r="ND106" s="30"/>
      <c r="NE106" s="30"/>
      <c r="NF106" s="30"/>
      <c r="NG106" s="30"/>
      <c r="NH106" s="30"/>
      <c r="NI106" s="30"/>
      <c r="NJ106" s="30"/>
      <c r="NK106" s="30"/>
      <c r="NL106" s="30"/>
      <c r="NM106" s="30"/>
      <c r="NN106" s="30"/>
      <c r="NO106" s="30"/>
      <c r="NP106" s="30"/>
      <c r="NQ106" s="30"/>
      <c r="NR106" s="30"/>
      <c r="NS106" s="30"/>
      <c r="NT106" s="30"/>
      <c r="NU106" s="30"/>
      <c r="NV106" s="30"/>
      <c r="NW106" s="30"/>
      <c r="NX106" s="30"/>
      <c r="NY106" s="30"/>
      <c r="NZ106" s="30"/>
      <c r="OA106" s="30"/>
      <c r="OB106" s="30"/>
      <c r="OC106" s="30"/>
      <c r="OD106" s="30"/>
      <c r="OE106" s="30"/>
      <c r="OF106" s="30"/>
      <c r="OG106" s="30"/>
      <c r="OH106" s="30"/>
      <c r="OI106" s="30"/>
      <c r="OJ106" s="30"/>
      <c r="OK106" s="30"/>
      <c r="OL106" s="30"/>
      <c r="OM106" s="30"/>
      <c r="ON106" s="30"/>
      <c r="OO106" s="30"/>
      <c r="OP106" s="30"/>
      <c r="OQ106" s="30"/>
      <c r="OR106" s="30"/>
      <c r="OS106" s="30"/>
      <c r="OT106" s="30"/>
      <c r="OU106" s="30"/>
      <c r="OV106" s="30"/>
      <c r="OW106" s="30"/>
      <c r="OX106" s="30"/>
      <c r="OY106" s="30"/>
      <c r="OZ106" s="30"/>
      <c r="PA106" s="30"/>
      <c r="PB106" s="30"/>
      <c r="PC106" s="30"/>
      <c r="PD106" s="30"/>
      <c r="PE106" s="30"/>
      <c r="PF106" s="30"/>
      <c r="PG106" s="30"/>
      <c r="PH106" s="30"/>
      <c r="PI106" s="30"/>
      <c r="PJ106" s="30"/>
      <c r="PK106" s="30"/>
      <c r="PL106" s="30"/>
      <c r="PM106" s="30"/>
      <c r="PN106" s="30"/>
      <c r="PO106" s="30"/>
      <c r="PP106" s="30"/>
      <c r="PQ106" s="30"/>
      <c r="PR106" s="30"/>
      <c r="PS106" s="30"/>
      <c r="PT106" s="30"/>
      <c r="PU106" s="30"/>
      <c r="PV106" s="30"/>
      <c r="PW106" s="30"/>
      <c r="PX106" s="30"/>
      <c r="PY106" s="30"/>
      <c r="PZ106" s="30"/>
      <c r="QA106" s="30"/>
      <c r="QB106" s="30"/>
      <c r="QC106" s="30"/>
      <c r="QD106" s="30"/>
      <c r="QE106" s="30"/>
      <c r="QF106" s="30"/>
      <c r="QG106" s="30"/>
      <c r="QH106" s="30"/>
      <c r="QI106" s="30"/>
      <c r="QJ106" s="30"/>
      <c r="QK106" s="30"/>
      <c r="QL106" s="30"/>
      <c r="QM106" s="30"/>
      <c r="QN106" s="30"/>
      <c r="QO106" s="30"/>
      <c r="QP106" s="30"/>
      <c r="QQ106" s="30"/>
      <c r="QR106" s="30"/>
      <c r="QS106" s="30"/>
      <c r="QT106" s="30"/>
      <c r="QU106" s="30"/>
      <c r="QV106" s="30"/>
      <c r="QW106" s="30"/>
      <c r="QX106" s="30"/>
      <c r="QY106" s="30"/>
      <c r="QZ106" s="30"/>
      <c r="RA106" s="30"/>
      <c r="RB106" s="30"/>
      <c r="RC106" s="30"/>
      <c r="RD106" s="30"/>
      <c r="RE106" s="30"/>
      <c r="RF106" s="30"/>
      <c r="RG106" s="30"/>
      <c r="RH106" s="30"/>
      <c r="RI106" s="30"/>
      <c r="RJ106" s="30"/>
      <c r="RK106" s="30"/>
      <c r="RL106" s="30"/>
      <c r="RM106" s="30"/>
      <c r="RN106" s="30"/>
      <c r="RO106" s="30"/>
      <c r="RP106" s="30"/>
      <c r="RQ106" s="30"/>
      <c r="RR106" s="30"/>
      <c r="RS106" s="30"/>
      <c r="RT106" s="30"/>
      <c r="RU106" s="30"/>
      <c r="RV106" s="30"/>
      <c r="RW106" s="30"/>
      <c r="RX106" s="30"/>
      <c r="RY106" s="30"/>
      <c r="RZ106" s="30"/>
      <c r="SA106" s="30"/>
      <c r="SB106" s="30"/>
      <c r="SC106" s="30"/>
      <c r="SD106" s="30"/>
    </row>
    <row r="107" spans="1:498" s="20" customFormat="1" hidden="1">
      <c r="A107" s="69"/>
      <c r="B107" s="69"/>
      <c r="C107" s="69"/>
      <c r="D107" s="72"/>
      <c r="E107" s="147" t="s">
        <v>44</v>
      </c>
      <c r="F107" s="94">
        <f>$C$10+F103</f>
        <v>42383.25</v>
      </c>
      <c r="G107" s="95">
        <f t="shared" ref="G107:AD107" si="82">IF(
OR(
F107&lt;=0+N("If either the loan balance from the preceding year is less than or equal to zero OR"),
AND(
G51&gt;20+N("IT is later than teh 20th year AND"),
$D$63&lt;=40000+N("Initial loan volume is less tahn or equal to 40k OR")),
AND(
$C$11=0+N("if the interest rate is zero AND"),
(F107-(F109*12))&lt;0+N("The loan balance is less than the annual IBR payment then"))),
0+N("the loan balance equals zero, if these conditions were not satisfied then"),
IF(
($C$10+G103)&lt;0+N("If the principal payment is greaterthan the original loan balance then"),
0+N("the loan balance is zero")+N("If not, then"),
IF(
(G97*0.15)/12&gt;=$C$85+N("If the IBR payment is greater than or equal to the standard payment then"),
(F107*(1+$C$11))-(G109*12)+N("the previous loan balance plus interest minus the annual IBR payment is the new loan balance")+N("If the condition is false then"),
($C$10+G103)+N("the new loan balance is the original minus the principal or plus the negative amortization (the plus sign is in the formula because negative amortization is postitive and principal payment is negative in the spreadsheet"))))</f>
        <v>39624.382574999996</v>
      </c>
      <c r="H107" s="95">
        <f t="shared" si="82"/>
        <v>36716.773097632497</v>
      </c>
      <c r="I107" s="95">
        <f t="shared" si="82"/>
        <v>33653.508363183071</v>
      </c>
      <c r="J107" s="95">
        <f t="shared" si="82"/>
        <v>30427.374454330966</v>
      </c>
      <c r="K107" s="95">
        <f t="shared" si="82"/>
        <v>27030.84410561595</v>
      </c>
      <c r="L107" s="95">
        <f t="shared" si="82"/>
        <v>23456.063547247439</v>
      </c>
      <c r="M107" s="95">
        <f t="shared" si="82"/>
        <v>19694.838807047097</v>
      </c>
      <c r="N107" s="95">
        <f t="shared" si="82"/>
        <v>15738.621448458278</v>
      </c>
      <c r="O107" s="95">
        <f t="shared" si="82"/>
        <v>11578.49372166305</v>
      </c>
      <c r="P107" s="95">
        <f t="shared" si="82"/>
        <v>7205.153103919205</v>
      </c>
      <c r="Q107" s="95">
        <f t="shared" si="82"/>
        <v>2608.8962042636831</v>
      </c>
      <c r="R107" s="95">
        <f t="shared" si="82"/>
        <v>0</v>
      </c>
      <c r="S107" s="95">
        <f t="shared" si="82"/>
        <v>0</v>
      </c>
      <c r="T107" s="95">
        <f t="shared" si="82"/>
        <v>0</v>
      </c>
      <c r="U107" s="95">
        <f t="shared" si="82"/>
        <v>0</v>
      </c>
      <c r="V107" s="95">
        <f t="shared" si="82"/>
        <v>0</v>
      </c>
      <c r="W107" s="95">
        <f t="shared" si="82"/>
        <v>0</v>
      </c>
      <c r="X107" s="95">
        <f t="shared" si="82"/>
        <v>0</v>
      </c>
      <c r="Y107" s="95">
        <f t="shared" si="82"/>
        <v>0</v>
      </c>
      <c r="Z107" s="95">
        <f t="shared" si="82"/>
        <v>0</v>
      </c>
      <c r="AA107" s="95">
        <f t="shared" si="82"/>
        <v>0</v>
      </c>
      <c r="AB107" s="95">
        <f t="shared" si="82"/>
        <v>0</v>
      </c>
      <c r="AC107" s="95">
        <f t="shared" si="82"/>
        <v>0</v>
      </c>
      <c r="AD107" s="95">
        <f t="shared" si="82"/>
        <v>0</v>
      </c>
      <c r="AE107" s="132"/>
      <c r="AF107" s="133"/>
      <c r="AG107" s="133"/>
      <c r="AH107" s="133"/>
      <c r="AI107" s="134"/>
      <c r="AJ107" s="60"/>
      <c r="AK107" s="60"/>
      <c r="AL107" s="60"/>
      <c r="AM107" s="60"/>
      <c r="AN107" s="60"/>
      <c r="AO107" s="6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c r="LM107" s="30"/>
      <c r="LN107" s="30"/>
      <c r="LO107" s="30"/>
      <c r="LP107" s="30"/>
      <c r="LQ107" s="30"/>
      <c r="LR107" s="30"/>
      <c r="LS107" s="30"/>
      <c r="LT107" s="30"/>
      <c r="LU107" s="30"/>
      <c r="LV107" s="30"/>
      <c r="LW107" s="30"/>
      <c r="LX107" s="30"/>
      <c r="LY107" s="30"/>
      <c r="LZ107" s="30"/>
      <c r="MA107" s="30"/>
      <c r="MB107" s="30"/>
      <c r="MC107" s="30"/>
      <c r="MD107" s="30"/>
      <c r="ME107" s="30"/>
      <c r="MF107" s="30"/>
      <c r="MG107" s="30"/>
      <c r="MH107" s="30"/>
      <c r="MI107" s="30"/>
      <c r="MJ107" s="30"/>
      <c r="MK107" s="30"/>
      <c r="ML107" s="30"/>
      <c r="MM107" s="30"/>
      <c r="MN107" s="30"/>
      <c r="MO107" s="30"/>
      <c r="MP107" s="30"/>
      <c r="MQ107" s="30"/>
      <c r="MR107" s="30"/>
      <c r="MS107" s="30"/>
      <c r="MT107" s="30"/>
      <c r="MU107" s="30"/>
      <c r="MV107" s="30"/>
      <c r="MW107" s="30"/>
      <c r="MX107" s="30"/>
      <c r="MY107" s="30"/>
      <c r="MZ107" s="30"/>
      <c r="NA107" s="30"/>
      <c r="NB107" s="30"/>
      <c r="NC107" s="30"/>
      <c r="ND107" s="30"/>
      <c r="NE107" s="30"/>
      <c r="NF107" s="30"/>
      <c r="NG107" s="30"/>
      <c r="NH107" s="30"/>
      <c r="NI107" s="30"/>
      <c r="NJ107" s="30"/>
      <c r="NK107" s="30"/>
      <c r="NL107" s="30"/>
      <c r="NM107" s="30"/>
      <c r="NN107" s="30"/>
      <c r="NO107" s="30"/>
      <c r="NP107" s="30"/>
      <c r="NQ107" s="30"/>
      <c r="NR107" s="30"/>
      <c r="NS107" s="30"/>
      <c r="NT107" s="30"/>
      <c r="NU107" s="30"/>
      <c r="NV107" s="30"/>
      <c r="NW107" s="30"/>
      <c r="NX107" s="30"/>
      <c r="NY107" s="30"/>
      <c r="NZ107" s="30"/>
      <c r="OA107" s="30"/>
      <c r="OB107" s="30"/>
      <c r="OC107" s="30"/>
      <c r="OD107" s="30"/>
      <c r="OE107" s="30"/>
      <c r="OF107" s="30"/>
      <c r="OG107" s="30"/>
      <c r="OH107" s="30"/>
      <c r="OI107" s="30"/>
      <c r="OJ107" s="30"/>
      <c r="OK107" s="30"/>
      <c r="OL107" s="30"/>
      <c r="OM107" s="30"/>
      <c r="ON107" s="30"/>
      <c r="OO107" s="30"/>
      <c r="OP107" s="30"/>
      <c r="OQ107" s="30"/>
      <c r="OR107" s="30"/>
      <c r="OS107" s="30"/>
      <c r="OT107" s="30"/>
      <c r="OU107" s="30"/>
      <c r="OV107" s="30"/>
      <c r="OW107" s="30"/>
      <c r="OX107" s="30"/>
      <c r="OY107" s="30"/>
      <c r="OZ107" s="30"/>
      <c r="PA107" s="30"/>
      <c r="PB107" s="30"/>
      <c r="PC107" s="30"/>
      <c r="PD107" s="30"/>
      <c r="PE107" s="30"/>
      <c r="PF107" s="30"/>
      <c r="PG107" s="30"/>
      <c r="PH107" s="30"/>
      <c r="PI107" s="30"/>
      <c r="PJ107" s="30"/>
      <c r="PK107" s="30"/>
      <c r="PL107" s="30"/>
      <c r="PM107" s="30"/>
      <c r="PN107" s="30"/>
      <c r="PO107" s="30"/>
      <c r="PP107" s="30"/>
      <c r="PQ107" s="30"/>
      <c r="PR107" s="30"/>
      <c r="PS107" s="30"/>
      <c r="PT107" s="30"/>
      <c r="PU107" s="30"/>
      <c r="PV107" s="30"/>
      <c r="PW107" s="30"/>
      <c r="PX107" s="30"/>
      <c r="PY107" s="30"/>
      <c r="PZ107" s="30"/>
      <c r="QA107" s="30"/>
      <c r="QB107" s="30"/>
      <c r="QC107" s="30"/>
      <c r="QD107" s="30"/>
      <c r="QE107" s="30"/>
      <c r="QF107" s="30"/>
      <c r="QG107" s="30"/>
      <c r="QH107" s="30"/>
      <c r="QI107" s="30"/>
      <c r="QJ107" s="30"/>
      <c r="QK107" s="30"/>
      <c r="QL107" s="30"/>
      <c r="QM107" s="30"/>
      <c r="QN107" s="30"/>
      <c r="QO107" s="30"/>
      <c r="QP107" s="30"/>
      <c r="QQ107" s="30"/>
      <c r="QR107" s="30"/>
      <c r="QS107" s="30"/>
      <c r="QT107" s="30"/>
      <c r="QU107" s="30"/>
      <c r="QV107" s="30"/>
      <c r="QW107" s="30"/>
      <c r="QX107" s="30"/>
      <c r="QY107" s="30"/>
      <c r="QZ107" s="30"/>
      <c r="RA107" s="30"/>
      <c r="RB107" s="30"/>
      <c r="RC107" s="30"/>
      <c r="RD107" s="30"/>
      <c r="RE107" s="30"/>
      <c r="RF107" s="30"/>
      <c r="RG107" s="30"/>
      <c r="RH107" s="30"/>
      <c r="RI107" s="30"/>
      <c r="RJ107" s="30"/>
      <c r="RK107" s="30"/>
      <c r="RL107" s="30"/>
      <c r="RM107" s="30"/>
      <c r="RN107" s="30"/>
      <c r="RO107" s="30"/>
      <c r="RP107" s="30"/>
      <c r="RQ107" s="30"/>
      <c r="RR107" s="30"/>
      <c r="RS107" s="30"/>
      <c r="RT107" s="30"/>
      <c r="RU107" s="30"/>
      <c r="RV107" s="30"/>
      <c r="RW107" s="30"/>
      <c r="RX107" s="30"/>
      <c r="RY107" s="30"/>
      <c r="RZ107" s="30"/>
      <c r="SA107" s="30"/>
      <c r="SB107" s="30"/>
      <c r="SC107" s="30"/>
      <c r="SD107" s="30"/>
    </row>
    <row r="108" spans="1:498">
      <c r="A108" s="11"/>
      <c r="B108" s="11"/>
      <c r="C108" s="11"/>
      <c r="D108" s="77"/>
      <c r="E108" s="77"/>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98" hidden="1">
      <c r="A109" s="11"/>
      <c r="B109" s="11"/>
      <c r="C109" s="11"/>
      <c r="D109" s="78"/>
      <c r="E109" s="78"/>
      <c r="F109" s="80">
        <f>IF(F97&lt;=0,0,
IF(AND(F54&gt;((F56+(F57*F52))*3),((F97*0.15)/12)&gt;($D$59/12))+N("If AGI is above 300 percent of poverty and IBR payment would be greater than 15 of discretionary income THEN"),
"Ineligible",
IF(AND(F54&lt;=((F56+(F57*F52))*3),((F97*0.1)/12)&gt;($D$59/12)+N("If AGI is less than or equal to 300 percent of poverty and IBR payment would be greater than 10 of discretionary income THEN")),
"Ineligible",
IF(
F54&lt;((F56+(F57*F52))*3)+N("If AGI is less than 300 percent of poverty THEN"),
(F97*0.1)/12+N("The IBR payment at ten percent")+N("If the income is greater than 300 percent of poverty THEN"),
(F97*0.15)/12+N("The IBR payment at 15 percent")))))</f>
        <v>218.0625</v>
      </c>
      <c r="G109" s="80">
        <f>IF(
AND(
G51&gt;20+N("If it is past the 20th year AND"),
$D$63&lt;=40000+N("The loan balance is greater than 40k THEN")),
0+N("The loan balance is zero")+N("If not, THEN"),
IF(F107=0,
0+N("If loan balance from the preceding year is zero then IBR payment is zero, if not then"),
IF(
G97&lt;0,
0+N("This makes the IBR payment zero is Income minus exemption is negative"),
IF(G54&lt;((G56+(G57*G52))*3)+N("If AGI is less than 300 percent baseline poverty THEN"),
((G97*0.1)/12)+N("IBR at 10 percent"),
((G97*0.15)/12)+N("Then the IBR payment")))))</f>
        <v>229.90561875000003</v>
      </c>
      <c r="H109" s="80">
        <f t="shared" ref="H109:X109" si="83">IF(
AND(
H51&gt;20+N("If it is past the 20th year AND"),
$D$63&lt;=40000+N("The loan balance is greater than 40k THEN")),
0+N("The loan balance is zero")+N("If not, THEN"),
IF(G107=0,
0+N("If loan balance from the preceding year is zero then IBR payment is zero, if not then"),
IF(
H97&lt;0,
0+N("This makes the IBR payment zero is Income minus exemption is negative"),
IF(H54&lt;((H56+(H57*H52))*3)+N("If AGI is less than 300 percent baseline poverty THEN"),
((H97*0.1)/12)+N("IBR at 10 percent"),
((H97*0.15)/12)+N("Then the IBR payment")))))</f>
        <v>242.30078978062508</v>
      </c>
      <c r="I109" s="80">
        <f t="shared" si="83"/>
        <v>255.27206120411873</v>
      </c>
      <c r="J109" s="80">
        <f t="shared" si="83"/>
        <v>268.84449240434219</v>
      </c>
      <c r="K109" s="80">
        <f t="shared" si="83"/>
        <v>283.04419572625119</v>
      </c>
      <c r="L109" s="80">
        <f t="shared" si="83"/>
        <v>297.89837986404257</v>
      </c>
      <c r="M109" s="80">
        <f t="shared" si="83"/>
        <v>313.43539501669494</v>
      </c>
      <c r="N109" s="80">
        <f t="shared" si="83"/>
        <v>329.68477988240153</v>
      </c>
      <c r="O109" s="80">
        <f t="shared" si="83"/>
        <v>346.67731056626889</v>
      </c>
      <c r="P109" s="80">
        <f t="shared" si="83"/>
        <v>364.44505147865402</v>
      </c>
      <c r="Q109" s="80">
        <f t="shared" si="83"/>
        <v>383.02140830462685</v>
      </c>
      <c r="R109" s="80">
        <f t="shared" si="83"/>
        <v>402.44118312828613</v>
      </c>
      <c r="S109" s="80">
        <f t="shared" si="83"/>
        <v>0</v>
      </c>
      <c r="T109" s="80">
        <f t="shared" si="83"/>
        <v>0</v>
      </c>
      <c r="U109" s="80">
        <f t="shared" si="83"/>
        <v>0</v>
      </c>
      <c r="V109" s="80">
        <f t="shared" si="83"/>
        <v>0</v>
      </c>
      <c r="W109" s="80">
        <f t="shared" si="83"/>
        <v>0</v>
      </c>
      <c r="X109" s="80">
        <f t="shared" si="83"/>
        <v>0</v>
      </c>
      <c r="Y109" s="80">
        <f>IF(
AND(
Y51&gt;20+N("If it is past the 20th year AND"),
$D$63&lt;=40000+N("The loan balance is greater than 40k THEN")),
0+N("The loan balance is zero")+N("If not, THEN"),
IF(X107=0,
0+N("If loan balance from the preceding year is zero then IBR payment is zero, if not then"),
IF(
Y97&lt;0,
0+N("This makes the IBR payment zero is Income minus exemption is negative"),
IF(Y54&lt;((Y56+(Y57*Y52))*3)+N("If AGI is less than 300 percent baseline poverty THEN"),
((Y97*0.1)/12)+N("IBR at 10 percent"),
((Y97*0.15)/12)+N("Then the IBR payment")))))</f>
        <v>0</v>
      </c>
      <c r="Z109" s="80">
        <f t="shared" ref="Z109:AD109" si="84">IF(
AND(
Z51&gt;20+N("If it is past the 20th year AND"),
$D$63&lt;=40000+N("The loan balance is greater than 40k THEN")),
0+N("The loan balance is zero")+N("If not, THEN"),
IF(Y107=0,
0+N("If loan balance from the preceding year is zero then IBR payment is zero, if not then"),
IF(
Z97&lt;0,
0+N("This makes the IBR payment zero is Income minus exemption is negative"),
IF(Z54&lt;((Z56+(Z57*Z52))*3)+N("If AGI is less than 300 percent baseline poverty THEN"),
((Z97*0.1)/12)+N("IBR at 10 percent"),
((Z97*0.15)/12)+N("Then the IBR payment")))))</f>
        <v>0</v>
      </c>
      <c r="AA109" s="80">
        <f t="shared" si="84"/>
        <v>0</v>
      </c>
      <c r="AB109" s="80">
        <f t="shared" si="84"/>
        <v>0</v>
      </c>
      <c r="AC109" s="80">
        <f t="shared" si="84"/>
        <v>0</v>
      </c>
      <c r="AD109" s="80">
        <f t="shared" si="84"/>
        <v>0</v>
      </c>
      <c r="AE109" s="11"/>
      <c r="AF109" s="11"/>
      <c r="AG109" s="11"/>
      <c r="AH109" s="11"/>
      <c r="AI109" s="11"/>
      <c r="AJ109" s="11"/>
      <c r="AK109" s="11"/>
      <c r="AL109" s="11"/>
      <c r="AM109" s="11"/>
      <c r="AN109" s="11"/>
      <c r="AO109" s="11"/>
    </row>
    <row r="110" spans="1:498" s="8" customFormat="1" hidden="1">
      <c r="A110" s="11"/>
      <c r="B110" s="11"/>
      <c r="C110" s="11"/>
      <c r="D110" s="79" t="s">
        <v>26</v>
      </c>
      <c r="E110" s="78"/>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11"/>
      <c r="AF110" s="11"/>
      <c r="AG110" s="11"/>
      <c r="AH110" s="11"/>
      <c r="AI110" s="11"/>
      <c r="AJ110" s="11"/>
      <c r="AK110" s="11"/>
      <c r="AL110" s="11"/>
      <c r="AM110" s="11"/>
      <c r="AN110" s="11"/>
      <c r="AO110" s="11"/>
    </row>
    <row r="111" spans="1:498" hidden="1">
      <c r="A111" s="11"/>
      <c r="B111" s="62" t="s">
        <v>27</v>
      </c>
      <c r="C111" s="11"/>
      <c r="D111" s="61">
        <f>AVERAGE(F111:W111)</f>
        <v>5.3631459602867027E-2</v>
      </c>
      <c r="E111" s="11"/>
      <c r="F111" s="61">
        <f>(F109*12)/F53</f>
        <v>6.8861842105263152E-2</v>
      </c>
      <c r="G111" s="61">
        <f t="shared" ref="G111:AD111" si="85">(G109*12)/G53</f>
        <v>6.9809398405870457E-2</v>
      </c>
      <c r="H111" s="61">
        <f t="shared" si="85"/>
        <v>7.0743379140247892E-2</v>
      </c>
      <c r="I111" s="61">
        <f t="shared" si="85"/>
        <v>7.1663978804488562E-2</v>
      </c>
      <c r="J111" s="61">
        <f t="shared" si="85"/>
        <v>7.2571389108155054E-2</v>
      </c>
      <c r="K111" s="61">
        <f t="shared" si="85"/>
        <v>7.3465799014201666E-2</v>
      </c>
      <c r="L111" s="61">
        <f t="shared" si="85"/>
        <v>7.4347394778325152E-2</v>
      </c>
      <c r="M111" s="61">
        <f t="shared" si="85"/>
        <v>7.5216359987751072E-2</v>
      </c>
      <c r="N111" s="61">
        <f t="shared" si="85"/>
        <v>7.6072875599465031E-2</v>
      </c>
      <c r="O111" s="61">
        <f t="shared" si="85"/>
        <v>7.6917119977895784E-2</v>
      </c>
      <c r="P111" s="61">
        <f t="shared" si="85"/>
        <v>7.7749268932058621E-2</v>
      </c>
      <c r="Q111" s="61">
        <f t="shared" si="85"/>
        <v>7.8569495752166624E-2</v>
      </c>
      <c r="R111" s="61">
        <f t="shared" si="85"/>
        <v>7.9377971245717355E-2</v>
      </c>
      <c r="S111" s="61">
        <f t="shared" si="85"/>
        <v>0</v>
      </c>
      <c r="T111" s="61">
        <f t="shared" si="85"/>
        <v>0</v>
      </c>
      <c r="U111" s="61">
        <f t="shared" si="85"/>
        <v>0</v>
      </c>
      <c r="V111" s="61">
        <f t="shared" si="85"/>
        <v>0</v>
      </c>
      <c r="W111" s="61">
        <f t="shared" si="85"/>
        <v>0</v>
      </c>
      <c r="X111" s="61">
        <f t="shared" si="85"/>
        <v>0</v>
      </c>
      <c r="Y111" s="61">
        <f t="shared" si="85"/>
        <v>0</v>
      </c>
      <c r="Z111" s="61">
        <f t="shared" si="85"/>
        <v>0</v>
      </c>
      <c r="AA111" s="61">
        <f t="shared" si="85"/>
        <v>0</v>
      </c>
      <c r="AB111" s="61">
        <f t="shared" si="85"/>
        <v>0</v>
      </c>
      <c r="AC111" s="61">
        <f t="shared" si="85"/>
        <v>0</v>
      </c>
      <c r="AD111" s="61">
        <f t="shared" si="85"/>
        <v>0</v>
      </c>
      <c r="AE111" s="11"/>
      <c r="AF111" s="11"/>
      <c r="AG111" s="11"/>
      <c r="AH111" s="11"/>
      <c r="AI111" s="11"/>
      <c r="AJ111" s="11"/>
      <c r="AK111" s="11"/>
      <c r="AL111" s="11"/>
      <c r="AM111" s="11"/>
      <c r="AN111" s="11"/>
      <c r="AO111" s="11"/>
    </row>
    <row r="112" spans="1:498" ht="14" customHeight="1">
      <c r="A112" s="11"/>
      <c r="B112" s="11"/>
      <c r="C112" s="11"/>
      <c r="D112" s="11"/>
      <c r="E112" s="11"/>
      <c r="F112" s="190" t="s">
        <v>73</v>
      </c>
      <c r="G112" s="190"/>
      <c r="H112" s="190"/>
      <c r="I112" s="190"/>
      <c r="J112" s="190"/>
      <c r="K112" s="190"/>
      <c r="L112" s="190"/>
      <c r="M112" s="190"/>
      <c r="N112" s="190"/>
      <c r="O112" s="190"/>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c r="A113" s="11"/>
      <c r="B113" s="11"/>
      <c r="C113" s="11"/>
      <c r="D113" s="11"/>
      <c r="E113" s="11"/>
      <c r="F113" s="190"/>
      <c r="G113" s="190"/>
      <c r="H113" s="190"/>
      <c r="I113" s="190"/>
      <c r="J113" s="190"/>
      <c r="K113" s="190"/>
      <c r="L113" s="190"/>
      <c r="M113" s="190"/>
      <c r="N113" s="190"/>
      <c r="O113" s="190"/>
      <c r="P113" s="11"/>
      <c r="Q113" s="11"/>
      <c r="R113" s="11"/>
      <c r="S113" s="11"/>
      <c r="T113" s="11"/>
      <c r="U113" s="11"/>
      <c r="V113" s="11"/>
      <c r="W113" s="11"/>
      <c r="X113" s="11"/>
      <c r="Y113" s="11"/>
      <c r="Z113" s="171"/>
      <c r="AA113" s="11"/>
      <c r="AB113" s="11"/>
      <c r="AC113" s="11"/>
      <c r="AD113" s="11"/>
      <c r="AE113" s="11"/>
      <c r="AF113" s="11"/>
      <c r="AG113" s="11"/>
      <c r="AH113" s="11"/>
      <c r="AI113" s="11"/>
      <c r="AJ113" s="11"/>
      <c r="AK113" s="11"/>
      <c r="AL113" s="11"/>
      <c r="AM113" s="11"/>
      <c r="AN113" s="11"/>
      <c r="AO113" s="11"/>
    </row>
    <row r="114" spans="1:41">
      <c r="A114" s="11"/>
      <c r="B114" s="11"/>
      <c r="C114" s="11"/>
      <c r="D114" s="11"/>
      <c r="E114" s="11"/>
      <c r="F114" s="190"/>
      <c r="G114" s="190"/>
      <c r="H114" s="190"/>
      <c r="I114" s="190"/>
      <c r="J114" s="190"/>
      <c r="K114" s="190"/>
      <c r="L114" s="190"/>
      <c r="M114" s="190"/>
      <c r="N114" s="190"/>
      <c r="O114" s="190"/>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c r="A115" s="11"/>
      <c r="B115" s="11"/>
      <c r="C115" s="11"/>
      <c r="D115" s="11"/>
      <c r="E115" s="11"/>
      <c r="F115" s="190"/>
      <c r="G115" s="190"/>
      <c r="H115" s="190"/>
      <c r="I115" s="190"/>
      <c r="J115" s="190"/>
      <c r="K115" s="190"/>
      <c r="L115" s="190"/>
      <c r="M115" s="190"/>
      <c r="N115" s="190"/>
      <c r="O115" s="190"/>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11" customFormat="1">
      <c r="F116" s="190"/>
      <c r="G116" s="190"/>
      <c r="H116" s="190"/>
      <c r="I116" s="190"/>
      <c r="J116" s="190"/>
      <c r="K116" s="190"/>
      <c r="L116" s="190"/>
      <c r="M116" s="190"/>
      <c r="N116" s="190"/>
      <c r="O116" s="190"/>
    </row>
    <row r="117" spans="1:41" s="11" customFormat="1">
      <c r="F117" s="190"/>
      <c r="G117" s="190"/>
      <c r="H117" s="190"/>
      <c r="I117" s="190"/>
      <c r="J117" s="190"/>
      <c r="K117" s="190"/>
      <c r="L117" s="190"/>
      <c r="M117" s="190"/>
      <c r="N117" s="190"/>
      <c r="O117" s="190"/>
    </row>
    <row r="118" spans="1:41" s="11" customFormat="1">
      <c r="F118" s="190"/>
      <c r="G118" s="190"/>
      <c r="H118" s="190"/>
      <c r="I118" s="190"/>
      <c r="J118" s="190"/>
      <c r="K118" s="190"/>
      <c r="L118" s="190"/>
      <c r="M118" s="190"/>
      <c r="N118" s="190"/>
      <c r="O118" s="190"/>
    </row>
    <row r="119" spans="1:41" s="11" customFormat="1">
      <c r="F119" s="190"/>
      <c r="G119" s="190"/>
      <c r="H119" s="190"/>
      <c r="I119" s="190"/>
      <c r="J119" s="190"/>
      <c r="K119" s="190"/>
      <c r="L119" s="190"/>
      <c r="M119" s="190"/>
      <c r="N119" s="190"/>
      <c r="O119" s="190"/>
    </row>
    <row r="120" spans="1:41" s="11" customFormat="1">
      <c r="F120" s="190"/>
      <c r="G120" s="190"/>
      <c r="H120" s="190"/>
      <c r="I120" s="190"/>
      <c r="J120" s="190"/>
      <c r="K120" s="190"/>
      <c r="L120" s="190"/>
      <c r="M120" s="190"/>
      <c r="N120" s="190"/>
      <c r="O120" s="190"/>
    </row>
    <row r="121" spans="1:41" s="11" customFormat="1"/>
  </sheetData>
  <sheetProtection sheet="1" objects="1" scenarios="1"/>
  <mergeCells count="22">
    <mergeCell ref="B3:D3"/>
    <mergeCell ref="C74:E74"/>
    <mergeCell ref="C75:E75"/>
    <mergeCell ref="C80:E80"/>
    <mergeCell ref="C81:E81"/>
    <mergeCell ref="C77:E77"/>
    <mergeCell ref="C78:E78"/>
    <mergeCell ref="F21:O37"/>
    <mergeCell ref="F39:O39"/>
    <mergeCell ref="F40:O42"/>
    <mergeCell ref="F112:O120"/>
    <mergeCell ref="C51:E51"/>
    <mergeCell ref="C53:E53"/>
    <mergeCell ref="C54:E54"/>
    <mergeCell ref="C105:E105"/>
    <mergeCell ref="C106:E106"/>
    <mergeCell ref="C82:E82"/>
    <mergeCell ref="F1:O2"/>
    <mergeCell ref="F3:O4"/>
    <mergeCell ref="F5:O6"/>
    <mergeCell ref="F7:O10"/>
    <mergeCell ref="F13:O20"/>
  </mergeCells>
  <pageMargins left="0.7" right="0.7" top="0.75" bottom="0.75" header="0.3" footer="0.3"/>
  <pageSetup orientation="landscape"/>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IBR 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Holt</dc:creator>
  <cp:lastModifiedBy>Alexander Holt</cp:lastModifiedBy>
  <dcterms:created xsi:type="dcterms:W3CDTF">2012-08-18T20:45:09Z</dcterms:created>
  <dcterms:modified xsi:type="dcterms:W3CDTF">2013-03-15T18:13:21Z</dcterms:modified>
</cp:coreProperties>
</file>