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workbookProtection lockStructure="1"/>
  <bookViews>
    <workbookView xWindow="0" yWindow="0" windowWidth="24240" windowHeight="13740" tabRatio="500"/>
  </bookViews>
  <sheets>
    <sheet name="IBR Calculator" sheetId="1" r:id="rId1"/>
  </sheets>
  <definedNames>
    <definedName name="top" localSheetId="0">'IBR Calculator'!$D$109</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H79" i="1" l="1"/>
  <c r="I79" i="1"/>
  <c r="J79" i="1"/>
  <c r="K79" i="1" s="1"/>
  <c r="L79" i="1" s="1"/>
  <c r="M79" i="1" s="1"/>
  <c r="N79" i="1" s="1"/>
  <c r="O79" i="1" s="1"/>
  <c r="P79" i="1" s="1"/>
  <c r="Q79" i="1" s="1"/>
  <c r="R79" i="1" s="1"/>
  <c r="S79" i="1" s="1"/>
  <c r="T79" i="1" s="1"/>
  <c r="U79" i="1" s="1"/>
  <c r="V79" i="1" s="1"/>
  <c r="W79" i="1" s="1"/>
  <c r="X79" i="1" s="1"/>
  <c r="Y79" i="1" s="1"/>
  <c r="Z79" i="1" s="1"/>
  <c r="AA79" i="1" s="1"/>
  <c r="AB79" i="1" s="1"/>
  <c r="AC79" i="1" s="1"/>
  <c r="AD79" i="1" s="1"/>
  <c r="G79" i="1"/>
  <c r="C10" i="1" l="1"/>
  <c r="Z109" i="1" s="1"/>
  <c r="D10" i="1"/>
  <c r="C11" i="1" s="1"/>
  <c r="F80" i="1"/>
  <c r="F78" i="1"/>
  <c r="F81" i="1"/>
  <c r="F125" i="1"/>
  <c r="F126" i="1" s="1"/>
  <c r="C26" i="1"/>
  <c r="C30" i="1"/>
  <c r="C32" i="1"/>
  <c r="G58" i="1"/>
  <c r="H58" i="1" s="1"/>
  <c r="I58" i="1" s="1"/>
  <c r="J58" i="1" s="1"/>
  <c r="G57" i="1"/>
  <c r="G56" i="1"/>
  <c r="H56" i="1" s="1"/>
  <c r="G55" i="1"/>
  <c r="G82" i="1"/>
  <c r="H82" i="1" s="1"/>
  <c r="I82" i="1" s="1"/>
  <c r="G83" i="1"/>
  <c r="H83" i="1" s="1"/>
  <c r="I83" i="1" s="1"/>
  <c r="J83" i="1" s="1"/>
  <c r="K83" i="1" s="1"/>
  <c r="L83" i="1" s="1"/>
  <c r="M83" i="1" s="1"/>
  <c r="N83" i="1" s="1"/>
  <c r="O83" i="1" s="1"/>
  <c r="P83" i="1" s="1"/>
  <c r="Q83" i="1" s="1"/>
  <c r="R83" i="1" s="1"/>
  <c r="S83" i="1" s="1"/>
  <c r="T83" i="1" s="1"/>
  <c r="U83" i="1" s="1"/>
  <c r="V83" i="1" s="1"/>
  <c r="W83" i="1" s="1"/>
  <c r="X83" i="1" s="1"/>
  <c r="Y83" i="1" s="1"/>
  <c r="Z83" i="1" s="1"/>
  <c r="AA83" i="1" s="1"/>
  <c r="AB83" i="1" s="1"/>
  <c r="AC83" i="1" s="1"/>
  <c r="AD83" i="1" s="1"/>
  <c r="AE83" i="1" s="1"/>
  <c r="AF83" i="1" s="1"/>
  <c r="AG83" i="1" s="1"/>
  <c r="AH83" i="1" s="1"/>
  <c r="AI83" i="1" s="1"/>
  <c r="G77" i="1"/>
  <c r="C15" i="1"/>
  <c r="H57" i="1"/>
  <c r="H55" i="1"/>
  <c r="I55" i="1" s="1"/>
  <c r="J55" i="1" s="1"/>
  <c r="I57" i="1"/>
  <c r="J57" i="1"/>
  <c r="J82" i="1"/>
  <c r="K82" i="1" s="1"/>
  <c r="L82" i="1" s="1"/>
  <c r="K58" i="1"/>
  <c r="K57" i="1"/>
  <c r="K55" i="1"/>
  <c r="L55" i="1" s="1"/>
  <c r="M55" i="1" s="1"/>
  <c r="N55" i="1" s="1"/>
  <c r="O55" i="1" s="1"/>
  <c r="P55" i="1" s="1"/>
  <c r="Q55" i="1" s="1"/>
  <c r="R55" i="1" s="1"/>
  <c r="S55" i="1" s="1"/>
  <c r="T55" i="1" s="1"/>
  <c r="U55" i="1" s="1"/>
  <c r="V55" i="1" s="1"/>
  <c r="W55" i="1" s="1"/>
  <c r="X55" i="1" s="1"/>
  <c r="Y55" i="1" s="1"/>
  <c r="Z55" i="1" s="1"/>
  <c r="AA55" i="1" s="1"/>
  <c r="AB55" i="1" s="1"/>
  <c r="AC55" i="1" s="1"/>
  <c r="AD55" i="1" s="1"/>
  <c r="AE55" i="1" s="1"/>
  <c r="AF55" i="1" s="1"/>
  <c r="AG55" i="1" s="1"/>
  <c r="AH55" i="1" s="1"/>
  <c r="AI55" i="1" s="1"/>
  <c r="L58" i="1"/>
  <c r="M58" i="1" s="1"/>
  <c r="N58" i="1" s="1"/>
  <c r="O58" i="1" s="1"/>
  <c r="P58" i="1" s="1"/>
  <c r="Q58" i="1" s="1"/>
  <c r="L57" i="1"/>
  <c r="M57" i="1" s="1"/>
  <c r="N57" i="1" s="1"/>
  <c r="O57" i="1" s="1"/>
  <c r="P57" i="1" s="1"/>
  <c r="Q57" i="1" s="1"/>
  <c r="R57" i="1" s="1"/>
  <c r="S57" i="1" s="1"/>
  <c r="T57" i="1" s="1"/>
  <c r="U57" i="1" s="1"/>
  <c r="V57" i="1" s="1"/>
  <c r="W57" i="1" s="1"/>
  <c r="X57" i="1" s="1"/>
  <c r="Y57" i="1" s="1"/>
  <c r="Z57" i="1" s="1"/>
  <c r="AA57" i="1" s="1"/>
  <c r="AB57" i="1" s="1"/>
  <c r="AC57" i="1" s="1"/>
  <c r="AD57" i="1" s="1"/>
  <c r="AE57" i="1" s="1"/>
  <c r="AF57" i="1" s="1"/>
  <c r="AG57" i="1" s="1"/>
  <c r="AH57" i="1" s="1"/>
  <c r="AI57" i="1" s="1"/>
  <c r="M82" i="1"/>
  <c r="R58" i="1"/>
  <c r="S58" i="1" s="1"/>
  <c r="T58" i="1" s="1"/>
  <c r="U58" i="1" s="1"/>
  <c r="V58" i="1"/>
  <c r="W58" i="1" s="1"/>
  <c r="X58" i="1" s="1"/>
  <c r="Y58" i="1" s="1"/>
  <c r="Z58" i="1" s="1"/>
  <c r="D44" i="1"/>
  <c r="D41" i="1"/>
  <c r="AB119" i="1"/>
  <c r="AB121" i="1" s="1"/>
  <c r="AC119" i="1"/>
  <c r="AC120" i="1" s="1"/>
  <c r="AF119" i="1"/>
  <c r="AF121" i="1" s="1"/>
  <c r="AG119" i="1"/>
  <c r="AG120" i="1" s="1"/>
  <c r="AH119" i="1"/>
  <c r="AH121" i="1"/>
  <c r="D14" i="1"/>
  <c r="D81" i="1"/>
  <c r="B36" i="1"/>
  <c r="D26" i="1"/>
  <c r="AI78" i="1"/>
  <c r="AH78" i="1"/>
  <c r="AG78" i="1"/>
  <c r="AF78" i="1"/>
  <c r="AE78" i="1"/>
  <c r="AD115" i="1"/>
  <c r="AC115" i="1"/>
  <c r="AB115" i="1"/>
  <c r="AA115" i="1"/>
  <c r="Z115" i="1"/>
  <c r="Y115" i="1"/>
  <c r="X115" i="1"/>
  <c r="W115" i="1"/>
  <c r="V115" i="1"/>
  <c r="U115" i="1"/>
  <c r="T115" i="1"/>
  <c r="S115" i="1"/>
  <c r="R115" i="1"/>
  <c r="Q115" i="1"/>
  <c r="P115" i="1"/>
  <c r="Z111" i="1"/>
  <c r="AA111" i="1" s="1"/>
  <c r="AB111" i="1" s="1"/>
  <c r="AC111" i="1" s="1"/>
  <c r="AD111" i="1" s="1"/>
  <c r="AE111" i="1"/>
  <c r="AF111" i="1" s="1"/>
  <c r="AG111" i="1" s="1"/>
  <c r="AH111" i="1" s="1"/>
  <c r="AI111" i="1" s="1"/>
  <c r="AF108" i="1" l="1"/>
  <c r="AF120" i="1"/>
  <c r="AF122" i="1" s="1"/>
  <c r="AG108" i="1"/>
  <c r="U116" i="1"/>
  <c r="S116" i="1"/>
  <c r="Q116" i="1"/>
  <c r="AH116" i="1"/>
  <c r="AG116" i="1"/>
  <c r="AC116" i="1"/>
  <c r="G119" i="1"/>
  <c r="G108" i="1" s="1"/>
  <c r="AA116" i="1"/>
  <c r="Z116" i="1"/>
  <c r="H111" i="1"/>
  <c r="Z110" i="1"/>
  <c r="AA109" i="1"/>
  <c r="AB109" i="1" s="1"/>
  <c r="AG123" i="1"/>
  <c r="AC108" i="1"/>
  <c r="AA119" i="1"/>
  <c r="AA108" i="1" s="1"/>
  <c r="AG121" i="1"/>
  <c r="AG122" i="1" s="1"/>
  <c r="Z119" i="1"/>
  <c r="Z120" i="1" s="1"/>
  <c r="D89" i="1"/>
  <c r="F87" i="1" s="1"/>
  <c r="AE109" i="1"/>
  <c r="AF109" i="1" s="1"/>
  <c r="Z107" i="1"/>
  <c r="AE119" i="1"/>
  <c r="AE121" i="1" s="1"/>
  <c r="F111" i="1"/>
  <c r="AF123" i="1"/>
  <c r="AD119" i="1"/>
  <c r="AH108" i="1"/>
  <c r="AI119" i="1"/>
  <c r="F119" i="1"/>
  <c r="F108" i="1" s="1"/>
  <c r="AB80" i="1"/>
  <c r="I80" i="1"/>
  <c r="R116" i="1"/>
  <c r="AD116" i="1"/>
  <c r="AE108" i="1"/>
  <c r="Z80" i="1"/>
  <c r="AA58" i="1"/>
  <c r="AB58" i="1" s="1"/>
  <c r="AC58" i="1" s="1"/>
  <c r="AD58" i="1" s="1"/>
  <c r="AE58" i="1" s="1"/>
  <c r="AF58" i="1" s="1"/>
  <c r="AG58" i="1" s="1"/>
  <c r="AH58" i="1" s="1"/>
  <c r="AI58" i="1" s="1"/>
  <c r="V116" i="1"/>
  <c r="AI116" i="1"/>
  <c r="D84" i="1"/>
  <c r="I56" i="1"/>
  <c r="J56" i="1" s="1"/>
  <c r="K56" i="1" s="1"/>
  <c r="L56" i="1" s="1"/>
  <c r="M56" i="1" s="1"/>
  <c r="N56" i="1" s="1"/>
  <c r="O56" i="1" s="1"/>
  <c r="P56" i="1" s="1"/>
  <c r="Q56" i="1" s="1"/>
  <c r="R56" i="1" s="1"/>
  <c r="S56" i="1" s="1"/>
  <c r="T56" i="1" s="1"/>
  <c r="U56" i="1" s="1"/>
  <c r="V56" i="1" s="1"/>
  <c r="W56" i="1" s="1"/>
  <c r="X56" i="1" s="1"/>
  <c r="Y56" i="1" s="1"/>
  <c r="Z56" i="1" s="1"/>
  <c r="AA56" i="1" s="1"/>
  <c r="AB56" i="1" s="1"/>
  <c r="AC56" i="1" s="1"/>
  <c r="AD56" i="1" s="1"/>
  <c r="AE56" i="1" s="1"/>
  <c r="AF56" i="1" s="1"/>
  <c r="AG56" i="1" s="1"/>
  <c r="AH56" i="1" s="1"/>
  <c r="AI56" i="1" s="1"/>
  <c r="H80" i="1"/>
  <c r="AC121" i="1"/>
  <c r="AC122" i="1" s="1"/>
  <c r="AC123" i="1"/>
  <c r="F114" i="1"/>
  <c r="F115" i="1" s="1"/>
  <c r="C113" i="1"/>
  <c r="G111" i="1"/>
  <c r="F113" i="1"/>
  <c r="F121" i="1"/>
  <c r="G114" i="1"/>
  <c r="G115" i="1" s="1"/>
  <c r="F109" i="1"/>
  <c r="AF116" i="1"/>
  <c r="X116" i="1"/>
  <c r="AE116" i="1"/>
  <c r="W116" i="1"/>
  <c r="J111" i="1"/>
  <c r="AB116" i="1"/>
  <c r="T116" i="1"/>
  <c r="I111" i="1"/>
  <c r="Y116" i="1"/>
  <c r="N82" i="1"/>
  <c r="J80" i="1"/>
  <c r="AB120" i="1"/>
  <c r="AB122" i="1" s="1"/>
  <c r="AB123" i="1"/>
  <c r="AB108" i="1"/>
  <c r="AH123" i="1"/>
  <c r="AH120" i="1"/>
  <c r="AH122" i="1" s="1"/>
  <c r="AE110" i="1"/>
  <c r="G78" i="1"/>
  <c r="G81" i="1" s="1"/>
  <c r="H77" i="1"/>
  <c r="AA80" i="1"/>
  <c r="G80" i="1"/>
  <c r="G125" i="1" s="1"/>
  <c r="G126" i="1" s="1"/>
  <c r="F116" i="1"/>
  <c r="D42" i="1"/>
  <c r="AE107" i="1" l="1"/>
  <c r="AE123" i="1"/>
  <c r="Z123" i="1"/>
  <c r="AA110" i="1"/>
  <c r="AE120" i="1"/>
  <c r="AE122" i="1" s="1"/>
  <c r="Z121" i="1"/>
  <c r="AA107" i="1"/>
  <c r="Z108" i="1"/>
  <c r="AI121" i="1"/>
  <c r="AI120" i="1"/>
  <c r="AI122" i="1" s="1"/>
  <c r="AI123" i="1"/>
  <c r="K111" i="1"/>
  <c r="G120" i="1"/>
  <c r="F92" i="1"/>
  <c r="AA123" i="1"/>
  <c r="F130" i="1"/>
  <c r="F120" i="1"/>
  <c r="F122" i="1" s="1"/>
  <c r="F123" i="1" s="1"/>
  <c r="AD121" i="1"/>
  <c r="AD120" i="1"/>
  <c r="AD122" i="1" s="1"/>
  <c r="AD123" i="1"/>
  <c r="AD108" i="1"/>
  <c r="AA121" i="1"/>
  <c r="AA120" i="1"/>
  <c r="AA122" i="1" s="1"/>
  <c r="AI108" i="1"/>
  <c r="F110" i="1"/>
  <c r="G109" i="1"/>
  <c r="F107" i="1"/>
  <c r="I77" i="1"/>
  <c r="H78" i="1"/>
  <c r="H81" i="1" s="1"/>
  <c r="Z122" i="1"/>
  <c r="F112" i="1"/>
  <c r="H113" i="1"/>
  <c r="L113" i="1"/>
  <c r="J113" i="1"/>
  <c r="K113" i="1"/>
  <c r="M113" i="1"/>
  <c r="D85" i="1"/>
  <c r="N113" i="1"/>
  <c r="G113" i="1"/>
  <c r="I113" i="1"/>
  <c r="F106" i="1"/>
  <c r="O113" i="1"/>
  <c r="O82" i="1"/>
  <c r="AC109" i="1"/>
  <c r="AB110" i="1"/>
  <c r="AB107" i="1"/>
  <c r="K80" i="1"/>
  <c r="H125" i="1"/>
  <c r="H126" i="1" s="1"/>
  <c r="AD80" i="1"/>
  <c r="AC80" i="1"/>
  <c r="AG109" i="1"/>
  <c r="AF110" i="1"/>
  <c r="AF107" i="1"/>
  <c r="F117" i="1"/>
  <c r="F118" i="1" s="1"/>
  <c r="L111" i="1" l="1"/>
  <c r="M111" i="1" s="1"/>
  <c r="N111" i="1" s="1"/>
  <c r="O111" i="1" s="1"/>
  <c r="P111" i="1" s="1"/>
  <c r="Q111" i="1" s="1"/>
  <c r="R111" i="1" s="1"/>
  <c r="S111" i="1" s="1"/>
  <c r="T111" i="1" s="1"/>
  <c r="U111" i="1" s="1"/>
  <c r="V111" i="1" s="1"/>
  <c r="W111" i="1" s="1"/>
  <c r="X111" i="1" s="1"/>
  <c r="Y111" i="1" s="1"/>
  <c r="I78" i="1"/>
  <c r="I81" i="1" s="1"/>
  <c r="I125" i="1" s="1"/>
  <c r="I126" i="1" s="1"/>
  <c r="J77" i="1"/>
  <c r="AG110" i="1"/>
  <c r="AH109" i="1"/>
  <c r="AG107" i="1"/>
  <c r="G121" i="1"/>
  <c r="G122" i="1" s="1"/>
  <c r="G123" i="1" s="1"/>
  <c r="G116" i="1"/>
  <c r="G117" i="1" s="1"/>
  <c r="G118" i="1" s="1"/>
  <c r="G112" i="1"/>
  <c r="G106" i="1"/>
  <c r="L80" i="1"/>
  <c r="P82" i="1"/>
  <c r="F96" i="1"/>
  <c r="F100" i="1"/>
  <c r="F137" i="1"/>
  <c r="O112" i="1"/>
  <c r="O106" i="1"/>
  <c r="AC110" i="1"/>
  <c r="AD109" i="1"/>
  <c r="AC107" i="1"/>
  <c r="J112" i="1"/>
  <c r="J106" i="1"/>
  <c r="C41" i="1"/>
  <c r="L106" i="1"/>
  <c r="L112" i="1"/>
  <c r="H109" i="1"/>
  <c r="G110" i="1"/>
  <c r="G107" i="1"/>
  <c r="N112" i="1"/>
  <c r="N106" i="1"/>
  <c r="M112" i="1"/>
  <c r="M106" i="1"/>
  <c r="K112" i="1"/>
  <c r="K106" i="1"/>
  <c r="I112" i="1"/>
  <c r="I106" i="1"/>
  <c r="H112" i="1"/>
  <c r="H106" i="1"/>
  <c r="D111" i="1" l="1"/>
  <c r="C50" i="1"/>
  <c r="F86" i="1"/>
  <c r="F88" i="1"/>
  <c r="M80" i="1"/>
  <c r="AH110" i="1"/>
  <c r="AI109" i="1"/>
  <c r="AH107" i="1"/>
  <c r="F103" i="1"/>
  <c r="F91" i="1"/>
  <c r="F93" i="1"/>
  <c r="H116" i="1"/>
  <c r="I114" i="1"/>
  <c r="I115" i="1" s="1"/>
  <c r="H114" i="1"/>
  <c r="H115" i="1" s="1"/>
  <c r="F133" i="1"/>
  <c r="F139" i="1"/>
  <c r="F129" i="1"/>
  <c r="F131" i="1"/>
  <c r="I109" i="1"/>
  <c r="H110" i="1"/>
  <c r="H107" i="1"/>
  <c r="AD110" i="1"/>
  <c r="AD107" i="1"/>
  <c r="Q82" i="1"/>
  <c r="K77" i="1"/>
  <c r="J78" i="1"/>
  <c r="J81" i="1" s="1"/>
  <c r="J125" i="1" s="1"/>
  <c r="J126" i="1" s="1"/>
  <c r="I119" i="1"/>
  <c r="H119" i="1"/>
  <c r="H117" i="1" l="1"/>
  <c r="H118" i="1" s="1"/>
  <c r="I116" i="1" s="1"/>
  <c r="I117" i="1" s="1"/>
  <c r="I118" i="1" s="1"/>
  <c r="R82" i="1"/>
  <c r="F89" i="1"/>
  <c r="AI110" i="1"/>
  <c r="AI107" i="1"/>
  <c r="H121" i="1"/>
  <c r="H108" i="1"/>
  <c r="H120" i="1"/>
  <c r="K78" i="1"/>
  <c r="K81" i="1" s="1"/>
  <c r="K125" i="1" s="1"/>
  <c r="K126" i="1" s="1"/>
  <c r="L77" i="1"/>
  <c r="I110" i="1"/>
  <c r="J109" i="1"/>
  <c r="I107" i="1"/>
  <c r="I120" i="1"/>
  <c r="I108" i="1"/>
  <c r="G130" i="1"/>
  <c r="F135" i="1"/>
  <c r="F134" i="1" s="1"/>
  <c r="F94" i="1"/>
  <c r="N80" i="1"/>
  <c r="G100" i="1" l="1"/>
  <c r="F101" i="1"/>
  <c r="G87" i="1"/>
  <c r="J116" i="1"/>
  <c r="J114" i="1"/>
  <c r="K114" i="1"/>
  <c r="K115" i="1" s="1"/>
  <c r="G96" i="1"/>
  <c r="F97" i="1"/>
  <c r="F104" i="1" s="1"/>
  <c r="G137" i="1"/>
  <c r="L78" i="1"/>
  <c r="L81" i="1" s="1"/>
  <c r="L125" i="1" s="1"/>
  <c r="L126" i="1" s="1"/>
  <c r="M77" i="1"/>
  <c r="G92" i="1"/>
  <c r="H122" i="1"/>
  <c r="H123" i="1" s="1"/>
  <c r="S82" i="1"/>
  <c r="O80" i="1"/>
  <c r="J107" i="1"/>
  <c r="K109" i="1"/>
  <c r="J110" i="1"/>
  <c r="G88" i="1" l="1"/>
  <c r="G89" i="1" s="1"/>
  <c r="G101" i="1" s="1"/>
  <c r="G93" i="1"/>
  <c r="G94" i="1" s="1"/>
  <c r="H92" i="1" s="1"/>
  <c r="H87" i="1"/>
  <c r="P80" i="1"/>
  <c r="G103" i="1"/>
  <c r="T82" i="1"/>
  <c r="N77" i="1"/>
  <c r="M78" i="1"/>
  <c r="M81" i="1" s="1"/>
  <c r="M125" i="1" s="1"/>
  <c r="M126" i="1" s="1"/>
  <c r="G139" i="1"/>
  <c r="G133" i="1"/>
  <c r="G131" i="1"/>
  <c r="J115" i="1"/>
  <c r="J117" i="1" s="1"/>
  <c r="J118" i="1" s="1"/>
  <c r="L109" i="1"/>
  <c r="K110" i="1"/>
  <c r="K107" i="1"/>
  <c r="I121" i="1"/>
  <c r="I122" i="1" s="1"/>
  <c r="I123" i="1" s="1"/>
  <c r="H100" i="1" l="1"/>
  <c r="H88" i="1" s="1"/>
  <c r="H89" i="1" s="1"/>
  <c r="I87" i="1" s="1"/>
  <c r="J119" i="1"/>
  <c r="K119" i="1"/>
  <c r="M109" i="1"/>
  <c r="L110" i="1"/>
  <c r="L107" i="1"/>
  <c r="K116" i="1"/>
  <c r="K117" i="1" s="1"/>
  <c r="K118" i="1" s="1"/>
  <c r="U82" i="1"/>
  <c r="G135" i="1"/>
  <c r="N78" i="1"/>
  <c r="N81" i="1" s="1"/>
  <c r="N125" i="1" s="1"/>
  <c r="N126" i="1" s="1"/>
  <c r="O77" i="1"/>
  <c r="Q80" i="1"/>
  <c r="H96" i="1"/>
  <c r="H93" i="1" s="1"/>
  <c r="G97" i="1"/>
  <c r="G104" i="1" s="1"/>
  <c r="I100" i="1" l="1"/>
  <c r="H101" i="1"/>
  <c r="H94" i="1"/>
  <c r="I92" i="1" s="1"/>
  <c r="H137" i="1"/>
  <c r="G134" i="1"/>
  <c r="M110" i="1"/>
  <c r="N109" i="1"/>
  <c r="M107" i="1"/>
  <c r="H130" i="1"/>
  <c r="R80" i="1"/>
  <c r="L116" i="1"/>
  <c r="M114" i="1"/>
  <c r="M115" i="1" s="1"/>
  <c r="L114" i="1"/>
  <c r="H103" i="1"/>
  <c r="V82" i="1"/>
  <c r="K108" i="1"/>
  <c r="K120" i="1"/>
  <c r="J121" i="1"/>
  <c r="J120" i="1"/>
  <c r="J108" i="1"/>
  <c r="O78" i="1"/>
  <c r="O81" i="1" s="1"/>
  <c r="O125" i="1" s="1"/>
  <c r="O126" i="1" s="1"/>
  <c r="P77" i="1"/>
  <c r="J122" i="1" l="1"/>
  <c r="J123" i="1" s="1"/>
  <c r="K121" i="1" s="1"/>
  <c r="K122" i="1" s="1"/>
  <c r="K123" i="1" s="1"/>
  <c r="I88" i="1"/>
  <c r="H139" i="1"/>
  <c r="H133" i="1"/>
  <c r="L115" i="1"/>
  <c r="L117" i="1" s="1"/>
  <c r="L118" i="1" s="1"/>
  <c r="O109" i="1"/>
  <c r="N110" i="1"/>
  <c r="N107" i="1"/>
  <c r="H131" i="1"/>
  <c r="P78" i="1"/>
  <c r="P81" i="1" s="1"/>
  <c r="P125" i="1" s="1"/>
  <c r="P126" i="1" s="1"/>
  <c r="Q77" i="1"/>
  <c r="H97" i="1"/>
  <c r="H104" i="1" s="1"/>
  <c r="I96" i="1"/>
  <c r="I93" i="1" s="1"/>
  <c r="W82" i="1"/>
  <c r="S80" i="1"/>
  <c r="I89" i="1" l="1"/>
  <c r="M119" i="1"/>
  <c r="L119" i="1"/>
  <c r="I94" i="1"/>
  <c r="J92" i="1" s="1"/>
  <c r="M116" i="1"/>
  <c r="M117" i="1" s="1"/>
  <c r="M118" i="1" s="1"/>
  <c r="T80" i="1"/>
  <c r="Q78" i="1"/>
  <c r="Q81" i="1" s="1"/>
  <c r="Q125" i="1" s="1"/>
  <c r="Q126" i="1" s="1"/>
  <c r="R77" i="1"/>
  <c r="I103" i="1"/>
  <c r="H135" i="1"/>
  <c r="X82" i="1"/>
  <c r="P109" i="1"/>
  <c r="O107" i="1"/>
  <c r="O110" i="1"/>
  <c r="J100" i="1" l="1"/>
  <c r="I101" i="1"/>
  <c r="G86" i="1"/>
  <c r="J87" i="1"/>
  <c r="U80" i="1"/>
  <c r="N114" i="1"/>
  <c r="N116" i="1"/>
  <c r="Y82" i="1"/>
  <c r="I97" i="1"/>
  <c r="I104" i="1" s="1"/>
  <c r="J96" i="1"/>
  <c r="G91" i="1"/>
  <c r="L120" i="1"/>
  <c r="L108" i="1"/>
  <c r="L121" i="1"/>
  <c r="I137" i="1"/>
  <c r="H134" i="1"/>
  <c r="R78" i="1"/>
  <c r="R81" i="1" s="1"/>
  <c r="R125" i="1" s="1"/>
  <c r="R126" i="1" s="1"/>
  <c r="S77" i="1"/>
  <c r="Q109" i="1"/>
  <c r="P110" i="1"/>
  <c r="P107" i="1"/>
  <c r="I130" i="1"/>
  <c r="M120" i="1"/>
  <c r="M108" i="1"/>
  <c r="J88" i="1" l="1"/>
  <c r="J89" i="1" s="1"/>
  <c r="J101" i="1" s="1"/>
  <c r="I131" i="1"/>
  <c r="I135" i="1" s="1"/>
  <c r="I134" i="1" s="1"/>
  <c r="K87" i="1"/>
  <c r="V80" i="1"/>
  <c r="S78" i="1"/>
  <c r="S81" i="1" s="1"/>
  <c r="S125" i="1" s="1"/>
  <c r="S126" i="1" s="1"/>
  <c r="T77" i="1"/>
  <c r="Q110" i="1"/>
  <c r="Q107" i="1"/>
  <c r="R109" i="1"/>
  <c r="I139" i="1"/>
  <c r="I133" i="1"/>
  <c r="J103" i="1"/>
  <c r="N115" i="1"/>
  <c r="N117" i="1" s="1"/>
  <c r="N118" i="1" s="1"/>
  <c r="L122" i="1"/>
  <c r="L123" i="1" s="1"/>
  <c r="Z82" i="1"/>
  <c r="J93" i="1"/>
  <c r="H86" i="1" l="1"/>
  <c r="K100" i="1"/>
  <c r="J137" i="1"/>
  <c r="J139" i="1" s="1"/>
  <c r="K88" i="1"/>
  <c r="J130" i="1"/>
  <c r="G129" i="1"/>
  <c r="K89" i="1"/>
  <c r="L87" i="1"/>
  <c r="AA82" i="1"/>
  <c r="O116" i="1"/>
  <c r="O114" i="1"/>
  <c r="J94" i="1"/>
  <c r="J131" i="1"/>
  <c r="M121" i="1"/>
  <c r="M122" i="1" s="1"/>
  <c r="M123" i="1" s="1"/>
  <c r="S109" i="1"/>
  <c r="R107" i="1"/>
  <c r="R110" i="1"/>
  <c r="W80" i="1"/>
  <c r="T78" i="1"/>
  <c r="T81" i="1" s="1"/>
  <c r="T125" i="1" s="1"/>
  <c r="T126" i="1" s="1"/>
  <c r="U77" i="1"/>
  <c r="J133" i="1" l="1"/>
  <c r="L100" i="1"/>
  <c r="K101" i="1"/>
  <c r="I86" i="1"/>
  <c r="O119" i="1"/>
  <c r="N119" i="1"/>
  <c r="O115" i="1"/>
  <c r="O117" i="1" s="1"/>
  <c r="O118" i="1" s="1"/>
  <c r="P116" i="1" s="1"/>
  <c r="D114" i="1"/>
  <c r="T109" i="1"/>
  <c r="U109" i="1" s="1"/>
  <c r="S110" i="1"/>
  <c r="S107" i="1"/>
  <c r="X80" i="1"/>
  <c r="Y80" i="1"/>
  <c r="J135" i="1"/>
  <c r="U78" i="1"/>
  <c r="U81" i="1" s="1"/>
  <c r="U125" i="1" s="1"/>
  <c r="U126" i="1" s="1"/>
  <c r="V77" i="1"/>
  <c r="AB82" i="1"/>
  <c r="J97" i="1"/>
  <c r="J104" i="1" s="1"/>
  <c r="K96" i="1"/>
  <c r="H91" i="1"/>
  <c r="K92" i="1"/>
  <c r="U110" i="1" l="1"/>
  <c r="V109" i="1"/>
  <c r="U107" i="1"/>
  <c r="L88" i="1"/>
  <c r="V78" i="1"/>
  <c r="V81" i="1" s="1"/>
  <c r="V125" i="1" s="1"/>
  <c r="V126" i="1" s="1"/>
  <c r="W77" i="1"/>
  <c r="J134" i="1"/>
  <c r="K137" i="1"/>
  <c r="H129" i="1"/>
  <c r="K93" i="1"/>
  <c r="AC82" i="1"/>
  <c r="K103" i="1"/>
  <c r="T110" i="1"/>
  <c r="T107" i="1"/>
  <c r="K130" i="1"/>
  <c r="N121" i="1"/>
  <c r="N120" i="1"/>
  <c r="N108" i="1"/>
  <c r="O108" i="1"/>
  <c r="O120" i="1"/>
  <c r="K131" i="1" l="1"/>
  <c r="V107" i="1"/>
  <c r="W109" i="1"/>
  <c r="V110" i="1"/>
  <c r="L89" i="1"/>
  <c r="W78" i="1"/>
  <c r="W81" i="1" s="1"/>
  <c r="W125" i="1" s="1"/>
  <c r="W126" i="1" s="1"/>
  <c r="X77" i="1"/>
  <c r="N122" i="1"/>
  <c r="N123" i="1" s="1"/>
  <c r="K94" i="1"/>
  <c r="K139" i="1"/>
  <c r="K133" i="1"/>
  <c r="AD82" i="1"/>
  <c r="K135" i="1"/>
  <c r="X109" i="1" l="1"/>
  <c r="W107" i="1"/>
  <c r="W110" i="1"/>
  <c r="M100" i="1"/>
  <c r="L101" i="1"/>
  <c r="J86" i="1"/>
  <c r="M87" i="1"/>
  <c r="K97" i="1"/>
  <c r="K104" i="1" s="1"/>
  <c r="L96" i="1"/>
  <c r="I91" i="1"/>
  <c r="L92" i="1"/>
  <c r="X78" i="1"/>
  <c r="X81" i="1" s="1"/>
  <c r="X125" i="1" s="1"/>
  <c r="X126" i="1" s="1"/>
  <c r="Y77" i="1"/>
  <c r="K134" i="1"/>
  <c r="L137" i="1"/>
  <c r="I129" i="1"/>
  <c r="O121" i="1"/>
  <c r="O122" i="1" s="1"/>
  <c r="O123" i="1" s="1"/>
  <c r="AE82" i="1"/>
  <c r="L130" i="1"/>
  <c r="Y109" i="1" l="1"/>
  <c r="X110" i="1"/>
  <c r="X107" i="1"/>
  <c r="M88" i="1"/>
  <c r="M89" i="1" s="1"/>
  <c r="N87" i="1" s="1"/>
  <c r="L93" i="1"/>
  <c r="L94" i="1" s="1"/>
  <c r="M92" i="1" s="1"/>
  <c r="P119" i="1"/>
  <c r="Q119" i="1"/>
  <c r="L139" i="1"/>
  <c r="L133" i="1"/>
  <c r="AE81" i="1"/>
  <c r="AE125" i="1" s="1"/>
  <c r="AF82" i="1"/>
  <c r="L103" i="1"/>
  <c r="Y78" i="1"/>
  <c r="Y81" i="1" s="1"/>
  <c r="Y125" i="1" s="1"/>
  <c r="Y126" i="1" s="1"/>
  <c r="Z77" i="1"/>
  <c r="L131" i="1"/>
  <c r="K86" i="1" l="1"/>
  <c r="N100" i="1"/>
  <c r="N88" i="1" s="1"/>
  <c r="N89" i="1" s="1"/>
  <c r="O87" i="1" s="1"/>
  <c r="M101" i="1"/>
  <c r="Y107" i="1"/>
  <c r="Y110" i="1"/>
  <c r="C43" i="1" s="1"/>
  <c r="C49" i="1" s="1"/>
  <c r="C42" i="1"/>
  <c r="AF81" i="1"/>
  <c r="AF125" i="1" s="1"/>
  <c r="AG82" i="1"/>
  <c r="L135" i="1"/>
  <c r="L97" i="1"/>
  <c r="L104" i="1" s="1"/>
  <c r="M96" i="1"/>
  <c r="J91" i="1"/>
  <c r="Q120" i="1"/>
  <c r="Q108" i="1"/>
  <c r="AA77" i="1"/>
  <c r="Z137" i="1"/>
  <c r="Z129" i="1"/>
  <c r="Z78" i="1"/>
  <c r="Z81" i="1" s="1"/>
  <c r="Z125" i="1" s="1"/>
  <c r="Z126" i="1" s="1"/>
  <c r="Z96" i="1"/>
  <c r="P120" i="1"/>
  <c r="P121" i="1"/>
  <c r="P108" i="1"/>
  <c r="P122" i="1" l="1"/>
  <c r="P123" i="1" s="1"/>
  <c r="N101" i="1"/>
  <c r="O100" i="1"/>
  <c r="L86" i="1"/>
  <c r="Q121" i="1"/>
  <c r="Q122" i="1" s="1"/>
  <c r="Q123" i="1" s="1"/>
  <c r="L134" i="1"/>
  <c r="M137" i="1"/>
  <c r="J129" i="1"/>
  <c r="M130" i="1"/>
  <c r="AA78" i="1"/>
  <c r="AA81" i="1" s="1"/>
  <c r="AA125" i="1" s="1"/>
  <c r="AA126" i="1" s="1"/>
  <c r="AB77" i="1"/>
  <c r="AA137" i="1"/>
  <c r="AA129" i="1"/>
  <c r="AA96" i="1"/>
  <c r="AH82" i="1"/>
  <c r="AG81" i="1"/>
  <c r="AG125" i="1" s="1"/>
  <c r="M103" i="1"/>
  <c r="Z139" i="1"/>
  <c r="Z133" i="1"/>
  <c r="M93" i="1"/>
  <c r="M131" i="1" l="1"/>
  <c r="M135" i="1" s="1"/>
  <c r="M134" i="1" s="1"/>
  <c r="O88" i="1"/>
  <c r="R119" i="1"/>
  <c r="S119" i="1"/>
  <c r="M94" i="1"/>
  <c r="AA139" i="1"/>
  <c r="AA133" i="1"/>
  <c r="N137" i="1"/>
  <c r="K129" i="1"/>
  <c r="M139" i="1"/>
  <c r="M133" i="1"/>
  <c r="AI82" i="1"/>
  <c r="AI81" i="1" s="1"/>
  <c r="AI125" i="1" s="1"/>
  <c r="AH81" i="1"/>
  <c r="AH125" i="1" s="1"/>
  <c r="AB78" i="1"/>
  <c r="AB81" i="1" s="1"/>
  <c r="AB125" i="1" s="1"/>
  <c r="AB126" i="1" s="1"/>
  <c r="AB137" i="1"/>
  <c r="AC77" i="1"/>
  <c r="AB129" i="1"/>
  <c r="AB96" i="1"/>
  <c r="N130" i="1" l="1"/>
  <c r="N131" i="1" s="1"/>
  <c r="N135" i="1" s="1"/>
  <c r="O137" i="1" s="1"/>
  <c r="O89" i="1"/>
  <c r="AC78" i="1"/>
  <c r="AC81" i="1" s="1"/>
  <c r="AC125" i="1" s="1"/>
  <c r="AC126" i="1" s="1"/>
  <c r="AD77" i="1"/>
  <c r="AC129" i="1"/>
  <c r="AC137" i="1"/>
  <c r="AC96" i="1"/>
  <c r="N134" i="1"/>
  <c r="M97" i="1"/>
  <c r="M104" i="1" s="1"/>
  <c r="N96" i="1"/>
  <c r="K91" i="1"/>
  <c r="N92" i="1"/>
  <c r="S120" i="1"/>
  <c r="S108" i="1"/>
  <c r="AB139" i="1"/>
  <c r="AB133" i="1"/>
  <c r="N139" i="1"/>
  <c r="N133" i="1"/>
  <c r="R120" i="1"/>
  <c r="R121" i="1"/>
  <c r="R108" i="1"/>
  <c r="L129" i="1" l="1"/>
  <c r="O130" i="1"/>
  <c r="O131" i="1" s="1"/>
  <c r="O135" i="1" s="1"/>
  <c r="O134" i="1" s="1"/>
  <c r="O101" i="1"/>
  <c r="P100" i="1"/>
  <c r="M86" i="1"/>
  <c r="P87" i="1"/>
  <c r="N103" i="1"/>
  <c r="R122" i="1"/>
  <c r="R123" i="1" s="1"/>
  <c r="AC139" i="1"/>
  <c r="AC133" i="1"/>
  <c r="N93" i="1"/>
  <c r="O139" i="1"/>
  <c r="O133" i="1"/>
  <c r="AD137" i="1"/>
  <c r="AD78" i="1"/>
  <c r="AD81" i="1" s="1"/>
  <c r="AD125" i="1" s="1"/>
  <c r="AD126" i="1" s="1"/>
  <c r="AD129" i="1"/>
  <c r="AD96" i="1"/>
  <c r="P88" i="1" l="1"/>
  <c r="P89" i="1" s="1"/>
  <c r="N86" i="1" s="1"/>
  <c r="P137" i="1"/>
  <c r="P139" i="1" s="1"/>
  <c r="P130" i="1"/>
  <c r="Q87" i="1"/>
  <c r="P101" i="1"/>
  <c r="Q100" i="1"/>
  <c r="M129" i="1"/>
  <c r="S121" i="1"/>
  <c r="S122" i="1" s="1"/>
  <c r="S123" i="1" s="1"/>
  <c r="AD139" i="1"/>
  <c r="AD133" i="1"/>
  <c r="N94" i="1"/>
  <c r="P133" i="1" l="1"/>
  <c r="Q88" i="1"/>
  <c r="Q89" i="1" s="1"/>
  <c r="O86" i="1" s="1"/>
  <c r="P131" i="1"/>
  <c r="T119" i="1"/>
  <c r="T120" i="1" s="1"/>
  <c r="U119" i="1"/>
  <c r="Q101" i="1"/>
  <c r="R100" i="1"/>
  <c r="N97" i="1"/>
  <c r="N104" i="1" s="1"/>
  <c r="O96" i="1"/>
  <c r="L91" i="1"/>
  <c r="O92" i="1"/>
  <c r="R87" i="1" l="1"/>
  <c r="T108" i="1"/>
  <c r="T121" i="1"/>
  <c r="T122" i="1" s="1"/>
  <c r="T123" i="1" s="1"/>
  <c r="U121" i="1" s="1"/>
  <c r="R88" i="1"/>
  <c r="R89" i="1" s="1"/>
  <c r="S87" i="1" s="1"/>
  <c r="U120" i="1"/>
  <c r="U108" i="1"/>
  <c r="P135" i="1"/>
  <c r="S100" i="1"/>
  <c r="O93" i="1"/>
  <c r="O94" i="1" s="1"/>
  <c r="O103" i="1"/>
  <c r="R101" i="1" l="1"/>
  <c r="P86" i="1"/>
  <c r="S88" i="1"/>
  <c r="S89" i="1" s="1"/>
  <c r="Q86" i="1" s="1"/>
  <c r="Q137" i="1"/>
  <c r="P134" i="1"/>
  <c r="N129" i="1"/>
  <c r="U122" i="1"/>
  <c r="U123" i="1" s="1"/>
  <c r="Q130" i="1"/>
  <c r="O97" i="1"/>
  <c r="P96" i="1"/>
  <c r="M91" i="1"/>
  <c r="P92" i="1"/>
  <c r="T100" i="1" l="1"/>
  <c r="T87" i="1"/>
  <c r="S101" i="1"/>
  <c r="P93" i="1"/>
  <c r="P94" i="1" s="1"/>
  <c r="P97" i="1" s="1"/>
  <c r="P104" i="1" s="1"/>
  <c r="Q131" i="1"/>
  <c r="Q135" i="1" s="1"/>
  <c r="W119" i="1"/>
  <c r="V119" i="1"/>
  <c r="Q139" i="1"/>
  <c r="Q133" i="1"/>
  <c r="O104" i="1"/>
  <c r="D39" i="1"/>
  <c r="D40" i="1" s="1"/>
  <c r="P103" i="1"/>
  <c r="Q92" i="1" l="1"/>
  <c r="T88" i="1"/>
  <c r="T89" i="1" s="1"/>
  <c r="U87" i="1" s="1"/>
  <c r="N91" i="1"/>
  <c r="Q96" i="1"/>
  <c r="Q103" i="1" s="1"/>
  <c r="R130" i="1"/>
  <c r="Q134" i="1"/>
  <c r="R137" i="1"/>
  <c r="O129" i="1"/>
  <c r="V121" i="1"/>
  <c r="V120" i="1"/>
  <c r="V108" i="1"/>
  <c r="W120" i="1"/>
  <c r="W108" i="1"/>
  <c r="Q93" i="1" l="1"/>
  <c r="Q94" i="1" s="1"/>
  <c r="U100" i="1"/>
  <c r="U88" i="1" s="1"/>
  <c r="U89" i="1" s="1"/>
  <c r="R86" i="1"/>
  <c r="T101" i="1"/>
  <c r="V122" i="1"/>
  <c r="V123" i="1" s="1"/>
  <c r="W121" i="1" s="1"/>
  <c r="W122" i="1" s="1"/>
  <c r="R139" i="1"/>
  <c r="R133" i="1"/>
  <c r="R131" i="1"/>
  <c r="Q97" i="1"/>
  <c r="Q104" i="1" s="1"/>
  <c r="R96" i="1"/>
  <c r="O91" i="1"/>
  <c r="R92" i="1"/>
  <c r="V87" i="1" l="1"/>
  <c r="U101" i="1"/>
  <c r="V100" i="1"/>
  <c r="S86" i="1"/>
  <c r="W123" i="1"/>
  <c r="X119" i="1" s="1"/>
  <c r="R135" i="1"/>
  <c r="S130" i="1" s="1"/>
  <c r="R93" i="1"/>
  <c r="R94" i="1" s="1"/>
  <c r="R103" i="1"/>
  <c r="C40" i="1"/>
  <c r="C48" i="1" s="1"/>
  <c r="C39" i="1"/>
  <c r="V88" i="1" l="1"/>
  <c r="V89" i="1" s="1"/>
  <c r="P129" i="1"/>
  <c r="S137" i="1"/>
  <c r="R134" i="1"/>
  <c r="X120" i="1"/>
  <c r="X121" i="1"/>
  <c r="X108" i="1"/>
  <c r="S92" i="1"/>
  <c r="P91" i="1"/>
  <c r="S96" i="1"/>
  <c r="S103" i="1" s="1"/>
  <c r="R97" i="1"/>
  <c r="R104" i="1" s="1"/>
  <c r="T86" i="1" l="1"/>
  <c r="W100" i="1"/>
  <c r="V101" i="1"/>
  <c r="W87" i="1"/>
  <c r="W88" i="1" s="1"/>
  <c r="W89" i="1" s="1"/>
  <c r="S93" i="1"/>
  <c r="S94" i="1" s="1"/>
  <c r="S139" i="1"/>
  <c r="S133" i="1"/>
  <c r="X122" i="1"/>
  <c r="X123" i="1" s="1"/>
  <c r="Y119" i="1" s="1"/>
  <c r="S131" i="1"/>
  <c r="X87" i="1" l="1"/>
  <c r="U86" i="1"/>
  <c r="X100" i="1"/>
  <c r="X88" i="1" s="1"/>
  <c r="X89" i="1" s="1"/>
  <c r="V86" i="1" s="1"/>
  <c r="W101" i="1"/>
  <c r="X101" i="1"/>
  <c r="Y87" i="1"/>
  <c r="S135" i="1"/>
  <c r="Y108" i="1"/>
  <c r="Y120" i="1"/>
  <c r="Y121" i="1"/>
  <c r="C44" i="1"/>
  <c r="S97" i="1"/>
  <c r="S104" i="1" s="1"/>
  <c r="T96" i="1"/>
  <c r="Q91" i="1"/>
  <c r="T92" i="1"/>
  <c r="Y100" i="1" l="1"/>
  <c r="Y88" i="1" s="1"/>
  <c r="Y89" i="1" s="1"/>
  <c r="Q129" i="1"/>
  <c r="S134" i="1"/>
  <c r="T137" i="1"/>
  <c r="T130" i="1"/>
  <c r="Y122" i="1"/>
  <c r="Y123" i="1" s="1"/>
  <c r="T93" i="1"/>
  <c r="T94" i="1" s="1"/>
  <c r="R91" i="1" s="1"/>
  <c r="T103" i="1"/>
  <c r="Z100" i="1" l="1"/>
  <c r="Y101" i="1"/>
  <c r="W86" i="1"/>
  <c r="Z87" i="1"/>
  <c r="Z88" i="1" s="1"/>
  <c r="Z89" i="1" s="1"/>
  <c r="AA100" i="1" s="1"/>
  <c r="T131" i="1"/>
  <c r="U92" i="1"/>
  <c r="T97" i="1"/>
  <c r="T104" i="1" s="1"/>
  <c r="U96" i="1"/>
  <c r="T139" i="1"/>
  <c r="T133" i="1"/>
  <c r="T135" i="1"/>
  <c r="Z101" i="1" l="1"/>
  <c r="X86" i="1"/>
  <c r="AA87" i="1"/>
  <c r="AA88" i="1" s="1"/>
  <c r="AA89" i="1" s="1"/>
  <c r="AB87" i="1" s="1"/>
  <c r="AB88" i="1" s="1"/>
  <c r="U93" i="1"/>
  <c r="U94" i="1" s="1"/>
  <c r="U97" i="1" s="1"/>
  <c r="U104" i="1" s="1"/>
  <c r="AA101" i="1"/>
  <c r="U103" i="1"/>
  <c r="R129" i="1"/>
  <c r="U137" i="1"/>
  <c r="T134" i="1"/>
  <c r="U130" i="1"/>
  <c r="S91" i="1" l="1"/>
  <c r="Y86" i="1"/>
  <c r="AB89" i="1"/>
  <c r="AB86" i="1"/>
  <c r="AB100" i="1"/>
  <c r="AC87" i="1" s="1"/>
  <c r="AC88" i="1" s="1"/>
  <c r="V92" i="1"/>
  <c r="AC89" i="1"/>
  <c r="AC101" i="1" s="1"/>
  <c r="V96" i="1"/>
  <c r="V93" i="1" s="1"/>
  <c r="V94" i="1" s="1"/>
  <c r="U133" i="1"/>
  <c r="U139" i="1"/>
  <c r="U131" i="1"/>
  <c r="Z86" i="1" l="1"/>
  <c r="AC86" i="1"/>
  <c r="AB101" i="1"/>
  <c r="AC100" i="1"/>
  <c r="AD87" i="1" s="1"/>
  <c r="AD88" i="1" s="1"/>
  <c r="W92" i="1"/>
  <c r="V103" i="1"/>
  <c r="AA86" i="1"/>
  <c r="AD100" i="1"/>
  <c r="AD86" i="1"/>
  <c r="W96" i="1"/>
  <c r="T91" i="1"/>
  <c r="V97" i="1"/>
  <c r="V104" i="1" s="1"/>
  <c r="U135" i="1"/>
  <c r="AD89" i="1" l="1"/>
  <c r="C36" i="1"/>
  <c r="W103" i="1"/>
  <c r="W93" i="1"/>
  <c r="U134" i="1"/>
  <c r="V137" i="1"/>
  <c r="S129" i="1"/>
  <c r="V130" i="1"/>
  <c r="D36" i="1" l="1"/>
  <c r="AD101" i="1"/>
  <c r="W94" i="1"/>
  <c r="V131" i="1"/>
  <c r="X92" i="1"/>
  <c r="V139" i="1"/>
  <c r="V133" i="1"/>
  <c r="V135" i="1" l="1"/>
  <c r="X96" i="1"/>
  <c r="X103" i="1" s="1"/>
  <c r="U91" i="1"/>
  <c r="W97" i="1"/>
  <c r="W104" i="1" s="1"/>
  <c r="T129" i="1" l="1"/>
  <c r="V134" i="1"/>
  <c r="W137" i="1"/>
  <c r="W130" i="1"/>
  <c r="W131" i="1" s="1"/>
  <c r="X93" i="1"/>
  <c r="X94" i="1" s="1"/>
  <c r="W135" i="1" l="1"/>
  <c r="W139" i="1"/>
  <c r="D139" i="1" s="1"/>
  <c r="W133" i="1"/>
  <c r="Y92" i="1"/>
  <c r="X97" i="1"/>
  <c r="X104" i="1" s="1"/>
  <c r="Y96" i="1"/>
  <c r="V91" i="1"/>
  <c r="Y93" i="1" l="1"/>
  <c r="Y94" i="1" s="1"/>
  <c r="W91" i="1" s="1"/>
  <c r="X137" i="1"/>
  <c r="U129" i="1"/>
  <c r="W134" i="1"/>
  <c r="Z92" i="1"/>
  <c r="Z93" i="1" s="1"/>
  <c r="AA92" i="1" s="1"/>
  <c r="AA93" i="1" s="1"/>
  <c r="AB92" i="1" s="1"/>
  <c r="AB93" i="1" s="1"/>
  <c r="AC92" i="1" s="1"/>
  <c r="AC93" i="1" s="1"/>
  <c r="AD92" i="1" s="1"/>
  <c r="AD93" i="1" s="1"/>
  <c r="Y103" i="1"/>
  <c r="X130" i="1"/>
  <c r="Y97" i="1" l="1"/>
  <c r="Y104" i="1" s="1"/>
  <c r="D38" i="1"/>
  <c r="D37" i="1"/>
  <c r="Z74" i="1" s="1"/>
  <c r="Z75" i="1" s="1"/>
  <c r="X131" i="1"/>
  <c r="X133" i="1"/>
  <c r="X139" i="1"/>
  <c r="Z94" i="1"/>
  <c r="X91" i="1" l="1"/>
  <c r="AA94" i="1"/>
  <c r="Z97" i="1"/>
  <c r="E37" i="1"/>
  <c r="E38" i="1"/>
  <c r="X135" i="1"/>
  <c r="Y130" i="1" s="1"/>
  <c r="AB94" i="1" l="1"/>
  <c r="AA97" i="1"/>
  <c r="Y91" i="1"/>
  <c r="C37" i="1" s="1"/>
  <c r="V129" i="1"/>
  <c r="X134" i="1"/>
  <c r="Y137" i="1"/>
  <c r="Y131" i="1" s="1"/>
  <c r="C91" i="1"/>
  <c r="C38" i="1" l="1"/>
  <c r="C47" i="1" s="1"/>
  <c r="Y139" i="1"/>
  <c r="Y133" i="1"/>
  <c r="AC94" i="1"/>
  <c r="AC91" i="1" s="1"/>
  <c r="AB97" i="1"/>
  <c r="Z91" i="1"/>
  <c r="Y135" i="1"/>
  <c r="AD94" i="1" l="1"/>
  <c r="AC97" i="1"/>
  <c r="AA91" i="1"/>
  <c r="Y134" i="1"/>
  <c r="D45" i="1"/>
  <c r="Z135" i="1"/>
  <c r="W129" i="1"/>
  <c r="Z130" i="1"/>
  <c r="Z131" i="1" s="1"/>
  <c r="AA130" i="1" l="1"/>
  <c r="AA131" i="1" s="1"/>
  <c r="AD97" i="1"/>
  <c r="AB91" i="1"/>
  <c r="AD91" i="1"/>
  <c r="AA135" i="1"/>
  <c r="Z134" i="1"/>
  <c r="X129" i="1"/>
  <c r="AB135" i="1" l="1"/>
  <c r="AA134" i="1"/>
  <c r="Y129" i="1"/>
  <c r="C45" i="1" s="1"/>
  <c r="AB130" i="1"/>
  <c r="AB131" i="1" s="1"/>
  <c r="AC130" i="1" s="1"/>
  <c r="AC131" i="1" s="1"/>
  <c r="AB134" i="1" l="1"/>
  <c r="AC135" i="1"/>
  <c r="AD135" i="1" l="1"/>
  <c r="AD134" i="1" s="1"/>
  <c r="AC134" i="1"/>
  <c r="AD130" i="1"/>
  <c r="AD131" i="1" s="1"/>
</calcChain>
</file>

<file path=xl/comments1.xml><?xml version="1.0" encoding="utf-8"?>
<comments xmlns="http://schemas.openxmlformats.org/spreadsheetml/2006/main">
  <authors>
    <author>Clare McCann</author>
    <author>Alexander Holt</author>
    <author>Alex Holt</author>
  </authors>
  <commentList>
    <comment ref="B6" authorId="0">
      <text>
        <r>
          <rPr>
            <sz val="10"/>
            <color indexed="81"/>
            <rFont val="Calibri"/>
            <family val="2"/>
          </rPr>
          <t>Enter the total amount of  each loan type the borrower holds.</t>
        </r>
      </text>
    </comment>
    <comment ref="C6" authorId="1">
      <text>
        <r>
          <rPr>
            <sz val="9"/>
            <color indexed="81"/>
            <rFont val="Calibri"/>
            <family val="2"/>
          </rPr>
          <t xml:space="preserve">The maximum amount a student could borrow in four years of undergrad in Subsidized Staffords is $19,000
</t>
        </r>
      </text>
    </comment>
    <comment ref="C7" authorId="1">
      <text>
        <r>
          <rPr>
            <sz val="9"/>
            <color indexed="81"/>
            <rFont val="Calibri"/>
            <family val="2"/>
          </rPr>
          <t xml:space="preserve">The maximum a student could borrow after four years in Undergrad Unsubsidized Staffords is $31,000 (minus however much was borrowed in Subsidized Staffords)
</t>
        </r>
      </text>
    </comment>
    <comment ref="C8" authorId="1">
      <text>
        <r>
          <rPr>
            <sz val="9"/>
            <color indexed="81"/>
            <rFont val="Calibri"/>
            <family val="2"/>
          </rPr>
          <t>Students can borrow up to the cost of attendance in Grad PLUS loans. There is no total maximum</t>
        </r>
      </text>
    </comment>
    <comment ref="B14" authorId="0">
      <text>
        <r>
          <rPr>
            <sz val="10"/>
            <color indexed="81"/>
            <rFont val="Calibri"/>
            <family val="2"/>
          </rPr>
          <t xml:space="preserve">Enter either "Old" or "New" for the type of IBR under which the borrower will repay. Old is the existing version; New is the pending regulation for Pay-As-You-Earn, as well as the law that will take effect in 2014.
</t>
        </r>
      </text>
    </comment>
    <comment ref="B17" authorId="0">
      <text>
        <r>
          <rPr>
            <sz val="10"/>
            <color indexed="81"/>
            <rFont val="Calibri"/>
            <family val="2"/>
          </rPr>
          <t xml:space="preserve">Enter the number that corresponds with the repayment year in which the borrower has each child. 
</t>
        </r>
      </text>
    </comment>
    <comment ref="D36" authorId="1">
      <text>
        <r>
          <rPr>
            <sz val="9"/>
            <color indexed="81"/>
            <rFont val="Calibri"/>
            <family val="2"/>
          </rPr>
          <t>Reflects total accrued unpaid interest and principal at the end of the 25th year for Old IBR or the 20th year for New IBR</t>
        </r>
      </text>
    </comment>
    <comment ref="D45" authorId="1">
      <text>
        <r>
          <rPr>
            <sz val="9"/>
            <color indexed="81"/>
            <rFont val="Calibri"/>
            <family val="2"/>
          </rPr>
          <t>Reflects total accrued unpaid interest and principal at the end of the 25th year for original loan balances greater than $40,000 or the 20th year if the the original loan balance was less than or equal to $40,000</t>
        </r>
      </text>
    </comment>
    <comment ref="AD86" authorId="2">
      <text>
        <r>
          <rPr>
            <b/>
            <sz val="9"/>
            <color indexed="81"/>
            <rFont val="Tahoma"/>
            <family val="2"/>
          </rPr>
          <t>Alex Holt:</t>
        </r>
        <r>
          <rPr>
            <sz val="9"/>
            <color indexed="81"/>
            <rFont val="Tahoma"/>
            <family val="2"/>
          </rPr>
          <t xml:space="preserve">
Last cell is different formula
</t>
        </r>
      </text>
    </comment>
  </commentList>
</comments>
</file>

<file path=xl/sharedStrings.xml><?xml version="1.0" encoding="utf-8"?>
<sst xmlns="http://schemas.openxmlformats.org/spreadsheetml/2006/main" count="101" uniqueCount="86">
  <si>
    <t>Interest Rate</t>
  </si>
  <si>
    <t>Annual Interest Rate</t>
  </si>
  <si>
    <t>Payments per Year</t>
  </si>
  <si>
    <t>Payment as share of income</t>
  </si>
  <si>
    <t>Household size (in addition to you)</t>
  </si>
  <si>
    <t>Total</t>
  </si>
  <si>
    <t>Grad PLUS</t>
  </si>
  <si>
    <t>Year</t>
  </si>
  <si>
    <t>Poverty Exemption</t>
  </si>
  <si>
    <t>Baseline Poverty exemption</t>
  </si>
  <si>
    <t>Additional Poverty exemption</t>
  </si>
  <si>
    <t>Weighted Average Interest Rate</t>
  </si>
  <si>
    <t>Standard Annual Repayment p and i</t>
  </si>
  <si>
    <t>Annual IBR Payment</t>
  </si>
  <si>
    <t>Annual Interest</t>
  </si>
  <si>
    <t>Cumulative negative amortization/(Principal Payment)</t>
  </si>
  <si>
    <t>Loan Balance</t>
  </si>
  <si>
    <t>Total Payments</t>
  </si>
  <si>
    <t>Graduated Consolidation Monthly payment</t>
  </si>
  <si>
    <t>Standard Monthly payment</t>
  </si>
  <si>
    <t>Graduated Standard Monthly payment</t>
  </si>
  <si>
    <t>Annual Grad standard</t>
  </si>
  <si>
    <t>Principal Payment</t>
  </si>
  <si>
    <t>Annual Grad consolidated Payment</t>
  </si>
  <si>
    <t>Income minus exemption</t>
  </si>
  <si>
    <t>IBR payment annual</t>
  </si>
  <si>
    <t>Average</t>
  </si>
  <si>
    <t>Effective Rate (Income)</t>
  </si>
  <si>
    <t>Percentage Unsub</t>
  </si>
  <si>
    <t>Repayment Year</t>
  </si>
  <si>
    <t>Forgiven</t>
  </si>
  <si>
    <t>Unsubsidized</t>
  </si>
  <si>
    <t>Subsidized</t>
  </si>
  <si>
    <t>Unsubsidized Stafford</t>
  </si>
  <si>
    <t>Subsidized Stafford</t>
  </si>
  <si>
    <t>NAF IBR</t>
  </si>
  <si>
    <t>Old IBR (15%) or New IBR (10%)?</t>
  </si>
  <si>
    <t>Fixed Consolidation</t>
  </si>
  <si>
    <t>Graduated Consolidation</t>
  </si>
  <si>
    <t>Repayment year first child is born</t>
  </si>
  <si>
    <t>Repayment year second child is born</t>
  </si>
  <si>
    <t>Repayment year third child is born</t>
  </si>
  <si>
    <t>Repayment year fourth child is born</t>
  </si>
  <si>
    <t>Repayment year fifth child is born</t>
  </si>
  <si>
    <t>Loan Balance ($)</t>
  </si>
  <si>
    <t>Standard Monthly Payment ($)</t>
  </si>
  <si>
    <t>Consolidation Monthly Payment ($)</t>
  </si>
  <si>
    <t>"Safety Net or Windfall? Examining Changes to Income-Based Repayment for Federal Student Loans"</t>
  </si>
  <si>
    <t>Old</t>
  </si>
  <si>
    <t>Graduated Consolidation Monthly Payment ($)</t>
  </si>
  <si>
    <t xml:space="preserve">Source: New America Foundation </t>
  </si>
  <si>
    <t xml:space="preserve"> October 2012</t>
  </si>
  <si>
    <t>Annual Income ($)</t>
  </si>
  <si>
    <t>Adjusted Gross Income ($)</t>
  </si>
  <si>
    <t>Standard 10-Year</t>
  </si>
  <si>
    <t>New America IBR Calculator</t>
  </si>
  <si>
    <t>Repayment Options</t>
  </si>
  <si>
    <t>Old IBR Monthly Payment ($)</t>
  </si>
  <si>
    <t>New IBR Monthly Payment ($)</t>
  </si>
  <si>
    <t>New IBR</t>
  </si>
  <si>
    <t>NAF Recommended Changes to IBR Monthly Payment ($)</t>
  </si>
  <si>
    <t>NAF IBR Recommended Changes</t>
  </si>
  <si>
    <t>Step 1</t>
  </si>
  <si>
    <t>Step 2</t>
  </si>
  <si>
    <t>Step 3</t>
  </si>
  <si>
    <r>
      <rPr>
        <b/>
        <sz val="10"/>
        <color theme="1"/>
        <rFont val="Calibri"/>
        <family val="2"/>
      </rPr>
      <t>Step 1:</t>
    </r>
    <r>
      <rPr>
        <sz val="10"/>
        <color theme="1"/>
        <rFont val="Calibri"/>
        <family val="2"/>
      </rPr>
      <t xml:space="preserve"> Enter loan balance and corresponding interest rate for each type of loan in orange cells in rows 6, 7, and 8. Leave cells blank if borrower does not have that loan type. The calculator automatically calculates the total consolidated loan and interest rate in row 10. </t>
    </r>
  </si>
  <si>
    <r>
      <rPr>
        <b/>
        <sz val="10"/>
        <color theme="1"/>
        <rFont val="Calibri"/>
        <family val="2"/>
      </rPr>
      <t xml:space="preserve">Step 2: </t>
    </r>
    <r>
      <rPr>
        <sz val="10"/>
        <color theme="1"/>
        <rFont val="Calibri"/>
        <family val="2"/>
      </rPr>
      <t xml:space="preserve">Input the repayment year in which the borrower will have each child in rows 17-21. Leave cells blank if the borrower will not have any more children. For instance, if the borrower has two children, one in year 3 and one in year 5, enter “3” in cell C17, “5” in cell C18, and leave cells C19-21 blank. Each dependent decreases the borrower's monthly IBR payment, and dependents are claimed every year thereafter. Leaving cells C17-21 blank means that the borrower will never claim any dependents.             </t>
    </r>
  </si>
  <si>
    <r>
      <rPr>
        <b/>
        <sz val="10"/>
        <color theme="1"/>
        <rFont val="Calibri"/>
        <family val="2"/>
      </rPr>
      <t xml:space="preserve">Step 3: </t>
    </r>
    <r>
      <rPr>
        <sz val="10"/>
        <color theme="1"/>
        <rFont val="Calibri"/>
        <family val="2"/>
      </rPr>
      <t>In the orange cells in row 50, enter the borrower's income for each repayment year. The row below automatically calculates the borrower's adjusted gross income, from which IBR payments are calculated.</t>
    </r>
  </si>
  <si>
    <r>
      <rPr>
        <b/>
        <sz val="10"/>
        <color theme="1"/>
        <rFont val="Calibri"/>
        <family val="2"/>
        <scheme val="minor"/>
      </rPr>
      <t xml:space="preserve">5: </t>
    </r>
    <r>
      <rPr>
        <sz val="10"/>
        <color theme="1"/>
        <rFont val="Calibri"/>
        <family val="2"/>
        <scheme val="minor"/>
      </rPr>
      <t xml:space="preserve">Row 76 displays what the borrower's monthly payments will be under "New IBR". which is equivalent to President Obama's pending Pay As You Earn plan, which will take effect soon and is available for borrowers who took out their first loan in 2008 or later and have at least one new loan in 2012. It is the same as the changes to IBR that will affect new borrowers starting in 2014. Row 77 displays the borrower's loan balance at the end of the repayment year. Balances often grow in early years when the borrower's income is low. </t>
    </r>
  </si>
  <si>
    <t>PSLF for New IBR</t>
  </si>
  <si>
    <t>Standard Deduction</t>
  </si>
  <si>
    <t>Personal Exemption</t>
  </si>
  <si>
    <t xml:space="preserve">Total </t>
  </si>
  <si>
    <t>After Tax Income Plus Forgiveness</t>
  </si>
  <si>
    <t>Owed on Forgiveness</t>
  </si>
  <si>
    <t>Tax Payment</t>
  </si>
  <si>
    <t>Present Value New IBR</t>
  </si>
  <si>
    <t>Present Value PSLF New IBR</t>
  </si>
  <si>
    <t>Present Value Fixed Consolidation</t>
  </si>
  <si>
    <t>Consolidation Annual Paymnet</t>
  </si>
  <si>
    <t>Total NPV Cost New IBR</t>
  </si>
  <si>
    <t>Total NPV Cost PSLF</t>
  </si>
  <si>
    <t>Total NPV Cost Consolidation</t>
  </si>
  <si>
    <t>Annual Standard</t>
  </si>
  <si>
    <t>Total NPV Cost Standard 10-Year</t>
  </si>
  <si>
    <t>New IBR is nearly identical to the President Obama's Pay-As-You-Earn (PAYE) policy and legislative changes that will take effect in 2014. Old IBR is the existing IBR plan available to all borrowers since 2009. We do not adjust for PAYE's very specific differences.
                                                                                                                                                                                                                                                                            Calculator assumes all borrowers file separate federal income tax returns and claim any children that they have as dependents on their returns.  The interest rate for all repayment plans is the rate the borrower would pay under the consolidation plan, which is the weighted average rate rounded up to the nearest one-eighth of 1 percent.  
Calculator is designed for borrowers at the start of repayment or borrowers who are entering IBR for the first time.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</si>
</sst>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0.000%"/>
    <numFmt numFmtId="167" formatCode="_(* #,##0_);_(* \(#,##0\);_(* &quot;-&quot;??_);_(@_)"/>
  </numFmts>
  <fonts count="27" x14ac:knownFonts="1">
    <font>
      <sz val="11"/>
      <color theme="1"/>
      <name val="Calibri"/>
      <family val="2"/>
      <scheme val="minor"/>
    </font>
    <font>
      <sz val="11"/>
      <name val="Times New Roman"/>
      <family val="1"/>
    </font>
    <font>
      <b/>
      <sz val="11"/>
      <color theme="1"/>
      <name val="Calibri"/>
      <family val="2"/>
      <scheme val="minor"/>
    </font>
    <font>
      <u/>
      <sz val="11"/>
      <color theme="10"/>
      <name val="Calibri"/>
      <family val="2"/>
      <scheme val="minor"/>
    </font>
    <font>
      <b/>
      <i/>
      <sz val="11"/>
      <color theme="1"/>
      <name val="Calibri"/>
      <family val="2"/>
      <scheme val="minor"/>
    </font>
    <font>
      <sz val="10"/>
      <color theme="1"/>
      <name val="Calibri"/>
      <family val="2"/>
      <scheme val="minor"/>
    </font>
    <font>
      <b/>
      <sz val="9"/>
      <color indexed="81"/>
      <name val="Tahoma"/>
      <family val="2"/>
    </font>
    <font>
      <sz val="9"/>
      <color indexed="81"/>
      <name val="Tahoma"/>
      <family val="2"/>
    </font>
    <font>
      <i/>
      <sz val="11"/>
      <color theme="1"/>
      <name val="Calibri"/>
      <family val="2"/>
      <scheme val="minor"/>
    </font>
    <font>
      <u/>
      <sz val="11"/>
      <color theme="11"/>
      <name val="Calibri"/>
      <family val="2"/>
      <scheme val="minor"/>
    </font>
    <font>
      <sz val="11"/>
      <color theme="1"/>
      <name val="Calibri"/>
      <family val="2"/>
      <scheme val="minor"/>
    </font>
    <font>
      <sz val="11"/>
      <name val="Calibri"/>
      <family val="2"/>
      <scheme val="minor"/>
    </font>
    <font>
      <b/>
      <sz val="11"/>
      <name val="Calibri"/>
      <family val="2"/>
      <scheme val="minor"/>
    </font>
    <font>
      <b/>
      <sz val="11"/>
      <name val="Calibri"/>
      <family val="2"/>
      <scheme val="minor"/>
    </font>
    <font>
      <sz val="11"/>
      <name val="Calibri"/>
      <family val="2"/>
      <scheme val="minor"/>
    </font>
    <font>
      <sz val="11"/>
      <color theme="7"/>
      <name val="Calibri"/>
      <family val="2"/>
      <scheme val="minor"/>
    </font>
    <font>
      <sz val="10"/>
      <name val="Calibri"/>
      <family val="2"/>
      <scheme val="minor"/>
    </font>
    <font>
      <sz val="10"/>
      <color indexed="81"/>
      <name val="Calibri"/>
      <family val="2"/>
    </font>
    <font>
      <sz val="9"/>
      <color indexed="81"/>
      <name val="Calibri"/>
      <family val="2"/>
    </font>
    <font>
      <b/>
      <sz val="16"/>
      <color theme="1"/>
      <name val="Calibri"/>
      <family val="2"/>
      <scheme val="minor"/>
    </font>
    <font>
      <b/>
      <sz val="11"/>
      <color rgb="FF000000"/>
      <name val="Calibri"/>
      <family val="2"/>
      <scheme val="minor"/>
    </font>
    <font>
      <sz val="8"/>
      <color theme="1"/>
      <name val="Calibri"/>
      <family val="2"/>
      <scheme val="minor"/>
    </font>
    <font>
      <sz val="8"/>
      <name val="Calibri"/>
      <family val="2"/>
      <scheme val="minor"/>
    </font>
    <font>
      <sz val="10"/>
      <color theme="1"/>
      <name val="Calibri"/>
      <family val="2"/>
    </font>
    <font>
      <b/>
      <sz val="10"/>
      <color theme="1"/>
      <name val="Calibri"/>
      <family val="2"/>
    </font>
    <font>
      <b/>
      <sz val="10"/>
      <color theme="1"/>
      <name val="Calibri"/>
      <family val="2"/>
      <scheme val="minor"/>
    </font>
    <font>
      <b/>
      <sz val="11"/>
      <name val="Times New Roman"/>
      <family val="1"/>
    </font>
  </fonts>
  <fills count="11">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bgColor indexed="64"/>
      </patternFill>
    </fill>
    <fill>
      <patternFill patternType="solid">
        <fgColor theme="0" tint="-0.249977111117893"/>
        <bgColor indexed="64"/>
      </patternFill>
    </fill>
    <fill>
      <patternFill patternType="solid">
        <fgColor rgb="FFBFBFBF"/>
        <bgColor rgb="FF000000"/>
      </patternFill>
    </fill>
    <fill>
      <patternFill patternType="solid">
        <fgColor theme="6" tint="0.79998168889431442"/>
        <bgColor indexed="64"/>
      </patternFill>
    </fill>
  </fills>
  <borders count="2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diagonal/>
    </border>
    <border>
      <left style="thin">
        <color auto="1"/>
      </left>
      <right/>
      <top/>
      <bottom/>
      <diagonal/>
    </border>
    <border>
      <left/>
      <right style="thin">
        <color auto="1"/>
      </right>
      <top/>
      <bottom/>
      <diagonal/>
    </border>
  </borders>
  <cellStyleXfs count="73">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230">
    <xf numFmtId="0" fontId="0" fillId="0" borderId="0" xfId="0"/>
    <xf numFmtId="49" fontId="0" fillId="0" borderId="0" xfId="0" applyNumberFormat="1" applyAlignment="1">
      <alignment wrapText="1"/>
    </xf>
    <xf numFmtId="10" fontId="0" fillId="0" borderId="0" xfId="0" applyNumberFormat="1"/>
    <xf numFmtId="0" fontId="1" fillId="0" borderId="0" xfId="1" applyFont="1" applyFill="1"/>
    <xf numFmtId="1" fontId="1" fillId="0" borderId="0" xfId="2" applyNumberFormat="1" applyFont="1" applyFill="1" applyBorder="1" applyProtection="1"/>
    <xf numFmtId="42" fontId="1" fillId="0" borderId="0" xfId="2" applyNumberFormat="1" applyFont="1" applyFill="1" applyBorder="1" applyProtection="1"/>
    <xf numFmtId="166" fontId="0" fillId="0" borderId="0" xfId="0" applyNumberFormat="1"/>
    <xf numFmtId="3" fontId="5" fillId="0" borderId="0" xfId="0" applyNumberFormat="1" applyFont="1" applyFill="1"/>
    <xf numFmtId="0" fontId="0" fillId="0" borderId="0" xfId="0" applyFill="1"/>
    <xf numFmtId="164" fontId="1" fillId="0" borderId="0" xfId="2" applyNumberFormat="1" applyFont="1" applyFill="1" applyBorder="1" applyProtection="1"/>
    <xf numFmtId="10" fontId="1" fillId="0" borderId="0" xfId="2" applyNumberFormat="1" applyFont="1" applyFill="1" applyBorder="1" applyProtection="1"/>
    <xf numFmtId="0" fontId="0" fillId="4" borderId="0" xfId="0" applyFill="1"/>
    <xf numFmtId="164" fontId="0" fillId="0" borderId="0" xfId="0" applyNumberFormat="1" applyFill="1" applyBorder="1"/>
    <xf numFmtId="4" fontId="1" fillId="0" borderId="0" xfId="2" applyNumberFormat="1" applyFont="1" applyFill="1" applyBorder="1" applyProtection="1"/>
    <xf numFmtId="0" fontId="2" fillId="6" borderId="14" xfId="0" applyFont="1" applyFill="1" applyBorder="1"/>
    <xf numFmtId="0" fontId="12" fillId="6" borderId="14" xfId="1" applyFont="1" applyFill="1" applyBorder="1"/>
    <xf numFmtId="41" fontId="10" fillId="5" borderId="2" xfId="0" applyNumberFormat="1" applyFont="1" applyFill="1" applyBorder="1"/>
    <xf numFmtId="166" fontId="14" fillId="0" borderId="2" xfId="1" applyNumberFormat="1" applyFont="1" applyBorder="1" applyProtection="1"/>
    <xf numFmtId="0" fontId="10" fillId="0" borderId="15" xfId="0" applyFont="1" applyBorder="1"/>
    <xf numFmtId="167" fontId="14" fillId="0" borderId="2" xfId="3" applyNumberFormat="1" applyFont="1" applyBorder="1" applyProtection="1">
      <protection locked="0"/>
    </xf>
    <xf numFmtId="0" fontId="10" fillId="0" borderId="0" xfId="0" applyFont="1"/>
    <xf numFmtId="0" fontId="10" fillId="0" borderId="0" xfId="0" applyFont="1" applyFill="1" applyBorder="1"/>
    <xf numFmtId="3" fontId="10" fillId="0" borderId="0" xfId="0" applyNumberFormat="1" applyFont="1"/>
    <xf numFmtId="3" fontId="10" fillId="2" borderId="0" xfId="0" applyNumberFormat="1" applyFont="1" applyFill="1"/>
    <xf numFmtId="3" fontId="10" fillId="3" borderId="0" xfId="0" applyNumberFormat="1" applyFont="1" applyFill="1"/>
    <xf numFmtId="3" fontId="10" fillId="0" borderId="0" xfId="0" applyNumberFormat="1" applyFont="1" applyFill="1"/>
    <xf numFmtId="41" fontId="10" fillId="2" borderId="0" xfId="0" applyNumberFormat="1" applyFont="1" applyFill="1"/>
    <xf numFmtId="41" fontId="10" fillId="3" borderId="0" xfId="0" applyNumberFormat="1" applyFont="1" applyFill="1"/>
    <xf numFmtId="41" fontId="10" fillId="0" borderId="0" xfId="0" applyNumberFormat="1" applyFont="1" applyFill="1"/>
    <xf numFmtId="41" fontId="10" fillId="0" borderId="2" xfId="0" applyNumberFormat="1" applyFont="1" applyFill="1" applyBorder="1"/>
    <xf numFmtId="0" fontId="10" fillId="0" borderId="0" xfId="0" applyFont="1" applyFill="1"/>
    <xf numFmtId="0" fontId="10" fillId="0" borderId="2" xfId="0" applyFont="1" applyFill="1" applyBorder="1"/>
    <xf numFmtId="8" fontId="10" fillId="0" borderId="2" xfId="0" applyNumberFormat="1" applyFont="1" applyFill="1" applyBorder="1"/>
    <xf numFmtId="3" fontId="10" fillId="0" borderId="2" xfId="0" applyNumberFormat="1" applyFont="1" applyFill="1" applyBorder="1"/>
    <xf numFmtId="41" fontId="10" fillId="0" borderId="10" xfId="0" applyNumberFormat="1" applyFont="1" applyFill="1" applyBorder="1"/>
    <xf numFmtId="8" fontId="10" fillId="0" borderId="10" xfId="0" applyNumberFormat="1" applyFont="1" applyFill="1" applyBorder="1"/>
    <xf numFmtId="3" fontId="10" fillId="0" borderId="10" xfId="0" applyNumberFormat="1" applyFont="1" applyFill="1" applyBorder="1"/>
    <xf numFmtId="0" fontId="10" fillId="0" borderId="0" xfId="0" applyFont="1" applyBorder="1"/>
    <xf numFmtId="10" fontId="10" fillId="0" borderId="0" xfId="0" applyNumberFormat="1" applyFont="1" applyBorder="1"/>
    <xf numFmtId="3" fontId="4" fillId="0" borderId="0" xfId="0" applyNumberFormat="1" applyFont="1" applyBorder="1"/>
    <xf numFmtId="0" fontId="10" fillId="2" borderId="0" xfId="0" applyFont="1" applyFill="1" applyBorder="1"/>
    <xf numFmtId="0" fontId="10" fillId="3" borderId="0" xfId="0" applyFont="1" applyFill="1" applyBorder="1"/>
    <xf numFmtId="165" fontId="4" fillId="2" borderId="0" xfId="0" applyNumberFormat="1" applyFont="1" applyFill="1" applyBorder="1"/>
    <xf numFmtId="164" fontId="2" fillId="0" borderId="0" xfId="0" applyNumberFormat="1" applyFont="1" applyFill="1" applyBorder="1"/>
    <xf numFmtId="0" fontId="2" fillId="0" borderId="0" xfId="0" applyFont="1" applyFill="1" applyBorder="1"/>
    <xf numFmtId="42" fontId="2" fillId="0" borderId="0" xfId="0" applyNumberFormat="1" applyFont="1" applyFill="1" applyBorder="1"/>
    <xf numFmtId="41" fontId="10" fillId="5" borderId="10" xfId="0" applyNumberFormat="1" applyFont="1" applyFill="1" applyBorder="1"/>
    <xf numFmtId="0" fontId="10" fillId="5" borderId="0" xfId="0" applyFont="1" applyFill="1"/>
    <xf numFmtId="3" fontId="8" fillId="5" borderId="10" xfId="0" applyNumberFormat="1" applyFont="1" applyFill="1" applyBorder="1"/>
    <xf numFmtId="49" fontId="0" fillId="0" borderId="0" xfId="0" applyNumberFormat="1" applyFill="1" applyAlignment="1">
      <alignment wrapText="1"/>
    </xf>
    <xf numFmtId="0" fontId="14" fillId="6" borderId="14" xfId="1" applyFont="1" applyFill="1" applyBorder="1"/>
    <xf numFmtId="0" fontId="13" fillId="8" borderId="11" xfId="1" applyFont="1" applyFill="1" applyBorder="1" applyAlignment="1">
      <alignment horizontal="centerContinuous"/>
    </xf>
    <xf numFmtId="0" fontId="2" fillId="8" borderId="13" xfId="0" applyFont="1" applyFill="1" applyBorder="1"/>
    <xf numFmtId="164" fontId="2" fillId="8" borderId="12" xfId="0" applyNumberFormat="1" applyFont="1" applyFill="1" applyBorder="1" applyAlignment="1">
      <alignment horizontal="center" vertical="center"/>
    </xf>
    <xf numFmtId="0" fontId="16" fillId="6" borderId="14" xfId="1" applyFont="1" applyFill="1" applyBorder="1"/>
    <xf numFmtId="0" fontId="16" fillId="6" borderId="8" xfId="1" applyFont="1" applyFill="1" applyBorder="1"/>
    <xf numFmtId="41" fontId="0" fillId="8" borderId="10" xfId="0" applyNumberFormat="1" applyFont="1" applyFill="1" applyBorder="1"/>
    <xf numFmtId="41" fontId="0" fillId="8" borderId="2" xfId="0" applyNumberFormat="1" applyFont="1" applyFill="1" applyBorder="1"/>
    <xf numFmtId="49" fontId="0" fillId="4" borderId="0" xfId="0" applyNumberFormat="1" applyFill="1" applyAlignment="1">
      <alignment wrapText="1"/>
    </xf>
    <xf numFmtId="0" fontId="10" fillId="4" borderId="0" xfId="0" applyFont="1" applyFill="1"/>
    <xf numFmtId="10" fontId="0" fillId="4" borderId="0" xfId="0" applyNumberFormat="1" applyFill="1"/>
    <xf numFmtId="0" fontId="2" fillId="4" borderId="0" xfId="0" applyFont="1" applyFill="1"/>
    <xf numFmtId="0" fontId="2" fillId="0" borderId="2" xfId="0" applyFont="1" applyBorder="1"/>
    <xf numFmtId="0" fontId="1" fillId="4" borderId="0" xfId="1" applyFont="1" applyFill="1" applyBorder="1"/>
    <xf numFmtId="41" fontId="0" fillId="4" borderId="0" xfId="0" applyNumberFormat="1" applyFill="1" applyBorder="1" applyAlignment="1">
      <alignment wrapText="1"/>
    </xf>
    <xf numFmtId="41" fontId="0" fillId="4" borderId="0" xfId="0" applyNumberFormat="1" applyFill="1" applyBorder="1"/>
    <xf numFmtId="0" fontId="14" fillId="4" borderId="0" xfId="1" applyFont="1" applyFill="1" applyBorder="1"/>
    <xf numFmtId="164" fontId="10" fillId="4" borderId="0" xfId="0" applyNumberFormat="1" applyFont="1" applyFill="1" applyBorder="1"/>
    <xf numFmtId="0" fontId="10" fillId="4" borderId="0" xfId="0" applyFont="1" applyFill="1" applyBorder="1"/>
    <xf numFmtId="166" fontId="10" fillId="4" borderId="0" xfId="0" applyNumberFormat="1" applyFont="1" applyFill="1" applyBorder="1"/>
    <xf numFmtId="3" fontId="4" fillId="4" borderId="0" xfId="0" applyNumberFormat="1" applyFont="1" applyFill="1" applyBorder="1"/>
    <xf numFmtId="165" fontId="4" fillId="4" borderId="0" xfId="0" applyNumberFormat="1" applyFont="1" applyFill="1" applyBorder="1"/>
    <xf numFmtId="0" fontId="2" fillId="4" borderId="0" xfId="0" applyFont="1" applyFill="1" applyBorder="1" applyAlignment="1">
      <alignment horizontal="right"/>
    </xf>
    <xf numFmtId="164" fontId="10" fillId="4" borderId="0" xfId="0" applyNumberFormat="1" applyFont="1" applyFill="1"/>
    <xf numFmtId="8" fontId="15" fillId="4" borderId="0" xfId="0" applyNumberFormat="1" applyFont="1" applyFill="1"/>
    <xf numFmtId="42" fontId="10" fillId="4" borderId="0" xfId="0" applyNumberFormat="1" applyFont="1" applyFill="1"/>
    <xf numFmtId="0" fontId="2" fillId="4" borderId="0" xfId="0" applyFont="1" applyFill="1" applyAlignment="1">
      <alignment horizontal="right"/>
    </xf>
    <xf numFmtId="164" fontId="0" fillId="4" borderId="0" xfId="0" applyNumberFormat="1" applyFill="1"/>
    <xf numFmtId="164" fontId="2" fillId="4" borderId="0" xfId="0" applyNumberFormat="1" applyFont="1" applyFill="1"/>
    <xf numFmtId="41" fontId="0" fillId="4" borderId="0" xfId="0" applyNumberFormat="1" applyFill="1"/>
    <xf numFmtId="5" fontId="11" fillId="5" borderId="2" xfId="2" applyNumberFormat="1" applyFont="1" applyFill="1" applyBorder="1" applyProtection="1"/>
    <xf numFmtId="5" fontId="10" fillId="5" borderId="2" xfId="0" applyNumberFormat="1" applyFont="1" applyFill="1" applyBorder="1"/>
    <xf numFmtId="5" fontId="10" fillId="5" borderId="16" xfId="0" applyNumberFormat="1" applyFont="1" applyFill="1" applyBorder="1"/>
    <xf numFmtId="41" fontId="10" fillId="0" borderId="20" xfId="0" applyNumberFormat="1" applyFont="1" applyFill="1" applyBorder="1"/>
    <xf numFmtId="41" fontId="10" fillId="5" borderId="21" xfId="0" applyNumberFormat="1" applyFont="1" applyFill="1" applyBorder="1"/>
    <xf numFmtId="41" fontId="10" fillId="5" borderId="3" xfId="0" applyNumberFormat="1" applyFont="1" applyFill="1" applyBorder="1"/>
    <xf numFmtId="0" fontId="10" fillId="4" borderId="18" xfId="0" applyFont="1" applyFill="1" applyBorder="1"/>
    <xf numFmtId="41" fontId="10" fillId="4" borderId="18" xfId="0" applyNumberFormat="1" applyFont="1" applyFill="1" applyBorder="1"/>
    <xf numFmtId="0" fontId="2" fillId="4" borderId="0" xfId="0" applyFont="1" applyFill="1" applyBorder="1"/>
    <xf numFmtId="41" fontId="8" fillId="5" borderId="21" xfId="0" applyNumberFormat="1" applyFont="1" applyFill="1" applyBorder="1"/>
    <xf numFmtId="41" fontId="8" fillId="5" borderId="3" xfId="0" applyNumberFormat="1" applyFont="1" applyFill="1" applyBorder="1"/>
    <xf numFmtId="41" fontId="8" fillId="0" borderId="10" xfId="0" applyNumberFormat="1" applyFont="1" applyFill="1" applyBorder="1"/>
    <xf numFmtId="41" fontId="8" fillId="0" borderId="2" xfId="0" applyNumberFormat="1" applyFont="1" applyFill="1" applyBorder="1"/>
    <xf numFmtId="0" fontId="8" fillId="4" borderId="0" xfId="0" applyFont="1" applyFill="1"/>
    <xf numFmtId="0" fontId="2" fillId="6" borderId="8" xfId="0" applyFont="1" applyFill="1" applyBorder="1"/>
    <xf numFmtId="49" fontId="0" fillId="4" borderId="0" xfId="0" applyNumberFormat="1" applyFill="1" applyAlignment="1">
      <alignment wrapText="1"/>
    </xf>
    <xf numFmtId="0" fontId="2" fillId="5" borderId="17" xfId="0" applyFont="1" applyFill="1" applyBorder="1" applyAlignment="1">
      <alignment horizontal="right"/>
    </xf>
    <xf numFmtId="0" fontId="2" fillId="5" borderId="18" xfId="0" applyFont="1" applyFill="1" applyBorder="1" applyAlignment="1">
      <alignment horizontal="right"/>
    </xf>
    <xf numFmtId="0" fontId="10" fillId="0" borderId="0" xfId="0" applyFont="1" applyBorder="1" applyAlignment="1">
      <alignment horizontal="right"/>
    </xf>
    <xf numFmtId="5" fontId="12" fillId="5" borderId="2" xfId="2" applyNumberFormat="1" applyFont="1" applyFill="1" applyBorder="1" applyAlignment="1" applyProtection="1">
      <alignment horizontal="right"/>
    </xf>
    <xf numFmtId="166" fontId="2" fillId="5" borderId="15" xfId="0" applyNumberFormat="1" applyFont="1" applyFill="1" applyBorder="1"/>
    <xf numFmtId="0" fontId="10" fillId="8" borderId="15" xfId="0" applyFont="1" applyFill="1" applyBorder="1"/>
    <xf numFmtId="0" fontId="10" fillId="0" borderId="24" xfId="0" applyFont="1" applyBorder="1"/>
    <xf numFmtId="0" fontId="10" fillId="8" borderId="0" xfId="0" applyFont="1" applyFill="1" applyBorder="1"/>
    <xf numFmtId="3" fontId="10" fillId="8" borderId="6" xfId="0" applyNumberFormat="1" applyFont="1" applyFill="1" applyBorder="1"/>
    <xf numFmtId="3" fontId="10" fillId="8" borderId="19" xfId="0" applyNumberFormat="1" applyFont="1" applyFill="1" applyBorder="1"/>
    <xf numFmtId="3" fontId="10" fillId="8" borderId="20" xfId="0" applyNumberFormat="1" applyFont="1" applyFill="1" applyBorder="1"/>
    <xf numFmtId="3" fontId="8" fillId="8" borderId="4" xfId="0" applyNumberFormat="1" applyFont="1" applyFill="1" applyBorder="1"/>
    <xf numFmtId="3" fontId="8" fillId="8" borderId="17" xfId="0" applyNumberFormat="1" applyFont="1" applyFill="1" applyBorder="1"/>
    <xf numFmtId="3" fontId="8" fillId="8" borderId="21" xfId="0" applyNumberFormat="1" applyFont="1" applyFill="1" applyBorder="1"/>
    <xf numFmtId="41" fontId="10" fillId="4" borderId="0" xfId="0" applyNumberFormat="1" applyFont="1" applyFill="1" applyBorder="1"/>
    <xf numFmtId="1" fontId="10" fillId="8" borderId="5" xfId="4" applyNumberFormat="1" applyFont="1" applyFill="1" applyBorder="1"/>
    <xf numFmtId="0" fontId="10" fillId="8" borderId="7" xfId="0" applyFont="1" applyFill="1" applyBorder="1"/>
    <xf numFmtId="0" fontId="10" fillId="8" borderId="3" xfId="0" applyFont="1" applyFill="1" applyBorder="1"/>
    <xf numFmtId="41" fontId="10" fillId="4" borderId="19" xfId="0" applyNumberFormat="1" applyFont="1" applyFill="1" applyBorder="1"/>
    <xf numFmtId="41" fontId="10" fillId="8" borderId="22" xfId="0" applyNumberFormat="1" applyFont="1" applyFill="1" applyBorder="1"/>
    <xf numFmtId="41" fontId="10" fillId="8" borderId="18" xfId="0" applyNumberFormat="1" applyFont="1" applyFill="1" applyBorder="1"/>
    <xf numFmtId="41" fontId="10" fillId="8" borderId="10" xfId="0" applyNumberFormat="1" applyFont="1" applyFill="1" applyBorder="1"/>
    <xf numFmtId="41" fontId="10" fillId="8" borderId="6" xfId="0" applyNumberFormat="1" applyFont="1" applyFill="1" applyBorder="1"/>
    <xf numFmtId="41" fontId="10" fillId="8" borderId="19" xfId="0" applyNumberFormat="1" applyFont="1" applyFill="1" applyBorder="1"/>
    <xf numFmtId="41" fontId="10" fillId="8" borderId="20" xfId="0" applyNumberFormat="1" applyFont="1" applyFill="1" applyBorder="1"/>
    <xf numFmtId="41" fontId="10" fillId="8" borderId="4" xfId="0" applyNumberFormat="1" applyFont="1" applyFill="1" applyBorder="1"/>
    <xf numFmtId="41" fontId="10" fillId="8" borderId="17" xfId="0" applyNumberFormat="1" applyFont="1" applyFill="1" applyBorder="1"/>
    <xf numFmtId="41" fontId="10" fillId="8" borderId="21" xfId="0" applyNumberFormat="1" applyFont="1" applyFill="1" applyBorder="1"/>
    <xf numFmtId="0" fontId="10" fillId="8" borderId="6" xfId="0" applyFont="1" applyFill="1" applyBorder="1"/>
    <xf numFmtId="0" fontId="10" fillId="8" borderId="19" xfId="0" applyFont="1" applyFill="1" applyBorder="1"/>
    <xf numFmtId="0" fontId="10" fillId="8" borderId="20" xfId="0" applyFont="1" applyFill="1" applyBorder="1"/>
    <xf numFmtId="0" fontId="10" fillId="8" borderId="25" xfId="0" applyFont="1" applyFill="1" applyBorder="1"/>
    <xf numFmtId="0" fontId="10" fillId="8" borderId="26" xfId="0" applyFont="1" applyFill="1" applyBorder="1"/>
    <xf numFmtId="0" fontId="10" fillId="8" borderId="4" xfId="0" applyFont="1" applyFill="1" applyBorder="1"/>
    <xf numFmtId="0" fontId="10" fillId="8" borderId="17" xfId="0" applyFont="1" applyFill="1" applyBorder="1"/>
    <xf numFmtId="0" fontId="10" fillId="8" borderId="21" xfId="0" applyFont="1" applyFill="1" applyBorder="1"/>
    <xf numFmtId="0" fontId="12" fillId="6" borderId="14" xfId="1" applyFont="1" applyFill="1" applyBorder="1" applyAlignment="1">
      <alignment horizontal="left"/>
    </xf>
    <xf numFmtId="0" fontId="0" fillId="4" borderId="0" xfId="0" applyFill="1" applyBorder="1" applyAlignment="1">
      <alignment horizontal="left" indent="1"/>
    </xf>
    <xf numFmtId="1" fontId="14" fillId="7" borderId="22" xfId="2" applyNumberFormat="1" applyFont="1" applyFill="1" applyBorder="1" applyAlignment="1" applyProtection="1">
      <alignment horizontal="right" vertical="center"/>
      <protection locked="0"/>
    </xf>
    <xf numFmtId="1" fontId="14" fillId="7" borderId="23" xfId="2" applyNumberFormat="1" applyFont="1" applyFill="1" applyBorder="1" applyAlignment="1" applyProtection="1">
      <alignment horizontal="right" vertical="center"/>
      <protection locked="0"/>
    </xf>
    <xf numFmtId="3" fontId="10" fillId="7" borderId="10" xfId="0" applyNumberFormat="1" applyFont="1" applyFill="1" applyBorder="1" applyProtection="1">
      <protection locked="0"/>
    </xf>
    <xf numFmtId="0" fontId="12" fillId="8" borderId="14" xfId="1" applyFont="1" applyFill="1" applyBorder="1" applyAlignment="1">
      <alignment horizontal="left"/>
    </xf>
    <xf numFmtId="164" fontId="14" fillId="8" borderId="2" xfId="1" applyNumberFormat="1" applyFont="1" applyFill="1" applyBorder="1" applyAlignment="1">
      <alignment horizontal="right" vertical="center"/>
    </xf>
    <xf numFmtId="10" fontId="10" fillId="8" borderId="15" xfId="0" applyNumberFormat="1" applyFont="1" applyFill="1" applyBorder="1" applyAlignment="1">
      <alignment horizontal="right" vertical="center"/>
    </xf>
    <xf numFmtId="0" fontId="14" fillId="8" borderId="14" xfId="1" applyFont="1" applyFill="1" applyBorder="1"/>
    <xf numFmtId="167" fontId="14" fillId="8" borderId="2" xfId="3" applyNumberFormat="1" applyFont="1" applyFill="1" applyBorder="1" applyProtection="1">
      <protection locked="0"/>
    </xf>
    <xf numFmtId="0" fontId="10" fillId="4" borderId="19" xfId="0" applyFont="1" applyFill="1" applyBorder="1"/>
    <xf numFmtId="164" fontId="10" fillId="4" borderId="0" xfId="0" applyNumberFormat="1" applyFont="1" applyFill="1" applyBorder="1" applyAlignment="1">
      <alignment horizontal="right"/>
    </xf>
    <xf numFmtId="165" fontId="0" fillId="0" borderId="17" xfId="0" applyNumberFormat="1" applyFont="1" applyFill="1" applyBorder="1" applyAlignment="1">
      <alignment horizontal="right"/>
    </xf>
    <xf numFmtId="0" fontId="8" fillId="4" borderId="0" xfId="0" applyFont="1" applyFill="1" applyAlignment="1">
      <alignment horizontal="left" vertical="top" wrapText="1"/>
    </xf>
    <xf numFmtId="49" fontId="0" fillId="4" borderId="1" xfId="0" applyNumberFormat="1" applyFill="1" applyBorder="1" applyAlignment="1">
      <alignment horizontal="left" vertical="top" wrapText="1"/>
    </xf>
    <xf numFmtId="0" fontId="0" fillId="4" borderId="1" xfId="0" applyFill="1" applyBorder="1" applyAlignment="1">
      <alignment horizontal="left" vertical="top" wrapText="1"/>
    </xf>
    <xf numFmtId="0" fontId="0" fillId="4" borderId="0" xfId="0" applyFill="1" applyAlignment="1">
      <alignment horizontal="left" vertical="top" wrapText="1"/>
    </xf>
    <xf numFmtId="0" fontId="19" fillId="4" borderId="0" xfId="0" applyFont="1" applyFill="1"/>
    <xf numFmtId="10" fontId="0" fillId="7" borderId="15" xfId="0" applyNumberFormat="1" applyFont="1" applyFill="1" applyBorder="1" applyAlignment="1" applyProtection="1">
      <alignment horizontal="right" vertical="center"/>
      <protection locked="0"/>
    </xf>
    <xf numFmtId="164" fontId="11" fillId="7" borderId="2" xfId="1" applyNumberFormat="1" applyFont="1" applyFill="1" applyBorder="1" applyAlignment="1" applyProtection="1">
      <alignment horizontal="right" vertical="center"/>
      <protection locked="0"/>
    </xf>
    <xf numFmtId="0" fontId="12" fillId="8" borderId="11" xfId="1" applyFont="1" applyFill="1" applyBorder="1"/>
    <xf numFmtId="41" fontId="10" fillId="4" borderId="0" xfId="0" applyNumberFormat="1" applyFont="1" applyFill="1"/>
    <xf numFmtId="164" fontId="0" fillId="4" borderId="0" xfId="0" applyNumberFormat="1" applyFont="1" applyFill="1" applyBorder="1" applyAlignment="1">
      <alignment horizontal="right"/>
    </xf>
    <xf numFmtId="41" fontId="10" fillId="4" borderId="17" xfId="0" applyNumberFormat="1" applyFont="1" applyFill="1" applyBorder="1"/>
    <xf numFmtId="41" fontId="10" fillId="8" borderId="2" xfId="0" applyNumberFormat="1" applyFont="1" applyFill="1" applyBorder="1"/>
    <xf numFmtId="41" fontId="10" fillId="4" borderId="2" xfId="0" applyNumberFormat="1" applyFont="1" applyFill="1" applyBorder="1"/>
    <xf numFmtId="41" fontId="10" fillId="4" borderId="10" xfId="0" applyNumberFormat="1" applyFont="1" applyFill="1" applyBorder="1"/>
    <xf numFmtId="41" fontId="10" fillId="4" borderId="22" xfId="0" applyNumberFormat="1" applyFont="1" applyFill="1" applyBorder="1"/>
    <xf numFmtId="9" fontId="14" fillId="7" borderId="2" xfId="2" applyNumberFormat="1" applyFont="1" applyFill="1" applyBorder="1" applyAlignment="1" applyProtection="1">
      <alignment horizontal="right" vertical="center"/>
    </xf>
    <xf numFmtId="167" fontId="11" fillId="7" borderId="2" xfId="3" applyNumberFormat="1" applyFont="1" applyFill="1" applyBorder="1" applyAlignment="1" applyProtection="1">
      <alignment horizontal="right" vertical="center"/>
    </xf>
    <xf numFmtId="0" fontId="5" fillId="5" borderId="15" xfId="0" applyFont="1" applyFill="1" applyBorder="1" applyAlignment="1" applyProtection="1">
      <alignment horizontal="right"/>
    </xf>
    <xf numFmtId="0" fontId="10" fillId="0" borderId="15" xfId="0" applyFont="1" applyBorder="1" applyProtection="1"/>
    <xf numFmtId="1" fontId="14" fillId="7" borderId="2" xfId="2" applyNumberFormat="1" applyFont="1" applyFill="1" applyBorder="1" applyAlignment="1" applyProtection="1">
      <alignment horizontal="right" vertical="center"/>
    </xf>
    <xf numFmtId="0" fontId="0" fillId="4" borderId="0" xfId="0" applyFill="1" applyAlignment="1">
      <alignment vertical="top" wrapText="1"/>
    </xf>
    <xf numFmtId="0" fontId="12" fillId="8" borderId="12" xfId="1" applyFont="1" applyFill="1" applyBorder="1" applyAlignment="1">
      <alignment horizontal="centerContinuous"/>
    </xf>
    <xf numFmtId="0" fontId="2" fillId="4" borderId="0" xfId="0" applyFont="1" applyFill="1" applyAlignment="1">
      <alignment vertical="top" wrapText="1"/>
    </xf>
    <xf numFmtId="0" fontId="21" fillId="4" borderId="0" xfId="0" applyFont="1" applyFill="1" applyAlignment="1">
      <alignment vertical="top" wrapText="1"/>
    </xf>
    <xf numFmtId="0" fontId="21" fillId="4" borderId="0" xfId="0" applyFont="1" applyFill="1" applyAlignment="1">
      <alignment horizontal="right"/>
    </xf>
    <xf numFmtId="0" fontId="22" fillId="4" borderId="0" xfId="1" applyFont="1" applyFill="1" applyBorder="1" applyAlignment="1">
      <alignment horizontal="right"/>
    </xf>
    <xf numFmtId="0" fontId="21" fillId="4" borderId="0" xfId="0" applyFont="1" applyFill="1" applyBorder="1" applyAlignment="1">
      <alignment horizontal="right"/>
    </xf>
    <xf numFmtId="0" fontId="22" fillId="4" borderId="0" xfId="0" applyFont="1" applyFill="1" applyAlignment="1">
      <alignment vertical="top" wrapText="1"/>
    </xf>
    <xf numFmtId="0" fontId="11" fillId="4" borderId="0" xfId="0" applyFont="1" applyFill="1"/>
    <xf numFmtId="0" fontId="12" fillId="4" borderId="0" xfId="0" applyFont="1" applyFill="1"/>
    <xf numFmtId="3" fontId="11" fillId="4" borderId="0" xfId="0" applyNumberFormat="1" applyFont="1" applyFill="1"/>
    <xf numFmtId="0" fontId="5" fillId="4" borderId="0" xfId="0" applyFont="1" applyFill="1" applyAlignment="1">
      <alignment vertical="center" wrapText="1"/>
    </xf>
    <xf numFmtId="5" fontId="10" fillId="5" borderId="2" xfId="0" applyNumberFormat="1" applyFont="1" applyFill="1" applyBorder="1" applyAlignment="1"/>
    <xf numFmtId="0" fontId="5" fillId="4" borderId="0" xfId="0" applyFont="1" applyFill="1" applyAlignment="1">
      <alignment horizontal="left" vertical="center" wrapText="1"/>
    </xf>
    <xf numFmtId="0" fontId="5" fillId="4" borderId="0" xfId="0" applyFont="1" applyFill="1" applyAlignment="1">
      <alignment horizontal="left" vertical="center" wrapText="1"/>
    </xf>
    <xf numFmtId="9" fontId="2" fillId="0" borderId="0" xfId="0" applyNumberFormat="1" applyFont="1" applyAlignment="1">
      <alignment horizontal="left"/>
    </xf>
    <xf numFmtId="164" fontId="0" fillId="0" borderId="0" xfId="0" applyNumberFormat="1"/>
    <xf numFmtId="164" fontId="0" fillId="0" borderId="0" xfId="0" applyNumberFormat="1" applyAlignment="1">
      <alignment vertical="center" wrapText="1"/>
    </xf>
    <xf numFmtId="10" fontId="2" fillId="0" borderId="0" xfId="0" applyNumberFormat="1" applyFont="1" applyAlignment="1">
      <alignment horizontal="left"/>
    </xf>
    <xf numFmtId="164" fontId="0" fillId="0" borderId="0" xfId="0" applyNumberFormat="1" applyAlignment="1">
      <alignment horizontal="right"/>
    </xf>
    <xf numFmtId="3" fontId="11" fillId="4" borderId="17" xfId="0" applyNumberFormat="1" applyFont="1" applyFill="1" applyBorder="1"/>
    <xf numFmtId="0" fontId="2" fillId="6" borderId="2" xfId="0" applyFont="1" applyFill="1" applyBorder="1"/>
    <xf numFmtId="5" fontId="0" fillId="5" borderId="22" xfId="0" applyNumberFormat="1" applyFont="1" applyFill="1" applyBorder="1" applyAlignment="1"/>
    <xf numFmtId="0" fontId="0" fillId="5" borderId="2" xfId="0" applyFill="1" applyBorder="1"/>
    <xf numFmtId="0" fontId="2" fillId="5" borderId="0" xfId="0" applyFont="1" applyFill="1" applyBorder="1" applyAlignment="1">
      <alignment horizontal="right"/>
    </xf>
    <xf numFmtId="43" fontId="10" fillId="5" borderId="10" xfId="0" applyNumberFormat="1" applyFont="1" applyFill="1" applyBorder="1"/>
    <xf numFmtId="0" fontId="26" fillId="10" borderId="11" xfId="1" applyFont="1" applyFill="1" applyBorder="1"/>
    <xf numFmtId="164" fontId="0" fillId="10" borderId="13" xfId="0" applyNumberFormat="1" applyFill="1" applyBorder="1" applyAlignment="1">
      <alignment wrapText="1"/>
    </xf>
    <xf numFmtId="0" fontId="26" fillId="10" borderId="14" xfId="1" applyFont="1" applyFill="1" applyBorder="1"/>
    <xf numFmtId="164" fontId="0" fillId="10" borderId="15" xfId="0" applyNumberFormat="1" applyFill="1" applyBorder="1" applyAlignment="1">
      <alignment wrapText="1"/>
    </xf>
    <xf numFmtId="0" fontId="26" fillId="10" borderId="8" xfId="1" applyFont="1" applyFill="1" applyBorder="1"/>
    <xf numFmtId="5" fontId="0" fillId="5" borderId="2" xfId="0" applyNumberFormat="1" applyFont="1" applyFill="1" applyBorder="1"/>
    <xf numFmtId="5" fontId="0" fillId="5" borderId="2" xfId="0" applyNumberFormat="1" applyFont="1" applyFill="1" applyBorder="1" applyAlignment="1">
      <alignment horizontal="right"/>
    </xf>
    <xf numFmtId="0" fontId="12" fillId="6" borderId="3" xfId="1" applyFont="1" applyFill="1" applyBorder="1"/>
    <xf numFmtId="5" fontId="10" fillId="5" borderId="3" xfId="0" applyNumberFormat="1" applyFont="1" applyFill="1" applyBorder="1"/>
    <xf numFmtId="5" fontId="0" fillId="5" borderId="4" xfId="0" applyNumberFormat="1" applyFont="1" applyFill="1" applyBorder="1" applyAlignment="1">
      <alignment horizontal="right"/>
    </xf>
    <xf numFmtId="0" fontId="0" fillId="5" borderId="3" xfId="0" applyFill="1" applyBorder="1"/>
    <xf numFmtId="0" fontId="0" fillId="4" borderId="15" xfId="0" applyFill="1" applyBorder="1"/>
    <xf numFmtId="3" fontId="0" fillId="5" borderId="15" xfId="0" applyNumberFormat="1" applyFill="1" applyBorder="1"/>
    <xf numFmtId="8" fontId="0" fillId="5" borderId="15" xfId="0" applyNumberFormat="1" applyFill="1" applyBorder="1"/>
    <xf numFmtId="0" fontId="0" fillId="5" borderId="15" xfId="0" applyFill="1" applyBorder="1"/>
    <xf numFmtId="5" fontId="0" fillId="5" borderId="16" xfId="0" applyNumberFormat="1" applyFont="1" applyFill="1" applyBorder="1" applyAlignment="1">
      <alignment horizontal="right"/>
    </xf>
    <xf numFmtId="0" fontId="0" fillId="5" borderId="9" xfId="0" applyFill="1" applyBorder="1"/>
    <xf numFmtId="0" fontId="5" fillId="4" borderId="0" xfId="0" applyFont="1" applyFill="1" applyAlignment="1">
      <alignment horizontal="left" vertical="center" wrapText="1"/>
    </xf>
    <xf numFmtId="0" fontId="5" fillId="4" borderId="0" xfId="0" applyFont="1" applyFill="1" applyAlignment="1">
      <alignment horizontal="left" vertical="center"/>
    </xf>
    <xf numFmtId="43" fontId="10" fillId="0" borderId="10" xfId="0" applyNumberFormat="1" applyFont="1" applyFill="1" applyBorder="1"/>
    <xf numFmtId="5" fontId="0" fillId="10" borderId="9" xfId="0" applyNumberFormat="1" applyFill="1" applyBorder="1" applyAlignment="1">
      <alignment wrapText="1"/>
    </xf>
    <xf numFmtId="0" fontId="0" fillId="4" borderId="0" xfId="0" applyFill="1" applyAlignment="1">
      <alignment vertical="top"/>
    </xf>
    <xf numFmtId="0" fontId="23" fillId="0" borderId="0" xfId="0" applyFont="1" applyAlignment="1">
      <alignment horizontal="left" vertical="center" wrapText="1"/>
    </xf>
    <xf numFmtId="0" fontId="23" fillId="4" borderId="0" xfId="0" applyFont="1" applyFill="1" applyAlignment="1">
      <alignment horizontal="left" vertical="center" wrapText="1"/>
    </xf>
    <xf numFmtId="0" fontId="5" fillId="4" borderId="19"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0" xfId="0" applyFont="1" applyFill="1" applyAlignment="1">
      <alignment horizontal="left" vertical="center" wrapText="1"/>
    </xf>
    <xf numFmtId="0" fontId="0" fillId="4" borderId="0" xfId="0" applyFill="1" applyAlignment="1">
      <alignment horizontal="left" vertical="center" wrapText="1"/>
    </xf>
    <xf numFmtId="0" fontId="2" fillId="0" borderId="18" xfId="0" applyFont="1" applyBorder="1" applyAlignment="1">
      <alignment horizontal="right" wrapText="1"/>
    </xf>
    <xf numFmtId="0" fontId="2" fillId="0" borderId="10" xfId="0" applyFont="1" applyBorder="1" applyAlignment="1">
      <alignment horizontal="right" wrapText="1"/>
    </xf>
    <xf numFmtId="0" fontId="2" fillId="0" borderId="18" xfId="0" applyFont="1" applyBorder="1" applyAlignment="1">
      <alignment horizontal="right"/>
    </xf>
    <xf numFmtId="0" fontId="0" fillId="5" borderId="18" xfId="0" applyFont="1" applyFill="1" applyBorder="1" applyAlignment="1">
      <alignment horizontal="right"/>
    </xf>
    <xf numFmtId="0" fontId="10" fillId="5" borderId="18" xfId="0" applyFont="1" applyFill="1" applyBorder="1" applyAlignment="1">
      <alignment horizontal="right"/>
    </xf>
    <xf numFmtId="0" fontId="2" fillId="5" borderId="18" xfId="0" applyFont="1" applyFill="1" applyBorder="1" applyAlignment="1">
      <alignment horizontal="right"/>
    </xf>
    <xf numFmtId="165" fontId="0" fillId="0" borderId="18" xfId="0" applyNumberFormat="1" applyFont="1" applyFill="1" applyBorder="1" applyAlignment="1">
      <alignment horizontal="right"/>
    </xf>
    <xf numFmtId="0" fontId="8" fillId="4" borderId="0" xfId="0" applyFont="1" applyFill="1" applyAlignment="1">
      <alignment horizontal="left" vertical="top" wrapText="1"/>
    </xf>
    <xf numFmtId="164" fontId="2" fillId="8" borderId="18" xfId="0" applyNumberFormat="1" applyFont="1" applyFill="1" applyBorder="1" applyAlignment="1">
      <alignment horizontal="right"/>
    </xf>
    <xf numFmtId="164" fontId="0" fillId="0" borderId="18" xfId="0" applyNumberFormat="1" applyFont="1" applyFill="1" applyBorder="1" applyAlignment="1">
      <alignment horizontal="right"/>
    </xf>
    <xf numFmtId="164" fontId="20" fillId="9" borderId="18" xfId="0" applyNumberFormat="1" applyFont="1" applyFill="1" applyBorder="1" applyAlignment="1">
      <alignment horizontal="right"/>
    </xf>
  </cellXfs>
  <cellStyles count="73">
    <cellStyle name="Comma 2" xfId="3"/>
    <cellStyle name="Currency 2" xfId="2"/>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Hyperlink" xfId="4" builtinId="8"/>
    <cellStyle name="Normal" xfId="0" builtinId="0"/>
    <cellStyle name="Normal 2" xfId="1"/>
  </cellStyles>
  <dxfs count="0"/>
  <tableStyles count="0" defaultTableStyle="TableStyleMedium9" defaultPivotStyle="PivotStyleMedium4"/>
  <colors>
    <mruColors>
      <color rgb="FF66CCFF"/>
      <color rgb="FFFFCC66"/>
      <color rgb="FFF9FB9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137160</xdr:colOff>
      <xdr:row>51</xdr:row>
      <xdr:rowOff>0</xdr:rowOff>
    </xdr:from>
    <xdr:to>
      <xdr:col>0</xdr:col>
      <xdr:colOff>314960</xdr:colOff>
      <xdr:row>52</xdr:row>
      <xdr:rowOff>1</xdr:rowOff>
    </xdr:to>
    <xdr:pic>
      <xdr:nvPicPr>
        <xdr:cNvPr id="2" name="Picture 1"/>
        <xdr:cNvPicPr>
          <a:picLocks noChangeAspect="1"/>
        </xdr:cNvPicPr>
      </xdr:nvPicPr>
      <xdr:blipFill>
        <a:blip xmlns:r="http://schemas.openxmlformats.org/officeDocument/2006/relationships" r:embed="rId1"/>
        <a:stretch>
          <a:fillRect/>
        </a:stretch>
      </xdr:blipFill>
      <xdr:spPr>
        <a:xfrm>
          <a:off x="137160" y="4704080"/>
          <a:ext cx="177800" cy="1828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dimension ref="A1:SD149"/>
  <sheetViews>
    <sheetView tabSelected="1" zoomScale="85" zoomScaleNormal="85" zoomScalePageLayoutView="85" workbookViewId="0">
      <pane xSplit="5" topLeftCell="F1" activePane="topRight" state="frozen"/>
      <selection pane="topRight" activeCell="K46" sqref="K46"/>
    </sheetView>
  </sheetViews>
  <sheetFormatPr defaultColWidth="8.85546875" defaultRowHeight="15" x14ac:dyDescent="0.25"/>
  <cols>
    <col min="1" max="1" width="4.85546875" style="8" customWidth="1"/>
    <col min="2" max="2" width="27.7109375" customWidth="1"/>
    <col min="3" max="4" width="14.42578125" customWidth="1"/>
    <col min="5" max="5" width="15.140625" customWidth="1"/>
    <col min="6" max="6" width="11" bestFit="1" customWidth="1"/>
    <col min="7" max="11" width="10.140625" bestFit="1" customWidth="1"/>
    <col min="12" max="13" width="11" bestFit="1" customWidth="1"/>
    <col min="14" max="14" width="11.42578125" bestFit="1" customWidth="1"/>
    <col min="15" max="18" width="11" bestFit="1" customWidth="1"/>
    <col min="19" max="21" width="10.42578125" bestFit="1" customWidth="1"/>
    <col min="22" max="23" width="11" bestFit="1" customWidth="1"/>
    <col min="24" max="25" width="10.42578125" bestFit="1" customWidth="1"/>
    <col min="26" max="26" width="10.42578125" customWidth="1"/>
    <col min="27" max="27" width="11.28515625" customWidth="1"/>
    <col min="28" max="28" width="11.140625" customWidth="1"/>
    <col min="29" max="29" width="14.85546875" bestFit="1" customWidth="1"/>
    <col min="30" max="30" width="12.42578125" customWidth="1"/>
    <col min="31" max="31" width="10.7109375" customWidth="1"/>
    <col min="32" max="34" width="14.85546875" bestFit="1" customWidth="1"/>
    <col min="35" max="35" width="13.28515625" customWidth="1"/>
    <col min="41" max="120" width="8.85546875" style="8"/>
    <col min="121" max="121" width="8.85546875" style="8" customWidth="1"/>
    <col min="122" max="498" width="8.85546875" style="8"/>
  </cols>
  <sheetData>
    <row r="1" spans="1:498" ht="21" x14ac:dyDescent="0.35">
      <c r="A1" s="11"/>
      <c r="B1" s="149" t="s">
        <v>55</v>
      </c>
      <c r="C1" s="11"/>
      <c r="D1" s="11"/>
      <c r="E1" s="11"/>
      <c r="F1" s="213" t="s">
        <v>65</v>
      </c>
      <c r="G1" s="213"/>
      <c r="H1" s="213"/>
      <c r="I1" s="213"/>
      <c r="J1" s="213"/>
      <c r="K1" s="213"/>
      <c r="L1" s="213"/>
      <c r="M1" s="213"/>
      <c r="N1" s="213"/>
      <c r="O1" s="213"/>
      <c r="P1" s="11"/>
      <c r="Q1" s="11"/>
      <c r="R1" s="11"/>
      <c r="S1" s="11"/>
      <c r="T1" s="11"/>
      <c r="U1" s="11"/>
      <c r="V1" s="11"/>
      <c r="W1" s="11"/>
      <c r="X1" s="11"/>
      <c r="Y1" s="11"/>
      <c r="Z1" s="11"/>
      <c r="AA1" s="11"/>
      <c r="AB1" s="11"/>
      <c r="AC1" s="11"/>
      <c r="AD1" s="11"/>
      <c r="AE1" s="11"/>
      <c r="AF1" s="11"/>
      <c r="AG1" s="11"/>
      <c r="AH1" s="11"/>
      <c r="AI1" s="11"/>
      <c r="AJ1" s="11"/>
      <c r="AK1" s="11"/>
      <c r="AL1" s="11"/>
      <c r="AM1" s="11"/>
      <c r="AN1" s="11"/>
      <c r="AO1" s="11"/>
    </row>
    <row r="2" spans="1:498" s="11" customFormat="1" ht="15" customHeight="1" x14ac:dyDescent="0.25">
      <c r="B2" s="93" t="s">
        <v>50</v>
      </c>
      <c r="F2" s="213"/>
      <c r="G2" s="213"/>
      <c r="H2" s="213"/>
      <c r="I2" s="213"/>
      <c r="J2" s="213"/>
      <c r="K2" s="213"/>
      <c r="L2" s="213"/>
      <c r="M2" s="213"/>
      <c r="N2" s="213"/>
      <c r="O2" s="213"/>
    </row>
    <row r="3" spans="1:498" s="11" customFormat="1" ht="33" customHeight="1" x14ac:dyDescent="0.25">
      <c r="B3" s="226" t="s">
        <v>47</v>
      </c>
      <c r="C3" s="226"/>
      <c r="D3" s="226"/>
      <c r="E3" s="145"/>
      <c r="F3" s="214" t="s">
        <v>66</v>
      </c>
      <c r="G3" s="214"/>
      <c r="H3" s="214"/>
      <c r="I3" s="214"/>
      <c r="J3" s="214"/>
      <c r="K3" s="214"/>
      <c r="L3" s="214"/>
      <c r="M3" s="214"/>
      <c r="N3" s="214"/>
      <c r="O3" s="214"/>
      <c r="P3" s="165"/>
    </row>
    <row r="4" spans="1:498" s="1" customFormat="1" ht="22.5" customHeight="1" thickBot="1" x14ac:dyDescent="0.3">
      <c r="A4" s="58"/>
      <c r="B4" s="146"/>
      <c r="C4" s="147"/>
      <c r="D4" s="147"/>
      <c r="E4" s="148"/>
      <c r="F4" s="214"/>
      <c r="G4" s="214"/>
      <c r="H4" s="214"/>
      <c r="I4" s="214"/>
      <c r="J4" s="214"/>
      <c r="K4" s="214"/>
      <c r="L4" s="214"/>
      <c r="M4" s="214"/>
      <c r="N4" s="214"/>
      <c r="O4" s="214"/>
      <c r="P4" s="168"/>
      <c r="Q4" s="95"/>
      <c r="R4" s="95"/>
      <c r="S4" s="95"/>
      <c r="T4" s="95"/>
      <c r="U4" s="95"/>
      <c r="V4" s="95"/>
      <c r="W4" s="95"/>
      <c r="X4" s="58"/>
      <c r="Y4" s="58"/>
      <c r="Z4" s="58"/>
      <c r="AA4" s="58"/>
      <c r="AB4" s="58"/>
      <c r="AC4" s="58"/>
      <c r="AD4" s="58"/>
      <c r="AE4" s="58"/>
      <c r="AF4" s="58"/>
      <c r="AG4" s="58"/>
      <c r="AH4" s="58"/>
      <c r="AI4" s="58"/>
      <c r="AJ4" s="58"/>
      <c r="AK4" s="58"/>
      <c r="AL4" s="58"/>
      <c r="AM4" s="58"/>
      <c r="AN4" s="58"/>
      <c r="AO4" s="58"/>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row>
    <row r="5" spans="1:498" x14ac:dyDescent="0.25">
      <c r="A5" s="11"/>
      <c r="B5" s="51"/>
      <c r="C5" s="166" t="s">
        <v>16</v>
      </c>
      <c r="D5" s="52" t="s">
        <v>0</v>
      </c>
      <c r="E5" s="11"/>
      <c r="F5" s="214" t="s">
        <v>67</v>
      </c>
      <c r="G5" s="214"/>
      <c r="H5" s="214"/>
      <c r="I5" s="214"/>
      <c r="J5" s="214"/>
      <c r="K5" s="214"/>
      <c r="L5" s="214"/>
      <c r="M5" s="214"/>
      <c r="N5" s="214"/>
      <c r="O5" s="214"/>
      <c r="P5" s="168"/>
      <c r="Q5" s="11"/>
      <c r="R5" s="11"/>
      <c r="S5" s="11"/>
      <c r="T5" s="11"/>
      <c r="U5" s="11"/>
      <c r="V5" s="11"/>
      <c r="W5" s="11"/>
      <c r="X5" s="11"/>
      <c r="Y5" s="11"/>
      <c r="Z5" s="11"/>
      <c r="AA5" s="11"/>
      <c r="AB5" s="11"/>
      <c r="AC5" s="11"/>
      <c r="AD5" s="11"/>
      <c r="AE5" s="11"/>
      <c r="AF5" s="11"/>
      <c r="AG5" s="11"/>
      <c r="AH5" s="11"/>
      <c r="AI5" s="11"/>
      <c r="AJ5" s="11"/>
      <c r="AK5" s="11"/>
      <c r="AL5" s="11"/>
      <c r="AM5" s="11"/>
      <c r="AN5" s="11"/>
      <c r="AO5" s="11"/>
    </row>
    <row r="6" spans="1:498" ht="15" customHeight="1" x14ac:dyDescent="0.25">
      <c r="A6" s="169" t="s">
        <v>62</v>
      </c>
      <c r="B6" s="132" t="s">
        <v>34</v>
      </c>
      <c r="C6" s="151">
        <v>0</v>
      </c>
      <c r="D6" s="150">
        <v>0</v>
      </c>
      <c r="E6" s="60"/>
      <c r="F6" s="214"/>
      <c r="G6" s="214"/>
      <c r="H6" s="214"/>
      <c r="I6" s="214"/>
      <c r="J6" s="214"/>
      <c r="K6" s="214"/>
      <c r="L6" s="214"/>
      <c r="M6" s="214"/>
      <c r="N6" s="214"/>
      <c r="O6" s="214"/>
      <c r="P6" s="168"/>
      <c r="Q6" s="165"/>
      <c r="R6" s="165"/>
      <c r="S6" s="165"/>
      <c r="T6" s="165"/>
      <c r="U6" s="165"/>
      <c r="V6" s="165"/>
      <c r="W6" s="11"/>
      <c r="X6" s="11"/>
      <c r="Y6" s="11"/>
      <c r="Z6" s="11"/>
      <c r="AA6" s="11"/>
      <c r="AB6" s="11"/>
      <c r="AC6" s="11"/>
      <c r="AD6" s="11"/>
      <c r="AE6" s="11"/>
      <c r="AF6" s="11"/>
      <c r="AG6" s="11"/>
      <c r="AH6" s="11"/>
      <c r="AI6" s="11"/>
      <c r="AJ6" s="11"/>
      <c r="AK6" s="11"/>
      <c r="AL6" s="11"/>
      <c r="AM6" s="11"/>
      <c r="AN6" s="11"/>
      <c r="AO6" s="11"/>
    </row>
    <row r="7" spans="1:498" ht="14.1" customHeight="1" x14ac:dyDescent="0.25">
      <c r="A7" s="11"/>
      <c r="B7" s="132" t="s">
        <v>33</v>
      </c>
      <c r="C7" s="151">
        <v>20000</v>
      </c>
      <c r="D7" s="150">
        <v>0.128</v>
      </c>
      <c r="E7" s="60"/>
      <c r="F7" s="215"/>
      <c r="G7" s="215"/>
      <c r="H7" s="215"/>
      <c r="I7" s="215"/>
      <c r="J7" s="215"/>
      <c r="K7" s="215"/>
      <c r="L7" s="215"/>
      <c r="M7" s="215"/>
      <c r="N7" s="215"/>
      <c r="O7" s="215"/>
      <c r="P7" s="168"/>
      <c r="Q7" s="165"/>
      <c r="R7" s="165"/>
      <c r="S7" s="165"/>
      <c r="T7" s="165"/>
      <c r="U7" s="165"/>
      <c r="V7" s="165"/>
      <c r="W7" s="11"/>
      <c r="X7" s="11"/>
      <c r="Y7" s="11"/>
      <c r="Z7" s="11"/>
      <c r="AA7" s="11"/>
      <c r="AB7" s="11"/>
      <c r="AC7" s="11"/>
      <c r="AD7" s="11"/>
      <c r="AE7" s="11"/>
      <c r="AF7" s="11"/>
      <c r="AG7" s="11"/>
      <c r="AH7" s="11"/>
      <c r="AI7" s="11"/>
      <c r="AJ7" s="11"/>
      <c r="AK7" s="11"/>
      <c r="AL7" s="11"/>
      <c r="AM7" s="11"/>
      <c r="AN7" s="11"/>
      <c r="AO7" s="11"/>
    </row>
    <row r="8" spans="1:498" ht="14.1" customHeight="1" x14ac:dyDescent="0.25">
      <c r="A8" s="11"/>
      <c r="B8" s="132" t="s">
        <v>6</v>
      </c>
      <c r="C8" s="151">
        <v>0</v>
      </c>
      <c r="D8" s="150">
        <v>7.9000000000000001E-2</v>
      </c>
      <c r="E8" s="60"/>
      <c r="F8" s="216"/>
      <c r="G8" s="216"/>
      <c r="H8" s="216"/>
      <c r="I8" s="216"/>
      <c r="J8" s="216"/>
      <c r="K8" s="216"/>
      <c r="L8" s="216"/>
      <c r="M8" s="216"/>
      <c r="N8" s="216"/>
      <c r="O8" s="216"/>
      <c r="P8" s="168"/>
      <c r="Q8" s="165"/>
      <c r="R8" s="165"/>
      <c r="S8" s="165"/>
      <c r="T8" s="165"/>
      <c r="U8" s="165"/>
      <c r="V8" s="165"/>
      <c r="W8" s="11"/>
      <c r="X8" s="11"/>
      <c r="Y8" s="11"/>
      <c r="Z8" s="11"/>
      <c r="AA8" s="11"/>
      <c r="AB8" s="11"/>
      <c r="AC8" s="11"/>
      <c r="AD8" s="11"/>
      <c r="AE8" s="11"/>
      <c r="AF8" s="11"/>
      <c r="AG8" s="11"/>
      <c r="AH8" s="11"/>
      <c r="AI8" s="11"/>
      <c r="AJ8" s="11"/>
      <c r="AK8" s="11"/>
      <c r="AL8" s="11"/>
      <c r="AM8" s="11"/>
      <c r="AN8" s="11"/>
      <c r="AO8" s="11"/>
    </row>
    <row r="9" spans="1:498" ht="6" customHeight="1" x14ac:dyDescent="0.25">
      <c r="A9" s="11"/>
      <c r="B9" s="137"/>
      <c r="C9" s="138"/>
      <c r="D9" s="139"/>
      <c r="E9" s="60"/>
      <c r="F9" s="216"/>
      <c r="G9" s="216"/>
      <c r="H9" s="216"/>
      <c r="I9" s="216"/>
      <c r="J9" s="216"/>
      <c r="K9" s="216"/>
      <c r="L9" s="216"/>
      <c r="M9" s="216"/>
      <c r="N9" s="216"/>
      <c r="O9" s="216"/>
      <c r="P9" s="168"/>
      <c r="Q9" s="165"/>
      <c r="R9" s="165"/>
      <c r="S9" s="165"/>
      <c r="T9" s="165"/>
      <c r="U9" s="165"/>
      <c r="V9" s="165"/>
      <c r="W9" s="11"/>
      <c r="X9" s="11"/>
      <c r="Y9" s="11"/>
      <c r="Z9" s="11"/>
      <c r="AA9" s="11"/>
      <c r="AB9" s="11"/>
      <c r="AC9" s="11"/>
      <c r="AD9" s="11"/>
      <c r="AE9" s="11"/>
      <c r="AF9" s="11"/>
      <c r="AG9" s="11"/>
      <c r="AH9" s="11"/>
      <c r="AI9" s="11"/>
      <c r="AJ9" s="11"/>
      <c r="AK9" s="11"/>
      <c r="AL9" s="11"/>
      <c r="AM9" s="11"/>
      <c r="AN9" s="11"/>
      <c r="AO9" s="11"/>
    </row>
    <row r="10" spans="1:498" ht="14.1" customHeight="1" x14ac:dyDescent="0.25">
      <c r="A10" s="11"/>
      <c r="B10" s="132" t="s">
        <v>5</v>
      </c>
      <c r="C10" s="99">
        <f>SUM(C6,C7,C8)</f>
        <v>20000</v>
      </c>
      <c r="D10" s="100">
        <f>IF(C10=0,"",CEILING((((C6*D6)+(C7*D7)+(C8*D8))/C10),0.00125)+N("Weighted Average"))</f>
        <v>0.12875</v>
      </c>
      <c r="E10" s="60"/>
      <c r="F10" s="216"/>
      <c r="G10" s="216"/>
      <c r="H10" s="216"/>
      <c r="I10" s="216"/>
      <c r="J10" s="216"/>
      <c r="K10" s="216"/>
      <c r="L10" s="216"/>
      <c r="M10" s="216"/>
      <c r="N10" s="216"/>
      <c r="O10" s="216"/>
      <c r="P10" s="168"/>
      <c r="Q10" s="165"/>
      <c r="R10" s="165"/>
      <c r="S10" s="165"/>
      <c r="T10" s="165"/>
      <c r="U10" s="165"/>
      <c r="V10" s="165"/>
      <c r="W10" s="11"/>
      <c r="X10" s="11"/>
      <c r="Y10" s="11"/>
      <c r="Z10" s="11"/>
      <c r="AA10" s="11"/>
      <c r="AB10" s="11"/>
      <c r="AC10" s="11"/>
      <c r="AD10" s="11"/>
      <c r="AE10" s="11"/>
      <c r="AF10" s="11"/>
      <c r="AG10" s="11"/>
      <c r="AH10" s="11"/>
      <c r="AI10" s="11"/>
      <c r="AJ10" s="11"/>
      <c r="AK10" s="11"/>
      <c r="AL10" s="11"/>
      <c r="AM10" s="11"/>
      <c r="AN10" s="11"/>
      <c r="AO10" s="11"/>
    </row>
    <row r="11" spans="1:498" ht="15" hidden="1" customHeight="1" x14ac:dyDescent="0.25">
      <c r="A11" s="11"/>
      <c r="B11" s="50" t="s">
        <v>1</v>
      </c>
      <c r="C11" s="17">
        <f>CEILING(D10, 0.00125)</f>
        <v>0.12875</v>
      </c>
      <c r="D11" s="18"/>
      <c r="E11" s="11"/>
      <c r="F11" s="176"/>
      <c r="G11" s="176"/>
      <c r="H11" s="176"/>
      <c r="I11" s="176"/>
      <c r="J11" s="176"/>
      <c r="K11" s="176"/>
      <c r="L11" s="176"/>
      <c r="M11" s="176"/>
      <c r="N11" s="176"/>
      <c r="O11" s="176"/>
      <c r="P11" s="168"/>
      <c r="Q11" s="165"/>
      <c r="R11" s="165"/>
      <c r="S11" s="165"/>
      <c r="T11" s="165"/>
      <c r="U11" s="165"/>
      <c r="V11" s="165"/>
      <c r="W11" s="11"/>
      <c r="X11" s="11"/>
      <c r="Y11" s="11"/>
      <c r="Z11" s="11"/>
      <c r="AA11" s="11"/>
      <c r="AB11" s="11"/>
      <c r="AC11" s="11"/>
      <c r="AD11" s="11"/>
      <c r="AE11" s="11"/>
      <c r="AF11" s="11"/>
      <c r="AG11" s="11"/>
      <c r="AH11" s="11"/>
      <c r="AI11" s="11"/>
      <c r="AJ11" s="11"/>
      <c r="AK11" s="11"/>
      <c r="AL11" s="11"/>
      <c r="AM11" s="11"/>
      <c r="AN11" s="11"/>
      <c r="AO11" s="11"/>
    </row>
    <row r="12" spans="1:498" ht="15" hidden="1" customHeight="1" x14ac:dyDescent="0.25">
      <c r="A12" s="11"/>
      <c r="B12" s="50" t="s">
        <v>2</v>
      </c>
      <c r="C12" s="19">
        <v>12</v>
      </c>
      <c r="D12" s="18"/>
      <c r="E12" s="11"/>
      <c r="F12" s="176"/>
      <c r="G12" s="176"/>
      <c r="H12" s="176"/>
      <c r="I12" s="176"/>
      <c r="J12" s="176"/>
      <c r="K12" s="176"/>
      <c r="L12" s="176"/>
      <c r="M12" s="176"/>
      <c r="N12" s="176"/>
      <c r="O12" s="176"/>
      <c r="P12" s="168"/>
      <c r="Q12" s="165"/>
      <c r="R12" s="165"/>
      <c r="S12" s="165"/>
      <c r="T12" s="165"/>
      <c r="U12" s="165"/>
      <c r="V12" s="165"/>
      <c r="W12" s="11"/>
      <c r="X12" s="11"/>
      <c r="Y12" s="11"/>
      <c r="Z12" s="11"/>
      <c r="AA12" s="11"/>
      <c r="AB12" s="11"/>
      <c r="AC12" s="11"/>
      <c r="AD12" s="11"/>
      <c r="AE12" s="11"/>
      <c r="AF12" s="11"/>
      <c r="AG12" s="11"/>
      <c r="AH12" s="11"/>
      <c r="AI12" s="11"/>
      <c r="AJ12" s="11"/>
      <c r="AK12" s="11"/>
      <c r="AL12" s="11"/>
      <c r="AM12" s="11"/>
      <c r="AN12" s="11"/>
      <c r="AO12" s="11"/>
    </row>
    <row r="13" spans="1:498" ht="6" customHeight="1" x14ac:dyDescent="0.25">
      <c r="A13" s="11"/>
      <c r="B13" s="140"/>
      <c r="C13" s="141"/>
      <c r="D13" s="101"/>
      <c r="E13" s="11"/>
      <c r="F13" s="217" t="s">
        <v>68</v>
      </c>
      <c r="G13" s="217"/>
      <c r="H13" s="217"/>
      <c r="I13" s="217"/>
      <c r="J13" s="217"/>
      <c r="K13" s="217"/>
      <c r="L13" s="217"/>
      <c r="M13" s="217"/>
      <c r="N13" s="217"/>
      <c r="O13" s="217"/>
      <c r="P13" s="168"/>
      <c r="Q13" s="165"/>
      <c r="R13" s="165"/>
      <c r="S13" s="165"/>
      <c r="T13" s="165"/>
      <c r="U13" s="165"/>
      <c r="V13" s="165"/>
      <c r="W13" s="11"/>
      <c r="X13" s="11"/>
      <c r="Y13" s="11"/>
      <c r="Z13" s="11"/>
      <c r="AA13" s="11"/>
      <c r="AB13" s="11"/>
      <c r="AC13" s="11"/>
      <c r="AD13" s="11"/>
      <c r="AE13" s="11"/>
      <c r="AF13" s="11"/>
      <c r="AG13" s="11"/>
      <c r="AH13" s="11"/>
      <c r="AI13" s="11"/>
      <c r="AJ13" s="11"/>
      <c r="AK13" s="11"/>
      <c r="AL13" s="11"/>
      <c r="AM13" s="11"/>
      <c r="AN13" s="11"/>
      <c r="AO13" s="11"/>
    </row>
    <row r="14" spans="1:498" ht="14.1" hidden="1" customHeight="1" x14ac:dyDescent="0.25">
      <c r="A14" s="11"/>
      <c r="B14" s="50" t="s">
        <v>36</v>
      </c>
      <c r="C14" s="161" t="s">
        <v>48</v>
      </c>
      <c r="D14" s="162" t="str">
        <f>IF(C14="Old","Old IBR",IF(C14="New","New IBR","Error"))</f>
        <v>Old IBR</v>
      </c>
      <c r="E14" s="11"/>
      <c r="F14" s="217"/>
      <c r="G14" s="217"/>
      <c r="H14" s="217"/>
      <c r="I14" s="217"/>
      <c r="J14" s="217"/>
      <c r="K14" s="217"/>
      <c r="L14" s="217"/>
      <c r="M14" s="217"/>
      <c r="N14" s="217"/>
      <c r="O14" s="217"/>
      <c r="P14" s="168"/>
      <c r="Q14" s="165"/>
      <c r="R14" s="165"/>
      <c r="S14" s="165"/>
      <c r="T14" s="165"/>
      <c r="U14" s="165"/>
      <c r="V14" s="165"/>
      <c r="W14" s="11"/>
      <c r="X14" s="11"/>
      <c r="Y14" s="11"/>
      <c r="Z14" s="11"/>
      <c r="AA14" s="11"/>
      <c r="AB14" s="11"/>
      <c r="AC14" s="11"/>
      <c r="AD14" s="11"/>
      <c r="AE14" s="11"/>
      <c r="AF14" s="11"/>
      <c r="AG14" s="11"/>
      <c r="AH14" s="11"/>
      <c r="AI14" s="11"/>
      <c r="AJ14" s="11"/>
      <c r="AK14" s="11"/>
      <c r="AL14" s="11"/>
      <c r="AM14" s="11"/>
      <c r="AN14" s="11"/>
      <c r="AO14" s="11"/>
    </row>
    <row r="15" spans="1:498" ht="14.1" hidden="1" customHeight="1" x14ac:dyDescent="0.25">
      <c r="A15" s="11"/>
      <c r="B15" s="50" t="s">
        <v>3</v>
      </c>
      <c r="C15" s="160">
        <f>IF(C14="Old",0.15,IF(C14="New",0.1,"Error"))</f>
        <v>0.15</v>
      </c>
      <c r="D15" s="163"/>
      <c r="E15" s="11"/>
      <c r="F15" s="217"/>
      <c r="G15" s="217"/>
      <c r="H15" s="217"/>
      <c r="I15" s="217"/>
      <c r="J15" s="217"/>
      <c r="K15" s="217"/>
      <c r="L15" s="217"/>
      <c r="M15" s="217"/>
      <c r="N15" s="217"/>
      <c r="O15" s="217"/>
      <c r="P15" s="168"/>
      <c r="Q15" s="165"/>
      <c r="R15" s="165"/>
      <c r="S15" s="165"/>
      <c r="T15" s="165"/>
      <c r="U15" s="165"/>
      <c r="V15" s="165"/>
      <c r="W15" s="11"/>
      <c r="X15" s="11"/>
      <c r="Y15" s="11"/>
      <c r="Z15" s="11"/>
      <c r="AA15" s="11"/>
      <c r="AB15" s="11"/>
      <c r="AC15" s="11"/>
      <c r="AD15" s="11"/>
      <c r="AE15" s="61"/>
      <c r="AF15" s="11"/>
      <c r="AG15" s="11"/>
      <c r="AH15" s="11"/>
      <c r="AI15" s="11"/>
      <c r="AJ15" s="11"/>
      <c r="AK15" s="11"/>
      <c r="AL15" s="11"/>
      <c r="AM15" s="11"/>
      <c r="AN15" s="11"/>
      <c r="AO15" s="11"/>
    </row>
    <row r="16" spans="1:498" ht="14.1" hidden="1" customHeight="1" x14ac:dyDescent="0.25">
      <c r="A16" s="11"/>
      <c r="B16" s="50" t="s">
        <v>4</v>
      </c>
      <c r="C16" s="164">
        <v>0</v>
      </c>
      <c r="D16" s="102"/>
      <c r="E16" s="11"/>
      <c r="F16" s="217"/>
      <c r="G16" s="217"/>
      <c r="H16" s="217"/>
      <c r="I16" s="217"/>
      <c r="J16" s="217"/>
      <c r="K16" s="217"/>
      <c r="L16" s="217"/>
      <c r="M16" s="217"/>
      <c r="N16" s="217"/>
      <c r="O16" s="217"/>
      <c r="P16" s="168"/>
      <c r="Q16" s="165"/>
      <c r="R16" s="165"/>
      <c r="S16" s="165"/>
      <c r="T16" s="165"/>
      <c r="U16" s="165"/>
      <c r="V16" s="165"/>
      <c r="W16" s="11"/>
      <c r="X16" s="11"/>
      <c r="Y16" s="11"/>
      <c r="Z16" s="11"/>
      <c r="AA16" s="11"/>
      <c r="AB16" s="11"/>
      <c r="AC16" s="11"/>
      <c r="AD16" s="11"/>
      <c r="AE16" s="61"/>
      <c r="AF16" s="11"/>
      <c r="AG16" s="11"/>
      <c r="AH16" s="11"/>
      <c r="AI16" s="11"/>
      <c r="AJ16" s="11"/>
      <c r="AK16" s="11"/>
      <c r="AL16" s="11"/>
      <c r="AM16" s="11"/>
      <c r="AN16" s="11"/>
      <c r="AO16" s="11"/>
    </row>
    <row r="17" spans="1:41" ht="14.1" customHeight="1" x14ac:dyDescent="0.25">
      <c r="A17" s="169" t="s">
        <v>63</v>
      </c>
      <c r="B17" s="54" t="s">
        <v>39</v>
      </c>
      <c r="C17" s="134"/>
      <c r="D17" s="111"/>
      <c r="E17" s="11"/>
      <c r="F17" s="217"/>
      <c r="G17" s="217"/>
      <c r="H17" s="217"/>
      <c r="I17" s="217"/>
      <c r="J17" s="217"/>
      <c r="K17" s="217"/>
      <c r="L17" s="217"/>
      <c r="M17" s="217"/>
      <c r="N17" s="217"/>
      <c r="O17" s="217"/>
      <c r="P17" s="168"/>
      <c r="Q17" s="165"/>
      <c r="R17" s="165"/>
      <c r="S17" s="165"/>
      <c r="T17" s="165"/>
      <c r="U17" s="165"/>
      <c r="V17" s="165"/>
      <c r="W17" s="11"/>
      <c r="X17" s="11"/>
      <c r="Y17" s="11"/>
      <c r="Z17" s="11"/>
      <c r="AA17" s="11"/>
      <c r="AB17" s="11"/>
      <c r="AC17" s="11"/>
      <c r="AD17" s="11"/>
      <c r="AE17" s="61"/>
      <c r="AF17" s="11"/>
      <c r="AG17" s="11"/>
      <c r="AH17" s="11"/>
      <c r="AI17" s="11"/>
      <c r="AJ17" s="11"/>
      <c r="AK17" s="11"/>
      <c r="AL17" s="11"/>
      <c r="AM17" s="11"/>
      <c r="AN17" s="11"/>
      <c r="AO17" s="11"/>
    </row>
    <row r="18" spans="1:41" ht="15" customHeight="1" x14ac:dyDescent="0.25">
      <c r="A18" s="11"/>
      <c r="B18" s="54" t="s">
        <v>40</v>
      </c>
      <c r="C18" s="134"/>
      <c r="D18" s="112"/>
      <c r="E18" s="11"/>
      <c r="F18" s="217"/>
      <c r="G18" s="217"/>
      <c r="H18" s="217"/>
      <c r="I18" s="217"/>
      <c r="J18" s="217"/>
      <c r="K18" s="217"/>
      <c r="L18" s="217"/>
      <c r="M18" s="217"/>
      <c r="N18" s="217"/>
      <c r="O18" s="217"/>
      <c r="P18" s="168"/>
      <c r="Q18" s="165"/>
      <c r="R18" s="165"/>
      <c r="S18" s="165"/>
      <c r="T18" s="165"/>
      <c r="U18" s="165"/>
      <c r="V18" s="165"/>
      <c r="W18" s="11"/>
      <c r="X18" s="11"/>
      <c r="Y18" s="11"/>
      <c r="Z18" s="11"/>
      <c r="AA18" s="11"/>
      <c r="AB18" s="11"/>
      <c r="AC18" s="11"/>
      <c r="AD18" s="11"/>
      <c r="AE18" s="61"/>
      <c r="AF18" s="11"/>
      <c r="AG18" s="11"/>
      <c r="AH18" s="11"/>
      <c r="AI18" s="11"/>
      <c r="AJ18" s="11"/>
      <c r="AK18" s="11"/>
      <c r="AL18" s="11"/>
      <c r="AM18" s="11"/>
      <c r="AN18" s="11"/>
      <c r="AO18" s="11"/>
    </row>
    <row r="19" spans="1:41" ht="14.1" customHeight="1" x14ac:dyDescent="0.25">
      <c r="A19" s="11"/>
      <c r="B19" s="54" t="s">
        <v>41</v>
      </c>
      <c r="C19" s="134"/>
      <c r="D19" s="112"/>
      <c r="E19" s="11"/>
      <c r="F19" s="217"/>
      <c r="G19" s="217"/>
      <c r="H19" s="217"/>
      <c r="I19" s="217"/>
      <c r="J19" s="217"/>
      <c r="K19" s="217"/>
      <c r="L19" s="217"/>
      <c r="M19" s="217"/>
      <c r="N19" s="217"/>
      <c r="O19" s="217"/>
      <c r="P19" s="165"/>
      <c r="Q19" s="165"/>
      <c r="R19" s="165"/>
      <c r="S19" s="165"/>
      <c r="T19" s="165"/>
      <c r="U19" s="165"/>
      <c r="V19" s="165"/>
      <c r="W19" s="11"/>
      <c r="X19" s="11"/>
      <c r="Y19" s="11"/>
      <c r="Z19" s="11"/>
      <c r="AA19" s="11"/>
      <c r="AB19" s="11"/>
      <c r="AC19" s="11"/>
      <c r="AD19" s="11"/>
      <c r="AE19" s="61"/>
      <c r="AF19" s="11"/>
      <c r="AG19" s="11"/>
      <c r="AH19" s="11"/>
      <c r="AI19" s="11"/>
      <c r="AJ19" s="11"/>
      <c r="AK19" s="11"/>
      <c r="AL19" s="11"/>
      <c r="AM19" s="11"/>
      <c r="AN19" s="11"/>
      <c r="AO19" s="11"/>
    </row>
    <row r="20" spans="1:41" ht="14.1" customHeight="1" x14ac:dyDescent="0.25">
      <c r="A20" s="11"/>
      <c r="B20" s="54" t="s">
        <v>42</v>
      </c>
      <c r="C20" s="134"/>
      <c r="D20" s="112"/>
      <c r="E20" s="11"/>
      <c r="F20" s="217"/>
      <c r="G20" s="217"/>
      <c r="H20" s="217"/>
      <c r="I20" s="217"/>
      <c r="J20" s="217"/>
      <c r="K20" s="217"/>
      <c r="L20" s="217"/>
      <c r="M20" s="217"/>
      <c r="N20" s="217"/>
      <c r="O20" s="217"/>
      <c r="P20" s="165"/>
      <c r="Q20" s="165"/>
      <c r="R20" s="165"/>
      <c r="S20" s="165"/>
      <c r="T20" s="165"/>
      <c r="U20" s="165"/>
      <c r="V20" s="165"/>
      <c r="W20" s="11"/>
      <c r="X20" s="11"/>
      <c r="Y20" s="11"/>
      <c r="Z20" s="11"/>
      <c r="AA20" s="11"/>
      <c r="AB20" s="11"/>
      <c r="AC20" s="11"/>
      <c r="AD20" s="11"/>
      <c r="AE20" s="61"/>
      <c r="AF20" s="11"/>
      <c r="AG20" s="11"/>
      <c r="AH20" s="11"/>
      <c r="AI20" s="11"/>
      <c r="AJ20" s="11"/>
      <c r="AK20" s="11"/>
      <c r="AL20" s="11"/>
      <c r="AM20" s="11"/>
      <c r="AN20" s="11"/>
      <c r="AO20" s="11"/>
    </row>
    <row r="21" spans="1:41" ht="15" customHeight="1" thickBot="1" x14ac:dyDescent="0.3">
      <c r="A21" s="11"/>
      <c r="B21" s="55" t="s">
        <v>43</v>
      </c>
      <c r="C21" s="135"/>
      <c r="D21" s="113"/>
      <c r="E21" s="11"/>
      <c r="F21" s="217"/>
      <c r="G21" s="217"/>
      <c r="H21" s="217"/>
      <c r="I21" s="217"/>
      <c r="J21" s="217"/>
      <c r="K21" s="217"/>
      <c r="L21" s="217"/>
      <c r="M21" s="217"/>
      <c r="N21" s="217"/>
      <c r="O21" s="217"/>
      <c r="P21" s="165"/>
      <c r="Q21" s="165"/>
      <c r="R21" s="165"/>
      <c r="S21" s="165"/>
      <c r="T21" s="165"/>
      <c r="U21" s="165"/>
      <c r="V21" s="165"/>
      <c r="W21" s="11"/>
      <c r="X21" s="11"/>
      <c r="Y21" s="11"/>
      <c r="Z21" s="11"/>
      <c r="AA21" s="11"/>
      <c r="AB21" s="11"/>
      <c r="AC21" s="11"/>
      <c r="AD21" s="11"/>
      <c r="AE21" s="61"/>
      <c r="AF21" s="11"/>
      <c r="AG21" s="11"/>
      <c r="AH21" s="11"/>
      <c r="AI21" s="11"/>
      <c r="AJ21" s="11"/>
      <c r="AK21" s="11"/>
      <c r="AL21" s="11"/>
      <c r="AM21" s="11"/>
      <c r="AN21" s="11"/>
      <c r="AO21" s="11"/>
    </row>
    <row r="22" spans="1:41" ht="15" customHeight="1" thickBot="1" x14ac:dyDescent="0.3">
      <c r="A22" s="11"/>
      <c r="B22" s="3"/>
      <c r="C22" s="4"/>
      <c r="E22" s="11"/>
      <c r="F22" s="217"/>
      <c r="G22" s="217"/>
      <c r="H22" s="217"/>
      <c r="I22" s="217"/>
      <c r="J22" s="217"/>
      <c r="K22" s="217"/>
      <c r="L22" s="217"/>
      <c r="M22" s="217"/>
      <c r="N22" s="217"/>
      <c r="O22" s="217"/>
      <c r="P22" s="168"/>
      <c r="Q22" s="11"/>
      <c r="R22" s="11"/>
      <c r="S22" s="11"/>
      <c r="T22" s="11"/>
      <c r="U22" s="11"/>
      <c r="V22" s="11"/>
      <c r="W22" s="11"/>
      <c r="X22" s="11"/>
      <c r="Y22" s="11"/>
      <c r="Z22" s="11"/>
      <c r="AA22" s="11"/>
      <c r="AB22" s="11"/>
      <c r="AC22" s="11"/>
      <c r="AD22" s="11"/>
      <c r="AE22" s="61"/>
      <c r="AF22" s="11"/>
      <c r="AG22" s="11"/>
      <c r="AH22" s="11"/>
      <c r="AI22" s="11"/>
      <c r="AJ22" s="11"/>
      <c r="AK22" s="11"/>
      <c r="AL22" s="11"/>
      <c r="AM22" s="11"/>
      <c r="AN22" s="11"/>
      <c r="AO22" s="11"/>
    </row>
    <row r="23" spans="1:41" ht="15" hidden="1" customHeight="1" x14ac:dyDescent="0.25">
      <c r="A23" s="11"/>
      <c r="B23" s="3"/>
      <c r="C23" s="5"/>
      <c r="D23" s="2"/>
      <c r="E23" s="11"/>
      <c r="F23" s="217"/>
      <c r="G23" s="217"/>
      <c r="H23" s="217"/>
      <c r="I23" s="217"/>
      <c r="J23" s="217"/>
      <c r="K23" s="217"/>
      <c r="L23" s="217"/>
      <c r="M23" s="217"/>
      <c r="N23" s="217"/>
      <c r="O23" s="217"/>
      <c r="P23" s="168"/>
      <c r="Q23" s="11"/>
      <c r="R23" s="11"/>
      <c r="S23" s="11"/>
      <c r="T23" s="11"/>
      <c r="U23" s="11"/>
      <c r="V23" s="11"/>
      <c r="W23" s="11"/>
      <c r="X23" s="11"/>
      <c r="Y23" s="11"/>
      <c r="Z23" s="11"/>
      <c r="AA23" s="11"/>
      <c r="AB23" s="11"/>
      <c r="AC23" s="11"/>
      <c r="AD23" s="11"/>
      <c r="AE23" s="61"/>
      <c r="AF23" s="11"/>
      <c r="AG23" s="11"/>
      <c r="AH23" s="11"/>
      <c r="AI23" s="11"/>
      <c r="AJ23" s="11"/>
      <c r="AK23" s="11"/>
      <c r="AL23" s="11"/>
      <c r="AM23" s="11"/>
      <c r="AN23" s="11"/>
      <c r="AO23" s="11"/>
    </row>
    <row r="24" spans="1:41" ht="15" hidden="1" customHeight="1" x14ac:dyDescent="0.25">
      <c r="A24" s="11"/>
      <c r="B24" s="3"/>
      <c r="C24" s="5"/>
      <c r="D24" s="2"/>
      <c r="E24" s="11"/>
      <c r="F24" s="217"/>
      <c r="G24" s="217"/>
      <c r="H24" s="217"/>
      <c r="I24" s="217"/>
      <c r="J24" s="217"/>
      <c r="K24" s="217"/>
      <c r="L24" s="217"/>
      <c r="M24" s="217"/>
      <c r="N24" s="217"/>
      <c r="O24" s="217"/>
      <c r="P24" s="168"/>
      <c r="Q24" s="11"/>
      <c r="R24" s="11"/>
      <c r="S24" s="11"/>
      <c r="T24" s="11"/>
      <c r="U24" s="11"/>
      <c r="V24" s="11"/>
      <c r="W24" s="11"/>
      <c r="X24" s="11"/>
      <c r="Y24" s="11"/>
      <c r="Z24" s="11"/>
      <c r="AA24" s="11"/>
      <c r="AB24" s="11"/>
      <c r="AC24" s="11"/>
      <c r="AD24" s="11"/>
      <c r="AE24" s="61"/>
      <c r="AF24" s="11"/>
      <c r="AG24" s="11"/>
      <c r="AH24" s="11"/>
      <c r="AI24" s="11"/>
      <c r="AJ24" s="11"/>
      <c r="AK24" s="11"/>
      <c r="AL24" s="11"/>
      <c r="AM24" s="11"/>
      <c r="AN24" s="11"/>
      <c r="AO24" s="11"/>
    </row>
    <row r="25" spans="1:41" ht="15" hidden="1" customHeight="1" x14ac:dyDescent="0.25">
      <c r="A25" s="11"/>
      <c r="B25" s="3"/>
      <c r="C25" s="9"/>
      <c r="D25" s="2"/>
      <c r="E25" s="11"/>
      <c r="F25" s="217"/>
      <c r="G25" s="217"/>
      <c r="H25" s="217"/>
      <c r="I25" s="217"/>
      <c r="J25" s="217"/>
      <c r="K25" s="217"/>
      <c r="L25" s="217"/>
      <c r="M25" s="217"/>
      <c r="N25" s="217"/>
      <c r="O25" s="217"/>
      <c r="P25" s="168"/>
      <c r="Q25" s="11"/>
      <c r="R25" s="11"/>
      <c r="S25" s="11"/>
      <c r="T25" s="11"/>
      <c r="U25" s="11"/>
      <c r="V25" s="11"/>
      <c r="W25" s="11"/>
      <c r="X25" s="11"/>
      <c r="Y25" s="11"/>
      <c r="Z25" s="11"/>
      <c r="AA25" s="11"/>
      <c r="AB25" s="11"/>
      <c r="AC25" s="11"/>
      <c r="AD25" s="11"/>
      <c r="AE25" s="61"/>
      <c r="AF25" s="11"/>
      <c r="AG25" s="11"/>
      <c r="AH25" s="11"/>
      <c r="AI25" s="11"/>
      <c r="AJ25" s="11"/>
      <c r="AK25" s="11"/>
      <c r="AL25" s="11"/>
      <c r="AM25" s="11"/>
      <c r="AN25" s="11"/>
      <c r="AO25" s="11"/>
    </row>
    <row r="26" spans="1:41" ht="15" hidden="1" customHeight="1" x14ac:dyDescent="0.25">
      <c r="A26" s="11"/>
      <c r="B26" s="3" t="s">
        <v>31</v>
      </c>
      <c r="C26" s="13">
        <f>SUM(C7,C8)</f>
        <v>20000</v>
      </c>
      <c r="D26" s="6">
        <f>((C7*D7)+(C8*D8))/C26</f>
        <v>0.128</v>
      </c>
      <c r="E26" s="11"/>
      <c r="F26" s="217"/>
      <c r="G26" s="217"/>
      <c r="H26" s="217"/>
      <c r="I26" s="217"/>
      <c r="J26" s="217"/>
      <c r="K26" s="217"/>
      <c r="L26" s="217"/>
      <c r="M26" s="217"/>
      <c r="N26" s="217"/>
      <c r="O26" s="217"/>
      <c r="P26" s="168"/>
      <c r="Q26" s="11"/>
      <c r="R26" s="11"/>
      <c r="S26" s="11"/>
      <c r="T26" s="11"/>
      <c r="U26" s="11"/>
      <c r="V26" s="11"/>
      <c r="W26" s="11"/>
      <c r="X26" s="11"/>
      <c r="Y26" s="11"/>
      <c r="Z26" s="11"/>
      <c r="AA26" s="11"/>
      <c r="AB26" s="11"/>
      <c r="AC26" s="11"/>
      <c r="AD26" s="11"/>
      <c r="AE26" s="61"/>
      <c r="AF26" s="11"/>
      <c r="AG26" s="11"/>
      <c r="AH26" s="11"/>
      <c r="AI26" s="11"/>
      <c r="AJ26" s="11"/>
      <c r="AK26" s="11"/>
      <c r="AL26" s="11"/>
      <c r="AM26" s="11"/>
      <c r="AN26" s="11"/>
      <c r="AO26" s="11"/>
    </row>
    <row r="27" spans="1:41" ht="15" hidden="1" customHeight="1" x14ac:dyDescent="0.25">
      <c r="A27" s="11"/>
      <c r="B27" s="3"/>
      <c r="C27" s="13"/>
      <c r="E27" s="11"/>
      <c r="F27" s="217"/>
      <c r="G27" s="217"/>
      <c r="H27" s="217"/>
      <c r="I27" s="217"/>
      <c r="J27" s="217"/>
      <c r="K27" s="217"/>
      <c r="L27" s="217"/>
      <c r="M27" s="217"/>
      <c r="N27" s="217"/>
      <c r="O27" s="217"/>
      <c r="P27" s="168"/>
      <c r="Q27" s="11"/>
      <c r="R27" s="11"/>
      <c r="S27" s="11"/>
      <c r="T27" s="11"/>
      <c r="U27" s="11"/>
      <c r="V27" s="11"/>
      <c r="W27" s="11"/>
      <c r="X27" s="11"/>
      <c r="Y27" s="11"/>
      <c r="Z27" s="11"/>
      <c r="AA27" s="11"/>
      <c r="AB27" s="11"/>
      <c r="AC27" s="11"/>
      <c r="AD27" s="11"/>
      <c r="AE27" s="61"/>
      <c r="AF27" s="11"/>
      <c r="AG27" s="11"/>
      <c r="AH27" s="11"/>
      <c r="AI27" s="11"/>
      <c r="AJ27" s="11"/>
      <c r="AK27" s="11"/>
      <c r="AL27" s="11"/>
      <c r="AM27" s="11"/>
      <c r="AN27" s="11"/>
      <c r="AO27" s="11"/>
    </row>
    <row r="28" spans="1:41" ht="15" hidden="1" customHeight="1" x14ac:dyDescent="0.25">
      <c r="A28" s="11"/>
      <c r="B28" s="3"/>
      <c r="C28" s="13"/>
      <c r="D28" s="6"/>
      <c r="E28" s="11"/>
      <c r="F28" s="217"/>
      <c r="G28" s="217"/>
      <c r="H28" s="217"/>
      <c r="I28" s="217"/>
      <c r="J28" s="217"/>
      <c r="K28" s="217"/>
      <c r="L28" s="217"/>
      <c r="M28" s="217"/>
      <c r="N28" s="217"/>
      <c r="O28" s="217"/>
      <c r="P28" s="168"/>
      <c r="Q28" s="11"/>
      <c r="R28" s="11"/>
      <c r="S28" s="11"/>
      <c r="T28" s="11"/>
      <c r="U28" s="11"/>
      <c r="V28" s="11"/>
      <c r="W28" s="11"/>
      <c r="X28" s="11"/>
      <c r="Y28" s="11"/>
      <c r="Z28" s="11"/>
      <c r="AA28" s="11"/>
      <c r="AB28" s="11"/>
      <c r="AC28" s="11"/>
      <c r="AD28" s="11"/>
      <c r="AE28" s="61"/>
      <c r="AF28" s="11"/>
      <c r="AG28" s="11"/>
      <c r="AH28" s="11"/>
      <c r="AI28" s="11"/>
      <c r="AJ28" s="11"/>
      <c r="AK28" s="11"/>
      <c r="AL28" s="11"/>
      <c r="AM28" s="11"/>
      <c r="AN28" s="11"/>
      <c r="AO28" s="11"/>
    </row>
    <row r="29" spans="1:41" ht="15" hidden="1" customHeight="1" x14ac:dyDescent="0.25">
      <c r="A29" s="11"/>
      <c r="B29" s="3"/>
      <c r="C29" s="13"/>
      <c r="D29" s="6"/>
      <c r="E29" s="11"/>
      <c r="F29" s="217"/>
      <c r="G29" s="217"/>
      <c r="H29" s="217"/>
      <c r="I29" s="217"/>
      <c r="J29" s="217"/>
      <c r="K29" s="217"/>
      <c r="L29" s="217"/>
      <c r="M29" s="217"/>
      <c r="N29" s="217"/>
      <c r="O29" s="217"/>
      <c r="P29" s="168"/>
      <c r="Q29" s="11"/>
      <c r="R29" s="11"/>
      <c r="S29" s="11"/>
      <c r="T29" s="11"/>
      <c r="U29" s="11"/>
      <c r="V29" s="11"/>
      <c r="W29" s="11"/>
      <c r="X29" s="11"/>
      <c r="Y29" s="11"/>
      <c r="Z29" s="11"/>
      <c r="AA29" s="11"/>
      <c r="AB29" s="11"/>
      <c r="AC29" s="11"/>
      <c r="AD29" s="11"/>
      <c r="AE29" s="61"/>
      <c r="AF29" s="11"/>
      <c r="AG29" s="11"/>
      <c r="AH29" s="11"/>
      <c r="AI29" s="11"/>
      <c r="AJ29" s="11"/>
      <c r="AK29" s="11"/>
      <c r="AL29" s="11"/>
      <c r="AM29" s="11"/>
      <c r="AN29" s="11"/>
      <c r="AO29" s="11"/>
    </row>
    <row r="30" spans="1:41" ht="15" hidden="1" customHeight="1" x14ac:dyDescent="0.25">
      <c r="A30" s="11"/>
      <c r="B30" s="3" t="s">
        <v>32</v>
      </c>
      <c r="C30" s="13">
        <f>C6</f>
        <v>0</v>
      </c>
      <c r="D30" s="6">
        <v>6.8000000000000005E-2</v>
      </c>
      <c r="E30" s="11"/>
      <c r="F30" s="217"/>
      <c r="G30" s="217"/>
      <c r="H30" s="217"/>
      <c r="I30" s="217"/>
      <c r="J30" s="217"/>
      <c r="K30" s="217"/>
      <c r="L30" s="217"/>
      <c r="M30" s="217"/>
      <c r="N30" s="217"/>
      <c r="O30" s="217"/>
      <c r="P30" s="168"/>
      <c r="Q30" s="11"/>
      <c r="R30" s="11"/>
      <c r="S30" s="11"/>
      <c r="T30" s="11"/>
      <c r="U30" s="11"/>
      <c r="V30" s="11"/>
      <c r="W30" s="11"/>
      <c r="X30" s="11"/>
      <c r="Y30" s="11"/>
      <c r="Z30" s="11"/>
      <c r="AA30" s="11"/>
      <c r="AB30" s="11"/>
      <c r="AC30" s="11"/>
      <c r="AD30" s="11"/>
      <c r="AE30" s="61"/>
      <c r="AF30" s="11"/>
      <c r="AG30" s="11"/>
      <c r="AH30" s="11"/>
      <c r="AI30" s="11"/>
      <c r="AJ30" s="11"/>
      <c r="AK30" s="11"/>
      <c r="AL30" s="11"/>
      <c r="AM30" s="11"/>
      <c r="AN30" s="11"/>
      <c r="AO30" s="11"/>
    </row>
    <row r="31" spans="1:41" ht="15" hidden="1" customHeight="1" x14ac:dyDescent="0.25">
      <c r="A31" s="11"/>
      <c r="B31" s="3"/>
      <c r="C31" s="4"/>
      <c r="D31" s="6"/>
      <c r="E31" s="11"/>
      <c r="F31" s="217"/>
      <c r="G31" s="217"/>
      <c r="H31" s="217"/>
      <c r="I31" s="217"/>
      <c r="J31" s="217"/>
      <c r="K31" s="217"/>
      <c r="L31" s="217"/>
      <c r="M31" s="217"/>
      <c r="N31" s="217"/>
      <c r="O31" s="217"/>
      <c r="P31" s="168"/>
      <c r="Q31" s="11"/>
      <c r="R31" s="11"/>
      <c r="S31" s="11"/>
      <c r="T31" s="11"/>
      <c r="U31" s="11"/>
      <c r="V31" s="11"/>
      <c r="W31" s="11"/>
      <c r="X31" s="11"/>
      <c r="Y31" s="11"/>
      <c r="Z31" s="11"/>
      <c r="AA31" s="11"/>
      <c r="AB31" s="11"/>
      <c r="AC31" s="11"/>
      <c r="AD31" s="11"/>
      <c r="AE31" s="61"/>
      <c r="AF31" s="11"/>
      <c r="AG31" s="11"/>
      <c r="AH31" s="11"/>
      <c r="AI31" s="11"/>
      <c r="AJ31" s="11"/>
      <c r="AK31" s="11"/>
      <c r="AL31" s="11"/>
      <c r="AM31" s="11"/>
      <c r="AN31" s="11"/>
      <c r="AO31" s="11"/>
    </row>
    <row r="32" spans="1:41" ht="15" hidden="1" customHeight="1" x14ac:dyDescent="0.25">
      <c r="A32" s="11"/>
      <c r="B32" s="3" t="s">
        <v>28</v>
      </c>
      <c r="C32" s="10">
        <f>C26/(C26+C30)</f>
        <v>1</v>
      </c>
      <c r="D32" s="6"/>
      <c r="E32" s="11"/>
      <c r="F32" s="217"/>
      <c r="G32" s="217"/>
      <c r="H32" s="217"/>
      <c r="I32" s="217"/>
      <c r="J32" s="217"/>
      <c r="K32" s="217"/>
      <c r="L32" s="217"/>
      <c r="M32" s="217"/>
      <c r="N32" s="217"/>
      <c r="O32" s="217"/>
      <c r="P32" s="168"/>
      <c r="Q32" s="11"/>
      <c r="R32" s="11"/>
      <c r="S32" s="11"/>
      <c r="T32" s="11"/>
      <c r="U32" s="11"/>
      <c r="V32" s="11"/>
      <c r="W32" s="11"/>
      <c r="X32" s="11"/>
      <c r="Y32" s="11"/>
      <c r="Z32" s="11"/>
      <c r="AA32" s="11"/>
      <c r="AB32" s="11"/>
      <c r="AC32" s="11"/>
      <c r="AD32" s="11"/>
      <c r="AE32" s="61"/>
      <c r="AF32" s="11"/>
      <c r="AG32" s="11"/>
      <c r="AH32" s="11"/>
      <c r="AI32" s="11"/>
      <c r="AJ32" s="11"/>
      <c r="AK32" s="11"/>
      <c r="AL32" s="11"/>
      <c r="AM32" s="11"/>
      <c r="AN32" s="11"/>
      <c r="AO32" s="11"/>
    </row>
    <row r="33" spans="1:41" ht="15" hidden="1" customHeight="1" x14ac:dyDescent="0.25">
      <c r="A33" s="11"/>
      <c r="B33" s="3"/>
      <c r="C33" s="10"/>
      <c r="D33" s="6"/>
      <c r="E33" s="11"/>
      <c r="F33" s="217"/>
      <c r="G33" s="217"/>
      <c r="H33" s="217"/>
      <c r="I33" s="217"/>
      <c r="J33" s="217"/>
      <c r="K33" s="217"/>
      <c r="L33" s="217"/>
      <c r="M33" s="217"/>
      <c r="N33" s="217"/>
      <c r="O33" s="217"/>
      <c r="P33" s="168"/>
      <c r="Q33" s="11"/>
      <c r="R33" s="11"/>
      <c r="S33" s="11"/>
      <c r="T33" s="11"/>
      <c r="U33" s="11"/>
      <c r="V33" s="11"/>
      <c r="W33" s="11"/>
      <c r="X33" s="11"/>
      <c r="Y33" s="11"/>
      <c r="Z33" s="11"/>
      <c r="AA33" s="11"/>
      <c r="AB33" s="11"/>
      <c r="AC33" s="11"/>
      <c r="AD33" s="11"/>
      <c r="AE33" s="61"/>
      <c r="AF33" s="11"/>
      <c r="AG33" s="11"/>
      <c r="AH33" s="11"/>
      <c r="AI33" s="11"/>
      <c r="AJ33" s="11"/>
      <c r="AK33" s="11"/>
      <c r="AL33" s="11"/>
      <c r="AM33" s="11"/>
      <c r="AN33" s="11"/>
      <c r="AO33" s="11"/>
    </row>
    <row r="34" spans="1:41" ht="15" hidden="1" customHeight="1" thickBot="1" x14ac:dyDescent="0.3">
      <c r="A34" s="11"/>
      <c r="B34" s="3"/>
      <c r="C34" s="12"/>
      <c r="D34" s="12"/>
      <c r="E34" s="11"/>
      <c r="F34" s="217"/>
      <c r="G34" s="217"/>
      <c r="H34" s="217"/>
      <c r="I34" s="217"/>
      <c r="J34" s="217"/>
      <c r="K34" s="217"/>
      <c r="L34" s="217"/>
      <c r="M34" s="217"/>
      <c r="N34" s="217"/>
      <c r="O34" s="217"/>
      <c r="P34" s="168"/>
      <c r="Q34" s="11"/>
      <c r="R34" s="11"/>
      <c r="S34" s="11"/>
      <c r="T34" s="11"/>
      <c r="U34" s="11"/>
      <c r="V34" s="11"/>
      <c r="W34" s="11"/>
      <c r="X34" s="11"/>
      <c r="Y34" s="11"/>
      <c r="Z34" s="11"/>
      <c r="AA34" s="11"/>
      <c r="AB34" s="11"/>
      <c r="AC34" s="11"/>
      <c r="AD34" s="11"/>
      <c r="AE34" s="61"/>
      <c r="AF34" s="11"/>
      <c r="AG34" s="11"/>
      <c r="AH34" s="11"/>
      <c r="AI34" s="11"/>
      <c r="AJ34" s="11"/>
      <c r="AK34" s="11"/>
      <c r="AL34" s="11"/>
      <c r="AM34" s="11"/>
      <c r="AN34" s="11"/>
      <c r="AO34" s="11"/>
    </row>
    <row r="35" spans="1:41" x14ac:dyDescent="0.25">
      <c r="A35" s="11"/>
      <c r="B35" s="152" t="s">
        <v>56</v>
      </c>
      <c r="C35" s="53" t="s">
        <v>17</v>
      </c>
      <c r="D35" s="53" t="s">
        <v>30</v>
      </c>
      <c r="E35" s="52" t="s">
        <v>75</v>
      </c>
      <c r="F35" s="217"/>
      <c r="G35" s="217"/>
      <c r="H35" s="217"/>
      <c r="I35" s="217"/>
      <c r="J35" s="217"/>
      <c r="K35" s="217"/>
      <c r="L35" s="217"/>
      <c r="M35" s="217"/>
      <c r="N35" s="217"/>
      <c r="O35" s="217"/>
      <c r="P35" s="168"/>
      <c r="Q35" s="11"/>
      <c r="R35" s="11"/>
      <c r="S35" s="11"/>
      <c r="T35" s="11"/>
      <c r="U35" s="11"/>
      <c r="V35" s="11"/>
      <c r="W35" s="11"/>
      <c r="X35" s="11"/>
      <c r="Y35" s="11"/>
      <c r="Z35" s="11"/>
      <c r="AA35" s="11"/>
      <c r="AB35" s="11"/>
      <c r="AC35" s="11"/>
      <c r="AD35" s="11"/>
      <c r="AE35" s="61"/>
      <c r="AF35" s="11"/>
      <c r="AG35" s="11"/>
      <c r="AH35" s="11"/>
      <c r="AI35" s="11"/>
      <c r="AJ35" s="11"/>
      <c r="AK35" s="11"/>
      <c r="AL35" s="11"/>
      <c r="AM35" s="11"/>
      <c r="AN35" s="11"/>
      <c r="AO35" s="11"/>
    </row>
    <row r="36" spans="1:41" ht="14.1" hidden="1" customHeight="1" x14ac:dyDescent="0.25">
      <c r="A36" s="169">
        <v>8</v>
      </c>
      <c r="B36" s="14" t="str">
        <f>IF(C14="Old","Old IBR",IF(C14="New","New IBR","Error"))</f>
        <v>Old IBR</v>
      </c>
      <c r="C36" s="80">
        <f>IF(C10=0,"",IF(F100="Ineligible","Ineligible",SUM(F86:AD86)))</f>
        <v>65736.946325945988</v>
      </c>
      <c r="D36" s="81">
        <f>IF(C10=0,"",IF(F100="Ineligible","Ineligible",IF(C15=0.1,Y89,IF(C15=0.15,AD89,"ERROR"))))</f>
        <v>0</v>
      </c>
      <c r="E36" s="202"/>
      <c r="F36" s="217"/>
      <c r="G36" s="217"/>
      <c r="H36" s="217"/>
      <c r="I36" s="217"/>
      <c r="J36" s="217"/>
      <c r="K36" s="217"/>
      <c r="L36" s="217"/>
      <c r="M36" s="217"/>
      <c r="N36" s="217"/>
      <c r="O36" s="217"/>
      <c r="P36" s="168"/>
      <c r="Q36" s="11"/>
      <c r="R36" s="11"/>
      <c r="S36" s="11"/>
      <c r="T36" s="11"/>
      <c r="U36" s="11"/>
      <c r="V36" s="11"/>
      <c r="W36" s="11"/>
      <c r="X36" s="11"/>
      <c r="Y36" s="11"/>
      <c r="Z36" s="11"/>
      <c r="AA36" s="11"/>
      <c r="AB36" s="11"/>
      <c r="AC36" s="11"/>
      <c r="AD36" s="11"/>
      <c r="AE36" s="61"/>
      <c r="AF36" s="11"/>
      <c r="AG36" s="11"/>
      <c r="AH36" s="11"/>
      <c r="AI36" s="11"/>
      <c r="AJ36" s="11"/>
      <c r="AK36" s="11"/>
      <c r="AL36" s="11"/>
      <c r="AM36" s="11"/>
      <c r="AN36" s="11"/>
      <c r="AO36" s="11"/>
    </row>
    <row r="37" spans="1:41" x14ac:dyDescent="0.25">
      <c r="A37" s="11"/>
      <c r="B37" s="14" t="s">
        <v>59</v>
      </c>
      <c r="C37" s="80">
        <f>IF(C10=0,"",IF(F103="Ineligible","Ineligible",SUM(F91:Y91)))</f>
        <v>45262.780936633215</v>
      </c>
      <c r="D37" s="81">
        <f>IF(C10=0,"",IF(F103="Ineligible","Ineligible",Y97))</f>
        <v>41187.787141529247</v>
      </c>
      <c r="E37" s="203">
        <f>IF(C10=0,"",IF(F103="Ineligible","Ineligible",Z75))</f>
        <v>10296.946785382312</v>
      </c>
      <c r="F37" s="217"/>
      <c r="G37" s="217"/>
      <c r="H37" s="217"/>
      <c r="I37" s="217"/>
      <c r="J37" s="217"/>
      <c r="K37" s="217"/>
      <c r="L37" s="217"/>
      <c r="M37" s="217"/>
      <c r="N37" s="217"/>
      <c r="O37" s="217"/>
      <c r="P37" s="172"/>
      <c r="Q37" s="173"/>
      <c r="R37" s="173"/>
      <c r="S37" s="173"/>
      <c r="T37" s="173"/>
      <c r="U37" s="173"/>
      <c r="V37" s="173"/>
      <c r="W37" s="173"/>
      <c r="X37" s="173"/>
      <c r="Y37" s="173"/>
      <c r="Z37" s="173"/>
      <c r="AA37" s="173"/>
      <c r="AB37" s="173"/>
      <c r="AC37" s="173"/>
      <c r="AD37" s="173"/>
      <c r="AE37" s="174"/>
      <c r="AF37" s="173"/>
      <c r="AG37" s="173"/>
      <c r="AH37" s="173"/>
      <c r="AI37" s="173"/>
      <c r="AJ37" s="11"/>
      <c r="AK37" s="11"/>
      <c r="AL37" s="11"/>
      <c r="AM37" s="11"/>
      <c r="AN37" s="11"/>
      <c r="AO37" s="11"/>
    </row>
    <row r="38" spans="1:41" hidden="1" x14ac:dyDescent="0.25">
      <c r="A38" s="11"/>
      <c r="B38" s="14" t="s">
        <v>76</v>
      </c>
      <c r="C38" s="80">
        <f>NPV(0.025,F91:Y91)</f>
        <v>33774.627790785118</v>
      </c>
      <c r="D38" s="196">
        <f>IF(C10=0,"",IF(F103="Ineligible","Ineligible",NPV(0.025,0,0,0,0,0,0,0,0,0,0,0,0,0,0,0,0,0,0,0,Y97)))</f>
        <v>25135.709693129884</v>
      </c>
      <c r="E38" s="204">
        <f>IF(C10=0,"",IF(F103="Ineligible","Ineligible",NPV(0.025,F75:Z75)))</f>
        <v>6130.660900763387</v>
      </c>
      <c r="F38" s="179"/>
      <c r="G38" s="179"/>
      <c r="H38" s="179"/>
      <c r="I38" s="179"/>
      <c r="J38" s="179"/>
      <c r="K38" s="179"/>
      <c r="L38" s="179"/>
      <c r="M38" s="179"/>
      <c r="N38" s="179"/>
      <c r="O38" s="179"/>
      <c r="P38" s="172"/>
      <c r="Q38" s="173"/>
      <c r="R38" s="173"/>
      <c r="S38" s="173"/>
      <c r="T38" s="173"/>
      <c r="U38" s="173"/>
      <c r="V38" s="173"/>
      <c r="W38" s="173"/>
      <c r="X38" s="173"/>
      <c r="Y38" s="173"/>
      <c r="Z38" s="173"/>
      <c r="AA38" s="173"/>
      <c r="AB38" s="173"/>
      <c r="AC38" s="173"/>
      <c r="AD38" s="173"/>
      <c r="AE38" s="174"/>
      <c r="AF38" s="173"/>
      <c r="AG38" s="173"/>
      <c r="AH38" s="173"/>
      <c r="AI38" s="173"/>
      <c r="AJ38" s="11"/>
      <c r="AK38" s="11"/>
      <c r="AL38" s="11"/>
      <c r="AM38" s="11"/>
      <c r="AN38" s="11"/>
      <c r="AO38" s="11"/>
    </row>
    <row r="39" spans="1:41" x14ac:dyDescent="0.25">
      <c r="A39" s="11"/>
      <c r="B39" s="14" t="s">
        <v>69</v>
      </c>
      <c r="C39" s="80">
        <f>IF(C10=0,"",IF(F103="Ineligible","Ineligible",SUM(F91:O91)))</f>
        <v>16700.069852600733</v>
      </c>
      <c r="D39" s="81">
        <f>IF(C10=0,"",IF(F103="Ineligible","Ineligible",O97))</f>
        <v>29049.930147399267</v>
      </c>
      <c r="E39" s="205">
        <v>0</v>
      </c>
      <c r="F39" s="178"/>
      <c r="G39" s="178"/>
      <c r="H39" s="178"/>
      <c r="I39" s="178"/>
      <c r="J39" s="178"/>
      <c r="K39" s="178"/>
      <c r="L39" s="178"/>
      <c r="M39" s="178"/>
      <c r="N39" s="178"/>
      <c r="O39" s="178"/>
      <c r="P39" s="172"/>
      <c r="Q39" s="173"/>
      <c r="R39" s="173"/>
      <c r="S39" s="173"/>
      <c r="T39" s="173"/>
      <c r="U39" s="173"/>
      <c r="V39" s="173"/>
      <c r="W39" s="173"/>
      <c r="X39" s="173"/>
      <c r="Y39" s="173"/>
      <c r="Z39" s="173"/>
      <c r="AA39" s="173"/>
      <c r="AB39" s="173"/>
      <c r="AC39" s="173"/>
      <c r="AD39" s="173"/>
      <c r="AE39" s="174"/>
      <c r="AF39" s="173"/>
      <c r="AG39" s="173"/>
      <c r="AH39" s="173"/>
      <c r="AI39" s="173"/>
      <c r="AJ39" s="11"/>
      <c r="AK39" s="11"/>
      <c r="AL39" s="11"/>
      <c r="AM39" s="11"/>
      <c r="AN39" s="11"/>
      <c r="AO39" s="11"/>
    </row>
    <row r="40" spans="1:41" hidden="1" x14ac:dyDescent="0.25">
      <c r="A40" s="11"/>
      <c r="B40" s="14" t="s">
        <v>77</v>
      </c>
      <c r="C40" s="80">
        <f>IF(C10=0,"",IF(F103="Ineligible","Ineligible",NPV(0.025,F91:O91)))</f>
        <v>14450.563077729239</v>
      </c>
      <c r="D40" s="196">
        <f>IF(C10=0,"",IF(F103="Ineligible","Ineligible",NPV(0.025,0,0,0,0,0,0,0,0,0,D39)))</f>
        <v>22693.759001392329</v>
      </c>
      <c r="E40" s="205">
        <v>0</v>
      </c>
      <c r="F40" s="179"/>
      <c r="G40" s="179"/>
      <c r="H40" s="179"/>
      <c r="I40" s="179"/>
      <c r="J40" s="179"/>
      <c r="K40" s="179"/>
      <c r="L40" s="179"/>
      <c r="M40" s="179"/>
      <c r="N40" s="179"/>
      <c r="O40" s="179"/>
      <c r="P40" s="172"/>
      <c r="Q40" s="173"/>
      <c r="R40" s="173"/>
      <c r="S40" s="173"/>
      <c r="T40" s="173"/>
      <c r="U40" s="173"/>
      <c r="V40" s="173"/>
      <c r="W40" s="173"/>
      <c r="X40" s="173"/>
      <c r="Y40" s="173"/>
      <c r="Z40" s="173"/>
      <c r="AA40" s="173"/>
      <c r="AB40" s="173"/>
      <c r="AC40" s="173"/>
      <c r="AD40" s="173"/>
      <c r="AE40" s="174"/>
      <c r="AF40" s="173"/>
      <c r="AG40" s="173"/>
      <c r="AH40" s="173"/>
      <c r="AI40" s="173"/>
      <c r="AJ40" s="11"/>
      <c r="AK40" s="11"/>
      <c r="AL40" s="11"/>
      <c r="AM40" s="11"/>
      <c r="AN40" s="11"/>
      <c r="AO40" s="11"/>
    </row>
    <row r="41" spans="1:41" x14ac:dyDescent="0.25">
      <c r="A41" s="11"/>
      <c r="B41" s="15" t="s">
        <v>54</v>
      </c>
      <c r="C41" s="177">
        <f>IF(C10=0,"",SUM(F113:O113)*12)</f>
        <v>35657.847783083394</v>
      </c>
      <c r="D41" s="197" t="str">
        <f>IF($C$10=0,"","N/A")</f>
        <v>N/A</v>
      </c>
      <c r="E41" s="205"/>
      <c r="F41" s="212"/>
      <c r="G41" s="209"/>
      <c r="H41" s="209"/>
      <c r="I41" s="209"/>
      <c r="J41" s="209"/>
      <c r="K41" s="209"/>
      <c r="L41" s="209"/>
      <c r="M41" s="209"/>
      <c r="N41" s="209"/>
      <c r="O41" s="209"/>
      <c r="P41" s="175"/>
      <c r="Q41" s="175"/>
      <c r="R41" s="175"/>
      <c r="S41" s="175"/>
      <c r="T41" s="175"/>
      <c r="U41" s="175"/>
      <c r="V41" s="175"/>
      <c r="W41" s="175"/>
      <c r="X41" s="175"/>
      <c r="Y41" s="175"/>
      <c r="Z41" s="175"/>
      <c r="AA41" s="175"/>
      <c r="AB41" s="175"/>
      <c r="AC41" s="175"/>
      <c r="AD41" s="175"/>
      <c r="AE41" s="175"/>
      <c r="AF41" s="175"/>
      <c r="AG41" s="175"/>
      <c r="AH41" s="175"/>
      <c r="AI41" s="175"/>
      <c r="AJ41" s="11"/>
      <c r="AK41" s="11"/>
      <c r="AL41" s="11"/>
      <c r="AM41" s="11"/>
      <c r="AN41" s="11"/>
      <c r="AO41" s="11"/>
    </row>
    <row r="42" spans="1:41" x14ac:dyDescent="0.25">
      <c r="A42" s="11"/>
      <c r="B42" s="14" t="s">
        <v>37</v>
      </c>
      <c r="C42" s="81">
        <f>IF(C10=0,"",SUM(F109:AI109)*12)</f>
        <v>55808.743517377101</v>
      </c>
      <c r="D42" s="197" t="str">
        <f t="shared" ref="D42:D44" si="0">IF($C$10=0,"","N/A")</f>
        <v>N/A</v>
      </c>
      <c r="E42" s="205">
        <v>0</v>
      </c>
      <c r="F42" s="212"/>
      <c r="G42" s="208"/>
      <c r="H42" s="208"/>
      <c r="I42" s="208"/>
      <c r="J42" s="208"/>
      <c r="K42" s="208"/>
      <c r="L42" s="208"/>
      <c r="M42" s="208"/>
      <c r="N42" s="208"/>
      <c r="O42" s="208"/>
      <c r="P42" s="175"/>
      <c r="Q42" s="175"/>
      <c r="R42" s="175"/>
      <c r="S42" s="175"/>
      <c r="T42" s="175"/>
      <c r="U42" s="175"/>
      <c r="V42" s="175"/>
      <c r="W42" s="175"/>
      <c r="X42" s="175"/>
      <c r="Y42" s="175"/>
      <c r="Z42" s="175"/>
      <c r="AA42" s="175"/>
      <c r="AB42" s="175"/>
      <c r="AC42" s="175"/>
      <c r="AD42" s="175"/>
      <c r="AE42" s="175"/>
      <c r="AF42" s="175"/>
      <c r="AG42" s="175"/>
      <c r="AH42" s="175"/>
      <c r="AI42" s="175"/>
      <c r="AJ42" s="11"/>
      <c r="AK42" s="11"/>
      <c r="AL42" s="11"/>
      <c r="AM42" s="11"/>
      <c r="AN42" s="11"/>
      <c r="AO42" s="11"/>
    </row>
    <row r="43" spans="1:41" ht="15" hidden="1" customHeight="1" thickBot="1" x14ac:dyDescent="0.3">
      <c r="A43" s="11"/>
      <c r="B43" s="94" t="s">
        <v>78</v>
      </c>
      <c r="C43" s="82">
        <f>IF(C10=0,"",NPV(0.025,F110:AI110))</f>
        <v>43500.577982521587</v>
      </c>
      <c r="D43" s="206">
        <v>0</v>
      </c>
      <c r="E43" s="207">
        <v>0</v>
      </c>
      <c r="F43" s="208"/>
      <c r="G43" s="208"/>
      <c r="H43" s="208"/>
      <c r="I43" s="208"/>
      <c r="J43" s="208"/>
      <c r="K43" s="208"/>
      <c r="L43" s="208"/>
      <c r="M43" s="208"/>
      <c r="N43" s="208"/>
      <c r="O43" s="208"/>
      <c r="P43" s="175"/>
      <c r="Q43" s="175"/>
      <c r="R43" s="175"/>
      <c r="S43" s="175"/>
      <c r="T43" s="175"/>
      <c r="U43" s="175"/>
      <c r="V43" s="175"/>
      <c r="W43" s="175"/>
      <c r="X43" s="175"/>
      <c r="Y43" s="175"/>
      <c r="Z43" s="175"/>
      <c r="AA43" s="175"/>
      <c r="AB43" s="175"/>
      <c r="AC43" s="175"/>
      <c r="AD43" s="175"/>
      <c r="AE43" s="175"/>
      <c r="AF43" s="175"/>
      <c r="AG43" s="175"/>
      <c r="AH43" s="175"/>
      <c r="AI43" s="175"/>
      <c r="AJ43" s="11"/>
      <c r="AK43" s="11"/>
      <c r="AL43" s="11"/>
      <c r="AM43" s="11"/>
      <c r="AN43" s="11"/>
      <c r="AO43" s="11"/>
    </row>
    <row r="44" spans="1:41" ht="14.1" hidden="1" customHeight="1" x14ac:dyDescent="0.25">
      <c r="A44" s="11"/>
      <c r="B44" s="198" t="s">
        <v>38</v>
      </c>
      <c r="C44" s="199">
        <f>IF(C10=0,"",IF(K119="N/A","N/A",SUM(F119:AI119)*12))</f>
        <v>68321.593095473218</v>
      </c>
      <c r="D44" s="200" t="str">
        <f t="shared" si="0"/>
        <v>N/A</v>
      </c>
      <c r="E44" s="201"/>
      <c r="F44" s="208"/>
      <c r="G44" s="208"/>
      <c r="H44" s="208"/>
      <c r="I44" s="208"/>
      <c r="J44" s="208"/>
      <c r="K44" s="208"/>
      <c r="L44" s="208"/>
      <c r="M44" s="208"/>
      <c r="N44" s="208"/>
      <c r="O44" s="208"/>
      <c r="P44" s="175"/>
      <c r="Q44" s="175"/>
      <c r="R44" s="175"/>
      <c r="S44" s="175"/>
      <c r="T44" s="175"/>
      <c r="U44" s="175"/>
      <c r="V44" s="175"/>
      <c r="W44" s="175"/>
      <c r="X44" s="175"/>
      <c r="Y44" s="175"/>
      <c r="Z44" s="175"/>
      <c r="AA44" s="175"/>
      <c r="AB44" s="175"/>
      <c r="AC44" s="175"/>
      <c r="AD44" s="175"/>
      <c r="AE44" s="175"/>
      <c r="AF44" s="175"/>
      <c r="AG44" s="175"/>
      <c r="AH44" s="175"/>
      <c r="AI44" s="175"/>
      <c r="AJ44" s="11"/>
      <c r="AK44" s="11"/>
      <c r="AL44" s="11"/>
      <c r="AM44" s="11"/>
      <c r="AN44" s="11"/>
      <c r="AO44" s="11"/>
    </row>
    <row r="45" spans="1:41" ht="14.1" hidden="1" customHeight="1" x14ac:dyDescent="0.25">
      <c r="A45" s="11"/>
      <c r="B45" s="186" t="s">
        <v>61</v>
      </c>
      <c r="C45" s="81">
        <f>IF(C10=0,"",IF(F133="Ineligible","Ineligible",SUM(F129:AD129)))</f>
        <v>59544.136478649445</v>
      </c>
      <c r="D45" s="187">
        <f>IF(C10=0,"",IF(F133="Ineligible","Ineligible",IF(
C10&lt;40000+N("If the loan balance is less than 40,000 THEN"),
Y135+N("The loan balance at 20 years")+N("If not, THEN"),
AD135)))</f>
        <v>16723.118462881102</v>
      </c>
      <c r="E45" s="188"/>
      <c r="F45" s="208"/>
      <c r="G45" s="208"/>
      <c r="H45" s="208"/>
      <c r="I45" s="208"/>
      <c r="J45" s="208"/>
      <c r="K45" s="208"/>
      <c r="L45" s="208"/>
      <c r="M45" s="208"/>
      <c r="N45" s="208"/>
      <c r="O45" s="208"/>
      <c r="P45" s="175"/>
      <c r="Q45" s="175"/>
      <c r="R45" s="175"/>
      <c r="S45" s="175"/>
      <c r="T45" s="175"/>
      <c r="U45" s="175"/>
      <c r="V45" s="175"/>
      <c r="W45" s="175"/>
      <c r="X45" s="175"/>
      <c r="Y45" s="175"/>
      <c r="Z45" s="175"/>
      <c r="AA45" s="175"/>
      <c r="AB45" s="175"/>
      <c r="AC45" s="175"/>
      <c r="AD45" s="175"/>
      <c r="AE45" s="175"/>
      <c r="AF45" s="175"/>
      <c r="AG45" s="175"/>
      <c r="AH45" s="175"/>
      <c r="AI45" s="175"/>
      <c r="AJ45" s="11"/>
      <c r="AK45" s="11"/>
      <c r="AL45" s="11"/>
      <c r="AM45" s="11"/>
      <c r="AN45" s="11"/>
      <c r="AO45" s="11"/>
    </row>
    <row r="46" spans="1:41" x14ac:dyDescent="0.25">
      <c r="A46" s="11"/>
      <c r="B46" s="63"/>
      <c r="C46" s="64"/>
      <c r="D46" s="65"/>
      <c r="E46" s="11"/>
      <c r="G46" s="212"/>
      <c r="H46" s="212"/>
      <c r="I46" s="212"/>
      <c r="J46" s="212"/>
      <c r="K46" s="212"/>
      <c r="L46" s="212"/>
      <c r="M46" s="212"/>
      <c r="N46" s="212"/>
      <c r="O46" s="212"/>
      <c r="P46" s="175"/>
      <c r="Q46" s="175"/>
      <c r="R46" s="175"/>
      <c r="S46" s="175"/>
      <c r="T46" s="175"/>
      <c r="U46" s="175"/>
      <c r="V46" s="175"/>
      <c r="W46" s="175"/>
      <c r="X46" s="175"/>
      <c r="Y46" s="175"/>
      <c r="Z46" s="175"/>
      <c r="AA46" s="175"/>
      <c r="AB46" s="175"/>
      <c r="AC46" s="175"/>
      <c r="AD46" s="175"/>
      <c r="AE46" s="175"/>
      <c r="AF46" s="175"/>
      <c r="AG46" s="175"/>
      <c r="AH46" s="175"/>
      <c r="AI46" s="175"/>
      <c r="AJ46" s="11"/>
      <c r="AK46" s="11"/>
      <c r="AL46" s="11"/>
      <c r="AM46" s="11"/>
      <c r="AN46" s="11"/>
      <c r="AO46" s="11"/>
    </row>
    <row r="47" spans="1:41" ht="14.1" hidden="1" customHeight="1" x14ac:dyDescent="0.25">
      <c r="A47" s="11"/>
      <c r="B47" s="191" t="s">
        <v>80</v>
      </c>
      <c r="C47" s="192">
        <f>C38+E38</f>
        <v>39905.288691548507</v>
      </c>
      <c r="D47" s="65"/>
      <c r="E47" s="11"/>
      <c r="F47" s="212"/>
      <c r="G47" s="212"/>
      <c r="H47" s="212"/>
      <c r="I47" s="212"/>
      <c r="J47" s="212"/>
      <c r="K47" s="212"/>
      <c r="L47" s="212"/>
      <c r="M47" s="212"/>
      <c r="N47" s="212"/>
      <c r="O47" s="212"/>
      <c r="P47" s="175"/>
      <c r="Q47" s="175"/>
      <c r="R47" s="175"/>
      <c r="S47" s="175"/>
      <c r="T47" s="175"/>
      <c r="U47" s="175"/>
      <c r="V47" s="175"/>
      <c r="W47" s="175"/>
      <c r="X47" s="175"/>
      <c r="Y47" s="175"/>
      <c r="Z47" s="175"/>
      <c r="AA47" s="175"/>
      <c r="AB47" s="175"/>
      <c r="AC47" s="175"/>
      <c r="AD47" s="175"/>
      <c r="AE47" s="175"/>
      <c r="AF47" s="175"/>
      <c r="AG47" s="175"/>
      <c r="AH47" s="175"/>
      <c r="AI47" s="175"/>
      <c r="AJ47" s="11"/>
      <c r="AK47" s="11"/>
      <c r="AL47" s="11"/>
      <c r="AM47" s="11"/>
      <c r="AN47" s="11"/>
      <c r="AO47" s="11"/>
    </row>
    <row r="48" spans="1:41" ht="14.1" hidden="1" customHeight="1" x14ac:dyDescent="0.25">
      <c r="A48" s="11"/>
      <c r="B48" s="193" t="s">
        <v>81</v>
      </c>
      <c r="C48" s="194">
        <f>C40</f>
        <v>14450.563077729239</v>
      </c>
      <c r="D48" s="65"/>
      <c r="E48" s="11"/>
      <c r="F48" s="212"/>
      <c r="G48" s="212"/>
      <c r="H48" s="212"/>
      <c r="I48" s="212"/>
      <c r="J48" s="212"/>
      <c r="K48" s="212"/>
      <c r="L48" s="212"/>
      <c r="M48" s="212"/>
      <c r="N48" s="212"/>
      <c r="O48" s="212"/>
      <c r="P48" s="175"/>
      <c r="Q48" s="175"/>
      <c r="R48" s="175"/>
      <c r="S48" s="175"/>
      <c r="T48" s="175"/>
      <c r="U48" s="175"/>
      <c r="V48" s="175"/>
      <c r="W48" s="175"/>
      <c r="X48" s="175"/>
      <c r="Y48" s="175"/>
      <c r="Z48" s="175"/>
      <c r="AA48" s="175"/>
      <c r="AB48" s="175"/>
      <c r="AC48" s="175"/>
      <c r="AD48" s="175"/>
      <c r="AE48" s="175"/>
      <c r="AF48" s="175"/>
      <c r="AG48" s="175"/>
      <c r="AH48" s="175"/>
      <c r="AI48" s="175"/>
      <c r="AJ48" s="11"/>
      <c r="AK48" s="11"/>
      <c r="AL48" s="11"/>
      <c r="AM48" s="11"/>
      <c r="AN48" s="11"/>
      <c r="AO48" s="11"/>
    </row>
    <row r="49" spans="1:41" ht="14.1" hidden="1" customHeight="1" x14ac:dyDescent="0.25">
      <c r="A49" s="11"/>
      <c r="B49" s="193" t="s">
        <v>82</v>
      </c>
      <c r="C49" s="194">
        <f>C43</f>
        <v>43500.577982521587</v>
      </c>
      <c r="D49" s="65"/>
      <c r="E49" s="11"/>
      <c r="F49" s="212"/>
      <c r="G49" s="212"/>
      <c r="H49" s="212"/>
      <c r="I49" s="212"/>
      <c r="J49" s="212"/>
      <c r="K49" s="212"/>
      <c r="L49" s="212"/>
      <c r="M49" s="212"/>
      <c r="N49" s="212"/>
      <c r="O49" s="212"/>
      <c r="P49" s="175"/>
      <c r="Q49" s="175"/>
      <c r="R49" s="175"/>
      <c r="S49" s="175"/>
      <c r="T49" s="175"/>
      <c r="U49" s="175"/>
      <c r="V49" s="175"/>
      <c r="W49" s="175"/>
      <c r="X49" s="175"/>
      <c r="Y49" s="175"/>
      <c r="Z49" s="175"/>
      <c r="AA49" s="175"/>
      <c r="AB49" s="175"/>
      <c r="AC49" s="175"/>
      <c r="AD49" s="175"/>
      <c r="AE49" s="175"/>
      <c r="AF49" s="175"/>
      <c r="AG49" s="175"/>
      <c r="AH49" s="175"/>
      <c r="AI49" s="175"/>
      <c r="AJ49" s="11"/>
      <c r="AK49" s="11"/>
      <c r="AL49" s="11"/>
      <c r="AM49" s="11"/>
      <c r="AN49" s="11"/>
      <c r="AO49" s="11"/>
    </row>
    <row r="50" spans="1:41" ht="15" hidden="1" customHeight="1" thickBot="1" x14ac:dyDescent="0.3">
      <c r="A50" s="11"/>
      <c r="B50" s="195" t="s">
        <v>84</v>
      </c>
      <c r="C50" s="211">
        <f>IF(C10=0,"",NPV(0.025,F112:O112))</f>
        <v>31207.976343837614</v>
      </c>
      <c r="D50" s="65"/>
      <c r="E50" s="11"/>
      <c r="F50" s="212"/>
      <c r="G50" s="212"/>
      <c r="H50" s="212"/>
      <c r="I50" s="212"/>
      <c r="J50" s="212"/>
      <c r="K50" s="212"/>
      <c r="L50" s="212"/>
      <c r="M50" s="212"/>
      <c r="N50" s="212"/>
      <c r="O50" s="212"/>
      <c r="P50" s="175"/>
      <c r="Q50" s="175"/>
      <c r="R50" s="175"/>
      <c r="S50" s="175"/>
      <c r="T50" s="175"/>
      <c r="U50" s="175"/>
      <c r="V50" s="175"/>
      <c r="W50" s="175"/>
      <c r="X50" s="175"/>
      <c r="Y50" s="175"/>
      <c r="Z50" s="175"/>
      <c r="AA50" s="175"/>
      <c r="AB50" s="175"/>
      <c r="AC50" s="175"/>
      <c r="AD50" s="175"/>
      <c r="AE50" s="175"/>
      <c r="AF50" s="175"/>
      <c r="AG50" s="175"/>
      <c r="AH50" s="175"/>
      <c r="AI50" s="175"/>
      <c r="AJ50" s="11"/>
      <c r="AK50" s="11"/>
      <c r="AL50" s="11"/>
      <c r="AM50" s="11"/>
      <c r="AN50" s="11"/>
      <c r="AO50" s="11"/>
    </row>
    <row r="51" spans="1:41" x14ac:dyDescent="0.25">
      <c r="A51" s="11"/>
      <c r="B51" s="63"/>
      <c r="C51" s="64"/>
      <c r="D51" s="65"/>
      <c r="E51" s="11"/>
      <c r="G51" s="212"/>
      <c r="H51" s="212"/>
      <c r="I51" s="212"/>
      <c r="J51" s="212"/>
      <c r="K51" s="212"/>
      <c r="L51" s="212"/>
      <c r="M51" s="212"/>
      <c r="N51" s="212"/>
      <c r="O51" s="212"/>
      <c r="P51" s="175"/>
      <c r="Q51" s="175"/>
      <c r="R51" s="175"/>
      <c r="S51" s="175"/>
      <c r="T51" s="175"/>
      <c r="U51" s="175"/>
      <c r="V51" s="175"/>
      <c r="W51" s="175"/>
      <c r="X51" s="175"/>
      <c r="Y51" s="175"/>
      <c r="Z51" s="175"/>
      <c r="AA51" s="175"/>
      <c r="AB51" s="175"/>
      <c r="AC51" s="175"/>
      <c r="AD51" s="175"/>
      <c r="AE51" s="175"/>
      <c r="AF51" s="175"/>
      <c r="AG51" s="175"/>
      <c r="AH51" s="175"/>
      <c r="AI51" s="175"/>
      <c r="AJ51" s="11"/>
      <c r="AK51" s="11"/>
      <c r="AL51" s="11"/>
      <c r="AM51" s="11"/>
      <c r="AN51" s="11"/>
      <c r="AO51" s="11"/>
    </row>
    <row r="52" spans="1:41" x14ac:dyDescent="0.25">
      <c r="A52" s="11"/>
      <c r="B52" s="133" t="s">
        <v>51</v>
      </c>
      <c r="C52" s="64"/>
      <c r="D52" s="65"/>
      <c r="E52" s="11"/>
      <c r="F52" s="212"/>
      <c r="G52" s="212"/>
      <c r="H52" s="212"/>
      <c r="I52" s="212"/>
      <c r="J52" s="212"/>
      <c r="K52" s="212"/>
      <c r="L52" s="212"/>
      <c r="M52" s="212"/>
      <c r="N52" s="212"/>
      <c r="O52" s="212"/>
      <c r="P52" s="173"/>
      <c r="Q52" s="173"/>
      <c r="R52" s="173"/>
      <c r="S52" s="173"/>
      <c r="T52" s="173"/>
      <c r="U52" s="173"/>
      <c r="V52" s="173"/>
      <c r="W52" s="173"/>
      <c r="X52" s="173"/>
      <c r="Y52" s="173"/>
      <c r="Z52" s="173"/>
      <c r="AA52" s="173"/>
      <c r="AB52" s="173"/>
      <c r="AC52" s="173"/>
      <c r="AD52" s="173"/>
      <c r="AE52" s="174"/>
      <c r="AF52" s="173"/>
      <c r="AG52" s="173"/>
      <c r="AH52" s="173"/>
      <c r="AI52" s="173"/>
      <c r="AJ52" s="11"/>
      <c r="AK52" s="11"/>
      <c r="AL52" s="11"/>
      <c r="AM52" s="11"/>
      <c r="AN52" s="11"/>
      <c r="AO52" s="11"/>
    </row>
    <row r="53" spans="1:41" x14ac:dyDescent="0.25">
      <c r="A53" s="11"/>
      <c r="B53" s="133"/>
      <c r="C53" s="64"/>
      <c r="D53" s="65"/>
      <c r="E53" s="11"/>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4"/>
      <c r="AF53" s="173"/>
      <c r="AG53" s="173"/>
      <c r="AH53" s="173"/>
      <c r="AI53" s="173"/>
      <c r="AJ53" s="11"/>
      <c r="AK53" s="11"/>
      <c r="AL53" s="11"/>
      <c r="AM53" s="11"/>
      <c r="AN53" s="11"/>
      <c r="AO53" s="11"/>
    </row>
    <row r="54" spans="1:41" hidden="1" x14ac:dyDescent="0.25">
      <c r="A54" s="11"/>
      <c r="B54" s="133"/>
      <c r="C54" s="64"/>
      <c r="D54" s="65"/>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61"/>
      <c r="AF54" s="11"/>
      <c r="AG54" s="11"/>
      <c r="AH54" s="11"/>
      <c r="AI54" s="11"/>
      <c r="AJ54" s="11"/>
      <c r="AK54" s="11"/>
      <c r="AL54" s="11"/>
      <c r="AM54" s="11"/>
      <c r="AN54" s="11"/>
      <c r="AO54" s="11"/>
    </row>
    <row r="55" spans="1:41" hidden="1" x14ac:dyDescent="0.25">
      <c r="A55" s="11"/>
      <c r="B55" s="133"/>
      <c r="C55" s="64"/>
      <c r="D55" s="65"/>
      <c r="E55" s="11"/>
      <c r="F55" s="175">
        <v>68000</v>
      </c>
      <c r="G55" s="175">
        <f>F55*1.025</f>
        <v>69700</v>
      </c>
      <c r="H55" s="175">
        <f t="shared" ref="H55:H58" si="1">G55*1.025</f>
        <v>71442.5</v>
      </c>
      <c r="I55" s="175">
        <f t="shared" ref="I55:I58" si="2">H55*1.025</f>
        <v>73228.5625</v>
      </c>
      <c r="J55" s="175">
        <f t="shared" ref="J55:J58" si="3">I55*1.025</f>
        <v>75059.276562499988</v>
      </c>
      <c r="K55" s="175">
        <f t="shared" ref="K55:K58" si="4">J55*1.025</f>
        <v>76935.758476562478</v>
      </c>
      <c r="L55" s="175">
        <f t="shared" ref="L55:L58" si="5">K55*1.025</f>
        <v>78859.152438476536</v>
      </c>
      <c r="M55" s="175">
        <f t="shared" ref="M55:M58" si="6">L55*1.025</f>
        <v>80830.631249438447</v>
      </c>
      <c r="N55" s="175">
        <f t="shared" ref="N55:N58" si="7">M55*1.025</f>
        <v>82851.397030674401</v>
      </c>
      <c r="O55" s="175">
        <f t="shared" ref="O55:O58" si="8">N55*1.025</f>
        <v>84922.681956441258</v>
      </c>
      <c r="P55" s="175">
        <f t="shared" ref="P55:P58" si="9">O55*1.025</f>
        <v>87045.749005352278</v>
      </c>
      <c r="Q55" s="175">
        <f t="shared" ref="Q55:Q58" si="10">P55*1.025</f>
        <v>89221.89273048607</v>
      </c>
      <c r="R55" s="175">
        <f t="shared" ref="R55:R58" si="11">Q55*1.025</f>
        <v>91452.44004874822</v>
      </c>
      <c r="S55" s="175">
        <f t="shared" ref="S55:S58" si="12">R55*1.025</f>
        <v>93738.751049966915</v>
      </c>
      <c r="T55" s="175">
        <f t="shared" ref="T55:T58" si="13">S55*1.025</f>
        <v>96082.219826216082</v>
      </c>
      <c r="U55" s="175">
        <f t="shared" ref="U55:U58" si="14">T55*1.025</f>
        <v>98484.275321871479</v>
      </c>
      <c r="V55" s="175">
        <f t="shared" ref="V55:V58" si="15">U55*1.025</f>
        <v>100946.38220491826</v>
      </c>
      <c r="W55" s="175">
        <f t="shared" ref="W55:W58" si="16">V55*1.025</f>
        <v>103470.04176004122</v>
      </c>
      <c r="X55" s="175">
        <f t="shared" ref="X55:X58" si="17">W55*1.025</f>
        <v>106056.79280404224</v>
      </c>
      <c r="Y55" s="175">
        <f t="shared" ref="Y55:Y58" si="18">X55*1.025</f>
        <v>108708.21262414329</v>
      </c>
      <c r="Z55" s="175">
        <f t="shared" ref="Z55:Z58" si="19">Y55*1.025</f>
        <v>111425.91793974685</v>
      </c>
      <c r="AA55" s="175">
        <f t="shared" ref="AA55:AA58" si="20">Z55*1.025</f>
        <v>114211.56588824051</v>
      </c>
      <c r="AB55" s="175">
        <f t="shared" ref="AB55:AB58" si="21">AA55*1.025</f>
        <v>117066.85503544651</v>
      </c>
      <c r="AC55" s="175">
        <f t="shared" ref="AC55:AC58" si="22">AB55*1.025</f>
        <v>119993.52641133267</v>
      </c>
      <c r="AD55" s="175">
        <f t="shared" ref="AD55:AD58" si="23">AC55*1.025</f>
        <v>122993.36457161598</v>
      </c>
      <c r="AE55" s="175">
        <f t="shared" ref="AE55:AE58" si="24">AD55*1.025</f>
        <v>126068.19868590638</v>
      </c>
      <c r="AF55" s="175">
        <f t="shared" ref="AF55:AF58" si="25">AE55*1.025</f>
        <v>129219.90365305402</v>
      </c>
      <c r="AG55" s="175">
        <f t="shared" ref="AG55:AG58" si="26">AF55*1.025</f>
        <v>132450.40124438037</v>
      </c>
      <c r="AH55" s="175">
        <f t="shared" ref="AH55:AH58" si="27">AG55*1.025</f>
        <v>135761.66127548987</v>
      </c>
      <c r="AI55" s="175">
        <f t="shared" ref="AI55:AI58" si="28">AH55*1.025</f>
        <v>139155.70280737709</v>
      </c>
      <c r="AJ55" s="11"/>
      <c r="AK55" s="11"/>
      <c r="AL55" s="11"/>
      <c r="AM55" s="11"/>
      <c r="AN55" s="11"/>
      <c r="AO55" s="11"/>
    </row>
    <row r="56" spans="1:41" hidden="1" x14ac:dyDescent="0.25">
      <c r="A56" s="11"/>
      <c r="B56" s="133"/>
      <c r="C56" s="64"/>
      <c r="D56" s="65"/>
      <c r="E56" s="11"/>
      <c r="F56" s="175">
        <v>100000</v>
      </c>
      <c r="G56" s="175">
        <f>F56*1.025</f>
        <v>102499.99999999999</v>
      </c>
      <c r="H56" s="175">
        <f t="shared" si="1"/>
        <v>105062.49999999997</v>
      </c>
      <c r="I56" s="175">
        <f t="shared" si="2"/>
        <v>107689.06249999996</v>
      </c>
      <c r="J56" s="175">
        <f t="shared" si="3"/>
        <v>110381.28906249994</v>
      </c>
      <c r="K56" s="175">
        <f t="shared" si="4"/>
        <v>113140.82128906243</v>
      </c>
      <c r="L56" s="175">
        <f t="shared" si="5"/>
        <v>115969.34182128898</v>
      </c>
      <c r="M56" s="175">
        <f t="shared" si="6"/>
        <v>118868.5753668212</v>
      </c>
      <c r="N56" s="175">
        <f t="shared" si="7"/>
        <v>121840.28975099172</v>
      </c>
      <c r="O56" s="175">
        <f t="shared" si="8"/>
        <v>124886.29699476651</v>
      </c>
      <c r="P56" s="175">
        <f t="shared" si="9"/>
        <v>128008.45441963566</v>
      </c>
      <c r="Q56" s="175">
        <f t="shared" si="10"/>
        <v>131208.66578012652</v>
      </c>
      <c r="R56" s="175">
        <f t="shared" si="11"/>
        <v>134488.88242462967</v>
      </c>
      <c r="S56" s="175">
        <f t="shared" si="12"/>
        <v>137851.10448524539</v>
      </c>
      <c r="T56" s="175">
        <f t="shared" si="13"/>
        <v>141297.38209737651</v>
      </c>
      <c r="U56" s="175">
        <f t="shared" si="14"/>
        <v>144829.81664981091</v>
      </c>
      <c r="V56" s="175">
        <f t="shared" si="15"/>
        <v>148450.56206605615</v>
      </c>
      <c r="W56" s="175">
        <f t="shared" si="16"/>
        <v>152161.82611770753</v>
      </c>
      <c r="X56" s="175">
        <f t="shared" si="17"/>
        <v>155965.87177065021</v>
      </c>
      <c r="Y56" s="175">
        <f t="shared" si="18"/>
        <v>159865.01856491645</v>
      </c>
      <c r="Z56" s="175">
        <f t="shared" si="19"/>
        <v>163861.64402903934</v>
      </c>
      <c r="AA56" s="175">
        <f t="shared" si="20"/>
        <v>167958.1851297653</v>
      </c>
      <c r="AB56" s="175">
        <f t="shared" si="21"/>
        <v>172157.13975800943</v>
      </c>
      <c r="AC56" s="175">
        <f t="shared" si="22"/>
        <v>176461.06825195966</v>
      </c>
      <c r="AD56" s="175">
        <f t="shared" si="23"/>
        <v>180872.59495825865</v>
      </c>
      <c r="AE56" s="175">
        <f t="shared" si="24"/>
        <v>185394.40983221511</v>
      </c>
      <c r="AF56" s="175">
        <f t="shared" si="25"/>
        <v>190029.27007802046</v>
      </c>
      <c r="AG56" s="175">
        <f t="shared" si="26"/>
        <v>194780.00182997095</v>
      </c>
      <c r="AH56" s="175">
        <f t="shared" si="27"/>
        <v>199649.50187572019</v>
      </c>
      <c r="AI56" s="175">
        <f t="shared" si="28"/>
        <v>204640.73942261317</v>
      </c>
      <c r="AJ56" s="11"/>
      <c r="AK56" s="11"/>
      <c r="AL56" s="11"/>
      <c r="AM56" s="11"/>
      <c r="AN56" s="11"/>
      <c r="AO56" s="11"/>
    </row>
    <row r="57" spans="1:41" hidden="1" x14ac:dyDescent="0.25">
      <c r="A57" s="11"/>
      <c r="B57" s="133"/>
      <c r="C57" s="64"/>
      <c r="D57" s="65"/>
      <c r="E57" s="11"/>
      <c r="F57" s="175">
        <v>150000</v>
      </c>
      <c r="G57" s="175">
        <f>F57*1.025</f>
        <v>153750</v>
      </c>
      <c r="H57" s="175">
        <f t="shared" si="1"/>
        <v>157593.75</v>
      </c>
      <c r="I57" s="175">
        <f t="shared" si="2"/>
        <v>161533.59375</v>
      </c>
      <c r="J57" s="175">
        <f t="shared" si="3"/>
        <v>165571.93359375</v>
      </c>
      <c r="K57" s="175">
        <f t="shared" si="4"/>
        <v>169711.23193359372</v>
      </c>
      <c r="L57" s="175">
        <f t="shared" si="5"/>
        <v>173954.01273193356</v>
      </c>
      <c r="M57" s="175">
        <f t="shared" si="6"/>
        <v>178302.86305023188</v>
      </c>
      <c r="N57" s="175">
        <f t="shared" si="7"/>
        <v>182760.43462648767</v>
      </c>
      <c r="O57" s="175">
        <f t="shared" si="8"/>
        <v>187329.44549214985</v>
      </c>
      <c r="P57" s="175">
        <f t="shared" si="9"/>
        <v>192012.68162945358</v>
      </c>
      <c r="Q57" s="175">
        <f t="shared" si="10"/>
        <v>196812.9986701899</v>
      </c>
      <c r="R57" s="175">
        <f t="shared" si="11"/>
        <v>201733.32363694464</v>
      </c>
      <c r="S57" s="175">
        <f t="shared" si="12"/>
        <v>206776.65672786825</v>
      </c>
      <c r="T57" s="175">
        <f t="shared" si="13"/>
        <v>211946.07314606494</v>
      </c>
      <c r="U57" s="175">
        <f t="shared" si="14"/>
        <v>217244.72497471655</v>
      </c>
      <c r="V57" s="175">
        <f t="shared" si="15"/>
        <v>222675.84309908445</v>
      </c>
      <c r="W57" s="175">
        <f t="shared" si="16"/>
        <v>228242.73917656153</v>
      </c>
      <c r="X57" s="175">
        <f t="shared" si="17"/>
        <v>233948.80765597554</v>
      </c>
      <c r="Y57" s="175">
        <f t="shared" si="18"/>
        <v>239797.52784737491</v>
      </c>
      <c r="Z57" s="175">
        <f t="shared" si="19"/>
        <v>245792.46604355925</v>
      </c>
      <c r="AA57" s="175">
        <f t="shared" si="20"/>
        <v>251937.27769464822</v>
      </c>
      <c r="AB57" s="175">
        <f t="shared" si="21"/>
        <v>258235.7096370144</v>
      </c>
      <c r="AC57" s="175">
        <f t="shared" si="22"/>
        <v>264691.60237793974</v>
      </c>
      <c r="AD57" s="175">
        <f t="shared" si="23"/>
        <v>271308.89243738819</v>
      </c>
      <c r="AE57" s="175">
        <f t="shared" si="24"/>
        <v>278091.61474832287</v>
      </c>
      <c r="AF57" s="175">
        <f t="shared" si="25"/>
        <v>285043.9051170309</v>
      </c>
      <c r="AG57" s="175">
        <f t="shared" si="26"/>
        <v>292170.00274495664</v>
      </c>
      <c r="AH57" s="175">
        <f t="shared" si="27"/>
        <v>299474.2528135805</v>
      </c>
      <c r="AI57" s="175">
        <f t="shared" si="28"/>
        <v>306961.10913391999</v>
      </c>
      <c r="AJ57" s="11"/>
      <c r="AK57" s="11"/>
      <c r="AL57" s="11"/>
      <c r="AM57" s="11"/>
      <c r="AN57" s="11"/>
      <c r="AO57" s="11"/>
    </row>
    <row r="58" spans="1:41" hidden="1" x14ac:dyDescent="0.25">
      <c r="A58" s="11"/>
      <c r="B58" s="133"/>
      <c r="C58" s="64"/>
      <c r="D58" s="65"/>
      <c r="E58" s="11"/>
      <c r="F58" s="175">
        <v>200000</v>
      </c>
      <c r="G58" s="175">
        <f>F58*1.025</f>
        <v>204999.99999999997</v>
      </c>
      <c r="H58" s="175">
        <f t="shared" si="1"/>
        <v>210124.99999999994</v>
      </c>
      <c r="I58" s="175">
        <f t="shared" si="2"/>
        <v>215378.12499999991</v>
      </c>
      <c r="J58" s="175">
        <f t="shared" si="3"/>
        <v>220762.57812499988</v>
      </c>
      <c r="K58" s="175">
        <f t="shared" si="4"/>
        <v>226281.64257812485</v>
      </c>
      <c r="L58" s="175">
        <f t="shared" si="5"/>
        <v>231938.68364257796</v>
      </c>
      <c r="M58" s="175">
        <f t="shared" si="6"/>
        <v>237737.1507336424</v>
      </c>
      <c r="N58" s="175">
        <f t="shared" si="7"/>
        <v>243680.57950198345</v>
      </c>
      <c r="O58" s="175">
        <f t="shared" si="8"/>
        <v>249772.59398953302</v>
      </c>
      <c r="P58" s="175">
        <f t="shared" si="9"/>
        <v>256016.90883927132</v>
      </c>
      <c r="Q58" s="175">
        <f t="shared" si="10"/>
        <v>262417.33156025305</v>
      </c>
      <c r="R58" s="175">
        <f t="shared" si="11"/>
        <v>268977.76484925934</v>
      </c>
      <c r="S58" s="175">
        <f t="shared" si="12"/>
        <v>275702.20897049078</v>
      </c>
      <c r="T58" s="175">
        <f t="shared" si="13"/>
        <v>282594.76419475302</v>
      </c>
      <c r="U58" s="175">
        <f t="shared" si="14"/>
        <v>289659.63329962181</v>
      </c>
      <c r="V58" s="175">
        <f t="shared" si="15"/>
        <v>296901.12413211231</v>
      </c>
      <c r="W58" s="175">
        <f t="shared" si="16"/>
        <v>304323.65223541507</v>
      </c>
      <c r="X58" s="175">
        <f t="shared" si="17"/>
        <v>311931.74354130041</v>
      </c>
      <c r="Y58" s="175">
        <f t="shared" si="18"/>
        <v>319730.0371298329</v>
      </c>
      <c r="Z58" s="175">
        <f t="shared" si="19"/>
        <v>327723.28805807867</v>
      </c>
      <c r="AA58" s="175">
        <f t="shared" si="20"/>
        <v>335916.37025953061</v>
      </c>
      <c r="AB58" s="175">
        <f t="shared" si="21"/>
        <v>344314.27951601887</v>
      </c>
      <c r="AC58" s="175">
        <f t="shared" si="22"/>
        <v>352922.13650391932</v>
      </c>
      <c r="AD58" s="175">
        <f t="shared" si="23"/>
        <v>361745.18991651729</v>
      </c>
      <c r="AE58" s="175">
        <f t="shared" si="24"/>
        <v>370788.81966443022</v>
      </c>
      <c r="AF58" s="175">
        <f t="shared" si="25"/>
        <v>380058.54015604092</v>
      </c>
      <c r="AG58" s="175">
        <f t="shared" si="26"/>
        <v>389560.0036599419</v>
      </c>
      <c r="AH58" s="175">
        <f t="shared" si="27"/>
        <v>399299.00375144038</v>
      </c>
      <c r="AI58" s="175">
        <f t="shared" si="28"/>
        <v>409281.47884522635</v>
      </c>
      <c r="AJ58" s="11"/>
      <c r="AK58" s="11"/>
      <c r="AL58" s="11"/>
      <c r="AM58" s="11"/>
      <c r="AN58" s="11"/>
      <c r="AO58" s="11"/>
    </row>
    <row r="59" spans="1:41" hidden="1" x14ac:dyDescent="0.25">
      <c r="A59" s="11"/>
      <c r="B59" s="133"/>
      <c r="C59" s="64"/>
      <c r="D59" s="65"/>
      <c r="E59" s="11"/>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1"/>
      <c r="AK59" s="11"/>
      <c r="AL59" s="11"/>
      <c r="AM59" s="11"/>
      <c r="AN59" s="11"/>
      <c r="AO59" s="11"/>
    </row>
    <row r="60" spans="1:41" hidden="1" x14ac:dyDescent="0.25">
      <c r="A60" s="11"/>
      <c r="B60" s="133"/>
      <c r="C60" s="64"/>
      <c r="D60" s="65"/>
      <c r="E60" s="11" t="s">
        <v>70</v>
      </c>
      <c r="F60" s="175">
        <v>6100</v>
      </c>
      <c r="G60" s="175">
        <v>6252.4999999999991</v>
      </c>
      <c r="H60" s="175">
        <v>6408.8124999999982</v>
      </c>
      <c r="I60" s="175">
        <v>6569.0328124999978</v>
      </c>
      <c r="J60" s="175">
        <v>6733.2586328124971</v>
      </c>
      <c r="K60" s="175">
        <v>6901.5900986328088</v>
      </c>
      <c r="L60" s="175">
        <v>7074.129851098628</v>
      </c>
      <c r="M60" s="175">
        <v>7250.9830973760927</v>
      </c>
      <c r="N60" s="175">
        <v>7432.2576748104948</v>
      </c>
      <c r="O60" s="175">
        <v>7618.0641166807563</v>
      </c>
      <c r="P60" s="175">
        <v>7808.5157195977745</v>
      </c>
      <c r="Q60" s="175">
        <v>8003.7286125877181</v>
      </c>
      <c r="R60" s="175">
        <v>8203.8218279024095</v>
      </c>
      <c r="S60" s="175">
        <v>8408.9173735999684</v>
      </c>
      <c r="T60" s="175">
        <v>8619.1403079399661</v>
      </c>
      <c r="U60" s="175">
        <v>8834.6188156384651</v>
      </c>
      <c r="V60" s="175">
        <v>9055.4842860294266</v>
      </c>
      <c r="W60" s="175">
        <v>9281.8713931801612</v>
      </c>
      <c r="X60" s="175">
        <v>9513.9181780096642</v>
      </c>
      <c r="Y60" s="175">
        <v>9751.7661324599048</v>
      </c>
      <c r="Z60" s="175">
        <v>9995.5602857714021</v>
      </c>
      <c r="AA60" s="175"/>
      <c r="AB60" s="175"/>
      <c r="AC60" s="175"/>
      <c r="AD60" s="175"/>
      <c r="AE60" s="175"/>
      <c r="AF60" s="175"/>
      <c r="AG60" s="175"/>
      <c r="AH60" s="175"/>
      <c r="AI60" s="175"/>
      <c r="AJ60" s="11"/>
      <c r="AK60" s="11"/>
      <c r="AL60" s="11"/>
      <c r="AM60" s="11"/>
      <c r="AN60" s="11"/>
      <c r="AO60" s="11"/>
    </row>
    <row r="61" spans="1:41" hidden="1" x14ac:dyDescent="0.25">
      <c r="A61" s="11"/>
      <c r="B61" s="133"/>
      <c r="C61" s="64"/>
      <c r="D61" s="65"/>
      <c r="E61" s="11" t="s">
        <v>71</v>
      </c>
      <c r="F61" s="175">
        <v>3900</v>
      </c>
      <c r="G61" s="175">
        <v>3997.4999999999995</v>
      </c>
      <c r="H61" s="175">
        <v>4097.4374999999991</v>
      </c>
      <c r="I61" s="175">
        <v>4199.8734374999985</v>
      </c>
      <c r="J61" s="175">
        <v>4304.8702734374983</v>
      </c>
      <c r="K61" s="175">
        <v>4412.4920302734354</v>
      </c>
      <c r="L61" s="175">
        <v>4522.804331030271</v>
      </c>
      <c r="M61" s="175">
        <v>4635.8744393060269</v>
      </c>
      <c r="N61" s="175">
        <v>4751.7713002886776</v>
      </c>
      <c r="O61" s="175">
        <v>4870.5655827958944</v>
      </c>
      <c r="P61" s="175">
        <v>4992.329722365791</v>
      </c>
      <c r="Q61" s="175">
        <v>5117.1379654249349</v>
      </c>
      <c r="R61" s="175">
        <v>5245.0664145605579</v>
      </c>
      <c r="S61" s="175">
        <v>5376.1930749245712</v>
      </c>
      <c r="T61" s="175">
        <v>5510.5979017976852</v>
      </c>
      <c r="U61" s="175">
        <v>5648.3628493426268</v>
      </c>
      <c r="V61" s="175">
        <v>5789.5719205761916</v>
      </c>
      <c r="W61" s="175">
        <v>5934.3112185905957</v>
      </c>
      <c r="X61" s="175">
        <v>6082.6689990553605</v>
      </c>
      <c r="Y61" s="175">
        <v>6234.7357240317442</v>
      </c>
      <c r="Z61" s="175">
        <v>6390.6041171325369</v>
      </c>
      <c r="AA61" s="175"/>
      <c r="AB61" s="175"/>
      <c r="AC61" s="175"/>
      <c r="AD61" s="175"/>
      <c r="AE61" s="175"/>
      <c r="AF61" s="175"/>
      <c r="AG61" s="175"/>
      <c r="AH61" s="175"/>
      <c r="AI61" s="175"/>
      <c r="AJ61" s="11"/>
      <c r="AK61" s="11"/>
      <c r="AL61" s="11"/>
      <c r="AM61" s="11"/>
      <c r="AN61" s="11"/>
      <c r="AO61" s="11"/>
    </row>
    <row r="62" spans="1:41" hidden="1" x14ac:dyDescent="0.25">
      <c r="A62" s="11"/>
      <c r="B62" s="133"/>
      <c r="C62" s="64"/>
      <c r="D62" s="65"/>
      <c r="E62" s="11" t="s">
        <v>72</v>
      </c>
      <c r="F62" s="175">
        <v>10000</v>
      </c>
      <c r="G62" s="175">
        <v>10250</v>
      </c>
      <c r="H62" s="175">
        <v>10506.249999999998</v>
      </c>
      <c r="I62" s="175">
        <v>10768.906249999996</v>
      </c>
      <c r="J62" s="175">
        <v>11038.128906249995</v>
      </c>
      <c r="K62" s="175">
        <v>11314.082128906244</v>
      </c>
      <c r="L62" s="175">
        <v>11596.9341821289</v>
      </c>
      <c r="M62" s="175">
        <v>11886.857536682121</v>
      </c>
      <c r="N62" s="175">
        <v>12184.028975099172</v>
      </c>
      <c r="O62" s="175">
        <v>12488.629699476651</v>
      </c>
      <c r="P62" s="175">
        <v>12800.845441963565</v>
      </c>
      <c r="Q62" s="175">
        <v>13120.866578012654</v>
      </c>
      <c r="R62" s="175">
        <v>13448.888242462968</v>
      </c>
      <c r="S62" s="175">
        <v>13785.110448524541</v>
      </c>
      <c r="T62" s="175">
        <v>14129.738209737654</v>
      </c>
      <c r="U62" s="175">
        <v>14482.981664981095</v>
      </c>
      <c r="V62" s="175">
        <v>14845.056206605621</v>
      </c>
      <c r="W62" s="175">
        <v>15216.182611770761</v>
      </c>
      <c r="X62" s="175">
        <v>15596.587177065028</v>
      </c>
      <c r="Y62" s="175">
        <v>15986.501856491652</v>
      </c>
      <c r="Z62" s="175">
        <v>16386.164402903942</v>
      </c>
      <c r="AA62" s="175"/>
      <c r="AB62" s="175"/>
      <c r="AC62" s="175"/>
      <c r="AD62" s="175"/>
      <c r="AE62" s="175"/>
      <c r="AF62" s="175"/>
      <c r="AG62" s="175"/>
      <c r="AH62" s="175"/>
      <c r="AI62" s="175"/>
      <c r="AJ62" s="11"/>
      <c r="AK62" s="11"/>
      <c r="AL62" s="11"/>
      <c r="AM62" s="11"/>
      <c r="AN62" s="11"/>
      <c r="AO62" s="11"/>
    </row>
    <row r="63" spans="1:41" hidden="1" x14ac:dyDescent="0.25">
      <c r="A63" s="11"/>
      <c r="B63" s="133"/>
      <c r="C63" s="64"/>
      <c r="D63" s="65"/>
      <c r="E63" s="11"/>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1"/>
      <c r="AK63" s="11"/>
      <c r="AL63" s="11"/>
      <c r="AM63" s="11"/>
      <c r="AN63" s="11"/>
      <c r="AO63" s="11"/>
    </row>
    <row r="64" spans="1:41" hidden="1" x14ac:dyDescent="0.25">
      <c r="A64" s="11"/>
      <c r="B64" s="133"/>
      <c r="C64" s="64"/>
      <c r="D64" s="65"/>
      <c r="E64" s="11"/>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1"/>
      <c r="AK64" s="11"/>
      <c r="AL64" s="11"/>
      <c r="AM64" s="11"/>
      <c r="AN64" s="11"/>
      <c r="AO64" s="11"/>
    </row>
    <row r="65" spans="1:498" hidden="1" x14ac:dyDescent="0.25">
      <c r="A65" s="11"/>
      <c r="B65" s="133"/>
      <c r="C65" s="64"/>
      <c r="D65" s="65"/>
      <c r="E65" s="11"/>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1"/>
      <c r="AK65" s="11"/>
      <c r="AL65" s="11"/>
      <c r="AM65" s="11"/>
      <c r="AN65" s="11"/>
      <c r="AO65" s="11"/>
    </row>
    <row r="66" spans="1:498" hidden="1" x14ac:dyDescent="0.25">
      <c r="A66" s="11"/>
      <c r="B66" s="133"/>
      <c r="C66" s="64"/>
      <c r="D66" s="65"/>
      <c r="E66" s="180">
        <v>0</v>
      </c>
      <c r="F66" s="181">
        <v>0</v>
      </c>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1"/>
      <c r="AK66" s="11"/>
      <c r="AL66" s="11"/>
      <c r="AM66" s="11"/>
      <c r="AN66" s="11"/>
      <c r="AO66" s="11"/>
    </row>
    <row r="67" spans="1:498" hidden="1" x14ac:dyDescent="0.25">
      <c r="A67" s="11"/>
      <c r="B67" s="133"/>
      <c r="C67" s="64"/>
      <c r="D67" s="65"/>
      <c r="E67" s="180">
        <v>0.1</v>
      </c>
      <c r="F67" s="181">
        <v>8925</v>
      </c>
      <c r="G67" s="175">
        <v>9148.125</v>
      </c>
      <c r="H67" s="175">
        <v>9376.828125</v>
      </c>
      <c r="I67" s="175">
        <v>9611.2488281249989</v>
      </c>
      <c r="J67" s="175">
        <v>9851.5300488281227</v>
      </c>
      <c r="K67" s="175">
        <v>10097.818300048824</v>
      </c>
      <c r="L67" s="175">
        <v>10350.263757550045</v>
      </c>
      <c r="M67" s="175">
        <v>10609.020351488794</v>
      </c>
      <c r="N67" s="175">
        <v>10874.245860276013</v>
      </c>
      <c r="O67" s="175">
        <v>11146.102006782912</v>
      </c>
      <c r="P67" s="175">
        <v>11424.754556952485</v>
      </c>
      <c r="Q67" s="175">
        <v>11710.373420876296</v>
      </c>
      <c r="R67" s="175">
        <v>12003.132756398203</v>
      </c>
      <c r="S67" s="175">
        <v>12303.211075308158</v>
      </c>
      <c r="T67" s="175">
        <v>12610.791352190861</v>
      </c>
      <c r="U67" s="175">
        <v>12926.061135995631</v>
      </c>
      <c r="V67" s="175">
        <v>13249.21266439552</v>
      </c>
      <c r="W67" s="175">
        <v>13580.442981005406</v>
      </c>
      <c r="X67" s="175">
        <v>13919.954055530539</v>
      </c>
      <c r="Y67" s="175">
        <v>14267.952906918801</v>
      </c>
      <c r="Z67" s="175">
        <v>14624.651729591769</v>
      </c>
      <c r="AA67" s="175"/>
      <c r="AB67" s="175"/>
      <c r="AC67" s="175"/>
      <c r="AD67" s="175"/>
      <c r="AE67" s="175"/>
      <c r="AF67" s="175"/>
      <c r="AG67" s="175"/>
      <c r="AH67" s="175"/>
      <c r="AI67" s="175"/>
      <c r="AJ67" s="11"/>
      <c r="AK67" s="11"/>
      <c r="AL67" s="11"/>
      <c r="AM67" s="11"/>
      <c r="AN67" s="11"/>
      <c r="AO67" s="11"/>
    </row>
    <row r="68" spans="1:498" hidden="1" x14ac:dyDescent="0.25">
      <c r="A68" s="11"/>
      <c r="B68" s="133"/>
      <c r="C68" s="64"/>
      <c r="D68" s="65"/>
      <c r="E68" s="180">
        <v>0.15</v>
      </c>
      <c r="F68" s="181">
        <v>36250</v>
      </c>
      <c r="G68" s="175">
        <v>37156.25</v>
      </c>
      <c r="H68" s="175">
        <v>38085.15625</v>
      </c>
      <c r="I68" s="175">
        <v>39037.28515625</v>
      </c>
      <c r="J68" s="175">
        <v>40013.21728515625</v>
      </c>
      <c r="K68" s="175">
        <v>41013.547717285153</v>
      </c>
      <c r="L68" s="175">
        <v>42038.886410217281</v>
      </c>
      <c r="M68" s="175">
        <v>43089.858570472708</v>
      </c>
      <c r="N68" s="175">
        <v>44167.105034734523</v>
      </c>
      <c r="O68" s="175">
        <v>45271.282660602883</v>
      </c>
      <c r="P68" s="175">
        <v>46403.064727117948</v>
      </c>
      <c r="Q68" s="175">
        <v>47563.141345295895</v>
      </c>
      <c r="R68" s="175">
        <v>48752.219878928285</v>
      </c>
      <c r="S68" s="175">
        <v>49971.025375901489</v>
      </c>
      <c r="T68" s="175">
        <v>51220.301010299023</v>
      </c>
      <c r="U68" s="175">
        <v>52500.808535556491</v>
      </c>
      <c r="V68" s="175">
        <v>53813.328748945401</v>
      </c>
      <c r="W68" s="175">
        <v>55158.661967669032</v>
      </c>
      <c r="X68" s="175">
        <v>56537.62851686075</v>
      </c>
      <c r="Y68" s="175">
        <v>57951.069229782261</v>
      </c>
      <c r="Z68" s="175">
        <v>59399.845960526814</v>
      </c>
      <c r="AA68" s="175"/>
      <c r="AB68" s="175"/>
      <c r="AC68" s="175"/>
      <c r="AD68" s="175"/>
      <c r="AE68" s="175"/>
      <c r="AF68" s="175"/>
      <c r="AG68" s="175"/>
      <c r="AH68" s="175"/>
      <c r="AI68" s="175"/>
      <c r="AJ68" s="11"/>
      <c r="AK68" s="11"/>
      <c r="AL68" s="11"/>
      <c r="AM68" s="11"/>
      <c r="AN68" s="11"/>
      <c r="AO68" s="11"/>
    </row>
    <row r="69" spans="1:498" hidden="1" x14ac:dyDescent="0.25">
      <c r="A69" s="11"/>
      <c r="B69" s="133"/>
      <c r="C69" s="64"/>
      <c r="D69" s="65"/>
      <c r="E69" s="180">
        <v>0.25</v>
      </c>
      <c r="F69" s="181">
        <v>87850</v>
      </c>
      <c r="G69" s="175">
        <v>90046.249999999985</v>
      </c>
      <c r="H69" s="175">
        <v>92297.406249999971</v>
      </c>
      <c r="I69" s="175">
        <v>94604.841406249965</v>
      </c>
      <c r="J69" s="175">
        <v>96969.962441406213</v>
      </c>
      <c r="K69" s="175">
        <v>99394.211502441365</v>
      </c>
      <c r="L69" s="175">
        <v>101879.06679000238</v>
      </c>
      <c r="M69" s="175">
        <v>104426.04345975243</v>
      </c>
      <c r="N69" s="175">
        <v>107036.69454624623</v>
      </c>
      <c r="O69" s="175">
        <v>109712.61190990238</v>
      </c>
      <c r="P69" s="175">
        <v>112455.42720764993</v>
      </c>
      <c r="Q69" s="175">
        <v>115266.81288784117</v>
      </c>
      <c r="R69" s="175">
        <v>118148.48321003719</v>
      </c>
      <c r="S69" s="175">
        <v>121102.1952902881</v>
      </c>
      <c r="T69" s="175">
        <v>124129.75017254529</v>
      </c>
      <c r="U69" s="175">
        <v>127232.99392685891</v>
      </c>
      <c r="V69" s="175">
        <v>130413.81877503036</v>
      </c>
      <c r="W69" s="175">
        <v>133674.1642444061</v>
      </c>
      <c r="X69" s="175">
        <v>137016.01835051624</v>
      </c>
      <c r="Y69" s="175">
        <v>140441.41880927913</v>
      </c>
      <c r="Z69" s="175">
        <v>143952.45427951109</v>
      </c>
      <c r="AA69" s="175"/>
      <c r="AB69" s="175"/>
      <c r="AC69" s="175"/>
      <c r="AD69" s="175"/>
      <c r="AE69" s="175"/>
      <c r="AF69" s="175"/>
      <c r="AG69" s="175"/>
      <c r="AH69" s="175"/>
      <c r="AI69" s="175"/>
      <c r="AJ69" s="11"/>
      <c r="AK69" s="11"/>
      <c r="AL69" s="11"/>
      <c r="AM69" s="11"/>
      <c r="AN69" s="11"/>
      <c r="AO69" s="11"/>
    </row>
    <row r="70" spans="1:498" hidden="1" x14ac:dyDescent="0.25">
      <c r="A70" s="11"/>
      <c r="B70" s="133"/>
      <c r="C70" s="64"/>
      <c r="D70" s="65"/>
      <c r="E70" s="180">
        <v>0.28000000000000003</v>
      </c>
      <c r="F70" s="182">
        <v>183250</v>
      </c>
      <c r="G70" s="175">
        <v>187831.24999999997</v>
      </c>
      <c r="H70" s="175">
        <v>192527.03124999994</v>
      </c>
      <c r="I70" s="175">
        <v>197340.20703124991</v>
      </c>
      <c r="J70" s="175">
        <v>202273.71220703115</v>
      </c>
      <c r="K70" s="175">
        <v>207330.5550122069</v>
      </c>
      <c r="L70" s="175">
        <v>212513.81888751205</v>
      </c>
      <c r="M70" s="175">
        <v>217826.66435969985</v>
      </c>
      <c r="N70" s="175">
        <v>223272.33096869232</v>
      </c>
      <c r="O70" s="175">
        <v>228854.13924290962</v>
      </c>
      <c r="P70" s="175">
        <v>234575.49272398234</v>
      </c>
      <c r="Q70" s="175">
        <v>240439.88004208187</v>
      </c>
      <c r="R70" s="175">
        <v>246450.87704313389</v>
      </c>
      <c r="S70" s="175">
        <v>252612.14896921223</v>
      </c>
      <c r="T70" s="175">
        <v>258927.45269344252</v>
      </c>
      <c r="U70" s="175">
        <v>265400.63901077857</v>
      </c>
      <c r="V70" s="175">
        <v>272035.654986048</v>
      </c>
      <c r="W70" s="175">
        <v>278836.54636069917</v>
      </c>
      <c r="X70" s="175">
        <v>285807.46001971664</v>
      </c>
      <c r="Y70" s="175">
        <v>292952.64652020956</v>
      </c>
      <c r="Z70" s="175">
        <v>300276.46268321475</v>
      </c>
      <c r="AA70" s="175"/>
      <c r="AB70" s="175"/>
      <c r="AC70" s="175"/>
      <c r="AD70" s="175"/>
      <c r="AE70" s="175"/>
      <c r="AF70" s="175"/>
      <c r="AG70" s="175"/>
      <c r="AH70" s="175"/>
      <c r="AI70" s="175"/>
      <c r="AJ70" s="11"/>
      <c r="AK70" s="11"/>
      <c r="AL70" s="11"/>
      <c r="AM70" s="11"/>
      <c r="AN70" s="11"/>
      <c r="AO70" s="11"/>
    </row>
    <row r="71" spans="1:498" hidden="1" x14ac:dyDescent="0.25">
      <c r="A71" s="11"/>
      <c r="B71" s="133"/>
      <c r="C71" s="64"/>
      <c r="D71" s="65"/>
      <c r="E71" s="180">
        <v>0.33</v>
      </c>
      <c r="F71" s="181">
        <v>398350</v>
      </c>
      <c r="G71" s="175">
        <v>408308.74999999994</v>
      </c>
      <c r="H71" s="175">
        <v>418516.46874999988</v>
      </c>
      <c r="I71" s="175">
        <v>428979.38046874985</v>
      </c>
      <c r="J71" s="175">
        <v>439703.86498046858</v>
      </c>
      <c r="K71" s="175">
        <v>450696.46160498029</v>
      </c>
      <c r="L71" s="175">
        <v>461963.87314510474</v>
      </c>
      <c r="M71" s="175">
        <v>473512.96997373231</v>
      </c>
      <c r="N71" s="175">
        <v>485350.79422307556</v>
      </c>
      <c r="O71" s="175">
        <v>497484.56407865242</v>
      </c>
      <c r="P71" s="175">
        <v>509921.67818061868</v>
      </c>
      <c r="Q71" s="175">
        <v>522669.72013513412</v>
      </c>
      <c r="R71" s="175">
        <v>535736.46313851245</v>
      </c>
      <c r="S71" s="175">
        <v>549129.87471697526</v>
      </c>
      <c r="T71" s="175">
        <v>562858.12158489961</v>
      </c>
      <c r="U71" s="175">
        <v>576929.57462452201</v>
      </c>
      <c r="V71" s="175">
        <v>591352.81399013498</v>
      </c>
      <c r="W71" s="175">
        <v>606136.63433988835</v>
      </c>
      <c r="X71" s="175">
        <v>621290.05019838549</v>
      </c>
      <c r="Y71" s="175">
        <v>636822.30145334511</v>
      </c>
      <c r="Z71" s="175">
        <v>652742.85898967867</v>
      </c>
      <c r="AA71" s="175"/>
      <c r="AB71" s="175"/>
      <c r="AC71" s="175"/>
      <c r="AD71" s="175"/>
      <c r="AE71" s="175"/>
      <c r="AF71" s="175"/>
      <c r="AG71" s="175"/>
      <c r="AH71" s="175"/>
      <c r="AI71" s="175"/>
      <c r="AJ71" s="11"/>
      <c r="AK71" s="11"/>
      <c r="AL71" s="11"/>
      <c r="AM71" s="11"/>
      <c r="AN71" s="11"/>
      <c r="AO71" s="11"/>
    </row>
    <row r="72" spans="1:498" hidden="1" x14ac:dyDescent="0.25">
      <c r="A72" s="11"/>
      <c r="B72" s="133"/>
      <c r="C72" s="64"/>
      <c r="D72" s="65"/>
      <c r="E72" s="180">
        <v>0.35</v>
      </c>
      <c r="F72" s="184">
        <v>400000</v>
      </c>
      <c r="G72" s="175">
        <v>409999.99999999994</v>
      </c>
      <c r="H72" s="175">
        <v>420249.99999999988</v>
      </c>
      <c r="I72" s="175">
        <v>430756.24999999983</v>
      </c>
      <c r="J72" s="175">
        <v>441525.15624999977</v>
      </c>
      <c r="K72" s="175">
        <v>452563.28515624971</v>
      </c>
      <c r="L72" s="175">
        <v>463877.36728515592</v>
      </c>
      <c r="M72" s="175">
        <v>475474.30146728479</v>
      </c>
      <c r="N72" s="175">
        <v>487361.1590039669</v>
      </c>
      <c r="O72" s="175">
        <v>499545.18797906605</v>
      </c>
      <c r="P72" s="175">
        <v>512033.81767854263</v>
      </c>
      <c r="Q72" s="175">
        <v>524834.6631205061</v>
      </c>
      <c r="R72" s="175">
        <v>537955.52969851869</v>
      </c>
      <c r="S72" s="175">
        <v>551404.41794098157</v>
      </c>
      <c r="T72" s="175">
        <v>565189.52838950604</v>
      </c>
      <c r="U72" s="175">
        <v>579319.26659924362</v>
      </c>
      <c r="V72" s="175">
        <v>593802.24826422462</v>
      </c>
      <c r="W72" s="175">
        <v>608647.30447083013</v>
      </c>
      <c r="X72" s="175">
        <v>623863.48708260083</v>
      </c>
      <c r="Y72" s="175">
        <v>639460.07425966579</v>
      </c>
      <c r="Z72" s="175">
        <v>655446.57611615735</v>
      </c>
      <c r="AA72" s="175"/>
      <c r="AB72" s="175"/>
      <c r="AC72" s="175"/>
      <c r="AD72" s="175"/>
      <c r="AE72" s="175"/>
      <c r="AF72" s="175"/>
      <c r="AG72" s="175"/>
      <c r="AH72" s="175"/>
      <c r="AI72" s="175"/>
      <c r="AJ72" s="11"/>
      <c r="AK72" s="11"/>
      <c r="AL72" s="11"/>
      <c r="AM72" s="11"/>
      <c r="AN72" s="11"/>
      <c r="AO72" s="11"/>
    </row>
    <row r="73" spans="1:498" hidden="1" x14ac:dyDescent="0.25">
      <c r="A73" s="11"/>
      <c r="B73" s="133"/>
      <c r="C73" s="64"/>
      <c r="D73" s="65"/>
      <c r="E73" s="183">
        <v>0.39600000000000002</v>
      </c>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1"/>
      <c r="AK73" s="11"/>
      <c r="AL73" s="11"/>
      <c r="AM73" s="11"/>
      <c r="AN73" s="11"/>
      <c r="AO73" s="11"/>
    </row>
    <row r="74" spans="1:498" hidden="1" x14ac:dyDescent="0.25">
      <c r="A74" s="11"/>
      <c r="B74" s="133"/>
      <c r="C74" s="64"/>
      <c r="D74" s="65"/>
      <c r="E74" s="11"/>
      <c r="F74" s="175"/>
      <c r="G74" s="175"/>
      <c r="H74" s="175"/>
      <c r="I74" s="175"/>
      <c r="J74" s="175"/>
      <c r="K74" s="175"/>
      <c r="L74" s="175"/>
      <c r="M74" s="175"/>
      <c r="N74" s="175"/>
      <c r="O74" s="175"/>
      <c r="P74" s="175"/>
      <c r="Q74" s="175"/>
      <c r="R74" s="175"/>
      <c r="S74" s="175"/>
      <c r="T74" s="175"/>
      <c r="U74" s="175"/>
      <c r="V74" s="175"/>
      <c r="W74" s="175"/>
      <c r="X74" s="175" t="s">
        <v>73</v>
      </c>
      <c r="Y74" s="175"/>
      <c r="Z74" s="175">
        <f>(Z80-Z62)+D37</f>
        <v>90534.659692685018</v>
      </c>
      <c r="AA74" s="175"/>
      <c r="AB74" s="175"/>
      <c r="AC74" s="175"/>
      <c r="AD74" s="175"/>
      <c r="AE74" s="175"/>
      <c r="AF74" s="175"/>
      <c r="AG74" s="175"/>
      <c r="AH74" s="175"/>
      <c r="AI74" s="175"/>
      <c r="AJ74" s="11"/>
      <c r="AK74" s="11"/>
      <c r="AL74" s="11"/>
      <c r="AM74" s="11"/>
      <c r="AN74" s="11"/>
      <c r="AO74" s="11"/>
    </row>
    <row r="75" spans="1:498" hidden="1" x14ac:dyDescent="0.25">
      <c r="A75" s="11"/>
      <c r="B75" s="133"/>
      <c r="C75" s="64"/>
      <c r="D75" s="65"/>
      <c r="E75" s="175" t="s">
        <v>74</v>
      </c>
      <c r="F75" s="175">
        <v>0</v>
      </c>
      <c r="G75" s="175">
        <v>0</v>
      </c>
      <c r="H75" s="175">
        <v>0</v>
      </c>
      <c r="I75" s="175">
        <v>0</v>
      </c>
      <c r="J75" s="175">
        <v>0</v>
      </c>
      <c r="K75" s="175">
        <v>0</v>
      </c>
      <c r="L75" s="175">
        <v>0</v>
      </c>
      <c r="M75" s="175">
        <v>0</v>
      </c>
      <c r="N75" s="175">
        <v>0</v>
      </c>
      <c r="O75" s="175">
        <v>0</v>
      </c>
      <c r="P75" s="175">
        <v>0</v>
      </c>
      <c r="Q75" s="175">
        <v>0</v>
      </c>
      <c r="R75" s="175">
        <v>0</v>
      </c>
      <c r="S75" s="175">
        <v>0</v>
      </c>
      <c r="T75" s="175">
        <v>0</v>
      </c>
      <c r="U75" s="175">
        <v>0</v>
      </c>
      <c r="V75" s="175">
        <v>0</v>
      </c>
      <c r="W75" s="175">
        <v>0</v>
      </c>
      <c r="X75" s="175">
        <v>0</v>
      </c>
      <c r="Y75" s="175">
        <v>0</v>
      </c>
      <c r="Z75" s="185">
        <f>IF(
Z74&lt;=Z67,
D37*E67,
IF(
Z74&lt;=Z68,
D37*E68,
IF(
Z74&lt;=Z69,
D37*E69,
IF(
Z74&lt;=Z70,
D37*E70,
IF(
Z74&lt;=Z71,
D37*E71,
IF(
Z74&lt;=Z72,
D37*E72,
D37*E73
))))))</f>
        <v>10296.946785382312</v>
      </c>
      <c r="AA75" s="175"/>
      <c r="AB75" s="175"/>
      <c r="AC75" s="175"/>
      <c r="AD75" s="175"/>
      <c r="AE75" s="175"/>
      <c r="AF75" s="175"/>
      <c r="AG75" s="175"/>
      <c r="AH75" s="175"/>
      <c r="AI75" s="175"/>
      <c r="AJ75" s="11"/>
      <c r="AK75" s="11"/>
      <c r="AL75" s="11"/>
      <c r="AM75" s="11"/>
      <c r="AN75" s="11"/>
      <c r="AO75" s="11"/>
    </row>
    <row r="76" spans="1:498" hidden="1" x14ac:dyDescent="0.25">
      <c r="A76" s="11"/>
      <c r="B76" s="133"/>
      <c r="C76" s="64"/>
      <c r="D76" s="65"/>
      <c r="E76" s="11"/>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1"/>
      <c r="AK76" s="11"/>
      <c r="AL76" s="11"/>
      <c r="AM76" s="11"/>
      <c r="AN76" s="11"/>
      <c r="AO76" s="11"/>
    </row>
    <row r="77" spans="1:498" s="20" customFormat="1" x14ac:dyDescent="0.25">
      <c r="A77" s="59"/>
      <c r="B77" s="66"/>
      <c r="C77" s="219" t="s">
        <v>29</v>
      </c>
      <c r="D77" s="219"/>
      <c r="E77" s="220"/>
      <c r="F77" s="62">
        <v>1</v>
      </c>
      <c r="G77" s="62">
        <f t="shared" ref="G77:AD77" si="29">F77+1</f>
        <v>2</v>
      </c>
      <c r="H77" s="62">
        <f t="shared" si="29"/>
        <v>3</v>
      </c>
      <c r="I77" s="62">
        <f t="shared" si="29"/>
        <v>4</v>
      </c>
      <c r="J77" s="62">
        <f t="shared" si="29"/>
        <v>5</v>
      </c>
      <c r="K77" s="62">
        <f t="shared" si="29"/>
        <v>6</v>
      </c>
      <c r="L77" s="62">
        <f t="shared" si="29"/>
        <v>7</v>
      </c>
      <c r="M77" s="62">
        <f t="shared" si="29"/>
        <v>8</v>
      </c>
      <c r="N77" s="62">
        <f t="shared" si="29"/>
        <v>9</v>
      </c>
      <c r="O77" s="62">
        <f t="shared" si="29"/>
        <v>10</v>
      </c>
      <c r="P77" s="62">
        <f t="shared" si="29"/>
        <v>11</v>
      </c>
      <c r="Q77" s="62">
        <f t="shared" si="29"/>
        <v>12</v>
      </c>
      <c r="R77" s="62">
        <f t="shared" si="29"/>
        <v>13</v>
      </c>
      <c r="S77" s="62">
        <f t="shared" si="29"/>
        <v>14</v>
      </c>
      <c r="T77" s="62">
        <f t="shared" si="29"/>
        <v>15</v>
      </c>
      <c r="U77" s="62">
        <f t="shared" si="29"/>
        <v>16</v>
      </c>
      <c r="V77" s="62">
        <f t="shared" si="29"/>
        <v>17</v>
      </c>
      <c r="W77" s="62">
        <f t="shared" si="29"/>
        <v>18</v>
      </c>
      <c r="X77" s="62">
        <f t="shared" si="29"/>
        <v>19</v>
      </c>
      <c r="Y77" s="62">
        <f t="shared" si="29"/>
        <v>20</v>
      </c>
      <c r="Z77" s="62">
        <f t="shared" si="29"/>
        <v>21</v>
      </c>
      <c r="AA77" s="62">
        <f t="shared" si="29"/>
        <v>22</v>
      </c>
      <c r="AB77" s="62">
        <f t="shared" si="29"/>
        <v>23</v>
      </c>
      <c r="AC77" s="62">
        <f t="shared" si="29"/>
        <v>24</v>
      </c>
      <c r="AD77" s="62">
        <f t="shared" si="29"/>
        <v>25</v>
      </c>
      <c r="AE77" s="62">
        <v>26</v>
      </c>
      <c r="AF77" s="62">
        <v>27</v>
      </c>
      <c r="AG77" s="62">
        <v>28</v>
      </c>
      <c r="AH77" s="62">
        <v>29</v>
      </c>
      <c r="AI77" s="62">
        <v>30</v>
      </c>
      <c r="AJ77" s="59"/>
      <c r="AK77" s="59"/>
      <c r="AL77" s="59"/>
      <c r="AM77" s="59"/>
      <c r="AN77" s="59"/>
      <c r="AO77" s="59"/>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c r="IV77" s="30"/>
      <c r="IW77" s="30"/>
      <c r="IX77" s="30"/>
      <c r="IY77" s="30"/>
      <c r="IZ77" s="30"/>
      <c r="JA77" s="30"/>
      <c r="JB77" s="30"/>
      <c r="JC77" s="30"/>
      <c r="JD77" s="30"/>
      <c r="JE77" s="30"/>
      <c r="JF77" s="30"/>
      <c r="JG77" s="30"/>
      <c r="JH77" s="30"/>
      <c r="JI77" s="30"/>
      <c r="JJ77" s="30"/>
      <c r="JK77" s="30"/>
      <c r="JL77" s="30"/>
      <c r="JM77" s="30"/>
      <c r="JN77" s="30"/>
      <c r="JO77" s="30"/>
      <c r="JP77" s="30"/>
      <c r="JQ77" s="30"/>
      <c r="JR77" s="30"/>
      <c r="JS77" s="30"/>
      <c r="JT77" s="30"/>
      <c r="JU77" s="30"/>
      <c r="JV77" s="30"/>
      <c r="JW77" s="30"/>
      <c r="JX77" s="30"/>
      <c r="JY77" s="30"/>
      <c r="JZ77" s="30"/>
      <c r="KA77" s="30"/>
      <c r="KB77" s="30"/>
      <c r="KC77" s="30"/>
      <c r="KD77" s="30"/>
      <c r="KE77" s="30"/>
      <c r="KF77" s="30"/>
      <c r="KG77" s="30"/>
      <c r="KH77" s="30"/>
      <c r="KI77" s="30"/>
      <c r="KJ77" s="30"/>
      <c r="KK77" s="30"/>
      <c r="KL77" s="30"/>
      <c r="KM77" s="30"/>
      <c r="KN77" s="30"/>
      <c r="KO77" s="30"/>
      <c r="KP77" s="30"/>
      <c r="KQ77" s="30"/>
      <c r="KR77" s="30"/>
      <c r="KS77" s="30"/>
      <c r="KT77" s="30"/>
      <c r="KU77" s="30"/>
      <c r="KV77" s="30"/>
      <c r="KW77" s="30"/>
      <c r="KX77" s="30"/>
      <c r="KY77" s="30"/>
      <c r="KZ77" s="30"/>
      <c r="LA77" s="30"/>
      <c r="LB77" s="30"/>
      <c r="LC77" s="30"/>
      <c r="LD77" s="30"/>
      <c r="LE77" s="30"/>
      <c r="LF77" s="30"/>
      <c r="LG77" s="30"/>
      <c r="LH77" s="30"/>
      <c r="LI77" s="30"/>
      <c r="LJ77" s="30"/>
      <c r="LK77" s="30"/>
      <c r="LL77" s="30"/>
      <c r="LM77" s="30"/>
      <c r="LN77" s="30"/>
      <c r="LO77" s="30"/>
      <c r="LP77" s="30"/>
      <c r="LQ77" s="30"/>
      <c r="LR77" s="30"/>
      <c r="LS77" s="30"/>
      <c r="LT77" s="30"/>
      <c r="LU77" s="30"/>
      <c r="LV77" s="30"/>
      <c r="LW77" s="30"/>
      <c r="LX77" s="30"/>
      <c r="LY77" s="30"/>
      <c r="LZ77" s="30"/>
      <c r="MA77" s="30"/>
      <c r="MB77" s="30"/>
      <c r="MC77" s="30"/>
      <c r="MD77" s="30"/>
      <c r="ME77" s="30"/>
      <c r="MF77" s="30"/>
      <c r="MG77" s="30"/>
      <c r="MH77" s="30"/>
      <c r="MI77" s="30"/>
      <c r="MJ77" s="30"/>
      <c r="MK77" s="30"/>
      <c r="ML77" s="30"/>
      <c r="MM77" s="30"/>
      <c r="MN77" s="30"/>
      <c r="MO77" s="30"/>
      <c r="MP77" s="30"/>
      <c r="MQ77" s="30"/>
      <c r="MR77" s="30"/>
      <c r="MS77" s="30"/>
      <c r="MT77" s="30"/>
      <c r="MU77" s="30"/>
      <c r="MV77" s="30"/>
      <c r="MW77" s="30"/>
      <c r="MX77" s="30"/>
      <c r="MY77" s="30"/>
      <c r="MZ77" s="30"/>
      <c r="NA77" s="30"/>
      <c r="NB77" s="30"/>
      <c r="NC77" s="30"/>
      <c r="ND77" s="30"/>
      <c r="NE77" s="30"/>
      <c r="NF77" s="30"/>
      <c r="NG77" s="30"/>
      <c r="NH77" s="30"/>
      <c r="NI77" s="30"/>
      <c r="NJ77" s="30"/>
      <c r="NK77" s="30"/>
      <c r="NL77" s="30"/>
      <c r="NM77" s="30"/>
      <c r="NN77" s="30"/>
      <c r="NO77" s="30"/>
      <c r="NP77" s="30"/>
      <c r="NQ77" s="30"/>
      <c r="NR77" s="30"/>
      <c r="NS77" s="30"/>
      <c r="NT77" s="30"/>
      <c r="NU77" s="30"/>
      <c r="NV77" s="30"/>
      <c r="NW77" s="30"/>
      <c r="NX77" s="30"/>
      <c r="NY77" s="30"/>
      <c r="NZ77" s="30"/>
      <c r="OA77" s="30"/>
      <c r="OB77" s="30"/>
      <c r="OC77" s="30"/>
      <c r="OD77" s="30"/>
      <c r="OE77" s="30"/>
      <c r="OF77" s="30"/>
      <c r="OG77" s="30"/>
      <c r="OH77" s="30"/>
      <c r="OI77" s="30"/>
      <c r="OJ77" s="30"/>
      <c r="OK77" s="30"/>
      <c r="OL77" s="30"/>
      <c r="OM77" s="30"/>
      <c r="ON77" s="30"/>
      <c r="OO77" s="30"/>
      <c r="OP77" s="30"/>
      <c r="OQ77" s="30"/>
      <c r="OR77" s="30"/>
      <c r="OS77" s="30"/>
      <c r="OT77" s="30"/>
      <c r="OU77" s="30"/>
      <c r="OV77" s="30"/>
      <c r="OW77" s="30"/>
      <c r="OX77" s="30"/>
      <c r="OY77" s="30"/>
      <c r="OZ77" s="30"/>
      <c r="PA77" s="30"/>
      <c r="PB77" s="30"/>
      <c r="PC77" s="30"/>
      <c r="PD77" s="30"/>
      <c r="PE77" s="30"/>
      <c r="PF77" s="30"/>
      <c r="PG77" s="30"/>
      <c r="PH77" s="30"/>
      <c r="PI77" s="30"/>
      <c r="PJ77" s="30"/>
      <c r="PK77" s="30"/>
      <c r="PL77" s="30"/>
      <c r="PM77" s="30"/>
      <c r="PN77" s="30"/>
      <c r="PO77" s="30"/>
      <c r="PP77" s="30"/>
      <c r="PQ77" s="30"/>
      <c r="PR77" s="30"/>
      <c r="PS77" s="30"/>
      <c r="PT77" s="30"/>
      <c r="PU77" s="30"/>
      <c r="PV77" s="30"/>
      <c r="PW77" s="30"/>
      <c r="PX77" s="30"/>
      <c r="PY77" s="30"/>
      <c r="PZ77" s="30"/>
      <c r="QA77" s="30"/>
      <c r="QB77" s="30"/>
      <c r="QC77" s="30"/>
      <c r="QD77" s="30"/>
      <c r="QE77" s="30"/>
      <c r="QF77" s="30"/>
      <c r="QG77" s="30"/>
      <c r="QH77" s="30"/>
      <c r="QI77" s="30"/>
      <c r="QJ77" s="30"/>
      <c r="QK77" s="30"/>
      <c r="QL77" s="30"/>
      <c r="QM77" s="30"/>
      <c r="QN77" s="30"/>
      <c r="QO77" s="30"/>
      <c r="QP77" s="30"/>
      <c r="QQ77" s="30"/>
      <c r="QR77" s="30"/>
      <c r="QS77" s="30"/>
      <c r="QT77" s="30"/>
      <c r="QU77" s="30"/>
      <c r="QV77" s="30"/>
      <c r="QW77" s="30"/>
      <c r="QX77" s="30"/>
      <c r="QY77" s="30"/>
      <c r="QZ77" s="30"/>
      <c r="RA77" s="30"/>
      <c r="RB77" s="30"/>
      <c r="RC77" s="30"/>
      <c r="RD77" s="30"/>
      <c r="RE77" s="30"/>
      <c r="RF77" s="30"/>
      <c r="RG77" s="30"/>
      <c r="RH77" s="30"/>
      <c r="RI77" s="30"/>
      <c r="RJ77" s="30"/>
      <c r="RK77" s="30"/>
      <c r="RL77" s="30"/>
      <c r="RM77" s="30"/>
      <c r="RN77" s="30"/>
      <c r="RO77" s="30"/>
      <c r="RP77" s="30"/>
      <c r="RQ77" s="30"/>
      <c r="RR77" s="30"/>
      <c r="RS77" s="30"/>
      <c r="RT77" s="30"/>
      <c r="RU77" s="30"/>
      <c r="RV77" s="30"/>
      <c r="RW77" s="30"/>
      <c r="RX77" s="30"/>
      <c r="RY77" s="30"/>
      <c r="RZ77" s="30"/>
      <c r="SA77" s="30"/>
      <c r="SB77" s="30"/>
      <c r="SC77" s="30"/>
      <c r="SD77" s="30"/>
    </row>
    <row r="78" spans="1:498" s="20" customFormat="1" hidden="1" x14ac:dyDescent="0.25">
      <c r="A78" s="59"/>
      <c r="B78" s="66" t="s">
        <v>4</v>
      </c>
      <c r="C78" s="68"/>
      <c r="D78" s="68"/>
      <c r="E78" s="98"/>
      <c r="F78" s="20">
        <f t="shared" ref="F78:AI78" si="30">IF(AND($C$21&lt;=F77,$C$21&lt;&gt;0),5,IF(AND($C$20&lt;=F77,$C$20&lt;&gt;0),4,IF(AND($C$19&lt;=F77,$C$19&lt;&gt;0),3,IF(AND($C$18&lt;=F77,$C$18&lt;&gt;0),2,IF(AND($C$17&lt;=F77,$C$17&lt;&gt;0),1,0)))))</f>
        <v>0</v>
      </c>
      <c r="G78" s="20">
        <f t="shared" si="30"/>
        <v>0</v>
      </c>
      <c r="H78" s="20">
        <f t="shared" si="30"/>
        <v>0</v>
      </c>
      <c r="I78" s="20">
        <f t="shared" si="30"/>
        <v>0</v>
      </c>
      <c r="J78" s="20">
        <f t="shared" si="30"/>
        <v>0</v>
      </c>
      <c r="K78" s="20">
        <f t="shared" si="30"/>
        <v>0</v>
      </c>
      <c r="L78" s="20">
        <f t="shared" si="30"/>
        <v>0</v>
      </c>
      <c r="M78" s="20">
        <f t="shared" si="30"/>
        <v>0</v>
      </c>
      <c r="N78" s="20">
        <f t="shared" si="30"/>
        <v>0</v>
      </c>
      <c r="O78" s="20">
        <f t="shared" si="30"/>
        <v>0</v>
      </c>
      <c r="P78" s="20">
        <f t="shared" si="30"/>
        <v>0</v>
      </c>
      <c r="Q78" s="20">
        <f t="shared" si="30"/>
        <v>0</v>
      </c>
      <c r="R78" s="20">
        <f t="shared" si="30"/>
        <v>0</v>
      </c>
      <c r="S78" s="20">
        <f t="shared" si="30"/>
        <v>0</v>
      </c>
      <c r="T78" s="20">
        <f t="shared" si="30"/>
        <v>0</v>
      </c>
      <c r="U78" s="20">
        <f t="shared" si="30"/>
        <v>0</v>
      </c>
      <c r="V78" s="20">
        <f t="shared" si="30"/>
        <v>0</v>
      </c>
      <c r="W78" s="20">
        <f t="shared" si="30"/>
        <v>0</v>
      </c>
      <c r="X78" s="20">
        <f t="shared" si="30"/>
        <v>0</v>
      </c>
      <c r="Y78" s="20">
        <f t="shared" si="30"/>
        <v>0</v>
      </c>
      <c r="Z78" s="20">
        <f t="shared" si="30"/>
        <v>0</v>
      </c>
      <c r="AA78" s="20">
        <f t="shared" si="30"/>
        <v>0</v>
      </c>
      <c r="AB78" s="20">
        <f t="shared" si="30"/>
        <v>0</v>
      </c>
      <c r="AC78" s="20">
        <f t="shared" si="30"/>
        <v>0</v>
      </c>
      <c r="AD78" s="20">
        <f t="shared" si="30"/>
        <v>0</v>
      </c>
      <c r="AE78" s="20">
        <f t="shared" si="30"/>
        <v>0</v>
      </c>
      <c r="AF78" s="20">
        <f t="shared" si="30"/>
        <v>0</v>
      </c>
      <c r="AG78" s="20">
        <f t="shared" si="30"/>
        <v>0</v>
      </c>
      <c r="AH78" s="20">
        <f t="shared" si="30"/>
        <v>0</v>
      </c>
      <c r="AI78" s="20">
        <f t="shared" si="30"/>
        <v>0</v>
      </c>
      <c r="AJ78" s="59"/>
      <c r="AK78" s="59"/>
      <c r="AL78" s="59"/>
      <c r="AM78" s="59"/>
      <c r="AN78" s="59"/>
      <c r="AO78" s="59"/>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c r="IW78" s="30"/>
      <c r="IX78" s="30"/>
      <c r="IY78" s="30"/>
      <c r="IZ78" s="30"/>
      <c r="JA78" s="30"/>
      <c r="JB78" s="30"/>
      <c r="JC78" s="30"/>
      <c r="JD78" s="30"/>
      <c r="JE78" s="30"/>
      <c r="JF78" s="30"/>
      <c r="JG78" s="30"/>
      <c r="JH78" s="30"/>
      <c r="JI78" s="30"/>
      <c r="JJ78" s="30"/>
      <c r="JK78" s="30"/>
      <c r="JL78" s="30"/>
      <c r="JM78" s="30"/>
      <c r="JN78" s="30"/>
      <c r="JO78" s="30"/>
      <c r="JP78" s="30"/>
      <c r="JQ78" s="30"/>
      <c r="JR78" s="30"/>
      <c r="JS78" s="30"/>
      <c r="JT78" s="30"/>
      <c r="JU78" s="30"/>
      <c r="JV78" s="30"/>
      <c r="JW78" s="30"/>
      <c r="JX78" s="30"/>
      <c r="JY78" s="30"/>
      <c r="JZ78" s="30"/>
      <c r="KA78" s="30"/>
      <c r="KB78" s="30"/>
      <c r="KC78" s="30"/>
      <c r="KD78" s="30"/>
      <c r="KE78" s="30"/>
      <c r="KF78" s="30"/>
      <c r="KG78" s="30"/>
      <c r="KH78" s="30"/>
      <c r="KI78" s="30"/>
      <c r="KJ78" s="30"/>
      <c r="KK78" s="30"/>
      <c r="KL78" s="30"/>
      <c r="KM78" s="30"/>
      <c r="KN78" s="30"/>
      <c r="KO78" s="30"/>
      <c r="KP78" s="30"/>
      <c r="KQ78" s="30"/>
      <c r="KR78" s="30"/>
      <c r="KS78" s="30"/>
      <c r="KT78" s="30"/>
      <c r="KU78" s="30"/>
      <c r="KV78" s="30"/>
      <c r="KW78" s="30"/>
      <c r="KX78" s="30"/>
      <c r="KY78" s="30"/>
      <c r="KZ78" s="30"/>
      <c r="LA78" s="30"/>
      <c r="LB78" s="30"/>
      <c r="LC78" s="30"/>
      <c r="LD78" s="30"/>
      <c r="LE78" s="30"/>
      <c r="LF78" s="30"/>
      <c r="LG78" s="30"/>
      <c r="LH78" s="30"/>
      <c r="LI78" s="30"/>
      <c r="LJ78" s="30"/>
      <c r="LK78" s="30"/>
      <c r="LL78" s="30"/>
      <c r="LM78" s="30"/>
      <c r="LN78" s="30"/>
      <c r="LO78" s="30"/>
      <c r="LP78" s="30"/>
      <c r="LQ78" s="30"/>
      <c r="LR78" s="30"/>
      <c r="LS78" s="30"/>
      <c r="LT78" s="30"/>
      <c r="LU78" s="30"/>
      <c r="LV78" s="30"/>
      <c r="LW78" s="30"/>
      <c r="LX78" s="30"/>
      <c r="LY78" s="30"/>
      <c r="LZ78" s="30"/>
      <c r="MA78" s="30"/>
      <c r="MB78" s="30"/>
      <c r="MC78" s="30"/>
      <c r="MD78" s="30"/>
      <c r="ME78" s="30"/>
      <c r="MF78" s="30"/>
      <c r="MG78" s="30"/>
      <c r="MH78" s="30"/>
      <c r="MI78" s="30"/>
      <c r="MJ78" s="30"/>
      <c r="MK78" s="30"/>
      <c r="ML78" s="30"/>
      <c r="MM78" s="30"/>
      <c r="MN78" s="30"/>
      <c r="MO78" s="30"/>
      <c r="MP78" s="30"/>
      <c r="MQ78" s="30"/>
      <c r="MR78" s="30"/>
      <c r="MS78" s="30"/>
      <c r="MT78" s="30"/>
      <c r="MU78" s="30"/>
      <c r="MV78" s="30"/>
      <c r="MW78" s="30"/>
      <c r="MX78" s="30"/>
      <c r="MY78" s="30"/>
      <c r="MZ78" s="30"/>
      <c r="NA78" s="30"/>
      <c r="NB78" s="30"/>
      <c r="NC78" s="30"/>
      <c r="ND78" s="30"/>
      <c r="NE78" s="30"/>
      <c r="NF78" s="30"/>
      <c r="NG78" s="30"/>
      <c r="NH78" s="30"/>
      <c r="NI78" s="30"/>
      <c r="NJ78" s="30"/>
      <c r="NK78" s="30"/>
      <c r="NL78" s="30"/>
      <c r="NM78" s="30"/>
      <c r="NN78" s="30"/>
      <c r="NO78" s="30"/>
      <c r="NP78" s="30"/>
      <c r="NQ78" s="30"/>
      <c r="NR78" s="30"/>
      <c r="NS78" s="30"/>
      <c r="NT78" s="30"/>
      <c r="NU78" s="30"/>
      <c r="NV78" s="30"/>
      <c r="NW78" s="30"/>
      <c r="NX78" s="30"/>
      <c r="NY78" s="30"/>
      <c r="NZ78" s="30"/>
      <c r="OA78" s="30"/>
      <c r="OB78" s="30"/>
      <c r="OC78" s="30"/>
      <c r="OD78" s="30"/>
      <c r="OE78" s="30"/>
      <c r="OF78" s="30"/>
      <c r="OG78" s="30"/>
      <c r="OH78" s="30"/>
      <c r="OI78" s="30"/>
      <c r="OJ78" s="30"/>
      <c r="OK78" s="30"/>
      <c r="OL78" s="30"/>
      <c r="OM78" s="30"/>
      <c r="ON78" s="30"/>
      <c r="OO78" s="30"/>
      <c r="OP78" s="30"/>
      <c r="OQ78" s="30"/>
      <c r="OR78" s="30"/>
      <c r="OS78" s="30"/>
      <c r="OT78" s="30"/>
      <c r="OU78" s="30"/>
      <c r="OV78" s="30"/>
      <c r="OW78" s="30"/>
      <c r="OX78" s="30"/>
      <c r="OY78" s="30"/>
      <c r="OZ78" s="30"/>
      <c r="PA78" s="30"/>
      <c r="PB78" s="30"/>
      <c r="PC78" s="30"/>
      <c r="PD78" s="30"/>
      <c r="PE78" s="30"/>
      <c r="PF78" s="30"/>
      <c r="PG78" s="30"/>
      <c r="PH78" s="30"/>
      <c r="PI78" s="30"/>
      <c r="PJ78" s="30"/>
      <c r="PK78" s="30"/>
      <c r="PL78" s="30"/>
      <c r="PM78" s="30"/>
      <c r="PN78" s="30"/>
      <c r="PO78" s="30"/>
      <c r="PP78" s="30"/>
      <c r="PQ78" s="30"/>
      <c r="PR78" s="30"/>
      <c r="PS78" s="30"/>
      <c r="PT78" s="30"/>
      <c r="PU78" s="30"/>
      <c r="PV78" s="30"/>
      <c r="PW78" s="30"/>
      <c r="PX78" s="30"/>
      <c r="PY78" s="30"/>
      <c r="PZ78" s="30"/>
      <c r="QA78" s="30"/>
      <c r="QB78" s="30"/>
      <c r="QC78" s="30"/>
      <c r="QD78" s="30"/>
      <c r="QE78" s="30"/>
      <c r="QF78" s="30"/>
      <c r="QG78" s="30"/>
      <c r="QH78" s="30"/>
      <c r="QI78" s="30"/>
      <c r="QJ78" s="30"/>
      <c r="QK78" s="30"/>
      <c r="QL78" s="30"/>
      <c r="QM78" s="30"/>
      <c r="QN78" s="30"/>
      <c r="QO78" s="30"/>
      <c r="QP78" s="30"/>
      <c r="QQ78" s="30"/>
      <c r="QR78" s="30"/>
      <c r="QS78" s="30"/>
      <c r="QT78" s="30"/>
      <c r="QU78" s="30"/>
      <c r="QV78" s="30"/>
      <c r="QW78" s="30"/>
      <c r="QX78" s="30"/>
      <c r="QY78" s="30"/>
      <c r="QZ78" s="30"/>
      <c r="RA78" s="30"/>
      <c r="RB78" s="30"/>
      <c r="RC78" s="30"/>
      <c r="RD78" s="30"/>
      <c r="RE78" s="30"/>
      <c r="RF78" s="30"/>
      <c r="RG78" s="30"/>
      <c r="RH78" s="30"/>
      <c r="RI78" s="30"/>
      <c r="RJ78" s="30"/>
      <c r="RK78" s="30"/>
      <c r="RL78" s="30"/>
      <c r="RM78" s="30"/>
      <c r="RN78" s="30"/>
      <c r="RO78" s="30"/>
      <c r="RP78" s="30"/>
      <c r="RQ78" s="30"/>
      <c r="RR78" s="30"/>
      <c r="RS78" s="30"/>
      <c r="RT78" s="30"/>
      <c r="RU78" s="30"/>
      <c r="RV78" s="30"/>
      <c r="RW78" s="30"/>
      <c r="RX78" s="30"/>
      <c r="RY78" s="30"/>
      <c r="RZ78" s="30"/>
      <c r="SA78" s="30"/>
      <c r="SB78" s="30"/>
      <c r="SC78" s="30"/>
      <c r="SD78" s="30"/>
    </row>
    <row r="79" spans="1:498" s="20" customFormat="1" x14ac:dyDescent="0.25">
      <c r="A79" s="59"/>
      <c r="B79" s="170" t="s">
        <v>64</v>
      </c>
      <c r="C79" s="221" t="s">
        <v>52</v>
      </c>
      <c r="D79" s="221"/>
      <c r="E79" s="221"/>
      <c r="F79" s="136">
        <v>33333</v>
      </c>
      <c r="G79" s="136">
        <f>F79*1.04</f>
        <v>34666.32</v>
      </c>
      <c r="H79" s="136">
        <f t="shared" ref="H79:AD79" si="31">G79*1.04</f>
        <v>36052.972800000003</v>
      </c>
      <c r="I79" s="136">
        <f t="shared" si="31"/>
        <v>37495.091712000001</v>
      </c>
      <c r="J79" s="136">
        <f t="shared" si="31"/>
        <v>38994.895380480004</v>
      </c>
      <c r="K79" s="136">
        <f t="shared" si="31"/>
        <v>40554.691195699204</v>
      </c>
      <c r="L79" s="136">
        <f t="shared" si="31"/>
        <v>42176.878843527171</v>
      </c>
      <c r="M79" s="136">
        <f t="shared" si="31"/>
        <v>43863.953997268261</v>
      </c>
      <c r="N79" s="136">
        <f t="shared" si="31"/>
        <v>45618.512157158992</v>
      </c>
      <c r="O79" s="136">
        <f t="shared" si="31"/>
        <v>47443.252643445354</v>
      </c>
      <c r="P79" s="136">
        <f t="shared" si="31"/>
        <v>49340.982749183167</v>
      </c>
      <c r="Q79" s="136">
        <f t="shared" si="31"/>
        <v>51314.622059150497</v>
      </c>
      <c r="R79" s="136">
        <f t="shared" si="31"/>
        <v>53367.206941516517</v>
      </c>
      <c r="S79" s="136">
        <f t="shared" si="31"/>
        <v>55501.895219177182</v>
      </c>
      <c r="T79" s="136">
        <f t="shared" si="31"/>
        <v>57721.971027944273</v>
      </c>
      <c r="U79" s="136">
        <f t="shared" si="31"/>
        <v>60030.849869062047</v>
      </c>
      <c r="V79" s="136">
        <f t="shared" si="31"/>
        <v>62432.083863824533</v>
      </c>
      <c r="W79" s="136">
        <f t="shared" si="31"/>
        <v>64929.36721837752</v>
      </c>
      <c r="X79" s="136">
        <f t="shared" si="31"/>
        <v>67526.541907112623</v>
      </c>
      <c r="Y79" s="136">
        <f t="shared" si="31"/>
        <v>70227.603583397125</v>
      </c>
      <c r="Z79" s="136">
        <f t="shared" si="31"/>
        <v>73036.707726733017</v>
      </c>
      <c r="AA79" s="136">
        <f t="shared" si="31"/>
        <v>75958.176035802346</v>
      </c>
      <c r="AB79" s="136">
        <f t="shared" si="31"/>
        <v>78996.503077234447</v>
      </c>
      <c r="AC79" s="136">
        <f t="shared" si="31"/>
        <v>82156.363200323831</v>
      </c>
      <c r="AD79" s="136">
        <f t="shared" si="31"/>
        <v>85442.617728336787</v>
      </c>
      <c r="AE79" s="104"/>
      <c r="AF79" s="105"/>
      <c r="AG79" s="105"/>
      <c r="AH79" s="105"/>
      <c r="AI79" s="106"/>
      <c r="AJ79" s="59"/>
      <c r="AK79" s="59"/>
      <c r="AL79" s="59"/>
      <c r="AM79" s="59"/>
      <c r="AN79" s="59"/>
      <c r="AO79" s="59"/>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c r="IV79" s="30"/>
      <c r="IW79" s="30"/>
      <c r="IX79" s="30"/>
      <c r="IY79" s="30"/>
      <c r="IZ79" s="30"/>
      <c r="JA79" s="30"/>
      <c r="JB79" s="30"/>
      <c r="JC79" s="30"/>
      <c r="JD79" s="30"/>
      <c r="JE79" s="30"/>
      <c r="JF79" s="30"/>
      <c r="JG79" s="30"/>
      <c r="JH79" s="30"/>
      <c r="JI79" s="30"/>
      <c r="JJ79" s="30"/>
      <c r="JK79" s="30"/>
      <c r="JL79" s="30"/>
      <c r="JM79" s="30"/>
      <c r="JN79" s="30"/>
      <c r="JO79" s="30"/>
      <c r="JP79" s="30"/>
      <c r="JQ79" s="30"/>
      <c r="JR79" s="30"/>
      <c r="JS79" s="30"/>
      <c r="JT79" s="30"/>
      <c r="JU79" s="30"/>
      <c r="JV79" s="30"/>
      <c r="JW79" s="30"/>
      <c r="JX79" s="30"/>
      <c r="JY79" s="30"/>
      <c r="JZ79" s="30"/>
      <c r="KA79" s="30"/>
      <c r="KB79" s="30"/>
      <c r="KC79" s="30"/>
      <c r="KD79" s="30"/>
      <c r="KE79" s="30"/>
      <c r="KF79" s="30"/>
      <c r="KG79" s="30"/>
      <c r="KH79" s="30"/>
      <c r="KI79" s="30"/>
      <c r="KJ79" s="30"/>
      <c r="KK79" s="30"/>
      <c r="KL79" s="30"/>
      <c r="KM79" s="30"/>
      <c r="KN79" s="30"/>
      <c r="KO79" s="30"/>
      <c r="KP79" s="30"/>
      <c r="KQ79" s="30"/>
      <c r="KR79" s="30"/>
      <c r="KS79" s="30"/>
      <c r="KT79" s="30"/>
      <c r="KU79" s="30"/>
      <c r="KV79" s="30"/>
      <c r="KW79" s="30"/>
      <c r="KX79" s="30"/>
      <c r="KY79" s="30"/>
      <c r="KZ79" s="30"/>
      <c r="LA79" s="30"/>
      <c r="LB79" s="30"/>
      <c r="LC79" s="30"/>
      <c r="LD79" s="30"/>
      <c r="LE79" s="30"/>
      <c r="LF79" s="30"/>
      <c r="LG79" s="30"/>
      <c r="LH79" s="30"/>
      <c r="LI79" s="30"/>
      <c r="LJ79" s="30"/>
      <c r="LK79" s="30"/>
      <c r="LL79" s="30"/>
      <c r="LM79" s="30"/>
      <c r="LN79" s="30"/>
      <c r="LO79" s="30"/>
      <c r="LP79" s="30"/>
      <c r="LQ79" s="30"/>
      <c r="LR79" s="30"/>
      <c r="LS79" s="30"/>
      <c r="LT79" s="30"/>
      <c r="LU79" s="30"/>
      <c r="LV79" s="30"/>
      <c r="LW79" s="30"/>
      <c r="LX79" s="30"/>
      <c r="LY79" s="30"/>
      <c r="LZ79" s="30"/>
      <c r="MA79" s="30"/>
      <c r="MB79" s="30"/>
      <c r="MC79" s="30"/>
      <c r="MD79" s="30"/>
      <c r="ME79" s="30"/>
      <c r="MF79" s="30"/>
      <c r="MG79" s="30"/>
      <c r="MH79" s="30"/>
      <c r="MI79" s="30"/>
      <c r="MJ79" s="30"/>
      <c r="MK79" s="30"/>
      <c r="ML79" s="30"/>
      <c r="MM79" s="30"/>
      <c r="MN79" s="30"/>
      <c r="MO79" s="30"/>
      <c r="MP79" s="30"/>
      <c r="MQ79" s="30"/>
      <c r="MR79" s="30"/>
      <c r="MS79" s="30"/>
      <c r="MT79" s="30"/>
      <c r="MU79" s="30"/>
      <c r="MV79" s="30"/>
      <c r="MW79" s="30"/>
      <c r="MX79" s="30"/>
      <c r="MY79" s="30"/>
      <c r="MZ79" s="30"/>
      <c r="NA79" s="30"/>
      <c r="NB79" s="30"/>
      <c r="NC79" s="30"/>
      <c r="ND79" s="30"/>
      <c r="NE79" s="30"/>
      <c r="NF79" s="30"/>
      <c r="NG79" s="30"/>
      <c r="NH79" s="30"/>
      <c r="NI79" s="30"/>
      <c r="NJ79" s="30"/>
      <c r="NK79" s="30"/>
      <c r="NL79" s="30"/>
      <c r="NM79" s="30"/>
      <c r="NN79" s="30"/>
      <c r="NO79" s="30"/>
      <c r="NP79" s="30"/>
      <c r="NQ79" s="30"/>
      <c r="NR79" s="30"/>
      <c r="NS79" s="30"/>
      <c r="NT79" s="30"/>
      <c r="NU79" s="30"/>
      <c r="NV79" s="30"/>
      <c r="NW79" s="30"/>
      <c r="NX79" s="30"/>
      <c r="NY79" s="30"/>
      <c r="NZ79" s="30"/>
      <c r="OA79" s="30"/>
      <c r="OB79" s="30"/>
      <c r="OC79" s="30"/>
      <c r="OD79" s="30"/>
      <c r="OE79" s="30"/>
      <c r="OF79" s="30"/>
      <c r="OG79" s="30"/>
      <c r="OH79" s="30"/>
      <c r="OI79" s="30"/>
      <c r="OJ79" s="30"/>
      <c r="OK79" s="30"/>
      <c r="OL79" s="30"/>
      <c r="OM79" s="30"/>
      <c r="ON79" s="30"/>
      <c r="OO79" s="30"/>
      <c r="OP79" s="30"/>
      <c r="OQ79" s="30"/>
      <c r="OR79" s="30"/>
      <c r="OS79" s="30"/>
      <c r="OT79" s="30"/>
      <c r="OU79" s="30"/>
      <c r="OV79" s="30"/>
      <c r="OW79" s="30"/>
      <c r="OX79" s="30"/>
      <c r="OY79" s="30"/>
      <c r="OZ79" s="30"/>
      <c r="PA79" s="30"/>
      <c r="PB79" s="30"/>
      <c r="PC79" s="30"/>
      <c r="PD79" s="30"/>
      <c r="PE79" s="30"/>
      <c r="PF79" s="30"/>
      <c r="PG79" s="30"/>
      <c r="PH79" s="30"/>
      <c r="PI79" s="30"/>
      <c r="PJ79" s="30"/>
      <c r="PK79" s="30"/>
      <c r="PL79" s="30"/>
      <c r="PM79" s="30"/>
      <c r="PN79" s="30"/>
      <c r="PO79" s="30"/>
      <c r="PP79" s="30"/>
      <c r="PQ79" s="30"/>
      <c r="PR79" s="30"/>
      <c r="PS79" s="30"/>
      <c r="PT79" s="30"/>
      <c r="PU79" s="30"/>
      <c r="PV79" s="30"/>
      <c r="PW79" s="30"/>
      <c r="PX79" s="30"/>
      <c r="PY79" s="30"/>
      <c r="PZ79" s="30"/>
      <c r="QA79" s="30"/>
      <c r="QB79" s="30"/>
      <c r="QC79" s="30"/>
      <c r="QD79" s="30"/>
      <c r="QE79" s="30"/>
      <c r="QF79" s="30"/>
      <c r="QG79" s="30"/>
      <c r="QH79" s="30"/>
      <c r="QI79" s="30"/>
      <c r="QJ79" s="30"/>
      <c r="QK79" s="30"/>
      <c r="QL79" s="30"/>
      <c r="QM79" s="30"/>
      <c r="QN79" s="30"/>
      <c r="QO79" s="30"/>
      <c r="QP79" s="30"/>
      <c r="QQ79" s="30"/>
      <c r="QR79" s="30"/>
      <c r="QS79" s="30"/>
      <c r="QT79" s="30"/>
      <c r="QU79" s="30"/>
      <c r="QV79" s="30"/>
      <c r="QW79" s="30"/>
      <c r="QX79" s="30"/>
      <c r="QY79" s="30"/>
      <c r="QZ79" s="30"/>
      <c r="RA79" s="30"/>
      <c r="RB79" s="30"/>
      <c r="RC79" s="30"/>
      <c r="RD79" s="30"/>
      <c r="RE79" s="30"/>
      <c r="RF79" s="30"/>
      <c r="RG79" s="30"/>
      <c r="RH79" s="30"/>
      <c r="RI79" s="30"/>
      <c r="RJ79" s="30"/>
      <c r="RK79" s="30"/>
      <c r="RL79" s="30"/>
      <c r="RM79" s="30"/>
      <c r="RN79" s="30"/>
      <c r="RO79" s="30"/>
      <c r="RP79" s="30"/>
      <c r="RQ79" s="30"/>
      <c r="RR79" s="30"/>
      <c r="RS79" s="30"/>
      <c r="RT79" s="30"/>
      <c r="RU79" s="30"/>
      <c r="RV79" s="30"/>
      <c r="RW79" s="30"/>
      <c r="RX79" s="30"/>
      <c r="RY79" s="30"/>
      <c r="RZ79" s="30"/>
      <c r="SA79" s="30"/>
      <c r="SB79" s="30"/>
      <c r="SC79" s="30"/>
      <c r="SD79" s="30"/>
    </row>
    <row r="80" spans="1:498" s="47" customFormat="1" x14ac:dyDescent="0.25">
      <c r="A80" s="59"/>
      <c r="B80" s="68"/>
      <c r="C80" s="222" t="s">
        <v>53</v>
      </c>
      <c r="D80" s="223"/>
      <c r="E80" s="223"/>
      <c r="F80" s="48">
        <f t="shared" ref="F80:AD80" si="32">IF(
F79&gt;F58+N("If income is greater than 200k THEN"),
F79+N("He has no exemption, so AGI is his income")+N("If income is less than or equal to 200k THEN"),
IF(
F79&gt;F57+N("If income is greater than 150k but less than or equal to 200 k THEN"),
(F79*0.98)+N("AGI is 98 percent of income")+N("If his income is less than or equal to 150k THEN"),
IF(
F79&gt;F56+N("If his income is greater than 100k but less than or equal to 150k THEN"),
(F79*0.95)+N("AGI equals 95 percent of income")+N("If his income is less than or equal to 100k THEN"),
IF(
F79&gt;F55+N("IF income is greater tahn 68k but less than or equal to 100k THEN"),
(F79*0.85)+N("AGI equals 85 percent of income")+N("If income less than or equal to 68k, THEN"),
(F79*0.9)+N("AGI equals 90 percent of income")))))</f>
        <v>29999.7</v>
      </c>
      <c r="G80" s="48">
        <f t="shared" si="32"/>
        <v>31199.688000000002</v>
      </c>
      <c r="H80" s="48">
        <f t="shared" si="32"/>
        <v>32447.675520000004</v>
      </c>
      <c r="I80" s="48">
        <f t="shared" si="32"/>
        <v>33745.582540800002</v>
      </c>
      <c r="J80" s="48">
        <f t="shared" si="32"/>
        <v>35095.405842432003</v>
      </c>
      <c r="K80" s="48">
        <f t="shared" si="32"/>
        <v>36499.222076129285</v>
      </c>
      <c r="L80" s="48">
        <f t="shared" si="32"/>
        <v>37959.190959174455</v>
      </c>
      <c r="M80" s="48">
        <f t="shared" si="32"/>
        <v>39477.558597541436</v>
      </c>
      <c r="N80" s="48">
        <f t="shared" si="32"/>
        <v>41056.660941443093</v>
      </c>
      <c r="O80" s="48">
        <f t="shared" si="32"/>
        <v>42698.927379100816</v>
      </c>
      <c r="P80" s="48">
        <f t="shared" si="32"/>
        <v>44406.884474264851</v>
      </c>
      <c r="Q80" s="48">
        <f t="shared" si="32"/>
        <v>46183.159853235447</v>
      </c>
      <c r="R80" s="48">
        <f t="shared" si="32"/>
        <v>48030.486247364868</v>
      </c>
      <c r="S80" s="48">
        <f t="shared" si="32"/>
        <v>49951.705697259466</v>
      </c>
      <c r="T80" s="48">
        <f t="shared" si="32"/>
        <v>51949.77392514985</v>
      </c>
      <c r="U80" s="48">
        <f t="shared" si="32"/>
        <v>54027.764882155847</v>
      </c>
      <c r="V80" s="48">
        <f t="shared" si="32"/>
        <v>56188.875477442081</v>
      </c>
      <c r="W80" s="48">
        <f t="shared" si="32"/>
        <v>58436.430496539768</v>
      </c>
      <c r="X80" s="48">
        <f t="shared" si="32"/>
        <v>60773.887716401361</v>
      </c>
      <c r="Y80" s="48">
        <f t="shared" si="32"/>
        <v>63204.843225057411</v>
      </c>
      <c r="Z80" s="48">
        <f t="shared" si="32"/>
        <v>65733.036954059717</v>
      </c>
      <c r="AA80" s="48">
        <f t="shared" si="32"/>
        <v>68362.358432222114</v>
      </c>
      <c r="AB80" s="48">
        <f t="shared" si="32"/>
        <v>71096.85276951101</v>
      </c>
      <c r="AC80" s="48">
        <f t="shared" si="32"/>
        <v>73940.726880291448</v>
      </c>
      <c r="AD80" s="48">
        <f t="shared" si="32"/>
        <v>76898.35595550311</v>
      </c>
      <c r="AE80" s="107"/>
      <c r="AF80" s="108"/>
      <c r="AG80" s="108"/>
      <c r="AH80" s="108"/>
      <c r="AI80" s="109"/>
      <c r="AJ80" s="59"/>
      <c r="AK80" s="59"/>
      <c r="AL80" s="59"/>
      <c r="AM80" s="59"/>
      <c r="AN80" s="59"/>
      <c r="AO80" s="59"/>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c r="IV80" s="30"/>
      <c r="IW80" s="30"/>
      <c r="IX80" s="30"/>
      <c r="IY80" s="30"/>
      <c r="IZ80" s="30"/>
      <c r="JA80" s="30"/>
      <c r="JB80" s="30"/>
      <c r="JC80" s="30"/>
      <c r="JD80" s="30"/>
      <c r="JE80" s="30"/>
      <c r="JF80" s="30"/>
      <c r="JG80" s="30"/>
      <c r="JH80" s="30"/>
      <c r="JI80" s="30"/>
      <c r="JJ80" s="30"/>
      <c r="JK80" s="30"/>
      <c r="JL80" s="30"/>
      <c r="JM80" s="30"/>
      <c r="JN80" s="30"/>
      <c r="JO80" s="30"/>
      <c r="JP80" s="30"/>
      <c r="JQ80" s="30"/>
      <c r="JR80" s="30"/>
      <c r="JS80" s="30"/>
      <c r="JT80" s="30"/>
      <c r="JU80" s="30"/>
      <c r="JV80" s="30"/>
      <c r="JW80" s="30"/>
      <c r="JX80" s="30"/>
      <c r="JY80" s="30"/>
      <c r="JZ80" s="30"/>
      <c r="KA80" s="30"/>
      <c r="KB80" s="30"/>
      <c r="KC80" s="30"/>
      <c r="KD80" s="30"/>
      <c r="KE80" s="30"/>
      <c r="KF80" s="30"/>
      <c r="KG80" s="30"/>
      <c r="KH80" s="30"/>
      <c r="KI80" s="30"/>
      <c r="KJ80" s="30"/>
      <c r="KK80" s="30"/>
      <c r="KL80" s="30"/>
      <c r="KM80" s="30"/>
      <c r="KN80" s="30"/>
      <c r="KO80" s="30"/>
      <c r="KP80" s="30"/>
      <c r="KQ80" s="30"/>
      <c r="KR80" s="30"/>
      <c r="KS80" s="30"/>
      <c r="KT80" s="30"/>
      <c r="KU80" s="30"/>
      <c r="KV80" s="30"/>
      <c r="KW80" s="30"/>
      <c r="KX80" s="30"/>
      <c r="KY80" s="30"/>
      <c r="KZ80" s="30"/>
      <c r="LA80" s="30"/>
      <c r="LB80" s="30"/>
      <c r="LC80" s="30"/>
      <c r="LD80" s="30"/>
      <c r="LE80" s="30"/>
      <c r="LF80" s="30"/>
      <c r="LG80" s="30"/>
      <c r="LH80" s="30"/>
      <c r="LI80" s="30"/>
      <c r="LJ80" s="30"/>
      <c r="LK80" s="30"/>
      <c r="LL80" s="30"/>
      <c r="LM80" s="30"/>
      <c r="LN80" s="30"/>
      <c r="LO80" s="30"/>
      <c r="LP80" s="30"/>
      <c r="LQ80" s="30"/>
      <c r="LR80" s="30"/>
      <c r="LS80" s="30"/>
      <c r="LT80" s="30"/>
      <c r="LU80" s="30"/>
      <c r="LV80" s="30"/>
      <c r="LW80" s="30"/>
      <c r="LX80" s="30"/>
      <c r="LY80" s="30"/>
      <c r="LZ80" s="30"/>
      <c r="MA80" s="30"/>
      <c r="MB80" s="30"/>
      <c r="MC80" s="30"/>
      <c r="MD80" s="30"/>
      <c r="ME80" s="30"/>
      <c r="MF80" s="30"/>
      <c r="MG80" s="30"/>
      <c r="MH80" s="30"/>
      <c r="MI80" s="30"/>
      <c r="MJ80" s="30"/>
      <c r="MK80" s="30"/>
      <c r="ML80" s="30"/>
      <c r="MM80" s="30"/>
      <c r="MN80" s="30"/>
      <c r="MO80" s="30"/>
      <c r="MP80" s="30"/>
      <c r="MQ80" s="30"/>
      <c r="MR80" s="30"/>
      <c r="MS80" s="30"/>
      <c r="MT80" s="30"/>
      <c r="MU80" s="30"/>
      <c r="MV80" s="30"/>
      <c r="MW80" s="30"/>
      <c r="MX80" s="30"/>
      <c r="MY80" s="30"/>
      <c r="MZ80" s="30"/>
      <c r="NA80" s="30"/>
      <c r="NB80" s="30"/>
      <c r="NC80" s="30"/>
      <c r="ND80" s="30"/>
      <c r="NE80" s="30"/>
      <c r="NF80" s="30"/>
      <c r="NG80" s="30"/>
      <c r="NH80" s="30"/>
      <c r="NI80" s="30"/>
      <c r="NJ80" s="30"/>
      <c r="NK80" s="30"/>
      <c r="NL80" s="30"/>
      <c r="NM80" s="30"/>
      <c r="NN80" s="30"/>
      <c r="NO80" s="30"/>
      <c r="NP80" s="30"/>
      <c r="NQ80" s="30"/>
      <c r="NR80" s="30"/>
      <c r="NS80" s="30"/>
      <c r="NT80" s="30"/>
      <c r="NU80" s="30"/>
      <c r="NV80" s="30"/>
      <c r="NW80" s="30"/>
      <c r="NX80" s="30"/>
      <c r="NY80" s="30"/>
      <c r="NZ80" s="30"/>
      <c r="OA80" s="30"/>
      <c r="OB80" s="30"/>
      <c r="OC80" s="30"/>
      <c r="OD80" s="30"/>
      <c r="OE80" s="30"/>
      <c r="OF80" s="30"/>
      <c r="OG80" s="30"/>
      <c r="OH80" s="30"/>
      <c r="OI80" s="30"/>
      <c r="OJ80" s="30"/>
      <c r="OK80" s="30"/>
      <c r="OL80" s="30"/>
      <c r="OM80" s="30"/>
      <c r="ON80" s="30"/>
      <c r="OO80" s="30"/>
      <c r="OP80" s="30"/>
      <c r="OQ80" s="30"/>
      <c r="OR80" s="30"/>
      <c r="OS80" s="30"/>
      <c r="OT80" s="30"/>
      <c r="OU80" s="30"/>
      <c r="OV80" s="30"/>
      <c r="OW80" s="30"/>
      <c r="OX80" s="30"/>
      <c r="OY80" s="30"/>
      <c r="OZ80" s="30"/>
      <c r="PA80" s="30"/>
      <c r="PB80" s="30"/>
      <c r="PC80" s="30"/>
      <c r="PD80" s="30"/>
      <c r="PE80" s="30"/>
      <c r="PF80" s="30"/>
      <c r="PG80" s="30"/>
      <c r="PH80" s="30"/>
      <c r="PI80" s="30"/>
      <c r="PJ80" s="30"/>
      <c r="PK80" s="30"/>
      <c r="PL80" s="30"/>
      <c r="PM80" s="30"/>
      <c r="PN80" s="30"/>
      <c r="PO80" s="30"/>
      <c r="PP80" s="30"/>
      <c r="PQ80" s="30"/>
      <c r="PR80" s="30"/>
      <c r="PS80" s="30"/>
      <c r="PT80" s="30"/>
      <c r="PU80" s="30"/>
      <c r="PV80" s="30"/>
      <c r="PW80" s="30"/>
      <c r="PX80" s="30"/>
      <c r="PY80" s="30"/>
      <c r="PZ80" s="30"/>
      <c r="QA80" s="30"/>
      <c r="QB80" s="30"/>
      <c r="QC80" s="30"/>
      <c r="QD80" s="30"/>
      <c r="QE80" s="30"/>
      <c r="QF80" s="30"/>
      <c r="QG80" s="30"/>
      <c r="QH80" s="30"/>
      <c r="QI80" s="30"/>
      <c r="QJ80" s="30"/>
      <c r="QK80" s="30"/>
      <c r="QL80" s="30"/>
      <c r="QM80" s="30"/>
      <c r="QN80" s="30"/>
      <c r="QO80" s="30"/>
      <c r="QP80" s="30"/>
      <c r="QQ80" s="30"/>
      <c r="QR80" s="30"/>
      <c r="QS80" s="30"/>
      <c r="QT80" s="30"/>
      <c r="QU80" s="30"/>
      <c r="QV80" s="30"/>
      <c r="QW80" s="30"/>
      <c r="QX80" s="30"/>
      <c r="QY80" s="30"/>
      <c r="QZ80" s="30"/>
      <c r="RA80" s="30"/>
      <c r="RB80" s="30"/>
      <c r="RC80" s="30"/>
      <c r="RD80" s="30"/>
      <c r="RE80" s="30"/>
      <c r="RF80" s="30"/>
      <c r="RG80" s="30"/>
      <c r="RH80" s="30"/>
      <c r="RI80" s="30"/>
      <c r="RJ80" s="30"/>
      <c r="RK80" s="30"/>
      <c r="RL80" s="30"/>
      <c r="RM80" s="30"/>
      <c r="RN80" s="30"/>
      <c r="RO80" s="30"/>
      <c r="RP80" s="30"/>
      <c r="RQ80" s="30"/>
      <c r="RR80" s="30"/>
      <c r="RS80" s="30"/>
      <c r="RT80" s="30"/>
      <c r="RU80" s="30"/>
      <c r="RV80" s="30"/>
      <c r="RW80" s="30"/>
      <c r="RX80" s="30"/>
      <c r="RY80" s="30"/>
      <c r="RZ80" s="30"/>
      <c r="SA80" s="30"/>
      <c r="SB80" s="30"/>
      <c r="SC80" s="30"/>
      <c r="SD80" s="30"/>
    </row>
    <row r="81" spans="1:498" s="20" customFormat="1" hidden="1" x14ac:dyDescent="0.25">
      <c r="A81" s="59"/>
      <c r="B81" s="68" t="s">
        <v>8</v>
      </c>
      <c r="C81" s="68"/>
      <c r="D81" s="68">
        <f>11170+(C16*3960)</f>
        <v>11170</v>
      </c>
      <c r="E81" s="37"/>
      <c r="F81" s="22">
        <f t="shared" ref="F81:AI81" si="33">(F82+(F78*F83))*1.5</f>
        <v>17235</v>
      </c>
      <c r="G81" s="22">
        <f t="shared" si="33"/>
        <v>17667.5985</v>
      </c>
      <c r="H81" s="22">
        <f t="shared" si="33"/>
        <v>18111.055222349998</v>
      </c>
      <c r="I81" s="22">
        <f t="shared" si="33"/>
        <v>18565.642708430983</v>
      </c>
      <c r="J81" s="22">
        <f t="shared" si="33"/>
        <v>19031.640340412596</v>
      </c>
      <c r="K81" s="22">
        <f t="shared" si="33"/>
        <v>19509.33451295695</v>
      </c>
      <c r="L81" s="22">
        <f t="shared" si="33"/>
        <v>19999.01880923217</v>
      </c>
      <c r="M81" s="22">
        <f t="shared" si="33"/>
        <v>20500.994181343893</v>
      </c>
      <c r="N81" s="22">
        <f t="shared" si="33"/>
        <v>21015.569135295624</v>
      </c>
      <c r="O81" s="22">
        <f t="shared" si="33"/>
        <v>21543.059920591542</v>
      </c>
      <c r="P81" s="22">
        <f t="shared" si="33"/>
        <v>22083.790724598388</v>
      </c>
      <c r="Q81" s="22">
        <f t="shared" si="33"/>
        <v>22638.093871785808</v>
      </c>
      <c r="R81" s="22">
        <f t="shared" si="33"/>
        <v>23206.310027967629</v>
      </c>
      <c r="S81" s="22">
        <f t="shared" si="33"/>
        <v>23788.788409669611</v>
      </c>
      <c r="T81" s="22">
        <f t="shared" si="33"/>
        <v>24385.886998752314</v>
      </c>
      <c r="U81" s="22">
        <f t="shared" si="33"/>
        <v>24997.972762420999</v>
      </c>
      <c r="V81" s="22">
        <f t="shared" si="33"/>
        <v>25625.421878757763</v>
      </c>
      <c r="W81" s="22">
        <f t="shared" si="33"/>
        <v>26268.619967914583</v>
      </c>
      <c r="X81" s="22">
        <f t="shared" si="33"/>
        <v>26927.962329109236</v>
      </c>
      <c r="Y81" s="22">
        <f t="shared" si="33"/>
        <v>27603.854183569878</v>
      </c>
      <c r="Z81" s="22">
        <f t="shared" si="33"/>
        <v>28296.710923577477</v>
      </c>
      <c r="AA81" s="22">
        <f t="shared" si="33"/>
        <v>29006.958367759267</v>
      </c>
      <c r="AB81" s="22">
        <f t="shared" si="33"/>
        <v>29735.033022790023</v>
      </c>
      <c r="AC81" s="22">
        <f t="shared" si="33"/>
        <v>30481.382351662054</v>
      </c>
      <c r="AD81" s="22">
        <f t="shared" si="33"/>
        <v>31246.465048688766</v>
      </c>
      <c r="AE81" s="22">
        <f t="shared" si="33"/>
        <v>32030.751321410855</v>
      </c>
      <c r="AF81" s="22">
        <f t="shared" si="33"/>
        <v>32834.723179578265</v>
      </c>
      <c r="AG81" s="22">
        <f t="shared" si="33"/>
        <v>33658.874731385673</v>
      </c>
      <c r="AH81" s="22">
        <f t="shared" si="33"/>
        <v>34503.71248714345</v>
      </c>
      <c r="AI81" s="22">
        <f t="shared" si="33"/>
        <v>35369.755670570747</v>
      </c>
      <c r="AJ81" s="59"/>
      <c r="AK81" s="59"/>
      <c r="AL81" s="59"/>
      <c r="AM81" s="59"/>
      <c r="AN81" s="59"/>
      <c r="AO81" s="59"/>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c r="IV81" s="30"/>
      <c r="IW81" s="30"/>
      <c r="IX81" s="30"/>
      <c r="IY81" s="30"/>
      <c r="IZ81" s="30"/>
      <c r="JA81" s="30"/>
      <c r="JB81" s="30"/>
      <c r="JC81" s="30"/>
      <c r="JD81" s="30"/>
      <c r="JE81" s="30"/>
      <c r="JF81" s="30"/>
      <c r="JG81" s="30"/>
      <c r="JH81" s="30"/>
      <c r="JI81" s="30"/>
      <c r="JJ81" s="30"/>
      <c r="JK81" s="30"/>
      <c r="JL81" s="30"/>
      <c r="JM81" s="30"/>
      <c r="JN81" s="30"/>
      <c r="JO81" s="30"/>
      <c r="JP81" s="30"/>
      <c r="JQ81" s="30"/>
      <c r="JR81" s="30"/>
      <c r="JS81" s="30"/>
      <c r="JT81" s="30"/>
      <c r="JU81" s="30"/>
      <c r="JV81" s="30"/>
      <c r="JW81" s="30"/>
      <c r="JX81" s="30"/>
      <c r="JY81" s="30"/>
      <c r="JZ81" s="30"/>
      <c r="KA81" s="30"/>
      <c r="KB81" s="30"/>
      <c r="KC81" s="30"/>
      <c r="KD81" s="30"/>
      <c r="KE81" s="30"/>
      <c r="KF81" s="30"/>
      <c r="KG81" s="30"/>
      <c r="KH81" s="30"/>
      <c r="KI81" s="30"/>
      <c r="KJ81" s="30"/>
      <c r="KK81" s="30"/>
      <c r="KL81" s="30"/>
      <c r="KM81" s="30"/>
      <c r="KN81" s="30"/>
      <c r="KO81" s="30"/>
      <c r="KP81" s="30"/>
      <c r="KQ81" s="30"/>
      <c r="KR81" s="30"/>
      <c r="KS81" s="30"/>
      <c r="KT81" s="30"/>
      <c r="KU81" s="30"/>
      <c r="KV81" s="30"/>
      <c r="KW81" s="30"/>
      <c r="KX81" s="30"/>
      <c r="KY81" s="30"/>
      <c r="KZ81" s="30"/>
      <c r="LA81" s="30"/>
      <c r="LB81" s="30"/>
      <c r="LC81" s="30"/>
      <c r="LD81" s="30"/>
      <c r="LE81" s="30"/>
      <c r="LF81" s="30"/>
      <c r="LG81" s="30"/>
      <c r="LH81" s="30"/>
      <c r="LI81" s="30"/>
      <c r="LJ81" s="30"/>
      <c r="LK81" s="30"/>
      <c r="LL81" s="30"/>
      <c r="LM81" s="30"/>
      <c r="LN81" s="30"/>
      <c r="LO81" s="30"/>
      <c r="LP81" s="30"/>
      <c r="LQ81" s="30"/>
      <c r="LR81" s="30"/>
      <c r="LS81" s="30"/>
      <c r="LT81" s="30"/>
      <c r="LU81" s="30"/>
      <c r="LV81" s="30"/>
      <c r="LW81" s="30"/>
      <c r="LX81" s="30"/>
      <c r="LY81" s="30"/>
      <c r="LZ81" s="30"/>
      <c r="MA81" s="30"/>
      <c r="MB81" s="30"/>
      <c r="MC81" s="30"/>
      <c r="MD81" s="30"/>
      <c r="ME81" s="30"/>
      <c r="MF81" s="30"/>
      <c r="MG81" s="30"/>
      <c r="MH81" s="30"/>
      <c r="MI81" s="30"/>
      <c r="MJ81" s="30"/>
      <c r="MK81" s="30"/>
      <c r="ML81" s="30"/>
      <c r="MM81" s="30"/>
      <c r="MN81" s="30"/>
      <c r="MO81" s="30"/>
      <c r="MP81" s="30"/>
      <c r="MQ81" s="30"/>
      <c r="MR81" s="30"/>
      <c r="MS81" s="30"/>
      <c r="MT81" s="30"/>
      <c r="MU81" s="30"/>
      <c r="MV81" s="30"/>
      <c r="MW81" s="30"/>
      <c r="MX81" s="30"/>
      <c r="MY81" s="30"/>
      <c r="MZ81" s="30"/>
      <c r="NA81" s="30"/>
      <c r="NB81" s="30"/>
      <c r="NC81" s="30"/>
      <c r="ND81" s="30"/>
      <c r="NE81" s="30"/>
      <c r="NF81" s="30"/>
      <c r="NG81" s="30"/>
      <c r="NH81" s="30"/>
      <c r="NI81" s="30"/>
      <c r="NJ81" s="30"/>
      <c r="NK81" s="30"/>
      <c r="NL81" s="30"/>
      <c r="NM81" s="30"/>
      <c r="NN81" s="30"/>
      <c r="NO81" s="30"/>
      <c r="NP81" s="30"/>
      <c r="NQ81" s="30"/>
      <c r="NR81" s="30"/>
      <c r="NS81" s="30"/>
      <c r="NT81" s="30"/>
      <c r="NU81" s="30"/>
      <c r="NV81" s="30"/>
      <c r="NW81" s="30"/>
      <c r="NX81" s="30"/>
      <c r="NY81" s="30"/>
      <c r="NZ81" s="30"/>
      <c r="OA81" s="30"/>
      <c r="OB81" s="30"/>
      <c r="OC81" s="30"/>
      <c r="OD81" s="30"/>
      <c r="OE81" s="30"/>
      <c r="OF81" s="30"/>
      <c r="OG81" s="30"/>
      <c r="OH81" s="30"/>
      <c r="OI81" s="30"/>
      <c r="OJ81" s="30"/>
      <c r="OK81" s="30"/>
      <c r="OL81" s="30"/>
      <c r="OM81" s="30"/>
      <c r="ON81" s="30"/>
      <c r="OO81" s="30"/>
      <c r="OP81" s="30"/>
      <c r="OQ81" s="30"/>
      <c r="OR81" s="30"/>
      <c r="OS81" s="30"/>
      <c r="OT81" s="30"/>
      <c r="OU81" s="30"/>
      <c r="OV81" s="30"/>
      <c r="OW81" s="30"/>
      <c r="OX81" s="30"/>
      <c r="OY81" s="30"/>
      <c r="OZ81" s="30"/>
      <c r="PA81" s="30"/>
      <c r="PB81" s="30"/>
      <c r="PC81" s="30"/>
      <c r="PD81" s="30"/>
      <c r="PE81" s="30"/>
      <c r="PF81" s="30"/>
      <c r="PG81" s="30"/>
      <c r="PH81" s="30"/>
      <c r="PI81" s="30"/>
      <c r="PJ81" s="30"/>
      <c r="PK81" s="30"/>
      <c r="PL81" s="30"/>
      <c r="PM81" s="30"/>
      <c r="PN81" s="30"/>
      <c r="PO81" s="30"/>
      <c r="PP81" s="30"/>
      <c r="PQ81" s="30"/>
      <c r="PR81" s="30"/>
      <c r="PS81" s="30"/>
      <c r="PT81" s="30"/>
      <c r="PU81" s="30"/>
      <c r="PV81" s="30"/>
      <c r="PW81" s="30"/>
      <c r="PX81" s="30"/>
      <c r="PY81" s="30"/>
      <c r="PZ81" s="30"/>
      <c r="QA81" s="30"/>
      <c r="QB81" s="30"/>
      <c r="QC81" s="30"/>
      <c r="QD81" s="30"/>
      <c r="QE81" s="30"/>
      <c r="QF81" s="30"/>
      <c r="QG81" s="30"/>
      <c r="QH81" s="30"/>
      <c r="QI81" s="30"/>
      <c r="QJ81" s="30"/>
      <c r="QK81" s="30"/>
      <c r="QL81" s="30"/>
      <c r="QM81" s="30"/>
      <c r="QN81" s="30"/>
      <c r="QO81" s="30"/>
      <c r="QP81" s="30"/>
      <c r="QQ81" s="30"/>
      <c r="QR81" s="30"/>
      <c r="QS81" s="30"/>
      <c r="QT81" s="30"/>
      <c r="QU81" s="30"/>
      <c r="QV81" s="30"/>
      <c r="QW81" s="30"/>
      <c r="QX81" s="30"/>
      <c r="QY81" s="30"/>
      <c r="QZ81" s="30"/>
      <c r="RA81" s="30"/>
      <c r="RB81" s="30"/>
      <c r="RC81" s="30"/>
      <c r="RD81" s="30"/>
      <c r="RE81" s="30"/>
      <c r="RF81" s="30"/>
      <c r="RG81" s="30"/>
      <c r="RH81" s="30"/>
      <c r="RI81" s="30"/>
      <c r="RJ81" s="30"/>
      <c r="RK81" s="30"/>
      <c r="RL81" s="30"/>
      <c r="RM81" s="30"/>
      <c r="RN81" s="30"/>
      <c r="RO81" s="30"/>
      <c r="RP81" s="30"/>
      <c r="RQ81" s="30"/>
      <c r="RR81" s="30"/>
      <c r="RS81" s="30"/>
      <c r="RT81" s="30"/>
      <c r="RU81" s="30"/>
      <c r="RV81" s="30"/>
      <c r="RW81" s="30"/>
      <c r="RX81" s="30"/>
      <c r="RY81" s="30"/>
      <c r="RZ81" s="30"/>
      <c r="SA81" s="30"/>
      <c r="SB81" s="30"/>
      <c r="SC81" s="30"/>
      <c r="SD81" s="30"/>
    </row>
    <row r="82" spans="1:498" s="20" customFormat="1" hidden="1" x14ac:dyDescent="0.25">
      <c r="A82" s="59"/>
      <c r="B82" s="68" t="s">
        <v>9</v>
      </c>
      <c r="C82" s="68"/>
      <c r="D82" s="68"/>
      <c r="E82" s="37"/>
      <c r="F82" s="22">
        <v>11490</v>
      </c>
      <c r="G82" s="22">
        <f>F82*1.0251</f>
        <v>11778.398999999999</v>
      </c>
      <c r="H82" s="22">
        <f t="shared" ref="H82:AI82" si="34">G82*1.0251</f>
        <v>12074.036814899999</v>
      </c>
      <c r="I82" s="22">
        <f t="shared" si="34"/>
        <v>12377.095138953988</v>
      </c>
      <c r="J82" s="22">
        <f t="shared" si="34"/>
        <v>12687.760226941731</v>
      </c>
      <c r="K82" s="22">
        <f t="shared" si="34"/>
        <v>13006.223008637968</v>
      </c>
      <c r="L82" s="22">
        <f t="shared" si="34"/>
        <v>13332.679206154779</v>
      </c>
      <c r="M82" s="22">
        <f t="shared" si="34"/>
        <v>13667.329454229262</v>
      </c>
      <c r="N82" s="22">
        <f t="shared" si="34"/>
        <v>14010.379423530416</v>
      </c>
      <c r="O82" s="22">
        <f t="shared" si="34"/>
        <v>14362.039947061028</v>
      </c>
      <c r="P82" s="22">
        <f t="shared" si="34"/>
        <v>14722.527149732259</v>
      </c>
      <c r="Q82" s="22">
        <f t="shared" si="34"/>
        <v>15092.062581190537</v>
      </c>
      <c r="R82" s="22">
        <f t="shared" si="34"/>
        <v>15470.873351978418</v>
      </c>
      <c r="S82" s="22">
        <f t="shared" si="34"/>
        <v>15859.192273113074</v>
      </c>
      <c r="T82" s="22">
        <f t="shared" si="34"/>
        <v>16257.257999168211</v>
      </c>
      <c r="U82" s="22">
        <f t="shared" si="34"/>
        <v>16665.315174947333</v>
      </c>
      <c r="V82" s="22">
        <f t="shared" si="34"/>
        <v>17083.61458583851</v>
      </c>
      <c r="W82" s="22">
        <f t="shared" si="34"/>
        <v>17512.413311943055</v>
      </c>
      <c r="X82" s="22">
        <f t="shared" si="34"/>
        <v>17951.974886072825</v>
      </c>
      <c r="Y82" s="22">
        <f t="shared" si="34"/>
        <v>18402.569455713252</v>
      </c>
      <c r="Z82" s="22">
        <f t="shared" si="34"/>
        <v>18864.473949051651</v>
      </c>
      <c r="AA82" s="22">
        <f t="shared" si="34"/>
        <v>19337.972245172845</v>
      </c>
      <c r="AB82" s="22">
        <f t="shared" si="34"/>
        <v>19823.355348526682</v>
      </c>
      <c r="AC82" s="22">
        <f t="shared" si="34"/>
        <v>20320.921567774702</v>
      </c>
      <c r="AD82" s="22">
        <f t="shared" si="34"/>
        <v>20830.976699125844</v>
      </c>
      <c r="AE82" s="22">
        <f t="shared" si="34"/>
        <v>21353.834214273902</v>
      </c>
      <c r="AF82" s="22">
        <f t="shared" si="34"/>
        <v>21889.815453052175</v>
      </c>
      <c r="AG82" s="22">
        <f t="shared" si="34"/>
        <v>22439.249820923782</v>
      </c>
      <c r="AH82" s="22">
        <f t="shared" si="34"/>
        <v>23002.474991428968</v>
      </c>
      <c r="AI82" s="22">
        <f t="shared" si="34"/>
        <v>23579.837113713831</v>
      </c>
      <c r="AJ82" s="59"/>
      <c r="AK82" s="59"/>
      <c r="AL82" s="59"/>
      <c r="AM82" s="59"/>
      <c r="AN82" s="59"/>
      <c r="AO82" s="59"/>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0"/>
      <c r="NH82" s="30"/>
      <c r="NI82" s="30"/>
      <c r="NJ82" s="30"/>
      <c r="NK82" s="30"/>
      <c r="NL82" s="30"/>
      <c r="NM82" s="30"/>
      <c r="NN82" s="30"/>
      <c r="NO82" s="30"/>
      <c r="NP82" s="30"/>
      <c r="NQ82" s="30"/>
      <c r="NR82" s="30"/>
      <c r="NS82" s="30"/>
      <c r="NT82" s="30"/>
      <c r="NU82" s="30"/>
      <c r="NV82" s="30"/>
      <c r="NW82" s="30"/>
      <c r="NX82" s="30"/>
      <c r="NY82" s="30"/>
      <c r="NZ82" s="30"/>
      <c r="OA82" s="30"/>
      <c r="OB82" s="30"/>
      <c r="OC82" s="30"/>
      <c r="OD82" s="30"/>
      <c r="OE82" s="30"/>
      <c r="OF82" s="30"/>
      <c r="OG82" s="30"/>
      <c r="OH82" s="30"/>
      <c r="OI82" s="30"/>
      <c r="OJ82" s="30"/>
      <c r="OK82" s="30"/>
      <c r="OL82" s="30"/>
      <c r="OM82" s="30"/>
      <c r="ON82" s="30"/>
      <c r="OO82" s="30"/>
      <c r="OP82" s="30"/>
      <c r="OQ82" s="30"/>
      <c r="OR82" s="30"/>
      <c r="OS82" s="30"/>
      <c r="OT82" s="30"/>
      <c r="OU82" s="30"/>
      <c r="OV82" s="30"/>
      <c r="OW82" s="30"/>
      <c r="OX82" s="30"/>
      <c r="OY82" s="30"/>
      <c r="OZ82" s="30"/>
      <c r="PA82" s="30"/>
      <c r="PB82" s="30"/>
      <c r="PC82" s="30"/>
      <c r="PD82" s="30"/>
      <c r="PE82" s="30"/>
      <c r="PF82" s="30"/>
      <c r="PG82" s="30"/>
      <c r="PH82" s="30"/>
      <c r="PI82" s="30"/>
      <c r="PJ82" s="30"/>
      <c r="PK82" s="30"/>
      <c r="PL82" s="30"/>
      <c r="PM82" s="30"/>
      <c r="PN82" s="30"/>
      <c r="PO82" s="30"/>
      <c r="PP82" s="30"/>
      <c r="PQ82" s="30"/>
      <c r="PR82" s="30"/>
      <c r="PS82" s="30"/>
      <c r="PT82" s="30"/>
      <c r="PU82" s="30"/>
      <c r="PV82" s="30"/>
      <c r="PW82" s="30"/>
      <c r="PX82" s="30"/>
      <c r="PY82" s="30"/>
      <c r="PZ82" s="30"/>
      <c r="QA82" s="30"/>
      <c r="QB82" s="30"/>
      <c r="QC82" s="30"/>
      <c r="QD82" s="30"/>
      <c r="QE82" s="30"/>
      <c r="QF82" s="30"/>
      <c r="QG82" s="30"/>
      <c r="QH82" s="30"/>
      <c r="QI82" s="30"/>
      <c r="QJ82" s="30"/>
      <c r="QK82" s="30"/>
      <c r="QL82" s="30"/>
      <c r="QM82" s="30"/>
      <c r="QN82" s="30"/>
      <c r="QO82" s="30"/>
      <c r="QP82" s="30"/>
      <c r="QQ82" s="30"/>
      <c r="QR82" s="30"/>
      <c r="QS82" s="30"/>
      <c r="QT82" s="30"/>
      <c r="QU82" s="30"/>
      <c r="QV82" s="30"/>
      <c r="QW82" s="30"/>
      <c r="QX82" s="30"/>
      <c r="QY82" s="30"/>
      <c r="QZ82" s="30"/>
      <c r="RA82" s="30"/>
      <c r="RB82" s="30"/>
      <c r="RC82" s="30"/>
      <c r="RD82" s="30"/>
      <c r="RE82" s="30"/>
      <c r="RF82" s="30"/>
      <c r="RG82" s="30"/>
      <c r="RH82" s="30"/>
      <c r="RI82" s="30"/>
      <c r="RJ82" s="30"/>
      <c r="RK82" s="30"/>
      <c r="RL82" s="30"/>
      <c r="RM82" s="30"/>
      <c r="RN82" s="30"/>
      <c r="RO82" s="30"/>
      <c r="RP82" s="30"/>
      <c r="RQ82" s="30"/>
      <c r="RR82" s="30"/>
      <c r="RS82" s="30"/>
      <c r="RT82" s="30"/>
      <c r="RU82" s="30"/>
      <c r="RV82" s="30"/>
      <c r="RW82" s="30"/>
      <c r="RX82" s="30"/>
      <c r="RY82" s="30"/>
      <c r="RZ82" s="30"/>
      <c r="SA82" s="30"/>
      <c r="SB82" s="30"/>
      <c r="SC82" s="30"/>
      <c r="SD82" s="30"/>
    </row>
    <row r="83" spans="1:498" s="20" customFormat="1" hidden="1" x14ac:dyDescent="0.25">
      <c r="A83" s="59"/>
      <c r="B83" s="68" t="s">
        <v>10</v>
      </c>
      <c r="C83" s="68"/>
      <c r="D83" s="68"/>
      <c r="E83" s="37"/>
      <c r="F83" s="22">
        <v>4020</v>
      </c>
      <c r="G83" s="22">
        <f>F83*1.0258</f>
        <v>4123.7160000000003</v>
      </c>
      <c r="H83" s="22">
        <f t="shared" ref="H83:AI83" si="35">G83*1.0258</f>
        <v>4230.1078728000002</v>
      </c>
      <c r="I83" s="22">
        <f t="shared" si="35"/>
        <v>4339.2446559182408</v>
      </c>
      <c r="J83" s="22">
        <f t="shared" si="35"/>
        <v>4451.1971680409315</v>
      </c>
      <c r="K83" s="22">
        <f t="shared" si="35"/>
        <v>4566.0380549763877</v>
      </c>
      <c r="L83" s="22">
        <f t="shared" si="35"/>
        <v>4683.8418367947788</v>
      </c>
      <c r="M83" s="22">
        <f t="shared" si="35"/>
        <v>4804.6849561840845</v>
      </c>
      <c r="N83" s="22">
        <f t="shared" si="35"/>
        <v>4928.6458280536344</v>
      </c>
      <c r="O83" s="22">
        <f t="shared" si="35"/>
        <v>5055.8048904174184</v>
      </c>
      <c r="P83" s="22">
        <f t="shared" si="35"/>
        <v>5186.2446565901882</v>
      </c>
      <c r="Q83" s="22">
        <f t="shared" si="35"/>
        <v>5320.049768730215</v>
      </c>
      <c r="R83" s="22">
        <f t="shared" si="35"/>
        <v>5457.3070527634545</v>
      </c>
      <c r="S83" s="22">
        <f t="shared" si="35"/>
        <v>5598.1055747247519</v>
      </c>
      <c r="T83" s="22">
        <f t="shared" si="35"/>
        <v>5742.5366985526507</v>
      </c>
      <c r="U83" s="22">
        <f t="shared" si="35"/>
        <v>5890.6941453753097</v>
      </c>
      <c r="V83" s="22">
        <f t="shared" si="35"/>
        <v>6042.674054325993</v>
      </c>
      <c r="W83" s="22">
        <f t="shared" si="35"/>
        <v>6198.5750449276038</v>
      </c>
      <c r="X83" s="22">
        <f t="shared" si="35"/>
        <v>6358.4982810867359</v>
      </c>
      <c r="Y83" s="22">
        <f t="shared" si="35"/>
        <v>6522.5475367387744</v>
      </c>
      <c r="Z83" s="22">
        <f t="shared" si="35"/>
        <v>6690.8292631866352</v>
      </c>
      <c r="AA83" s="22">
        <f t="shared" si="35"/>
        <v>6863.4526581768505</v>
      </c>
      <c r="AB83" s="22">
        <f t="shared" si="35"/>
        <v>7040.5297367578132</v>
      </c>
      <c r="AC83" s="22">
        <f t="shared" si="35"/>
        <v>7222.1754039661655</v>
      </c>
      <c r="AD83" s="22">
        <f t="shared" si="35"/>
        <v>7408.5075293884929</v>
      </c>
      <c r="AE83" s="22">
        <f t="shared" si="35"/>
        <v>7599.6470236467167</v>
      </c>
      <c r="AF83" s="22">
        <f t="shared" si="35"/>
        <v>7795.7179168568027</v>
      </c>
      <c r="AG83" s="22">
        <f t="shared" si="35"/>
        <v>7996.8474391117088</v>
      </c>
      <c r="AH83" s="22">
        <f t="shared" si="35"/>
        <v>8203.1661030407904</v>
      </c>
      <c r="AI83" s="22">
        <f t="shared" si="35"/>
        <v>8414.8077884992435</v>
      </c>
      <c r="AJ83" s="59"/>
      <c r="AK83" s="59"/>
      <c r="AL83" s="59"/>
      <c r="AM83" s="59"/>
      <c r="AN83" s="59"/>
      <c r="AO83" s="59"/>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c r="IV83" s="30"/>
      <c r="IW83" s="30"/>
      <c r="IX83" s="30"/>
      <c r="IY83" s="30"/>
      <c r="IZ83" s="30"/>
      <c r="JA83" s="30"/>
      <c r="JB83" s="30"/>
      <c r="JC83" s="30"/>
      <c r="JD83" s="30"/>
      <c r="JE83" s="30"/>
      <c r="JF83" s="30"/>
      <c r="JG83" s="30"/>
      <c r="JH83" s="30"/>
      <c r="JI83" s="30"/>
      <c r="JJ83" s="30"/>
      <c r="JK83" s="30"/>
      <c r="JL83" s="30"/>
      <c r="JM83" s="30"/>
      <c r="JN83" s="30"/>
      <c r="JO83" s="30"/>
      <c r="JP83" s="30"/>
      <c r="JQ83" s="30"/>
      <c r="JR83" s="30"/>
      <c r="JS83" s="30"/>
      <c r="JT83" s="30"/>
      <c r="JU83" s="30"/>
      <c r="JV83" s="30"/>
      <c r="JW83" s="30"/>
      <c r="JX83" s="30"/>
      <c r="JY83" s="30"/>
      <c r="JZ83" s="30"/>
      <c r="KA83" s="30"/>
      <c r="KB83" s="30"/>
      <c r="KC83" s="30"/>
      <c r="KD83" s="30"/>
      <c r="KE83" s="30"/>
      <c r="KF83" s="30"/>
      <c r="KG83" s="30"/>
      <c r="KH83" s="30"/>
      <c r="KI83" s="30"/>
      <c r="KJ83" s="30"/>
      <c r="KK83" s="30"/>
      <c r="KL83" s="30"/>
      <c r="KM83" s="30"/>
      <c r="KN83" s="30"/>
      <c r="KO83" s="30"/>
      <c r="KP83" s="30"/>
      <c r="KQ83" s="30"/>
      <c r="KR83" s="30"/>
      <c r="KS83" s="30"/>
      <c r="KT83" s="30"/>
      <c r="KU83" s="30"/>
      <c r="KV83" s="30"/>
      <c r="KW83" s="30"/>
      <c r="KX83" s="30"/>
      <c r="KY83" s="30"/>
      <c r="KZ83" s="30"/>
      <c r="LA83" s="30"/>
      <c r="LB83" s="30"/>
      <c r="LC83" s="30"/>
      <c r="LD83" s="30"/>
      <c r="LE83" s="30"/>
      <c r="LF83" s="30"/>
      <c r="LG83" s="30"/>
      <c r="LH83" s="30"/>
      <c r="LI83" s="30"/>
      <c r="LJ83" s="30"/>
      <c r="LK83" s="30"/>
      <c r="LL83" s="30"/>
      <c r="LM83" s="30"/>
      <c r="LN83" s="30"/>
      <c r="LO83" s="30"/>
      <c r="LP83" s="30"/>
      <c r="LQ83" s="30"/>
      <c r="LR83" s="30"/>
      <c r="LS83" s="30"/>
      <c r="LT83" s="30"/>
      <c r="LU83" s="30"/>
      <c r="LV83" s="30"/>
      <c r="LW83" s="30"/>
      <c r="LX83" s="30"/>
      <c r="LY83" s="30"/>
      <c r="LZ83" s="30"/>
      <c r="MA83" s="30"/>
      <c r="MB83" s="30"/>
      <c r="MC83" s="30"/>
      <c r="MD83" s="30"/>
      <c r="ME83" s="30"/>
      <c r="MF83" s="30"/>
      <c r="MG83" s="30"/>
      <c r="MH83" s="30"/>
      <c r="MI83" s="30"/>
      <c r="MJ83" s="30"/>
      <c r="MK83" s="30"/>
      <c r="ML83" s="30"/>
      <c r="MM83" s="30"/>
      <c r="MN83" s="30"/>
      <c r="MO83" s="30"/>
      <c r="MP83" s="30"/>
      <c r="MQ83" s="30"/>
      <c r="MR83" s="30"/>
      <c r="MS83" s="30"/>
      <c r="MT83" s="30"/>
      <c r="MU83" s="30"/>
      <c r="MV83" s="30"/>
      <c r="MW83" s="30"/>
      <c r="MX83" s="30"/>
      <c r="MY83" s="30"/>
      <c r="MZ83" s="30"/>
      <c r="NA83" s="30"/>
      <c r="NB83" s="30"/>
      <c r="NC83" s="30"/>
      <c r="ND83" s="30"/>
      <c r="NE83" s="30"/>
      <c r="NF83" s="30"/>
      <c r="NG83" s="30"/>
      <c r="NH83" s="30"/>
      <c r="NI83" s="30"/>
      <c r="NJ83" s="30"/>
      <c r="NK83" s="30"/>
      <c r="NL83" s="30"/>
      <c r="NM83" s="30"/>
      <c r="NN83" s="30"/>
      <c r="NO83" s="30"/>
      <c r="NP83" s="30"/>
      <c r="NQ83" s="30"/>
      <c r="NR83" s="30"/>
      <c r="NS83" s="30"/>
      <c r="NT83" s="30"/>
      <c r="NU83" s="30"/>
      <c r="NV83" s="30"/>
      <c r="NW83" s="30"/>
      <c r="NX83" s="30"/>
      <c r="NY83" s="30"/>
      <c r="NZ83" s="30"/>
      <c r="OA83" s="30"/>
      <c r="OB83" s="30"/>
      <c r="OC83" s="30"/>
      <c r="OD83" s="30"/>
      <c r="OE83" s="30"/>
      <c r="OF83" s="30"/>
      <c r="OG83" s="30"/>
      <c r="OH83" s="30"/>
      <c r="OI83" s="30"/>
      <c r="OJ83" s="30"/>
      <c r="OK83" s="30"/>
      <c r="OL83" s="30"/>
      <c r="OM83" s="30"/>
      <c r="ON83" s="30"/>
      <c r="OO83" s="30"/>
      <c r="OP83" s="30"/>
      <c r="OQ83" s="30"/>
      <c r="OR83" s="30"/>
      <c r="OS83" s="30"/>
      <c r="OT83" s="30"/>
      <c r="OU83" s="30"/>
      <c r="OV83" s="30"/>
      <c r="OW83" s="30"/>
      <c r="OX83" s="30"/>
      <c r="OY83" s="30"/>
      <c r="OZ83" s="30"/>
      <c r="PA83" s="30"/>
      <c r="PB83" s="30"/>
      <c r="PC83" s="30"/>
      <c r="PD83" s="30"/>
      <c r="PE83" s="30"/>
      <c r="PF83" s="30"/>
      <c r="PG83" s="30"/>
      <c r="PH83" s="30"/>
      <c r="PI83" s="30"/>
      <c r="PJ83" s="30"/>
      <c r="PK83" s="30"/>
      <c r="PL83" s="30"/>
      <c r="PM83" s="30"/>
      <c r="PN83" s="30"/>
      <c r="PO83" s="30"/>
      <c r="PP83" s="30"/>
      <c r="PQ83" s="30"/>
      <c r="PR83" s="30"/>
      <c r="PS83" s="30"/>
      <c r="PT83" s="30"/>
      <c r="PU83" s="30"/>
      <c r="PV83" s="30"/>
      <c r="PW83" s="30"/>
      <c r="PX83" s="30"/>
      <c r="PY83" s="30"/>
      <c r="PZ83" s="30"/>
      <c r="QA83" s="30"/>
      <c r="QB83" s="30"/>
      <c r="QC83" s="30"/>
      <c r="QD83" s="30"/>
      <c r="QE83" s="30"/>
      <c r="QF83" s="30"/>
      <c r="QG83" s="30"/>
      <c r="QH83" s="30"/>
      <c r="QI83" s="30"/>
      <c r="QJ83" s="30"/>
      <c r="QK83" s="30"/>
      <c r="QL83" s="30"/>
      <c r="QM83" s="30"/>
      <c r="QN83" s="30"/>
      <c r="QO83" s="30"/>
      <c r="QP83" s="30"/>
      <c r="QQ83" s="30"/>
      <c r="QR83" s="30"/>
      <c r="QS83" s="30"/>
      <c r="QT83" s="30"/>
      <c r="QU83" s="30"/>
      <c r="QV83" s="30"/>
      <c r="QW83" s="30"/>
      <c r="QX83" s="30"/>
      <c r="QY83" s="30"/>
      <c r="QZ83" s="30"/>
      <c r="RA83" s="30"/>
      <c r="RB83" s="30"/>
      <c r="RC83" s="30"/>
      <c r="RD83" s="30"/>
      <c r="RE83" s="30"/>
      <c r="RF83" s="30"/>
      <c r="RG83" s="30"/>
      <c r="RH83" s="30"/>
      <c r="RI83" s="30"/>
      <c r="RJ83" s="30"/>
      <c r="RK83" s="30"/>
      <c r="RL83" s="30"/>
      <c r="RM83" s="30"/>
      <c r="RN83" s="30"/>
      <c r="RO83" s="30"/>
      <c r="RP83" s="30"/>
      <c r="RQ83" s="30"/>
      <c r="RR83" s="30"/>
      <c r="RS83" s="30"/>
      <c r="RT83" s="30"/>
      <c r="RU83" s="30"/>
      <c r="RV83" s="30"/>
      <c r="RW83" s="30"/>
      <c r="RX83" s="30"/>
      <c r="RY83" s="30"/>
      <c r="RZ83" s="30"/>
      <c r="SA83" s="30"/>
      <c r="SB83" s="30"/>
      <c r="SC83" s="30"/>
      <c r="SD83" s="30"/>
    </row>
    <row r="84" spans="1:498" s="20" customFormat="1" hidden="1" x14ac:dyDescent="0.25">
      <c r="A84" s="59"/>
      <c r="B84" s="68" t="s">
        <v>11</v>
      </c>
      <c r="C84" s="68"/>
      <c r="D84" s="69">
        <f>C11</f>
        <v>0.12875</v>
      </c>
      <c r="E84" s="38"/>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J84" s="59"/>
      <c r="AK84" s="59"/>
      <c r="AL84" s="59"/>
      <c r="AM84" s="59"/>
      <c r="AN84" s="59"/>
      <c r="AO84" s="59"/>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c r="IV84" s="30"/>
      <c r="IW84" s="30"/>
      <c r="IX84" s="30"/>
      <c r="IY84" s="30"/>
      <c r="IZ84" s="30"/>
      <c r="JA84" s="30"/>
      <c r="JB84" s="30"/>
      <c r="JC84" s="30"/>
      <c r="JD84" s="30"/>
      <c r="JE84" s="30"/>
      <c r="JF84" s="30"/>
      <c r="JG84" s="30"/>
      <c r="JH84" s="30"/>
      <c r="JI84" s="30"/>
      <c r="JJ84" s="30"/>
      <c r="JK84" s="30"/>
      <c r="JL84" s="30"/>
      <c r="JM84" s="30"/>
      <c r="JN84" s="30"/>
      <c r="JO84" s="30"/>
      <c r="JP84" s="30"/>
      <c r="JQ84" s="30"/>
      <c r="JR84" s="30"/>
      <c r="JS84" s="30"/>
      <c r="JT84" s="30"/>
      <c r="JU84" s="30"/>
      <c r="JV84" s="30"/>
      <c r="JW84" s="30"/>
      <c r="JX84" s="30"/>
      <c r="JY84" s="30"/>
      <c r="JZ84" s="30"/>
      <c r="KA84" s="30"/>
      <c r="KB84" s="30"/>
      <c r="KC84" s="30"/>
      <c r="KD84" s="30"/>
      <c r="KE84" s="30"/>
      <c r="KF84" s="30"/>
      <c r="KG84" s="30"/>
      <c r="KH84" s="30"/>
      <c r="KI84" s="30"/>
      <c r="KJ84" s="30"/>
      <c r="KK84" s="30"/>
      <c r="KL84" s="30"/>
      <c r="KM84" s="30"/>
      <c r="KN84" s="30"/>
      <c r="KO84" s="30"/>
      <c r="KP84" s="30"/>
      <c r="KQ84" s="30"/>
      <c r="KR84" s="30"/>
      <c r="KS84" s="30"/>
      <c r="KT84" s="30"/>
      <c r="KU84" s="30"/>
      <c r="KV84" s="30"/>
      <c r="KW84" s="30"/>
      <c r="KX84" s="30"/>
      <c r="KY84" s="30"/>
      <c r="KZ84" s="30"/>
      <c r="LA84" s="30"/>
      <c r="LB84" s="30"/>
      <c r="LC84" s="30"/>
      <c r="LD84" s="30"/>
      <c r="LE84" s="30"/>
      <c r="LF84" s="30"/>
      <c r="LG84" s="30"/>
      <c r="LH84" s="30"/>
      <c r="LI84" s="30"/>
      <c r="LJ84" s="30"/>
      <c r="LK84" s="30"/>
      <c r="LL84" s="30"/>
      <c r="LM84" s="30"/>
      <c r="LN84" s="30"/>
      <c r="LO84" s="30"/>
      <c r="LP84" s="30"/>
      <c r="LQ84" s="30"/>
      <c r="LR84" s="30"/>
      <c r="LS84" s="30"/>
      <c r="LT84" s="30"/>
      <c r="LU84" s="30"/>
      <c r="LV84" s="30"/>
      <c r="LW84" s="30"/>
      <c r="LX84" s="30"/>
      <c r="LY84" s="30"/>
      <c r="LZ84" s="30"/>
      <c r="MA84" s="30"/>
      <c r="MB84" s="30"/>
      <c r="MC84" s="30"/>
      <c r="MD84" s="30"/>
      <c r="ME84" s="30"/>
      <c r="MF84" s="30"/>
      <c r="MG84" s="30"/>
      <c r="MH84" s="30"/>
      <c r="MI84" s="30"/>
      <c r="MJ84" s="30"/>
      <c r="MK84" s="30"/>
      <c r="ML84" s="30"/>
      <c r="MM84" s="30"/>
      <c r="MN84" s="30"/>
      <c r="MO84" s="30"/>
      <c r="MP84" s="30"/>
      <c r="MQ84" s="30"/>
      <c r="MR84" s="30"/>
      <c r="MS84" s="30"/>
      <c r="MT84" s="30"/>
      <c r="MU84" s="30"/>
      <c r="MV84" s="30"/>
      <c r="MW84" s="30"/>
      <c r="MX84" s="30"/>
      <c r="MY84" s="30"/>
      <c r="MZ84" s="30"/>
      <c r="NA84" s="30"/>
      <c r="NB84" s="30"/>
      <c r="NC84" s="30"/>
      <c r="ND84" s="30"/>
      <c r="NE84" s="30"/>
      <c r="NF84" s="30"/>
      <c r="NG84" s="30"/>
      <c r="NH84" s="30"/>
      <c r="NI84" s="30"/>
      <c r="NJ84" s="30"/>
      <c r="NK84" s="30"/>
      <c r="NL84" s="30"/>
      <c r="NM84" s="30"/>
      <c r="NN84" s="30"/>
      <c r="NO84" s="30"/>
      <c r="NP84" s="30"/>
      <c r="NQ84" s="30"/>
      <c r="NR84" s="30"/>
      <c r="NS84" s="30"/>
      <c r="NT84" s="30"/>
      <c r="NU84" s="30"/>
      <c r="NV84" s="30"/>
      <c r="NW84" s="30"/>
      <c r="NX84" s="30"/>
      <c r="NY84" s="30"/>
      <c r="NZ84" s="30"/>
      <c r="OA84" s="30"/>
      <c r="OB84" s="30"/>
      <c r="OC84" s="30"/>
      <c r="OD84" s="30"/>
      <c r="OE84" s="30"/>
      <c r="OF84" s="30"/>
      <c r="OG84" s="30"/>
      <c r="OH84" s="30"/>
      <c r="OI84" s="30"/>
      <c r="OJ84" s="30"/>
      <c r="OK84" s="30"/>
      <c r="OL84" s="30"/>
      <c r="OM84" s="30"/>
      <c r="ON84" s="30"/>
      <c r="OO84" s="30"/>
      <c r="OP84" s="30"/>
      <c r="OQ84" s="30"/>
      <c r="OR84" s="30"/>
      <c r="OS84" s="30"/>
      <c r="OT84" s="30"/>
      <c r="OU84" s="30"/>
      <c r="OV84" s="30"/>
      <c r="OW84" s="30"/>
      <c r="OX84" s="30"/>
      <c r="OY84" s="30"/>
      <c r="OZ84" s="30"/>
      <c r="PA84" s="30"/>
      <c r="PB84" s="30"/>
      <c r="PC84" s="30"/>
      <c r="PD84" s="30"/>
      <c r="PE84" s="30"/>
      <c r="PF84" s="30"/>
      <c r="PG84" s="30"/>
      <c r="PH84" s="30"/>
      <c r="PI84" s="30"/>
      <c r="PJ84" s="30"/>
      <c r="PK84" s="30"/>
      <c r="PL84" s="30"/>
      <c r="PM84" s="30"/>
      <c r="PN84" s="30"/>
      <c r="PO84" s="30"/>
      <c r="PP84" s="30"/>
      <c r="PQ84" s="30"/>
      <c r="PR84" s="30"/>
      <c r="PS84" s="30"/>
      <c r="PT84" s="30"/>
      <c r="PU84" s="30"/>
      <c r="PV84" s="30"/>
      <c r="PW84" s="30"/>
      <c r="PX84" s="30"/>
      <c r="PY84" s="30"/>
      <c r="PZ84" s="30"/>
      <c r="QA84" s="30"/>
      <c r="QB84" s="30"/>
      <c r="QC84" s="30"/>
      <c r="QD84" s="30"/>
      <c r="QE84" s="30"/>
      <c r="QF84" s="30"/>
      <c r="QG84" s="30"/>
      <c r="QH84" s="30"/>
      <c r="QI84" s="30"/>
      <c r="QJ84" s="30"/>
      <c r="QK84" s="30"/>
      <c r="QL84" s="30"/>
      <c r="QM84" s="30"/>
      <c r="QN84" s="30"/>
      <c r="QO84" s="30"/>
      <c r="QP84" s="30"/>
      <c r="QQ84" s="30"/>
      <c r="QR84" s="30"/>
      <c r="QS84" s="30"/>
      <c r="QT84" s="30"/>
      <c r="QU84" s="30"/>
      <c r="QV84" s="30"/>
      <c r="QW84" s="30"/>
      <c r="QX84" s="30"/>
      <c r="QY84" s="30"/>
      <c r="QZ84" s="30"/>
      <c r="RA84" s="30"/>
      <c r="RB84" s="30"/>
      <c r="RC84" s="30"/>
      <c r="RD84" s="30"/>
      <c r="RE84" s="30"/>
      <c r="RF84" s="30"/>
      <c r="RG84" s="30"/>
      <c r="RH84" s="30"/>
      <c r="RI84" s="30"/>
      <c r="RJ84" s="30"/>
      <c r="RK84" s="30"/>
      <c r="RL84" s="30"/>
      <c r="RM84" s="30"/>
      <c r="RN84" s="30"/>
      <c r="RO84" s="30"/>
      <c r="RP84" s="30"/>
      <c r="RQ84" s="30"/>
      <c r="RR84" s="30"/>
      <c r="RS84" s="30"/>
      <c r="RT84" s="30"/>
      <c r="RU84" s="30"/>
      <c r="RV84" s="30"/>
      <c r="RW84" s="30"/>
      <c r="RX84" s="30"/>
      <c r="RY84" s="30"/>
      <c r="RZ84" s="30"/>
      <c r="SA84" s="30"/>
      <c r="SB84" s="30"/>
      <c r="SC84" s="30"/>
      <c r="SD84" s="30"/>
    </row>
    <row r="85" spans="1:498" s="20" customFormat="1" hidden="1" x14ac:dyDescent="0.25">
      <c r="A85" s="59"/>
      <c r="B85" s="68" t="s">
        <v>12</v>
      </c>
      <c r="C85" s="68"/>
      <c r="D85" s="70">
        <f>F113*12</f>
        <v>3565.7847783083384</v>
      </c>
      <c r="E85" s="39"/>
      <c r="G85" s="22"/>
      <c r="H85" s="22"/>
      <c r="I85" s="22"/>
      <c r="J85" s="22"/>
      <c r="K85" s="22"/>
      <c r="L85" s="22"/>
      <c r="M85" s="22"/>
      <c r="N85" s="22"/>
      <c r="O85" s="22"/>
      <c r="P85" s="22"/>
      <c r="Q85" s="22"/>
      <c r="R85" s="22"/>
      <c r="S85" s="22"/>
      <c r="T85" s="22"/>
      <c r="U85" s="22"/>
      <c r="V85" s="22"/>
      <c r="W85" s="22"/>
      <c r="X85" s="22"/>
      <c r="Y85" s="22"/>
      <c r="Z85" s="22"/>
      <c r="AA85" s="22"/>
      <c r="AB85" s="22"/>
      <c r="AC85" s="22"/>
      <c r="AD85" s="22"/>
      <c r="AJ85" s="59"/>
      <c r="AK85" s="59"/>
      <c r="AL85" s="59"/>
      <c r="AM85" s="59"/>
      <c r="AN85" s="59"/>
      <c r="AO85" s="59"/>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c r="IV85" s="30"/>
      <c r="IW85" s="30"/>
      <c r="IX85" s="30"/>
      <c r="IY85" s="30"/>
      <c r="IZ85" s="30"/>
      <c r="JA85" s="30"/>
      <c r="JB85" s="30"/>
      <c r="JC85" s="30"/>
      <c r="JD85" s="30"/>
      <c r="JE85" s="30"/>
      <c r="JF85" s="30"/>
      <c r="JG85" s="30"/>
      <c r="JH85" s="30"/>
      <c r="JI85" s="30"/>
      <c r="JJ85" s="30"/>
      <c r="JK85" s="30"/>
      <c r="JL85" s="30"/>
      <c r="JM85" s="30"/>
      <c r="JN85" s="30"/>
      <c r="JO85" s="30"/>
      <c r="JP85" s="30"/>
      <c r="JQ85" s="30"/>
      <c r="JR85" s="30"/>
      <c r="JS85" s="30"/>
      <c r="JT85" s="30"/>
      <c r="JU85" s="30"/>
      <c r="JV85" s="30"/>
      <c r="JW85" s="30"/>
      <c r="JX85" s="30"/>
      <c r="JY85" s="30"/>
      <c r="JZ85" s="30"/>
      <c r="KA85" s="30"/>
      <c r="KB85" s="30"/>
      <c r="KC85" s="30"/>
      <c r="KD85" s="30"/>
      <c r="KE85" s="30"/>
      <c r="KF85" s="30"/>
      <c r="KG85" s="30"/>
      <c r="KH85" s="30"/>
      <c r="KI85" s="30"/>
      <c r="KJ85" s="30"/>
      <c r="KK85" s="30"/>
      <c r="KL85" s="30"/>
      <c r="KM85" s="30"/>
      <c r="KN85" s="30"/>
      <c r="KO85" s="30"/>
      <c r="KP85" s="30"/>
      <c r="KQ85" s="30"/>
      <c r="KR85" s="30"/>
      <c r="KS85" s="30"/>
      <c r="KT85" s="30"/>
      <c r="KU85" s="30"/>
      <c r="KV85" s="30"/>
      <c r="KW85" s="30"/>
      <c r="KX85" s="30"/>
      <c r="KY85" s="30"/>
      <c r="KZ85" s="30"/>
      <c r="LA85" s="30"/>
      <c r="LB85" s="30"/>
      <c r="LC85" s="30"/>
      <c r="LD85" s="30"/>
      <c r="LE85" s="30"/>
      <c r="LF85" s="30"/>
      <c r="LG85" s="30"/>
      <c r="LH85" s="30"/>
      <c r="LI85" s="30"/>
      <c r="LJ85" s="30"/>
      <c r="LK85" s="30"/>
      <c r="LL85" s="30"/>
      <c r="LM85" s="30"/>
      <c r="LN85" s="30"/>
      <c r="LO85" s="30"/>
      <c r="LP85" s="30"/>
      <c r="LQ85" s="30"/>
      <c r="LR85" s="30"/>
      <c r="LS85" s="30"/>
      <c r="LT85" s="30"/>
      <c r="LU85" s="30"/>
      <c r="LV85" s="30"/>
      <c r="LW85" s="30"/>
      <c r="LX85" s="30"/>
      <c r="LY85" s="30"/>
      <c r="LZ85" s="30"/>
      <c r="MA85" s="30"/>
      <c r="MB85" s="30"/>
      <c r="MC85" s="30"/>
      <c r="MD85" s="30"/>
      <c r="ME85" s="30"/>
      <c r="MF85" s="30"/>
      <c r="MG85" s="30"/>
      <c r="MH85" s="30"/>
      <c r="MI85" s="30"/>
      <c r="MJ85" s="30"/>
      <c r="MK85" s="30"/>
      <c r="ML85" s="30"/>
      <c r="MM85" s="30"/>
      <c r="MN85" s="30"/>
      <c r="MO85" s="30"/>
      <c r="MP85" s="30"/>
      <c r="MQ85" s="30"/>
      <c r="MR85" s="30"/>
      <c r="MS85" s="30"/>
      <c r="MT85" s="30"/>
      <c r="MU85" s="30"/>
      <c r="MV85" s="30"/>
      <c r="MW85" s="30"/>
      <c r="MX85" s="30"/>
      <c r="MY85" s="30"/>
      <c r="MZ85" s="30"/>
      <c r="NA85" s="30"/>
      <c r="NB85" s="30"/>
      <c r="NC85" s="30"/>
      <c r="ND85" s="30"/>
      <c r="NE85" s="30"/>
      <c r="NF85" s="30"/>
      <c r="NG85" s="30"/>
      <c r="NH85" s="30"/>
      <c r="NI85" s="30"/>
      <c r="NJ85" s="30"/>
      <c r="NK85" s="30"/>
      <c r="NL85" s="30"/>
      <c r="NM85" s="30"/>
      <c r="NN85" s="30"/>
      <c r="NO85" s="30"/>
      <c r="NP85" s="30"/>
      <c r="NQ85" s="30"/>
      <c r="NR85" s="30"/>
      <c r="NS85" s="30"/>
      <c r="NT85" s="30"/>
      <c r="NU85" s="30"/>
      <c r="NV85" s="30"/>
      <c r="NW85" s="30"/>
      <c r="NX85" s="30"/>
      <c r="NY85" s="30"/>
      <c r="NZ85" s="30"/>
      <c r="OA85" s="30"/>
      <c r="OB85" s="30"/>
      <c r="OC85" s="30"/>
      <c r="OD85" s="30"/>
      <c r="OE85" s="30"/>
      <c r="OF85" s="30"/>
      <c r="OG85" s="30"/>
      <c r="OH85" s="30"/>
      <c r="OI85" s="30"/>
      <c r="OJ85" s="30"/>
      <c r="OK85" s="30"/>
      <c r="OL85" s="30"/>
      <c r="OM85" s="30"/>
      <c r="ON85" s="30"/>
      <c r="OO85" s="30"/>
      <c r="OP85" s="30"/>
      <c r="OQ85" s="30"/>
      <c r="OR85" s="30"/>
      <c r="OS85" s="30"/>
      <c r="OT85" s="30"/>
      <c r="OU85" s="30"/>
      <c r="OV85" s="30"/>
      <c r="OW85" s="30"/>
      <c r="OX85" s="30"/>
      <c r="OY85" s="30"/>
      <c r="OZ85" s="30"/>
      <c r="PA85" s="30"/>
      <c r="PB85" s="30"/>
      <c r="PC85" s="30"/>
      <c r="PD85" s="30"/>
      <c r="PE85" s="30"/>
      <c r="PF85" s="30"/>
      <c r="PG85" s="30"/>
      <c r="PH85" s="30"/>
      <c r="PI85" s="30"/>
      <c r="PJ85" s="30"/>
      <c r="PK85" s="30"/>
      <c r="PL85" s="30"/>
      <c r="PM85" s="30"/>
      <c r="PN85" s="30"/>
      <c r="PO85" s="30"/>
      <c r="PP85" s="30"/>
      <c r="PQ85" s="30"/>
      <c r="PR85" s="30"/>
      <c r="PS85" s="30"/>
      <c r="PT85" s="30"/>
      <c r="PU85" s="30"/>
      <c r="PV85" s="30"/>
      <c r="PW85" s="30"/>
      <c r="PX85" s="30"/>
      <c r="PY85" s="30"/>
      <c r="PZ85" s="30"/>
      <c r="QA85" s="30"/>
      <c r="QB85" s="30"/>
      <c r="QC85" s="30"/>
      <c r="QD85" s="30"/>
      <c r="QE85" s="30"/>
      <c r="QF85" s="30"/>
      <c r="QG85" s="30"/>
      <c r="QH85" s="30"/>
      <c r="QI85" s="30"/>
      <c r="QJ85" s="30"/>
      <c r="QK85" s="30"/>
      <c r="QL85" s="30"/>
      <c r="QM85" s="30"/>
      <c r="QN85" s="30"/>
      <c r="QO85" s="30"/>
      <c r="QP85" s="30"/>
      <c r="QQ85" s="30"/>
      <c r="QR85" s="30"/>
      <c r="QS85" s="30"/>
      <c r="QT85" s="30"/>
      <c r="QU85" s="30"/>
      <c r="QV85" s="30"/>
      <c r="QW85" s="30"/>
      <c r="QX85" s="30"/>
      <c r="QY85" s="30"/>
      <c r="QZ85" s="30"/>
      <c r="RA85" s="30"/>
      <c r="RB85" s="30"/>
      <c r="RC85" s="30"/>
      <c r="RD85" s="30"/>
      <c r="RE85" s="30"/>
      <c r="RF85" s="30"/>
      <c r="RG85" s="30"/>
      <c r="RH85" s="30"/>
      <c r="RI85" s="30"/>
      <c r="RJ85" s="30"/>
      <c r="RK85" s="30"/>
      <c r="RL85" s="30"/>
      <c r="RM85" s="30"/>
      <c r="RN85" s="30"/>
      <c r="RO85" s="30"/>
      <c r="RP85" s="30"/>
      <c r="RQ85" s="30"/>
      <c r="RR85" s="30"/>
      <c r="RS85" s="30"/>
      <c r="RT85" s="30"/>
      <c r="RU85" s="30"/>
      <c r="RV85" s="30"/>
      <c r="RW85" s="30"/>
      <c r="RX85" s="30"/>
      <c r="RY85" s="30"/>
      <c r="RZ85" s="30"/>
      <c r="SA85" s="30"/>
      <c r="SB85" s="30"/>
      <c r="SC85" s="30"/>
      <c r="SD85" s="30"/>
    </row>
    <row r="86" spans="1:498" s="20" customFormat="1" hidden="1" x14ac:dyDescent="0.25">
      <c r="A86" s="59"/>
      <c r="B86" s="68" t="s">
        <v>13</v>
      </c>
      <c r="C86" s="68"/>
      <c r="D86" s="68"/>
      <c r="E86" s="40"/>
      <c r="F86" s="23">
        <f>F100*12</f>
        <v>1914.7049999999999</v>
      </c>
      <c r="G86" s="23">
        <f>IF(
F89=0+N("If the preceding year's loan balance is zero then"),
0+N("the current IBR payment is zero")+N("If the condition is not met then"),
IF(
AND(
G89=0+N("If this year's loan balance will be zero AND"),
I89=0+N("two year's from now it will be zero, then")),
F89+N("this is the last year of payment, and therefore the total payment made this year will simply be the remaining loan balance from last year")+N("If not then"),
G100*12+N("The monthly IBR payment multiplied by twelve")))</f>
        <v>2029.8134250000003</v>
      </c>
      <c r="H86" s="23">
        <f>IF(
G89=0+N("If the preceding year's loan balance is zero then"),
0+N("the current IBR payment is zero")+N("If the condition is not met then"),
IF(
AND(
H89=0+N("If this year's loan balance will be zero AND"),
J89=0+N("two year's from now it will be zero, then")),
G89+N("this is the last year of payment, and therefore the total payment made this year will simply be the remaining loan balance from last year")+N("If not then"),
H100*12+N("The monthly IBR payment multiplied by twelve")))</f>
        <v>2150.4930446475009</v>
      </c>
      <c r="I86" s="23">
        <f>IF(
H89=0+N("If the preceding year's loan balance is zero then"),
0+N("the current IBR payment is zero")+N("If the condition is not met then"),
IF(
AND(
I89=0+N("If this year's loan balance will be zero AND"),
K89=0+N("two year's from now it will be zero, then")),
H89+N("this is the last year of payment, and therefore the total payment made this year will simply be the remaining loan balance from last year")+N("If not then"),
I100*12+N("The monthly IBR payment multiplied by twelve")))</f>
        <v>2276.9909748553528</v>
      </c>
      <c r="J86" s="23">
        <f t="shared" ref="J86:Y86" si="36">IF(
I89=0+N("If the preceding year's loan balance is zero then"),
0+N("the current IBR payment is zero")+N("If the condition is not met then"),
IF(
AND(
J89=0+N("If this year's loan balance will be zero AND"),
L89=0+N("two year's from now it will be zero, then")),
I89+N("this is the last year of payment, and therefore the total payment made this year will simply be the remaining loan balance from last year")+N("If not then"),
J100*12+N("The monthly IBR payment multiplied by twelve")))</f>
        <v>2409.5648253029108</v>
      </c>
      <c r="K86" s="23">
        <f t="shared" si="36"/>
        <v>2548.48313447585</v>
      </c>
      <c r="L86" s="23">
        <f t="shared" si="36"/>
        <v>2694.0258224913428</v>
      </c>
      <c r="M86" s="23">
        <f t="shared" si="36"/>
        <v>2846.4846624296315</v>
      </c>
      <c r="N86" s="23">
        <f t="shared" si="36"/>
        <v>3006.1637709221204</v>
      </c>
      <c r="O86" s="23">
        <f t="shared" si="36"/>
        <v>3173.3801187763911</v>
      </c>
      <c r="P86" s="23">
        <f t="shared" si="36"/>
        <v>3348.4640624499698</v>
      </c>
      <c r="Q86" s="23">
        <f t="shared" si="36"/>
        <v>3531.7598972174455</v>
      </c>
      <c r="R86" s="23">
        <f t="shared" si="36"/>
        <v>3565.7847783083384</v>
      </c>
      <c r="S86" s="23">
        <f t="shared" si="36"/>
        <v>3565.7847783083384</v>
      </c>
      <c r="T86" s="23">
        <f t="shared" si="36"/>
        <v>3565.7847783083384</v>
      </c>
      <c r="U86" s="23">
        <f t="shared" si="36"/>
        <v>3565.7847783083384</v>
      </c>
      <c r="V86" s="23">
        <f t="shared" si="36"/>
        <v>3565.7847783083384</v>
      </c>
      <c r="W86" s="23">
        <f t="shared" si="36"/>
        <v>3565.7847783083384</v>
      </c>
      <c r="X86" s="23">
        <f t="shared" si="36"/>
        <v>3565.7847783083384</v>
      </c>
      <c r="Y86" s="23">
        <f t="shared" si="36"/>
        <v>3565.7847783083384</v>
      </c>
      <c r="Z86" s="23">
        <f>IF(
$C$15=0.1+N("If the interest rate is ten percent, THEN"),
0+N("The annual IBR payment is zero because the loan have been forgiven")+N("If that condition is not met THEN"),
IF(
Y89=0+N("If the preceding year's loan balance is zero then"),
0+N("the current IBR payment is zero")+N("If the condition is not met then"),
IF(
AND(
Z89=0+N("If this year's loan balance will be zero AND"),
AB89=0+N("two year's from now it will be zero, then")),
Y89+N("this is the last year of payment, and therefore the total payment made this year will simply be the remaining loan balance from last year")+N("If not then"),
Z100*12+N("The monthly IBR payment multiplied by twelve"))))</f>
        <v>3565.7847783083384</v>
      </c>
      <c r="AA86" s="23">
        <f t="shared" ref="AA86:AC86" si="37">IF(
$C$15=0.1+N("If the interest rate is ten percent, THEN"),
0+N("The annual IBR payment is zero because the loan have been forgiven")+N("If that condition is not met THEN"),
IF(
Z89=0+N("If the preceding year's loan balance is zero then"),
0+N("the current IBR payment is zero")+N("If the condition is not met then"),
IF(
AND(
AA89=0+N("If this year's loan balance will be zero AND"),
AC89=0+N("two year's from now it will be zero, then")),
Z89+N("this is the last year of payment, and therefore the total payment made this year will simply be the remaining loan balance from last year")+N("If not then"),
AA100*12+N("The monthly IBR payment multiplied by twelve"))))</f>
        <v>1714.5545826023958</v>
      </c>
      <c r="AB86" s="23">
        <f t="shared" si="37"/>
        <v>0</v>
      </c>
      <c r="AC86" s="23">
        <f t="shared" si="37"/>
        <v>0</v>
      </c>
      <c r="AD86" s="23">
        <f>IF($C$15=0.1,0,IF(AC89=0,0,IF(AND(AD89=0,AF89=0),AC89,AD100*12)))</f>
        <v>0</v>
      </c>
      <c r="AE86" s="7"/>
      <c r="AF86" s="7"/>
      <c r="AG86" s="7"/>
      <c r="AH86" s="7"/>
      <c r="AI86" s="7"/>
      <c r="AJ86" s="59"/>
      <c r="AK86" s="59"/>
      <c r="AL86" s="59"/>
      <c r="AM86" s="59"/>
      <c r="AN86" s="59"/>
      <c r="AO86" s="59"/>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c r="GU86" s="30"/>
      <c r="GV86" s="30"/>
      <c r="GW86" s="30"/>
      <c r="GX86" s="30"/>
      <c r="GY86" s="30"/>
      <c r="GZ86" s="30"/>
      <c r="HA86" s="30"/>
      <c r="HB86" s="30"/>
      <c r="HC86" s="30"/>
      <c r="HD86" s="30"/>
      <c r="HE86" s="30"/>
      <c r="HF86" s="30"/>
      <c r="HG86" s="30"/>
      <c r="HH86" s="30"/>
      <c r="HI86" s="30"/>
      <c r="HJ86" s="30"/>
      <c r="HK86" s="30"/>
      <c r="HL86" s="30"/>
      <c r="HM86" s="30"/>
      <c r="HN86" s="30"/>
      <c r="HO86" s="30"/>
      <c r="HP86" s="30"/>
      <c r="HQ86" s="30"/>
      <c r="HR86" s="30"/>
      <c r="HS86" s="30"/>
      <c r="HT86" s="30"/>
      <c r="HU86" s="30"/>
      <c r="HV86" s="30"/>
      <c r="HW86" s="30"/>
      <c r="HX86" s="30"/>
      <c r="HY86" s="30"/>
      <c r="HZ86" s="30"/>
      <c r="IA86" s="30"/>
      <c r="IB86" s="30"/>
      <c r="IC86" s="30"/>
      <c r="ID86" s="30"/>
      <c r="IE86" s="30"/>
      <c r="IF86" s="30"/>
      <c r="IG86" s="30"/>
      <c r="IH86" s="30"/>
      <c r="II86" s="30"/>
      <c r="IJ86" s="30"/>
      <c r="IK86" s="30"/>
      <c r="IL86" s="30"/>
      <c r="IM86" s="30"/>
      <c r="IN86" s="30"/>
      <c r="IO86" s="30"/>
      <c r="IP86" s="30"/>
      <c r="IQ86" s="30"/>
      <c r="IR86" s="30"/>
      <c r="IS86" s="30"/>
      <c r="IT86" s="30"/>
      <c r="IU86" s="30"/>
      <c r="IV86" s="30"/>
      <c r="IW86" s="30"/>
      <c r="IX86" s="30"/>
      <c r="IY86" s="30"/>
      <c r="IZ86" s="30"/>
      <c r="JA86" s="30"/>
      <c r="JB86" s="30"/>
      <c r="JC86" s="30"/>
      <c r="JD86" s="30"/>
      <c r="JE86" s="30"/>
      <c r="JF86" s="30"/>
      <c r="JG86" s="30"/>
      <c r="JH86" s="30"/>
      <c r="JI86" s="30"/>
      <c r="JJ86" s="30"/>
      <c r="JK86" s="30"/>
      <c r="JL86" s="30"/>
      <c r="JM86" s="30"/>
      <c r="JN86" s="30"/>
      <c r="JO86" s="30"/>
      <c r="JP86" s="30"/>
      <c r="JQ86" s="30"/>
      <c r="JR86" s="30"/>
      <c r="JS86" s="30"/>
      <c r="JT86" s="30"/>
      <c r="JU86" s="30"/>
      <c r="JV86" s="30"/>
      <c r="JW86" s="30"/>
      <c r="JX86" s="30"/>
      <c r="JY86" s="30"/>
      <c r="JZ86" s="30"/>
      <c r="KA86" s="30"/>
      <c r="KB86" s="30"/>
      <c r="KC86" s="30"/>
      <c r="KD86" s="30"/>
      <c r="KE86" s="30"/>
      <c r="KF86" s="30"/>
      <c r="KG86" s="30"/>
      <c r="KH86" s="30"/>
      <c r="KI86" s="30"/>
      <c r="KJ86" s="30"/>
      <c r="KK86" s="30"/>
      <c r="KL86" s="30"/>
      <c r="KM86" s="30"/>
      <c r="KN86" s="30"/>
      <c r="KO86" s="30"/>
      <c r="KP86" s="30"/>
      <c r="KQ86" s="30"/>
      <c r="KR86" s="30"/>
      <c r="KS86" s="30"/>
      <c r="KT86" s="30"/>
      <c r="KU86" s="30"/>
      <c r="KV86" s="30"/>
      <c r="KW86" s="30"/>
      <c r="KX86" s="30"/>
      <c r="KY86" s="30"/>
      <c r="KZ86" s="30"/>
      <c r="LA86" s="30"/>
      <c r="LB86" s="30"/>
      <c r="LC86" s="30"/>
      <c r="LD86" s="30"/>
      <c r="LE86" s="30"/>
      <c r="LF86" s="30"/>
      <c r="LG86" s="30"/>
      <c r="LH86" s="30"/>
      <c r="LI86" s="30"/>
      <c r="LJ86" s="30"/>
      <c r="LK86" s="30"/>
      <c r="LL86" s="30"/>
      <c r="LM86" s="30"/>
      <c r="LN86" s="30"/>
      <c r="LO86" s="30"/>
      <c r="LP86" s="30"/>
      <c r="LQ86" s="30"/>
      <c r="LR86" s="30"/>
      <c r="LS86" s="30"/>
      <c r="LT86" s="30"/>
      <c r="LU86" s="30"/>
      <c r="LV86" s="30"/>
      <c r="LW86" s="30"/>
      <c r="LX86" s="30"/>
      <c r="LY86" s="30"/>
      <c r="LZ86" s="30"/>
      <c r="MA86" s="30"/>
      <c r="MB86" s="30"/>
      <c r="MC86" s="30"/>
      <c r="MD86" s="30"/>
      <c r="ME86" s="30"/>
      <c r="MF86" s="30"/>
      <c r="MG86" s="30"/>
      <c r="MH86" s="30"/>
      <c r="MI86" s="30"/>
      <c r="MJ86" s="30"/>
      <c r="MK86" s="30"/>
      <c r="ML86" s="30"/>
      <c r="MM86" s="30"/>
      <c r="MN86" s="30"/>
      <c r="MO86" s="30"/>
      <c r="MP86" s="30"/>
      <c r="MQ86" s="30"/>
      <c r="MR86" s="30"/>
      <c r="MS86" s="30"/>
      <c r="MT86" s="30"/>
      <c r="MU86" s="30"/>
      <c r="MV86" s="30"/>
      <c r="MW86" s="30"/>
      <c r="MX86" s="30"/>
      <c r="MY86" s="30"/>
      <c r="MZ86" s="30"/>
      <c r="NA86" s="30"/>
      <c r="NB86" s="30"/>
      <c r="NC86" s="30"/>
      <c r="ND86" s="30"/>
      <c r="NE86" s="30"/>
      <c r="NF86" s="30"/>
      <c r="NG86" s="30"/>
      <c r="NH86" s="30"/>
      <c r="NI86" s="30"/>
      <c r="NJ86" s="30"/>
      <c r="NK86" s="30"/>
      <c r="NL86" s="30"/>
      <c r="NM86" s="30"/>
      <c r="NN86" s="30"/>
      <c r="NO86" s="30"/>
      <c r="NP86" s="30"/>
      <c r="NQ86" s="30"/>
      <c r="NR86" s="30"/>
      <c r="NS86" s="30"/>
      <c r="NT86" s="30"/>
      <c r="NU86" s="30"/>
      <c r="NV86" s="30"/>
      <c r="NW86" s="30"/>
      <c r="NX86" s="30"/>
      <c r="NY86" s="30"/>
      <c r="NZ86" s="30"/>
      <c r="OA86" s="30"/>
      <c r="OB86" s="30"/>
      <c r="OC86" s="30"/>
      <c r="OD86" s="30"/>
      <c r="OE86" s="30"/>
      <c r="OF86" s="30"/>
      <c r="OG86" s="30"/>
      <c r="OH86" s="30"/>
      <c r="OI86" s="30"/>
      <c r="OJ86" s="30"/>
      <c r="OK86" s="30"/>
      <c r="OL86" s="30"/>
      <c r="OM86" s="30"/>
      <c r="ON86" s="30"/>
      <c r="OO86" s="30"/>
      <c r="OP86" s="30"/>
      <c r="OQ86" s="30"/>
      <c r="OR86" s="30"/>
      <c r="OS86" s="30"/>
      <c r="OT86" s="30"/>
      <c r="OU86" s="30"/>
      <c r="OV86" s="30"/>
      <c r="OW86" s="30"/>
      <c r="OX86" s="30"/>
      <c r="OY86" s="30"/>
      <c r="OZ86" s="30"/>
      <c r="PA86" s="30"/>
      <c r="PB86" s="30"/>
      <c r="PC86" s="30"/>
      <c r="PD86" s="30"/>
      <c r="PE86" s="30"/>
      <c r="PF86" s="30"/>
      <c r="PG86" s="30"/>
      <c r="PH86" s="30"/>
      <c r="PI86" s="30"/>
      <c r="PJ86" s="30"/>
      <c r="PK86" s="30"/>
      <c r="PL86" s="30"/>
      <c r="PM86" s="30"/>
      <c r="PN86" s="30"/>
      <c r="PO86" s="30"/>
      <c r="PP86" s="30"/>
      <c r="PQ86" s="30"/>
      <c r="PR86" s="30"/>
      <c r="PS86" s="30"/>
      <c r="PT86" s="30"/>
      <c r="PU86" s="30"/>
      <c r="PV86" s="30"/>
      <c r="PW86" s="30"/>
      <c r="PX86" s="30"/>
      <c r="PY86" s="30"/>
      <c r="PZ86" s="30"/>
      <c r="QA86" s="30"/>
      <c r="QB86" s="30"/>
      <c r="QC86" s="30"/>
      <c r="QD86" s="30"/>
      <c r="QE86" s="30"/>
      <c r="QF86" s="30"/>
      <c r="QG86" s="30"/>
      <c r="QH86" s="30"/>
      <c r="QI86" s="30"/>
      <c r="QJ86" s="30"/>
      <c r="QK86" s="30"/>
      <c r="QL86" s="30"/>
      <c r="QM86" s="30"/>
      <c r="QN86" s="30"/>
      <c r="QO86" s="30"/>
      <c r="QP86" s="30"/>
      <c r="QQ86" s="30"/>
      <c r="QR86" s="30"/>
      <c r="QS86" s="30"/>
      <c r="QT86" s="30"/>
      <c r="QU86" s="30"/>
      <c r="QV86" s="30"/>
      <c r="QW86" s="30"/>
      <c r="QX86" s="30"/>
      <c r="QY86" s="30"/>
      <c r="QZ86" s="30"/>
      <c r="RA86" s="30"/>
      <c r="RB86" s="30"/>
      <c r="RC86" s="30"/>
      <c r="RD86" s="30"/>
      <c r="RE86" s="30"/>
      <c r="RF86" s="30"/>
      <c r="RG86" s="30"/>
      <c r="RH86" s="30"/>
      <c r="RI86" s="30"/>
      <c r="RJ86" s="30"/>
      <c r="RK86" s="30"/>
      <c r="RL86" s="30"/>
      <c r="RM86" s="30"/>
      <c r="RN86" s="30"/>
      <c r="RO86" s="30"/>
      <c r="RP86" s="30"/>
      <c r="RQ86" s="30"/>
      <c r="RR86" s="30"/>
      <c r="RS86" s="30"/>
      <c r="RT86" s="30"/>
      <c r="RU86" s="30"/>
      <c r="RV86" s="30"/>
      <c r="RW86" s="30"/>
      <c r="RX86" s="30"/>
      <c r="RY86" s="30"/>
      <c r="RZ86" s="30"/>
      <c r="SA86" s="30"/>
      <c r="SB86" s="30"/>
      <c r="SC86" s="30"/>
      <c r="SD86" s="30"/>
    </row>
    <row r="87" spans="1:498" s="20" customFormat="1" hidden="1" x14ac:dyDescent="0.25">
      <c r="A87" s="59"/>
      <c r="B87" s="68" t="s">
        <v>14</v>
      </c>
      <c r="C87" s="68"/>
      <c r="D87" s="68"/>
      <c r="E87" s="41"/>
      <c r="F87" s="23">
        <f>D89*C11</f>
        <v>2575</v>
      </c>
      <c r="G87" s="23">
        <f t="shared" ref="G87:AD87" si="38">IF(
F100=$F$113+N("If the IBR monthly payment equals the standard monhtly payment, then"),
F89*$C$11+N("The annual interest rate is the previous year's loan principal multiplied by the interest rate")+N("If the condition was not met then..."),
IF(
F88&gt;0+N("IF the student negatively amortized the previous year, then"),
$D$89*$C$11+N("Annual interest is the original loan balance multiplied by the interest rate")+N("If they made a principal payment in the previous year then..."),
F89*$C$11+N("Since the previous year's loan balance must be lower tahn the original loan balance, the annual interest is the previous year's loan balance multiplied by the interest rate")))</f>
        <v>2575</v>
      </c>
      <c r="H87" s="24">
        <f t="shared" si="38"/>
        <v>2575</v>
      </c>
      <c r="I87" s="24">
        <f t="shared" si="38"/>
        <v>2575</v>
      </c>
      <c r="J87" s="24">
        <f t="shared" si="38"/>
        <v>2575</v>
      </c>
      <c r="K87" s="24">
        <f t="shared" si="38"/>
        <v>2575</v>
      </c>
      <c r="L87" s="24">
        <f t="shared" si="38"/>
        <v>2575</v>
      </c>
      <c r="M87" s="24">
        <f t="shared" si="38"/>
        <v>2575</v>
      </c>
      <c r="N87" s="24">
        <f t="shared" si="38"/>
        <v>2575</v>
      </c>
      <c r="O87" s="24">
        <f t="shared" si="38"/>
        <v>2575</v>
      </c>
      <c r="P87" s="24">
        <f t="shared" si="38"/>
        <v>2575</v>
      </c>
      <c r="Q87" s="24">
        <f t="shared" si="38"/>
        <v>2565.52801167605</v>
      </c>
      <c r="R87" s="24">
        <f t="shared" si="38"/>
        <v>2441.1256564125952</v>
      </c>
      <c r="S87" s="24">
        <f t="shared" si="38"/>
        <v>2296.3257944685179</v>
      </c>
      <c r="T87" s="24">
        <f t="shared" si="38"/>
        <v>2132.8829502991412</v>
      </c>
      <c r="U87" s="24">
        <f t="shared" si="38"/>
        <v>1948.3968399429568</v>
      </c>
      <c r="V87" s="24">
        <f t="shared" si="38"/>
        <v>1740.1581428784136</v>
      </c>
      <c r="W87" s="24">
        <f t="shared" si="38"/>
        <v>1505.1087135668106</v>
      </c>
      <c r="X87" s="24">
        <f t="shared" si="38"/>
        <v>1239.7966702313388</v>
      </c>
      <c r="Y87" s="24">
        <f t="shared" si="38"/>
        <v>940.32570131642512</v>
      </c>
      <c r="Z87" s="24">
        <f t="shared" si="38"/>
        <v>602.29784515371614</v>
      </c>
      <c r="AA87" s="24">
        <f t="shared" si="38"/>
        <v>220.74890251005846</v>
      </c>
      <c r="AB87" s="24">
        <f t="shared" si="38"/>
        <v>0</v>
      </c>
      <c r="AC87" s="24">
        <f t="shared" si="38"/>
        <v>0</v>
      </c>
      <c r="AD87" s="24">
        <f t="shared" si="38"/>
        <v>0</v>
      </c>
      <c r="AE87" s="25"/>
      <c r="AF87" s="25"/>
      <c r="AG87" s="25"/>
      <c r="AH87" s="25"/>
      <c r="AI87" s="25"/>
      <c r="AJ87" s="59"/>
      <c r="AK87" s="59"/>
      <c r="AL87" s="59"/>
      <c r="AM87" s="59"/>
      <c r="AN87" s="59"/>
      <c r="AO87" s="59"/>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30"/>
      <c r="GT87" s="30"/>
      <c r="GU87" s="30"/>
      <c r="GV87" s="30"/>
      <c r="GW87" s="30"/>
      <c r="GX87" s="30"/>
      <c r="GY87" s="30"/>
      <c r="GZ87" s="30"/>
      <c r="HA87" s="30"/>
      <c r="HB87" s="30"/>
      <c r="HC87" s="30"/>
      <c r="HD87" s="30"/>
      <c r="HE87" s="30"/>
      <c r="HF87" s="30"/>
      <c r="HG87" s="30"/>
      <c r="HH87" s="30"/>
      <c r="HI87" s="30"/>
      <c r="HJ87" s="30"/>
      <c r="HK87" s="30"/>
      <c r="HL87" s="30"/>
      <c r="HM87" s="30"/>
      <c r="HN87" s="30"/>
      <c r="HO87" s="30"/>
      <c r="HP87" s="30"/>
      <c r="HQ87" s="30"/>
      <c r="HR87" s="30"/>
      <c r="HS87" s="30"/>
      <c r="HT87" s="30"/>
      <c r="HU87" s="30"/>
      <c r="HV87" s="30"/>
      <c r="HW87" s="30"/>
      <c r="HX87" s="30"/>
      <c r="HY87" s="30"/>
      <c r="HZ87" s="30"/>
      <c r="IA87" s="30"/>
      <c r="IB87" s="30"/>
      <c r="IC87" s="30"/>
      <c r="ID87" s="30"/>
      <c r="IE87" s="30"/>
      <c r="IF87" s="30"/>
      <c r="IG87" s="30"/>
      <c r="IH87" s="30"/>
      <c r="II87" s="30"/>
      <c r="IJ87" s="30"/>
      <c r="IK87" s="30"/>
      <c r="IL87" s="30"/>
      <c r="IM87" s="30"/>
      <c r="IN87" s="30"/>
      <c r="IO87" s="30"/>
      <c r="IP87" s="30"/>
      <c r="IQ87" s="30"/>
      <c r="IR87" s="30"/>
      <c r="IS87" s="30"/>
      <c r="IT87" s="30"/>
      <c r="IU87" s="30"/>
      <c r="IV87" s="30"/>
      <c r="IW87" s="30"/>
      <c r="IX87" s="30"/>
      <c r="IY87" s="30"/>
      <c r="IZ87" s="30"/>
      <c r="JA87" s="30"/>
      <c r="JB87" s="30"/>
      <c r="JC87" s="30"/>
      <c r="JD87" s="30"/>
      <c r="JE87" s="30"/>
      <c r="JF87" s="30"/>
      <c r="JG87" s="30"/>
      <c r="JH87" s="30"/>
      <c r="JI87" s="30"/>
      <c r="JJ87" s="30"/>
      <c r="JK87" s="30"/>
      <c r="JL87" s="30"/>
      <c r="JM87" s="30"/>
      <c r="JN87" s="30"/>
      <c r="JO87" s="30"/>
      <c r="JP87" s="30"/>
      <c r="JQ87" s="30"/>
      <c r="JR87" s="30"/>
      <c r="JS87" s="30"/>
      <c r="JT87" s="30"/>
      <c r="JU87" s="30"/>
      <c r="JV87" s="30"/>
      <c r="JW87" s="30"/>
      <c r="JX87" s="30"/>
      <c r="JY87" s="30"/>
      <c r="JZ87" s="30"/>
      <c r="KA87" s="30"/>
      <c r="KB87" s="30"/>
      <c r="KC87" s="30"/>
      <c r="KD87" s="30"/>
      <c r="KE87" s="30"/>
      <c r="KF87" s="30"/>
      <c r="KG87" s="30"/>
      <c r="KH87" s="30"/>
      <c r="KI87" s="30"/>
      <c r="KJ87" s="30"/>
      <c r="KK87" s="30"/>
      <c r="KL87" s="30"/>
      <c r="KM87" s="30"/>
      <c r="KN87" s="30"/>
      <c r="KO87" s="30"/>
      <c r="KP87" s="30"/>
      <c r="KQ87" s="30"/>
      <c r="KR87" s="30"/>
      <c r="KS87" s="30"/>
      <c r="KT87" s="30"/>
      <c r="KU87" s="30"/>
      <c r="KV87" s="30"/>
      <c r="KW87" s="30"/>
      <c r="KX87" s="30"/>
      <c r="KY87" s="30"/>
      <c r="KZ87" s="30"/>
      <c r="LA87" s="30"/>
      <c r="LB87" s="30"/>
      <c r="LC87" s="30"/>
      <c r="LD87" s="30"/>
      <c r="LE87" s="30"/>
      <c r="LF87" s="30"/>
      <c r="LG87" s="30"/>
      <c r="LH87" s="30"/>
      <c r="LI87" s="30"/>
      <c r="LJ87" s="30"/>
      <c r="LK87" s="30"/>
      <c r="LL87" s="30"/>
      <c r="LM87" s="30"/>
      <c r="LN87" s="30"/>
      <c r="LO87" s="30"/>
      <c r="LP87" s="30"/>
      <c r="LQ87" s="30"/>
      <c r="LR87" s="30"/>
      <c r="LS87" s="30"/>
      <c r="LT87" s="30"/>
      <c r="LU87" s="30"/>
      <c r="LV87" s="30"/>
      <c r="LW87" s="30"/>
      <c r="LX87" s="30"/>
      <c r="LY87" s="30"/>
      <c r="LZ87" s="30"/>
      <c r="MA87" s="30"/>
      <c r="MB87" s="30"/>
      <c r="MC87" s="30"/>
      <c r="MD87" s="30"/>
      <c r="ME87" s="30"/>
      <c r="MF87" s="30"/>
      <c r="MG87" s="30"/>
      <c r="MH87" s="30"/>
      <c r="MI87" s="30"/>
      <c r="MJ87" s="30"/>
      <c r="MK87" s="30"/>
      <c r="ML87" s="30"/>
      <c r="MM87" s="30"/>
      <c r="MN87" s="30"/>
      <c r="MO87" s="30"/>
      <c r="MP87" s="30"/>
      <c r="MQ87" s="30"/>
      <c r="MR87" s="30"/>
      <c r="MS87" s="30"/>
      <c r="MT87" s="30"/>
      <c r="MU87" s="30"/>
      <c r="MV87" s="30"/>
      <c r="MW87" s="30"/>
      <c r="MX87" s="30"/>
      <c r="MY87" s="30"/>
      <c r="MZ87" s="30"/>
      <c r="NA87" s="30"/>
      <c r="NB87" s="30"/>
      <c r="NC87" s="30"/>
      <c r="ND87" s="30"/>
      <c r="NE87" s="30"/>
      <c r="NF87" s="30"/>
      <c r="NG87" s="30"/>
      <c r="NH87" s="30"/>
      <c r="NI87" s="30"/>
      <c r="NJ87" s="30"/>
      <c r="NK87" s="30"/>
      <c r="NL87" s="30"/>
      <c r="NM87" s="30"/>
      <c r="NN87" s="30"/>
      <c r="NO87" s="30"/>
      <c r="NP87" s="30"/>
      <c r="NQ87" s="30"/>
      <c r="NR87" s="30"/>
      <c r="NS87" s="30"/>
      <c r="NT87" s="30"/>
      <c r="NU87" s="30"/>
      <c r="NV87" s="30"/>
      <c r="NW87" s="30"/>
      <c r="NX87" s="30"/>
      <c r="NY87" s="30"/>
      <c r="NZ87" s="30"/>
      <c r="OA87" s="30"/>
      <c r="OB87" s="30"/>
      <c r="OC87" s="30"/>
      <c r="OD87" s="30"/>
      <c r="OE87" s="30"/>
      <c r="OF87" s="30"/>
      <c r="OG87" s="30"/>
      <c r="OH87" s="30"/>
      <c r="OI87" s="30"/>
      <c r="OJ87" s="30"/>
      <c r="OK87" s="30"/>
      <c r="OL87" s="30"/>
      <c r="OM87" s="30"/>
      <c r="ON87" s="30"/>
      <c r="OO87" s="30"/>
      <c r="OP87" s="30"/>
      <c r="OQ87" s="30"/>
      <c r="OR87" s="30"/>
      <c r="OS87" s="30"/>
      <c r="OT87" s="30"/>
      <c r="OU87" s="30"/>
      <c r="OV87" s="30"/>
      <c r="OW87" s="30"/>
      <c r="OX87" s="30"/>
      <c r="OY87" s="30"/>
      <c r="OZ87" s="30"/>
      <c r="PA87" s="30"/>
      <c r="PB87" s="30"/>
      <c r="PC87" s="30"/>
      <c r="PD87" s="30"/>
      <c r="PE87" s="30"/>
      <c r="PF87" s="30"/>
      <c r="PG87" s="30"/>
      <c r="PH87" s="30"/>
      <c r="PI87" s="30"/>
      <c r="PJ87" s="30"/>
      <c r="PK87" s="30"/>
      <c r="PL87" s="30"/>
      <c r="PM87" s="30"/>
      <c r="PN87" s="30"/>
      <c r="PO87" s="30"/>
      <c r="PP87" s="30"/>
      <c r="PQ87" s="30"/>
      <c r="PR87" s="30"/>
      <c r="PS87" s="30"/>
      <c r="PT87" s="30"/>
      <c r="PU87" s="30"/>
      <c r="PV87" s="30"/>
      <c r="PW87" s="30"/>
      <c r="PX87" s="30"/>
      <c r="PY87" s="30"/>
      <c r="PZ87" s="30"/>
      <c r="QA87" s="30"/>
      <c r="QB87" s="30"/>
      <c r="QC87" s="30"/>
      <c r="QD87" s="30"/>
      <c r="QE87" s="30"/>
      <c r="QF87" s="30"/>
      <c r="QG87" s="30"/>
      <c r="QH87" s="30"/>
      <c r="QI87" s="30"/>
      <c r="QJ87" s="30"/>
      <c r="QK87" s="30"/>
      <c r="QL87" s="30"/>
      <c r="QM87" s="30"/>
      <c r="QN87" s="30"/>
      <c r="QO87" s="30"/>
      <c r="QP87" s="30"/>
      <c r="QQ87" s="30"/>
      <c r="QR87" s="30"/>
      <c r="QS87" s="30"/>
      <c r="QT87" s="30"/>
      <c r="QU87" s="30"/>
      <c r="QV87" s="30"/>
      <c r="QW87" s="30"/>
      <c r="QX87" s="30"/>
      <c r="QY87" s="30"/>
      <c r="QZ87" s="30"/>
      <c r="RA87" s="30"/>
      <c r="RB87" s="30"/>
      <c r="RC87" s="30"/>
      <c r="RD87" s="30"/>
      <c r="RE87" s="30"/>
      <c r="RF87" s="30"/>
      <c r="RG87" s="30"/>
      <c r="RH87" s="30"/>
      <c r="RI87" s="30"/>
      <c r="RJ87" s="30"/>
      <c r="RK87" s="30"/>
      <c r="RL87" s="30"/>
      <c r="RM87" s="30"/>
      <c r="RN87" s="30"/>
      <c r="RO87" s="30"/>
      <c r="RP87" s="30"/>
      <c r="RQ87" s="30"/>
      <c r="RR87" s="30"/>
      <c r="RS87" s="30"/>
      <c r="RT87" s="30"/>
      <c r="RU87" s="30"/>
      <c r="RV87" s="30"/>
      <c r="RW87" s="30"/>
      <c r="RX87" s="30"/>
      <c r="RY87" s="30"/>
      <c r="RZ87" s="30"/>
      <c r="SA87" s="30"/>
      <c r="SB87" s="30"/>
      <c r="SC87" s="30"/>
      <c r="SD87" s="30"/>
    </row>
    <row r="88" spans="1:498" s="20" customFormat="1" hidden="1" x14ac:dyDescent="0.25">
      <c r="A88" s="59"/>
      <c r="B88" s="68" t="s">
        <v>15</v>
      </c>
      <c r="C88" s="68"/>
      <c r="D88" s="68"/>
      <c r="E88" s="41"/>
      <c r="F88" s="26">
        <f>($C$26*$C$11)-((F100*12)*C32)+N("CNAPP equals the annual interest on unsubs minus the the percentage of the annual IBR payment that would be put towards unsubs")</f>
        <v>660.29500000000007</v>
      </c>
      <c r="G88" s="26">
        <f>IF(
F88=-$C$10+N("IF the principal payment from the previous year equals the original loan balance then"),
0+N("The CAN/PP euals zero, because you have paid of the loan")+N("if CAN/PP does not equal the original loan balance, then..."),
IF(
$C$11=0+N("If the interest rate is zero, then"),
(-(G100*12))+F88+N("CNAPP equals the last year's CNAPP minus whatever the annual IBR payment was")+N("If the interest rate is not zero, then..."),
IF(
G87=0+N("If the annual interest paid equals zero, then..."),
0+N("CNAPP equals zero")+N("If the annual interest rate does not equal zero, then..."),
(($C$26*$C$11)-((G100*12)*$C$32))+F88+N("CNAPP equals the previous CNAPP plus the annual interest on unsubs minus the the percentage of the annual IBR payment that would be put towards unsubs"))))</f>
        <v>1205.4815749999998</v>
      </c>
      <c r="H88" s="27">
        <f>IF(
G88=-$C$10+N("IF the principal payment from the previous year equals the original loan balance then"),
0+N("The CAN/PP euals zero, because you have paid of the loan")+N("if CAN/PP does not equal the original loan balance, then..."),
IF(
$C$11=0+N("If the interest rate is zero, then"),
(-(H100*12))+G88+N("CNAPP equals the last year's CNAPP minus whatever the annual IBR payment was")+N("If the interest rate is not zero, then..."),
IF(
H87=0+N("If the annual interest paid equals zero, then..."),
0+N("CNAPP equals zero")+N("If the annual interest rate does not equal zero, then..."),
(($C$26*$C$11)-((H100*12)*$C$32))+G88+N("CNAPP equals the previous CNAPP plus the annual interest on unsubs minus the the percentage of the annual IBR payment that would be put towards unsubs"))))</f>
        <v>1629.9885303524989</v>
      </c>
      <c r="I88" s="27">
        <f t="shared" ref="I88:AD88" si="39">IF(
H88=-$C10+N("IF the principal payment from the previous year equals the original loan balance then"),
0+N("The CAN/PP euals zero, because you have paid of the loan")+N("if CAN/PP does not equal the original loan balance, then..."),
IF(
$C11=0+N("If the interest rate is zero, then"),
(-(I100*12))+H88+N("CNAPP equals the last year's CNAPP minus whatever the annual IBR payment was")+N("If the interest rate is not zero, then..."),
IF(
I87=0+N("If the annual interest paid equals zero, then..."),
0+N("CNAPP equals zero")+N("If the annual interest rate does not equal zero, then..."),
I87-(I100*12)+H88+N("CNAPP equals the previous CNAPP plus the annual interest minus the annual IBR payment"))))</f>
        <v>1927.9975554971461</v>
      </c>
      <c r="J88" s="27">
        <f t="shared" si="39"/>
        <v>2093.4327301942353</v>
      </c>
      <c r="K88" s="27">
        <f t="shared" si="39"/>
        <v>2119.9495957183854</v>
      </c>
      <c r="L88" s="27">
        <f t="shared" si="39"/>
        <v>2000.9237732270426</v>
      </c>
      <c r="M88" s="27">
        <f t="shared" si="39"/>
        <v>1729.4391107974111</v>
      </c>
      <c r="N88" s="27">
        <f t="shared" si="39"/>
        <v>1298.2753398752907</v>
      </c>
      <c r="O88" s="27">
        <f t="shared" si="39"/>
        <v>699.89522109889958</v>
      </c>
      <c r="P88" s="27">
        <f t="shared" si="39"/>
        <v>-73.568841351070205</v>
      </c>
      <c r="Q88" s="27">
        <f t="shared" si="39"/>
        <v>-1039.8007268924657</v>
      </c>
      <c r="R88" s="27">
        <f t="shared" si="39"/>
        <v>-2164.459848788209</v>
      </c>
      <c r="S88" s="27">
        <f t="shared" si="39"/>
        <v>-3433.9188326280296</v>
      </c>
      <c r="T88" s="27">
        <f t="shared" si="39"/>
        <v>-4866.8206606372269</v>
      </c>
      <c r="U88" s="27">
        <f t="shared" si="39"/>
        <v>-6484.208599002608</v>
      </c>
      <c r="V88" s="27">
        <f t="shared" si="39"/>
        <v>-8309.8352344325322</v>
      </c>
      <c r="W88" s="27">
        <f t="shared" si="39"/>
        <v>-10370.511299174061</v>
      </c>
      <c r="X88" s="27">
        <f t="shared" si="39"/>
        <v>-12696.49940725106</v>
      </c>
      <c r="Y88" s="27">
        <f t="shared" si="39"/>
        <v>-15321.958484242972</v>
      </c>
      <c r="Z88" s="27">
        <f t="shared" si="39"/>
        <v>-18285.445417397594</v>
      </c>
      <c r="AA88" s="27">
        <f t="shared" si="39"/>
        <v>-21630.481293195873</v>
      </c>
      <c r="AB88" s="27">
        <f t="shared" si="39"/>
        <v>0</v>
      </c>
      <c r="AC88" s="27">
        <f t="shared" si="39"/>
        <v>0</v>
      </c>
      <c r="AD88" s="27">
        <f t="shared" si="39"/>
        <v>0</v>
      </c>
      <c r="AE88" s="28"/>
      <c r="AF88" s="28"/>
      <c r="AG88" s="28"/>
      <c r="AH88" s="28"/>
      <c r="AI88" s="28"/>
      <c r="AJ88" s="59"/>
      <c r="AK88" s="59"/>
      <c r="AL88" s="59"/>
      <c r="AM88" s="59"/>
      <c r="AN88" s="59"/>
      <c r="AO88" s="59"/>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c r="FQ88" s="30"/>
      <c r="FR88" s="30"/>
      <c r="FS88" s="30"/>
      <c r="FT88" s="30"/>
      <c r="FU88" s="30"/>
      <c r="FV88" s="30"/>
      <c r="FW88" s="30"/>
      <c r="FX88" s="30"/>
      <c r="FY88" s="30"/>
      <c r="FZ88" s="30"/>
      <c r="GA88" s="30"/>
      <c r="GB88" s="30"/>
      <c r="GC88" s="30"/>
      <c r="GD88" s="30"/>
      <c r="GE88" s="30"/>
      <c r="GF88" s="30"/>
      <c r="GG88" s="30"/>
      <c r="GH88" s="30"/>
      <c r="GI88" s="30"/>
      <c r="GJ88" s="30"/>
      <c r="GK88" s="30"/>
      <c r="GL88" s="30"/>
      <c r="GM88" s="30"/>
      <c r="GN88" s="30"/>
      <c r="GO88" s="30"/>
      <c r="GP88" s="30"/>
      <c r="GQ88" s="30"/>
      <c r="GR88" s="30"/>
      <c r="GS88" s="30"/>
      <c r="GT88" s="30"/>
      <c r="GU88" s="30"/>
      <c r="GV88" s="30"/>
      <c r="GW88" s="30"/>
      <c r="GX88" s="30"/>
      <c r="GY88" s="30"/>
      <c r="GZ88" s="30"/>
      <c r="HA88" s="30"/>
      <c r="HB88" s="30"/>
      <c r="HC88" s="30"/>
      <c r="HD88" s="30"/>
      <c r="HE88" s="30"/>
      <c r="HF88" s="30"/>
      <c r="HG88" s="30"/>
      <c r="HH88" s="30"/>
      <c r="HI88" s="30"/>
      <c r="HJ88" s="30"/>
      <c r="HK88" s="30"/>
      <c r="HL88" s="30"/>
      <c r="HM88" s="30"/>
      <c r="HN88" s="30"/>
      <c r="HO88" s="30"/>
      <c r="HP88" s="30"/>
      <c r="HQ88" s="30"/>
      <c r="HR88" s="30"/>
      <c r="HS88" s="30"/>
      <c r="HT88" s="30"/>
      <c r="HU88" s="30"/>
      <c r="HV88" s="30"/>
      <c r="HW88" s="30"/>
      <c r="HX88" s="30"/>
      <c r="HY88" s="30"/>
      <c r="HZ88" s="30"/>
      <c r="IA88" s="30"/>
      <c r="IB88" s="30"/>
      <c r="IC88" s="30"/>
      <c r="ID88" s="30"/>
      <c r="IE88" s="30"/>
      <c r="IF88" s="30"/>
      <c r="IG88" s="30"/>
      <c r="IH88" s="30"/>
      <c r="II88" s="30"/>
      <c r="IJ88" s="30"/>
      <c r="IK88" s="30"/>
      <c r="IL88" s="30"/>
      <c r="IM88" s="30"/>
      <c r="IN88" s="30"/>
      <c r="IO88" s="30"/>
      <c r="IP88" s="30"/>
      <c r="IQ88" s="30"/>
      <c r="IR88" s="30"/>
      <c r="IS88" s="30"/>
      <c r="IT88" s="30"/>
      <c r="IU88" s="30"/>
      <c r="IV88" s="30"/>
      <c r="IW88" s="30"/>
      <c r="IX88" s="30"/>
      <c r="IY88" s="30"/>
      <c r="IZ88" s="30"/>
      <c r="JA88" s="30"/>
      <c r="JB88" s="30"/>
      <c r="JC88" s="30"/>
      <c r="JD88" s="30"/>
      <c r="JE88" s="30"/>
      <c r="JF88" s="30"/>
      <c r="JG88" s="30"/>
      <c r="JH88" s="30"/>
      <c r="JI88" s="30"/>
      <c r="JJ88" s="30"/>
      <c r="JK88" s="30"/>
      <c r="JL88" s="30"/>
      <c r="JM88" s="30"/>
      <c r="JN88" s="30"/>
      <c r="JO88" s="30"/>
      <c r="JP88" s="30"/>
      <c r="JQ88" s="30"/>
      <c r="JR88" s="30"/>
      <c r="JS88" s="30"/>
      <c r="JT88" s="30"/>
      <c r="JU88" s="30"/>
      <c r="JV88" s="30"/>
      <c r="JW88" s="30"/>
      <c r="JX88" s="30"/>
      <c r="JY88" s="30"/>
      <c r="JZ88" s="30"/>
      <c r="KA88" s="30"/>
      <c r="KB88" s="30"/>
      <c r="KC88" s="30"/>
      <c r="KD88" s="30"/>
      <c r="KE88" s="30"/>
      <c r="KF88" s="30"/>
      <c r="KG88" s="30"/>
      <c r="KH88" s="30"/>
      <c r="KI88" s="30"/>
      <c r="KJ88" s="30"/>
      <c r="KK88" s="30"/>
      <c r="KL88" s="30"/>
      <c r="KM88" s="30"/>
      <c r="KN88" s="30"/>
      <c r="KO88" s="30"/>
      <c r="KP88" s="30"/>
      <c r="KQ88" s="30"/>
      <c r="KR88" s="30"/>
      <c r="KS88" s="30"/>
      <c r="KT88" s="30"/>
      <c r="KU88" s="30"/>
      <c r="KV88" s="30"/>
      <c r="KW88" s="30"/>
      <c r="KX88" s="30"/>
      <c r="KY88" s="30"/>
      <c r="KZ88" s="30"/>
      <c r="LA88" s="30"/>
      <c r="LB88" s="30"/>
      <c r="LC88" s="30"/>
      <c r="LD88" s="30"/>
      <c r="LE88" s="30"/>
      <c r="LF88" s="30"/>
      <c r="LG88" s="30"/>
      <c r="LH88" s="30"/>
      <c r="LI88" s="30"/>
      <c r="LJ88" s="30"/>
      <c r="LK88" s="30"/>
      <c r="LL88" s="30"/>
      <c r="LM88" s="30"/>
      <c r="LN88" s="30"/>
      <c r="LO88" s="30"/>
      <c r="LP88" s="30"/>
      <c r="LQ88" s="30"/>
      <c r="LR88" s="30"/>
      <c r="LS88" s="30"/>
      <c r="LT88" s="30"/>
      <c r="LU88" s="30"/>
      <c r="LV88" s="30"/>
      <c r="LW88" s="30"/>
      <c r="LX88" s="30"/>
      <c r="LY88" s="30"/>
      <c r="LZ88" s="30"/>
      <c r="MA88" s="30"/>
      <c r="MB88" s="30"/>
      <c r="MC88" s="30"/>
      <c r="MD88" s="30"/>
      <c r="ME88" s="30"/>
      <c r="MF88" s="30"/>
      <c r="MG88" s="30"/>
      <c r="MH88" s="30"/>
      <c r="MI88" s="30"/>
      <c r="MJ88" s="30"/>
      <c r="MK88" s="30"/>
      <c r="ML88" s="30"/>
      <c r="MM88" s="30"/>
      <c r="MN88" s="30"/>
      <c r="MO88" s="30"/>
      <c r="MP88" s="30"/>
      <c r="MQ88" s="30"/>
      <c r="MR88" s="30"/>
      <c r="MS88" s="30"/>
      <c r="MT88" s="30"/>
      <c r="MU88" s="30"/>
      <c r="MV88" s="30"/>
      <c r="MW88" s="30"/>
      <c r="MX88" s="30"/>
      <c r="MY88" s="30"/>
      <c r="MZ88" s="30"/>
      <c r="NA88" s="30"/>
      <c r="NB88" s="30"/>
      <c r="NC88" s="30"/>
      <c r="ND88" s="30"/>
      <c r="NE88" s="30"/>
      <c r="NF88" s="30"/>
      <c r="NG88" s="30"/>
      <c r="NH88" s="30"/>
      <c r="NI88" s="30"/>
      <c r="NJ88" s="30"/>
      <c r="NK88" s="30"/>
      <c r="NL88" s="30"/>
      <c r="NM88" s="30"/>
      <c r="NN88" s="30"/>
      <c r="NO88" s="30"/>
      <c r="NP88" s="30"/>
      <c r="NQ88" s="30"/>
      <c r="NR88" s="30"/>
      <c r="NS88" s="30"/>
      <c r="NT88" s="30"/>
      <c r="NU88" s="30"/>
      <c r="NV88" s="30"/>
      <c r="NW88" s="30"/>
      <c r="NX88" s="30"/>
      <c r="NY88" s="30"/>
      <c r="NZ88" s="30"/>
      <c r="OA88" s="30"/>
      <c r="OB88" s="30"/>
      <c r="OC88" s="30"/>
      <c r="OD88" s="30"/>
      <c r="OE88" s="30"/>
      <c r="OF88" s="30"/>
      <c r="OG88" s="30"/>
      <c r="OH88" s="30"/>
      <c r="OI88" s="30"/>
      <c r="OJ88" s="30"/>
      <c r="OK88" s="30"/>
      <c r="OL88" s="30"/>
      <c r="OM88" s="30"/>
      <c r="ON88" s="30"/>
      <c r="OO88" s="30"/>
      <c r="OP88" s="30"/>
      <c r="OQ88" s="30"/>
      <c r="OR88" s="30"/>
      <c r="OS88" s="30"/>
      <c r="OT88" s="30"/>
      <c r="OU88" s="30"/>
      <c r="OV88" s="30"/>
      <c r="OW88" s="30"/>
      <c r="OX88" s="30"/>
      <c r="OY88" s="30"/>
      <c r="OZ88" s="30"/>
      <c r="PA88" s="30"/>
      <c r="PB88" s="30"/>
      <c r="PC88" s="30"/>
      <c r="PD88" s="30"/>
      <c r="PE88" s="30"/>
      <c r="PF88" s="30"/>
      <c r="PG88" s="30"/>
      <c r="PH88" s="30"/>
      <c r="PI88" s="30"/>
      <c r="PJ88" s="30"/>
      <c r="PK88" s="30"/>
      <c r="PL88" s="30"/>
      <c r="PM88" s="30"/>
      <c r="PN88" s="30"/>
      <c r="PO88" s="30"/>
      <c r="PP88" s="30"/>
      <c r="PQ88" s="30"/>
      <c r="PR88" s="30"/>
      <c r="PS88" s="30"/>
      <c r="PT88" s="30"/>
      <c r="PU88" s="30"/>
      <c r="PV88" s="30"/>
      <c r="PW88" s="30"/>
      <c r="PX88" s="30"/>
      <c r="PY88" s="30"/>
      <c r="PZ88" s="30"/>
      <c r="QA88" s="30"/>
      <c r="QB88" s="30"/>
      <c r="QC88" s="30"/>
      <c r="QD88" s="30"/>
      <c r="QE88" s="30"/>
      <c r="QF88" s="30"/>
      <c r="QG88" s="30"/>
      <c r="QH88" s="30"/>
      <c r="QI88" s="30"/>
      <c r="QJ88" s="30"/>
      <c r="QK88" s="30"/>
      <c r="QL88" s="30"/>
      <c r="QM88" s="30"/>
      <c r="QN88" s="30"/>
      <c r="QO88" s="30"/>
      <c r="QP88" s="30"/>
      <c r="QQ88" s="30"/>
      <c r="QR88" s="30"/>
      <c r="QS88" s="30"/>
      <c r="QT88" s="30"/>
      <c r="QU88" s="30"/>
      <c r="QV88" s="30"/>
      <c r="QW88" s="30"/>
      <c r="QX88" s="30"/>
      <c r="QY88" s="30"/>
      <c r="QZ88" s="30"/>
      <c r="RA88" s="30"/>
      <c r="RB88" s="30"/>
      <c r="RC88" s="30"/>
      <c r="RD88" s="30"/>
      <c r="RE88" s="30"/>
      <c r="RF88" s="30"/>
      <c r="RG88" s="30"/>
      <c r="RH88" s="30"/>
      <c r="RI88" s="30"/>
      <c r="RJ88" s="30"/>
      <c r="RK88" s="30"/>
      <c r="RL88" s="30"/>
      <c r="RM88" s="30"/>
      <c r="RN88" s="30"/>
      <c r="RO88" s="30"/>
      <c r="RP88" s="30"/>
      <c r="RQ88" s="30"/>
      <c r="RR88" s="30"/>
      <c r="RS88" s="30"/>
      <c r="RT88" s="30"/>
      <c r="RU88" s="30"/>
      <c r="RV88" s="30"/>
      <c r="RW88" s="30"/>
      <c r="RX88" s="30"/>
      <c r="RY88" s="30"/>
      <c r="RZ88" s="30"/>
      <c r="SA88" s="30"/>
      <c r="SB88" s="30"/>
      <c r="SC88" s="30"/>
      <c r="SD88" s="30"/>
    </row>
    <row r="89" spans="1:498" s="20" customFormat="1" hidden="1" x14ac:dyDescent="0.25">
      <c r="A89" s="59"/>
      <c r="B89" s="68" t="s">
        <v>16</v>
      </c>
      <c r="C89" s="68"/>
      <c r="D89" s="71">
        <f>C10</f>
        <v>20000</v>
      </c>
      <c r="E89" s="42"/>
      <c r="F89" s="26">
        <f>$C$10+F88</f>
        <v>20660.294999999998</v>
      </c>
      <c r="G89" s="26">
        <f t="shared" ref="G89:X89" si="40">IF(
OR(
F89&lt;=0+N("If either the loan balance from the preceding year is less than or equal to zero OR"),
AND(
$C11=0+N("if the interest rate is zero AND"),
(F89-(F100*12))&lt;0+N("The loan balance is less than the annual IBR payment then"))),
0+N("the loan balance equals zero, if these conditions were not satisfied then"),
IF(
($C10+G88)&lt;0+N("If the principal payment is greaterthan the original loan balance then"),
0+N("the loan balance is zero")+N("If not, then"),
IF(
(G125*$C$15)/12&gt;=$C$113+N("If the IBR payment is greater than or equal to the standard payment then"),
(F89*(1+$C$11))-(G100*12)+N("the previous loan balance plus interest minus the annual IBR payment is the new loan balance")+N("If the condition is false then"),
($C10+G88)+N("the new loan balance is the original minus the principal or plus the negative amortization (the plus sign is in the formula because negative amortization is postitive and principal payment is negative in the spreadsheet"))))</f>
        <v>21205.481574999998</v>
      </c>
      <c r="H89" s="26">
        <f t="shared" si="40"/>
        <v>21629.988530352501</v>
      </c>
      <c r="I89" s="26">
        <f t="shared" si="40"/>
        <v>21927.997555497146</v>
      </c>
      <c r="J89" s="26">
        <f t="shared" si="40"/>
        <v>22093.432730194236</v>
      </c>
      <c r="K89" s="26">
        <f t="shared" si="40"/>
        <v>22119.949595718386</v>
      </c>
      <c r="L89" s="26">
        <f t="shared" si="40"/>
        <v>22000.923773227041</v>
      </c>
      <c r="M89" s="26">
        <f t="shared" si="40"/>
        <v>21729.439110797412</v>
      </c>
      <c r="N89" s="26">
        <f t="shared" si="40"/>
        <v>21298.27533987529</v>
      </c>
      <c r="O89" s="26">
        <f t="shared" si="40"/>
        <v>20699.895221098901</v>
      </c>
      <c r="P89" s="26">
        <f t="shared" si="40"/>
        <v>19926.431158648931</v>
      </c>
      <c r="Q89" s="26">
        <f t="shared" si="40"/>
        <v>18960.199273107533</v>
      </c>
      <c r="R89" s="26">
        <f t="shared" si="40"/>
        <v>17835.54015121179</v>
      </c>
      <c r="S89" s="26">
        <f t="shared" si="40"/>
        <v>16566.081167371969</v>
      </c>
      <c r="T89" s="26">
        <f t="shared" si="40"/>
        <v>15133.17933936277</v>
      </c>
      <c r="U89" s="26">
        <f t="shared" si="40"/>
        <v>13515.791400997387</v>
      </c>
      <c r="V89" s="26">
        <f t="shared" si="40"/>
        <v>11690.164765567461</v>
      </c>
      <c r="W89" s="26">
        <f t="shared" si="40"/>
        <v>9629.488700825932</v>
      </c>
      <c r="X89" s="26">
        <f t="shared" si="40"/>
        <v>7303.5005927489328</v>
      </c>
      <c r="Y89" s="26">
        <f t="shared" ref="Y89:AD89" si="41">IF(
OR(
X89&lt;=0+N("If either the loan balance from the preceding year is less than or equal to zero OR"),
AND(
Y77&gt;20+N("IT is later than teh 20th year AND"),
$C$15=0.1+N("Percentage as share is 10 percent OR")),
AND(
$C11=0+N("if the interest rate is zero AND"),
(X89-(X100*12))&lt;0+N("The loan balance is less than the annual IBR payment then"))),
0+N("the loan balance equals zero, if these conditions were not satisfied then"),
IF(
($C10+Y88)&lt;0+N("If the principal payment is greaterthan the original loan balance then"),
0+N("the loan balance is zero")+N("If not, then"),
IF(
(Y125*$C$15)/12&gt;=$C$113+N("If the IBR payment is greater than or equal to the standard payment then"),
(X89*(1+$C$11))-(Y100*12)+N("the previous loan balance plus interest minus the annual IBR payment is the new loan balance")+N("If the condition is false then"),
($C10+Y88)+N("the new loan balance is the original minus the principal or plus the negative amortization (the plus sign is in the formula because negative amortization is postitive and principal payment is negative in the spreadsheet"))))</f>
        <v>4678.0415157570187</v>
      </c>
      <c r="Z89" s="26">
        <f t="shared" si="41"/>
        <v>1714.5545826023958</v>
      </c>
      <c r="AA89" s="26">
        <f t="shared" si="41"/>
        <v>0</v>
      </c>
      <c r="AB89" s="26">
        <f t="shared" si="41"/>
        <v>0</v>
      </c>
      <c r="AC89" s="26">
        <f t="shared" si="41"/>
        <v>0</v>
      </c>
      <c r="AD89" s="26">
        <f t="shared" si="41"/>
        <v>0</v>
      </c>
      <c r="AE89" s="28"/>
      <c r="AF89" s="28"/>
      <c r="AG89" s="28"/>
      <c r="AH89" s="28"/>
      <c r="AI89" s="28"/>
      <c r="AJ89" s="59"/>
      <c r="AK89" s="59"/>
      <c r="AL89" s="59"/>
      <c r="AM89" s="59"/>
      <c r="AN89" s="59"/>
      <c r="AO89" s="59"/>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0"/>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0"/>
      <c r="ND89" s="30"/>
      <c r="NE89" s="30"/>
      <c r="NF89" s="30"/>
      <c r="NG89" s="30"/>
      <c r="NH89" s="30"/>
      <c r="NI89" s="30"/>
      <c r="NJ89" s="30"/>
      <c r="NK89" s="30"/>
      <c r="NL89" s="30"/>
      <c r="NM89" s="30"/>
      <c r="NN89" s="30"/>
      <c r="NO89" s="30"/>
      <c r="NP89" s="30"/>
      <c r="NQ89" s="30"/>
      <c r="NR89" s="30"/>
      <c r="NS89" s="30"/>
      <c r="NT89" s="30"/>
      <c r="NU89" s="30"/>
      <c r="NV89" s="30"/>
      <c r="NW89" s="30"/>
      <c r="NX89" s="30"/>
      <c r="NY89" s="30"/>
      <c r="NZ89" s="30"/>
      <c r="OA89" s="30"/>
      <c r="OB89" s="30"/>
      <c r="OC89" s="30"/>
      <c r="OD89" s="30"/>
      <c r="OE89" s="30"/>
      <c r="OF89" s="30"/>
      <c r="OG89" s="30"/>
      <c r="OH89" s="30"/>
      <c r="OI89" s="30"/>
      <c r="OJ89" s="30"/>
      <c r="OK89" s="30"/>
      <c r="OL89" s="30"/>
      <c r="OM89" s="30"/>
      <c r="ON89" s="30"/>
      <c r="OO89" s="30"/>
      <c r="OP89" s="30"/>
      <c r="OQ89" s="30"/>
      <c r="OR89" s="30"/>
      <c r="OS89" s="30"/>
      <c r="OT89" s="30"/>
      <c r="OU89" s="30"/>
      <c r="OV89" s="30"/>
      <c r="OW89" s="30"/>
      <c r="OX89" s="30"/>
      <c r="OY89" s="30"/>
      <c r="OZ89" s="30"/>
      <c r="PA89" s="30"/>
      <c r="PB89" s="30"/>
      <c r="PC89" s="30"/>
      <c r="PD89" s="30"/>
      <c r="PE89" s="30"/>
      <c r="PF89" s="30"/>
      <c r="PG89" s="30"/>
      <c r="PH89" s="30"/>
      <c r="PI89" s="30"/>
      <c r="PJ89" s="30"/>
      <c r="PK89" s="30"/>
      <c r="PL89" s="30"/>
      <c r="PM89" s="30"/>
      <c r="PN89" s="30"/>
      <c r="PO89" s="30"/>
      <c r="PP89" s="30"/>
      <c r="PQ89" s="30"/>
      <c r="PR89" s="30"/>
      <c r="PS89" s="30"/>
      <c r="PT89" s="30"/>
      <c r="PU89" s="30"/>
      <c r="PV89" s="30"/>
      <c r="PW89" s="30"/>
      <c r="PX89" s="30"/>
      <c r="PY89" s="30"/>
      <c r="PZ89" s="30"/>
      <c r="QA89" s="30"/>
      <c r="QB89" s="30"/>
      <c r="QC89" s="30"/>
      <c r="QD89" s="30"/>
      <c r="QE89" s="30"/>
      <c r="QF89" s="30"/>
      <c r="QG89" s="30"/>
      <c r="QH89" s="30"/>
      <c r="QI89" s="30"/>
      <c r="QJ89" s="30"/>
      <c r="QK89" s="30"/>
      <c r="QL89" s="30"/>
      <c r="QM89" s="30"/>
      <c r="QN89" s="30"/>
      <c r="QO89" s="30"/>
      <c r="QP89" s="30"/>
      <c r="QQ89" s="30"/>
      <c r="QR89" s="30"/>
      <c r="QS89" s="30"/>
      <c r="QT89" s="30"/>
      <c r="QU89" s="30"/>
      <c r="QV89" s="30"/>
      <c r="QW89" s="30"/>
      <c r="QX89" s="30"/>
      <c r="QY89" s="30"/>
      <c r="QZ89" s="30"/>
      <c r="RA89" s="30"/>
      <c r="RB89" s="30"/>
      <c r="RC89" s="30"/>
      <c r="RD89" s="30"/>
      <c r="RE89" s="30"/>
      <c r="RF89" s="30"/>
      <c r="RG89" s="30"/>
      <c r="RH89" s="30"/>
      <c r="RI89" s="30"/>
      <c r="RJ89" s="30"/>
      <c r="RK89" s="30"/>
      <c r="RL89" s="30"/>
      <c r="RM89" s="30"/>
      <c r="RN89" s="30"/>
      <c r="RO89" s="30"/>
      <c r="RP89" s="30"/>
      <c r="RQ89" s="30"/>
      <c r="RR89" s="30"/>
      <c r="RS89" s="30"/>
      <c r="RT89" s="30"/>
      <c r="RU89" s="30"/>
      <c r="RV89" s="30"/>
      <c r="RW89" s="30"/>
      <c r="RX89" s="30"/>
      <c r="RY89" s="30"/>
      <c r="RZ89" s="30"/>
      <c r="SA89" s="30"/>
      <c r="SB89" s="30"/>
      <c r="SC89" s="30"/>
      <c r="SD89" s="30"/>
    </row>
    <row r="90" spans="1:498" s="20" customFormat="1" hidden="1" x14ac:dyDescent="0.25">
      <c r="A90" s="59"/>
      <c r="B90" s="66"/>
      <c r="C90" s="68"/>
      <c r="D90" s="72"/>
      <c r="E90" s="72"/>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61"/>
      <c r="AF90" s="59"/>
      <c r="AG90" s="59"/>
      <c r="AH90" s="59"/>
      <c r="AI90" s="59"/>
      <c r="AJ90" s="59"/>
      <c r="AK90" s="59"/>
      <c r="AL90" s="59"/>
      <c r="AM90" s="59"/>
      <c r="AN90" s="59"/>
      <c r="AO90" s="59"/>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c r="GU90" s="30"/>
      <c r="GV90" s="30"/>
      <c r="GW90" s="30"/>
      <c r="GX90" s="30"/>
      <c r="GY90" s="30"/>
      <c r="GZ90" s="30"/>
      <c r="HA90" s="30"/>
      <c r="HB90" s="30"/>
      <c r="HC90" s="30"/>
      <c r="HD90" s="30"/>
      <c r="HE90" s="30"/>
      <c r="HF90" s="30"/>
      <c r="HG90" s="30"/>
      <c r="HH90" s="30"/>
      <c r="HI90" s="30"/>
      <c r="HJ90" s="30"/>
      <c r="HK90" s="30"/>
      <c r="HL90" s="30"/>
      <c r="HM90" s="30"/>
      <c r="HN90" s="30"/>
      <c r="HO90" s="30"/>
      <c r="HP90" s="30"/>
      <c r="HQ90" s="30"/>
      <c r="HR90" s="30"/>
      <c r="HS90" s="30"/>
      <c r="HT90" s="30"/>
      <c r="HU90" s="30"/>
      <c r="HV90" s="30"/>
      <c r="HW90" s="30"/>
      <c r="HX90" s="30"/>
      <c r="HY90" s="30"/>
      <c r="HZ90" s="30"/>
      <c r="IA90" s="30"/>
      <c r="IB90" s="30"/>
      <c r="IC90" s="30"/>
      <c r="ID90" s="30"/>
      <c r="IE90" s="30"/>
      <c r="IF90" s="30"/>
      <c r="IG90" s="30"/>
      <c r="IH90" s="30"/>
      <c r="II90" s="30"/>
      <c r="IJ90" s="30"/>
      <c r="IK90" s="30"/>
      <c r="IL90" s="30"/>
      <c r="IM90" s="30"/>
      <c r="IN90" s="30"/>
      <c r="IO90" s="30"/>
      <c r="IP90" s="30"/>
      <c r="IQ90" s="30"/>
      <c r="IR90" s="30"/>
      <c r="IS90" s="30"/>
      <c r="IT90" s="30"/>
      <c r="IU90" s="30"/>
      <c r="IV90" s="30"/>
      <c r="IW90" s="30"/>
      <c r="IX90" s="30"/>
      <c r="IY90" s="30"/>
      <c r="IZ90" s="30"/>
      <c r="JA90" s="30"/>
      <c r="JB90" s="30"/>
      <c r="JC90" s="30"/>
      <c r="JD90" s="30"/>
      <c r="JE90" s="30"/>
      <c r="JF90" s="30"/>
      <c r="JG90" s="30"/>
      <c r="JH90" s="30"/>
      <c r="JI90" s="30"/>
      <c r="JJ90" s="30"/>
      <c r="JK90" s="30"/>
      <c r="JL90" s="30"/>
      <c r="JM90" s="30"/>
      <c r="JN90" s="30"/>
      <c r="JO90" s="30"/>
      <c r="JP90" s="30"/>
      <c r="JQ90" s="30"/>
      <c r="JR90" s="30"/>
      <c r="JS90" s="30"/>
      <c r="JT90" s="30"/>
      <c r="JU90" s="30"/>
      <c r="JV90" s="30"/>
      <c r="JW90" s="30"/>
      <c r="JX90" s="30"/>
      <c r="JY90" s="30"/>
      <c r="JZ90" s="30"/>
      <c r="KA90" s="30"/>
      <c r="KB90" s="30"/>
      <c r="KC90" s="30"/>
      <c r="KD90" s="30"/>
      <c r="KE90" s="30"/>
      <c r="KF90" s="30"/>
      <c r="KG90" s="30"/>
      <c r="KH90" s="30"/>
      <c r="KI90" s="30"/>
      <c r="KJ90" s="30"/>
      <c r="KK90" s="30"/>
      <c r="KL90" s="30"/>
      <c r="KM90" s="30"/>
      <c r="KN90" s="30"/>
      <c r="KO90" s="30"/>
      <c r="KP90" s="30"/>
      <c r="KQ90" s="30"/>
      <c r="KR90" s="30"/>
      <c r="KS90" s="30"/>
      <c r="KT90" s="30"/>
      <c r="KU90" s="30"/>
      <c r="KV90" s="30"/>
      <c r="KW90" s="30"/>
      <c r="KX90" s="30"/>
      <c r="KY90" s="30"/>
      <c r="KZ90" s="30"/>
      <c r="LA90" s="30"/>
      <c r="LB90" s="30"/>
      <c r="LC90" s="30"/>
      <c r="LD90" s="30"/>
      <c r="LE90" s="30"/>
      <c r="LF90" s="30"/>
      <c r="LG90" s="30"/>
      <c r="LH90" s="30"/>
      <c r="LI90" s="30"/>
      <c r="LJ90" s="30"/>
      <c r="LK90" s="30"/>
      <c r="LL90" s="30"/>
      <c r="LM90" s="30"/>
      <c r="LN90" s="30"/>
      <c r="LO90" s="30"/>
      <c r="LP90" s="30"/>
      <c r="LQ90" s="30"/>
      <c r="LR90" s="30"/>
      <c r="LS90" s="30"/>
      <c r="LT90" s="30"/>
      <c r="LU90" s="30"/>
      <c r="LV90" s="30"/>
      <c r="LW90" s="30"/>
      <c r="LX90" s="30"/>
      <c r="LY90" s="30"/>
      <c r="LZ90" s="30"/>
      <c r="MA90" s="30"/>
      <c r="MB90" s="30"/>
      <c r="MC90" s="30"/>
      <c r="MD90" s="30"/>
      <c r="ME90" s="30"/>
      <c r="MF90" s="30"/>
      <c r="MG90" s="30"/>
      <c r="MH90" s="30"/>
      <c r="MI90" s="30"/>
      <c r="MJ90" s="30"/>
      <c r="MK90" s="30"/>
      <c r="ML90" s="30"/>
      <c r="MM90" s="30"/>
      <c r="MN90" s="30"/>
      <c r="MO90" s="30"/>
      <c r="MP90" s="30"/>
      <c r="MQ90" s="30"/>
      <c r="MR90" s="30"/>
      <c r="MS90" s="30"/>
      <c r="MT90" s="30"/>
      <c r="MU90" s="30"/>
      <c r="MV90" s="30"/>
      <c r="MW90" s="30"/>
      <c r="MX90" s="30"/>
      <c r="MY90" s="30"/>
      <c r="MZ90" s="30"/>
      <c r="NA90" s="30"/>
      <c r="NB90" s="30"/>
      <c r="NC90" s="30"/>
      <c r="ND90" s="30"/>
      <c r="NE90" s="30"/>
      <c r="NF90" s="30"/>
      <c r="NG90" s="30"/>
      <c r="NH90" s="30"/>
      <c r="NI90" s="30"/>
      <c r="NJ90" s="30"/>
      <c r="NK90" s="30"/>
      <c r="NL90" s="30"/>
      <c r="NM90" s="30"/>
      <c r="NN90" s="30"/>
      <c r="NO90" s="30"/>
      <c r="NP90" s="30"/>
      <c r="NQ90" s="30"/>
      <c r="NR90" s="30"/>
      <c r="NS90" s="30"/>
      <c r="NT90" s="30"/>
      <c r="NU90" s="30"/>
      <c r="NV90" s="30"/>
      <c r="NW90" s="30"/>
      <c r="NX90" s="30"/>
      <c r="NY90" s="30"/>
      <c r="NZ90" s="30"/>
      <c r="OA90" s="30"/>
      <c r="OB90" s="30"/>
      <c r="OC90" s="30"/>
      <c r="OD90" s="30"/>
      <c r="OE90" s="30"/>
      <c r="OF90" s="30"/>
      <c r="OG90" s="30"/>
      <c r="OH90" s="30"/>
      <c r="OI90" s="30"/>
      <c r="OJ90" s="30"/>
      <c r="OK90" s="30"/>
      <c r="OL90" s="30"/>
      <c r="OM90" s="30"/>
      <c r="ON90" s="30"/>
      <c r="OO90" s="30"/>
      <c r="OP90" s="30"/>
      <c r="OQ90" s="30"/>
      <c r="OR90" s="30"/>
      <c r="OS90" s="30"/>
      <c r="OT90" s="30"/>
      <c r="OU90" s="30"/>
      <c r="OV90" s="30"/>
      <c r="OW90" s="30"/>
      <c r="OX90" s="30"/>
      <c r="OY90" s="30"/>
      <c r="OZ90" s="30"/>
      <c r="PA90" s="30"/>
      <c r="PB90" s="30"/>
      <c r="PC90" s="30"/>
      <c r="PD90" s="30"/>
      <c r="PE90" s="30"/>
      <c r="PF90" s="30"/>
      <c r="PG90" s="30"/>
      <c r="PH90" s="30"/>
      <c r="PI90" s="30"/>
      <c r="PJ90" s="30"/>
      <c r="PK90" s="30"/>
      <c r="PL90" s="30"/>
      <c r="PM90" s="30"/>
      <c r="PN90" s="30"/>
      <c r="PO90" s="30"/>
      <c r="PP90" s="30"/>
      <c r="PQ90" s="30"/>
      <c r="PR90" s="30"/>
      <c r="PS90" s="30"/>
      <c r="PT90" s="30"/>
      <c r="PU90" s="30"/>
      <c r="PV90" s="30"/>
      <c r="PW90" s="30"/>
      <c r="PX90" s="30"/>
      <c r="PY90" s="30"/>
      <c r="PZ90" s="30"/>
      <c r="QA90" s="30"/>
      <c r="QB90" s="30"/>
      <c r="QC90" s="30"/>
      <c r="QD90" s="30"/>
      <c r="QE90" s="30"/>
      <c r="QF90" s="30"/>
      <c r="QG90" s="30"/>
      <c r="QH90" s="30"/>
      <c r="QI90" s="30"/>
      <c r="QJ90" s="30"/>
      <c r="QK90" s="30"/>
      <c r="QL90" s="30"/>
      <c r="QM90" s="30"/>
      <c r="QN90" s="30"/>
      <c r="QO90" s="30"/>
      <c r="QP90" s="30"/>
      <c r="QQ90" s="30"/>
      <c r="QR90" s="30"/>
      <c r="QS90" s="30"/>
      <c r="QT90" s="30"/>
      <c r="QU90" s="30"/>
      <c r="QV90" s="30"/>
      <c r="QW90" s="30"/>
      <c r="QX90" s="30"/>
      <c r="QY90" s="30"/>
      <c r="QZ90" s="30"/>
      <c r="RA90" s="30"/>
      <c r="RB90" s="30"/>
      <c r="RC90" s="30"/>
      <c r="RD90" s="30"/>
      <c r="RE90" s="30"/>
      <c r="RF90" s="30"/>
      <c r="RG90" s="30"/>
      <c r="RH90" s="30"/>
      <c r="RI90" s="30"/>
      <c r="RJ90" s="30"/>
      <c r="RK90" s="30"/>
      <c r="RL90" s="30"/>
      <c r="RM90" s="30"/>
      <c r="RN90" s="30"/>
      <c r="RO90" s="30"/>
      <c r="RP90" s="30"/>
      <c r="RQ90" s="30"/>
      <c r="RR90" s="30"/>
      <c r="RS90" s="30"/>
      <c r="RT90" s="30"/>
      <c r="RU90" s="30"/>
      <c r="RV90" s="30"/>
      <c r="RW90" s="30"/>
      <c r="RX90" s="30"/>
      <c r="RY90" s="30"/>
      <c r="RZ90" s="30"/>
      <c r="SA90" s="30"/>
      <c r="SB90" s="30"/>
      <c r="SC90" s="30"/>
      <c r="SD90" s="30"/>
    </row>
    <row r="91" spans="1:498" s="20" customFormat="1" hidden="1" x14ac:dyDescent="0.25">
      <c r="A91" s="59"/>
      <c r="B91" s="66"/>
      <c r="C91" s="110">
        <f>SUM(F91:Y91)</f>
        <v>45262.780936633215</v>
      </c>
      <c r="D91" s="72"/>
      <c r="E91" s="72"/>
      <c r="F91" s="153">
        <f>F96*12</f>
        <v>1276.4700000000003</v>
      </c>
      <c r="G91" s="153">
        <f>IF(
F94=0+N("If the preceding year's loan balance is zero then"),
0+N("the current IBR payment is zero")+N("If the condition is not met then"),
IF(
AND(
G94=0+N("If this year's loan balance will be zero AND"),
I94=0+N("two year's from now it will be zero, then")),
F94+N("this is the last year of payment, and therefore the total payment made this year will simply be the remaining loan balance from last year")+N("If not then"),
G96*12+N("The monthly IBR payment multiplied by twelve")))</f>
        <v>1353.2089500000002</v>
      </c>
      <c r="H91" s="153">
        <f>IF(
G94=0+N("If the preceding year's loan balance is zero then"),
0+N("the current IBR payment is zero")+N("If the condition is not met then"),
IF(
AND(
H94=0+N("If this year's loan balance will be zero AND"),
J94=0+N("two year's from now it will be zero, then")),
G94+N("this is the last year of payment, and therefore the total payment made this year will simply be the remaining loan balance from last year")+N("If not then"),
H96*12+N("The monthly IBR payment multiplied by twelve")))</f>
        <v>1433.6620297650006</v>
      </c>
      <c r="I91" s="153">
        <f>IF(
H94=0+N("If the preceding year's loan balance is zero then"),
0+N("the current IBR payment is zero")+N("If the condition is not met then"),
IF(
AND(
I94=0+N("If this year's loan balance will be zero AND"),
K94=0+N("two year's from now it will be zero, then")),
H94+N("this is the last year of payment, and therefore the total payment made this year will simply be the remaining loan balance from last year")+N("If not then"),
I96*12+N("The monthly IBR payment multiplied by twelve")))</f>
        <v>1517.9939832369018</v>
      </c>
      <c r="J91" s="153">
        <f t="shared" ref="J91:AD91" si="42">IF(
I94=0+N("If the preceding year's loan balance is zero then"),
0+N("the current IBR payment is zero")+N("If the condition is not met then"),
IF(
AND(
J94=0+N("If this year's loan balance will be zero AND"),
L94=0+N("two year's from now it will be zero, then")),
I94+N("this is the last year of payment, and therefore the total payment made this year will simply be the remaining loan balance from last year")+N("If not then"),
J96*12+N("The monthly IBR payment multiplied by twelve")))</f>
        <v>1606.376550201941</v>
      </c>
      <c r="K91" s="153">
        <f t="shared" si="42"/>
        <v>1698.9887563172335</v>
      </c>
      <c r="L91" s="153">
        <f t="shared" si="42"/>
        <v>1796.0172149942287</v>
      </c>
      <c r="M91" s="153">
        <f t="shared" si="42"/>
        <v>1897.6564416197543</v>
      </c>
      <c r="N91" s="153">
        <f t="shared" si="42"/>
        <v>2004.1091806147469</v>
      </c>
      <c r="O91" s="153">
        <f t="shared" si="42"/>
        <v>2115.5867458509274</v>
      </c>
      <c r="P91" s="153">
        <f t="shared" si="42"/>
        <v>2232.3093749666464</v>
      </c>
      <c r="Q91" s="153">
        <f t="shared" si="42"/>
        <v>2354.5065981449638</v>
      </c>
      <c r="R91" s="153">
        <f t="shared" si="42"/>
        <v>2482.4176219397241</v>
      </c>
      <c r="S91" s="153">
        <f t="shared" si="42"/>
        <v>2616.2917287589858</v>
      </c>
      <c r="T91" s="153">
        <f t="shared" si="42"/>
        <v>2756.3886926397536</v>
      </c>
      <c r="U91" s="153">
        <f t="shared" si="42"/>
        <v>2902.9792119734848</v>
      </c>
      <c r="V91" s="153">
        <f t="shared" si="42"/>
        <v>3056.3453598684318</v>
      </c>
      <c r="W91" s="153">
        <f t="shared" si="42"/>
        <v>3216.7810528625187</v>
      </c>
      <c r="X91" s="153">
        <f t="shared" si="42"/>
        <v>3384.5925387292127</v>
      </c>
      <c r="Y91" s="153">
        <f t="shared" si="42"/>
        <v>3560.0989041487537</v>
      </c>
      <c r="Z91" s="153">
        <f t="shared" si="42"/>
        <v>0</v>
      </c>
      <c r="AA91" s="153">
        <f t="shared" si="42"/>
        <v>0</v>
      </c>
      <c r="AB91" s="153">
        <f t="shared" si="42"/>
        <v>0</v>
      </c>
      <c r="AC91" s="153">
        <f t="shared" si="42"/>
        <v>0</v>
      </c>
      <c r="AD91" s="153">
        <f t="shared" si="42"/>
        <v>0</v>
      </c>
      <c r="AE91" s="61"/>
      <c r="AF91" s="59"/>
      <c r="AG91" s="59"/>
      <c r="AH91" s="59"/>
      <c r="AI91" s="59"/>
      <c r="AJ91" s="59"/>
      <c r="AK91" s="59"/>
      <c r="AL91" s="59"/>
      <c r="AM91" s="59"/>
      <c r="AN91" s="59"/>
      <c r="AO91" s="59"/>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0"/>
      <c r="IT91" s="30"/>
      <c r="IU91" s="30"/>
      <c r="IV91" s="30"/>
      <c r="IW91" s="30"/>
      <c r="IX91" s="30"/>
      <c r="IY91" s="30"/>
      <c r="IZ91" s="30"/>
      <c r="JA91" s="30"/>
      <c r="JB91" s="30"/>
      <c r="JC91" s="30"/>
      <c r="JD91" s="30"/>
      <c r="JE91" s="30"/>
      <c r="JF91" s="30"/>
      <c r="JG91" s="30"/>
      <c r="JH91" s="30"/>
      <c r="JI91" s="30"/>
      <c r="JJ91" s="30"/>
      <c r="JK91" s="30"/>
      <c r="JL91" s="30"/>
      <c r="JM91" s="30"/>
      <c r="JN91" s="30"/>
      <c r="JO91" s="30"/>
      <c r="JP91" s="30"/>
      <c r="JQ91" s="30"/>
      <c r="JR91" s="30"/>
      <c r="JS91" s="30"/>
      <c r="JT91" s="30"/>
      <c r="JU91" s="30"/>
      <c r="JV91" s="30"/>
      <c r="JW91" s="30"/>
      <c r="JX91" s="30"/>
      <c r="JY91" s="30"/>
      <c r="JZ91" s="30"/>
      <c r="KA91" s="30"/>
      <c r="KB91" s="30"/>
      <c r="KC91" s="30"/>
      <c r="KD91" s="30"/>
      <c r="KE91" s="30"/>
      <c r="KF91" s="30"/>
      <c r="KG91" s="30"/>
      <c r="KH91" s="30"/>
      <c r="KI91" s="30"/>
      <c r="KJ91" s="30"/>
      <c r="KK91" s="30"/>
      <c r="KL91" s="30"/>
      <c r="KM91" s="30"/>
      <c r="KN91" s="30"/>
      <c r="KO91" s="30"/>
      <c r="KP91" s="30"/>
      <c r="KQ91" s="30"/>
      <c r="KR91" s="30"/>
      <c r="KS91" s="30"/>
      <c r="KT91" s="30"/>
      <c r="KU91" s="30"/>
      <c r="KV91" s="30"/>
      <c r="KW91" s="30"/>
      <c r="KX91" s="30"/>
      <c r="KY91" s="30"/>
      <c r="KZ91" s="30"/>
      <c r="LA91" s="30"/>
      <c r="LB91" s="30"/>
      <c r="LC91" s="30"/>
      <c r="LD91" s="30"/>
      <c r="LE91" s="30"/>
      <c r="LF91" s="30"/>
      <c r="LG91" s="30"/>
      <c r="LH91" s="30"/>
      <c r="LI91" s="30"/>
      <c r="LJ91" s="30"/>
      <c r="LK91" s="30"/>
      <c r="LL91" s="30"/>
      <c r="LM91" s="30"/>
      <c r="LN91" s="30"/>
      <c r="LO91" s="30"/>
      <c r="LP91" s="30"/>
      <c r="LQ91" s="30"/>
      <c r="LR91" s="30"/>
      <c r="LS91" s="30"/>
      <c r="LT91" s="30"/>
      <c r="LU91" s="30"/>
      <c r="LV91" s="30"/>
      <c r="LW91" s="30"/>
      <c r="LX91" s="30"/>
      <c r="LY91" s="30"/>
      <c r="LZ91" s="30"/>
      <c r="MA91" s="30"/>
      <c r="MB91" s="30"/>
      <c r="MC91" s="30"/>
      <c r="MD91" s="30"/>
      <c r="ME91" s="30"/>
      <c r="MF91" s="30"/>
      <c r="MG91" s="30"/>
      <c r="MH91" s="30"/>
      <c r="MI91" s="30"/>
      <c r="MJ91" s="30"/>
      <c r="MK91" s="30"/>
      <c r="ML91" s="30"/>
      <c r="MM91" s="30"/>
      <c r="MN91" s="30"/>
      <c r="MO91" s="30"/>
      <c r="MP91" s="30"/>
      <c r="MQ91" s="30"/>
      <c r="MR91" s="30"/>
      <c r="MS91" s="30"/>
      <c r="MT91" s="30"/>
      <c r="MU91" s="30"/>
      <c r="MV91" s="30"/>
      <c r="MW91" s="30"/>
      <c r="MX91" s="30"/>
      <c r="MY91" s="30"/>
      <c r="MZ91" s="30"/>
      <c r="NA91" s="30"/>
      <c r="NB91" s="30"/>
      <c r="NC91" s="30"/>
      <c r="ND91" s="30"/>
      <c r="NE91" s="30"/>
      <c r="NF91" s="30"/>
      <c r="NG91" s="30"/>
      <c r="NH91" s="30"/>
      <c r="NI91" s="30"/>
      <c r="NJ91" s="30"/>
      <c r="NK91" s="30"/>
      <c r="NL91" s="30"/>
      <c r="NM91" s="30"/>
      <c r="NN91" s="30"/>
      <c r="NO91" s="30"/>
      <c r="NP91" s="30"/>
      <c r="NQ91" s="30"/>
      <c r="NR91" s="30"/>
      <c r="NS91" s="30"/>
      <c r="NT91" s="30"/>
      <c r="NU91" s="30"/>
      <c r="NV91" s="30"/>
      <c r="NW91" s="30"/>
      <c r="NX91" s="30"/>
      <c r="NY91" s="30"/>
      <c r="NZ91" s="30"/>
      <c r="OA91" s="30"/>
      <c r="OB91" s="30"/>
      <c r="OC91" s="30"/>
      <c r="OD91" s="30"/>
      <c r="OE91" s="30"/>
      <c r="OF91" s="30"/>
      <c r="OG91" s="30"/>
      <c r="OH91" s="30"/>
      <c r="OI91" s="30"/>
      <c r="OJ91" s="30"/>
      <c r="OK91" s="30"/>
      <c r="OL91" s="30"/>
      <c r="OM91" s="30"/>
      <c r="ON91" s="30"/>
      <c r="OO91" s="30"/>
      <c r="OP91" s="30"/>
      <c r="OQ91" s="30"/>
      <c r="OR91" s="30"/>
      <c r="OS91" s="30"/>
      <c r="OT91" s="30"/>
      <c r="OU91" s="30"/>
      <c r="OV91" s="30"/>
      <c r="OW91" s="30"/>
      <c r="OX91" s="30"/>
      <c r="OY91" s="30"/>
      <c r="OZ91" s="30"/>
      <c r="PA91" s="30"/>
      <c r="PB91" s="30"/>
      <c r="PC91" s="30"/>
      <c r="PD91" s="30"/>
      <c r="PE91" s="30"/>
      <c r="PF91" s="30"/>
      <c r="PG91" s="30"/>
      <c r="PH91" s="30"/>
      <c r="PI91" s="30"/>
      <c r="PJ91" s="30"/>
      <c r="PK91" s="30"/>
      <c r="PL91" s="30"/>
      <c r="PM91" s="30"/>
      <c r="PN91" s="30"/>
      <c r="PO91" s="30"/>
      <c r="PP91" s="30"/>
      <c r="PQ91" s="30"/>
      <c r="PR91" s="30"/>
      <c r="PS91" s="30"/>
      <c r="PT91" s="30"/>
      <c r="PU91" s="30"/>
      <c r="PV91" s="30"/>
      <c r="PW91" s="30"/>
      <c r="PX91" s="30"/>
      <c r="PY91" s="30"/>
      <c r="PZ91" s="30"/>
      <c r="QA91" s="30"/>
      <c r="QB91" s="30"/>
      <c r="QC91" s="30"/>
      <c r="QD91" s="30"/>
      <c r="QE91" s="30"/>
      <c r="QF91" s="30"/>
      <c r="QG91" s="30"/>
      <c r="QH91" s="30"/>
      <c r="QI91" s="30"/>
      <c r="QJ91" s="30"/>
      <c r="QK91" s="30"/>
      <c r="QL91" s="30"/>
      <c r="QM91" s="30"/>
      <c r="QN91" s="30"/>
      <c r="QO91" s="30"/>
      <c r="QP91" s="30"/>
      <c r="QQ91" s="30"/>
      <c r="QR91" s="30"/>
      <c r="QS91" s="30"/>
      <c r="QT91" s="30"/>
      <c r="QU91" s="30"/>
      <c r="QV91" s="30"/>
      <c r="QW91" s="30"/>
      <c r="QX91" s="30"/>
      <c r="QY91" s="30"/>
      <c r="QZ91" s="30"/>
      <c r="RA91" s="30"/>
      <c r="RB91" s="30"/>
      <c r="RC91" s="30"/>
      <c r="RD91" s="30"/>
      <c r="RE91" s="30"/>
      <c r="RF91" s="30"/>
      <c r="RG91" s="30"/>
      <c r="RH91" s="30"/>
      <c r="RI91" s="30"/>
      <c r="RJ91" s="30"/>
      <c r="RK91" s="30"/>
      <c r="RL91" s="30"/>
      <c r="RM91" s="30"/>
      <c r="RN91" s="30"/>
      <c r="RO91" s="30"/>
      <c r="RP91" s="30"/>
      <c r="RQ91" s="30"/>
      <c r="RR91" s="30"/>
      <c r="RS91" s="30"/>
      <c r="RT91" s="30"/>
      <c r="RU91" s="30"/>
      <c r="RV91" s="30"/>
      <c r="RW91" s="30"/>
      <c r="RX91" s="30"/>
      <c r="RY91" s="30"/>
      <c r="RZ91" s="30"/>
      <c r="SA91" s="30"/>
      <c r="SB91" s="30"/>
      <c r="SC91" s="30"/>
      <c r="SD91" s="30"/>
    </row>
    <row r="92" spans="1:498" s="20" customFormat="1" hidden="1" x14ac:dyDescent="0.25">
      <c r="A92" s="59"/>
      <c r="B92" s="66"/>
      <c r="C92" s="68"/>
      <c r="D92" s="72"/>
      <c r="E92" s="72"/>
      <c r="F92" s="153">
        <f>D89*C11</f>
        <v>2575</v>
      </c>
      <c r="G92" s="153">
        <f t="shared" ref="G92:AD92" si="43">IF(
F96=$F$113+N("If the IBR monthly payment equals the standard monhtly payment, then"),
F94*$C$11+N("The annual interest rate is the previous year's loan principal multiplied by the interest rate")+N("If the condition was not met then..."),
IF(
F93&gt;0+N("IF the student negatively amortized the previous year, then"),
$D$89*$C$11+N("Annual interest is the original loan balance multiplied by the interest rate")+N("If they made a principal payment in the previous year then..."),
F94*$C$11+N("Since the previous year's loan balance must be lower tahn the original loan balance, the annual interest is the previous year's loan balance multiplied by the interest rate")))</f>
        <v>2575</v>
      </c>
      <c r="H92" s="153">
        <f t="shared" si="43"/>
        <v>2575</v>
      </c>
      <c r="I92" s="153">
        <f t="shared" si="43"/>
        <v>2575</v>
      </c>
      <c r="J92" s="153">
        <f t="shared" si="43"/>
        <v>2575</v>
      </c>
      <c r="K92" s="153">
        <f t="shared" si="43"/>
        <v>2575</v>
      </c>
      <c r="L92" s="153">
        <f t="shared" si="43"/>
        <v>2575</v>
      </c>
      <c r="M92" s="153">
        <f t="shared" si="43"/>
        <v>2575</v>
      </c>
      <c r="N92" s="153">
        <f t="shared" si="43"/>
        <v>2575</v>
      </c>
      <c r="O92" s="153">
        <f t="shared" si="43"/>
        <v>2575</v>
      </c>
      <c r="P92" s="153">
        <f t="shared" si="43"/>
        <v>2575</v>
      </c>
      <c r="Q92" s="153">
        <f t="shared" si="43"/>
        <v>2575</v>
      </c>
      <c r="R92" s="153">
        <f t="shared" si="43"/>
        <v>2575</v>
      </c>
      <c r="S92" s="153">
        <f t="shared" si="43"/>
        <v>2575</v>
      </c>
      <c r="T92" s="153">
        <f t="shared" si="43"/>
        <v>2575</v>
      </c>
      <c r="U92" s="153">
        <f t="shared" si="43"/>
        <v>2575</v>
      </c>
      <c r="V92" s="153">
        <f t="shared" si="43"/>
        <v>2575</v>
      </c>
      <c r="W92" s="153">
        <f t="shared" si="43"/>
        <v>2575</v>
      </c>
      <c r="X92" s="153">
        <f t="shared" si="43"/>
        <v>2575</v>
      </c>
      <c r="Y92" s="153">
        <f t="shared" si="43"/>
        <v>2575</v>
      </c>
      <c r="Z92" s="153">
        <f t="shared" si="43"/>
        <v>2575</v>
      </c>
      <c r="AA92" s="153">
        <f t="shared" si="43"/>
        <v>2575</v>
      </c>
      <c r="AB92" s="153">
        <f t="shared" si="43"/>
        <v>2575</v>
      </c>
      <c r="AC92" s="153">
        <f t="shared" si="43"/>
        <v>2575</v>
      </c>
      <c r="AD92" s="153">
        <f t="shared" si="43"/>
        <v>2575</v>
      </c>
      <c r="AE92" s="61"/>
      <c r="AF92" s="59"/>
      <c r="AG92" s="59"/>
      <c r="AH92" s="59"/>
      <c r="AI92" s="59"/>
      <c r="AJ92" s="59"/>
      <c r="AK92" s="59"/>
      <c r="AL92" s="59"/>
      <c r="AM92" s="59"/>
      <c r="AN92" s="59"/>
      <c r="AO92" s="59"/>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c r="CA92" s="30"/>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c r="IV92" s="30"/>
      <c r="IW92" s="30"/>
      <c r="IX92" s="30"/>
      <c r="IY92" s="30"/>
      <c r="IZ92" s="30"/>
      <c r="JA92" s="30"/>
      <c r="JB92" s="30"/>
      <c r="JC92" s="30"/>
      <c r="JD92" s="30"/>
      <c r="JE92" s="30"/>
      <c r="JF92" s="30"/>
      <c r="JG92" s="30"/>
      <c r="JH92" s="30"/>
      <c r="JI92" s="30"/>
      <c r="JJ92" s="30"/>
      <c r="JK92" s="30"/>
      <c r="JL92" s="30"/>
      <c r="JM92" s="30"/>
      <c r="JN92" s="30"/>
      <c r="JO92" s="30"/>
      <c r="JP92" s="30"/>
      <c r="JQ92" s="30"/>
      <c r="JR92" s="30"/>
      <c r="JS92" s="30"/>
      <c r="JT92" s="30"/>
      <c r="JU92" s="30"/>
      <c r="JV92" s="30"/>
      <c r="JW92" s="30"/>
      <c r="JX92" s="30"/>
      <c r="JY92" s="30"/>
      <c r="JZ92" s="30"/>
      <c r="KA92" s="30"/>
      <c r="KB92" s="30"/>
      <c r="KC92" s="30"/>
      <c r="KD92" s="30"/>
      <c r="KE92" s="30"/>
      <c r="KF92" s="30"/>
      <c r="KG92" s="30"/>
      <c r="KH92" s="30"/>
      <c r="KI92" s="30"/>
      <c r="KJ92" s="30"/>
      <c r="KK92" s="30"/>
      <c r="KL92" s="30"/>
      <c r="KM92" s="30"/>
      <c r="KN92" s="30"/>
      <c r="KO92" s="30"/>
      <c r="KP92" s="30"/>
      <c r="KQ92" s="30"/>
      <c r="KR92" s="30"/>
      <c r="KS92" s="30"/>
      <c r="KT92" s="30"/>
      <c r="KU92" s="30"/>
      <c r="KV92" s="30"/>
      <c r="KW92" s="30"/>
      <c r="KX92" s="30"/>
      <c r="KY92" s="30"/>
      <c r="KZ92" s="30"/>
      <c r="LA92" s="30"/>
      <c r="LB92" s="30"/>
      <c r="LC92" s="30"/>
      <c r="LD92" s="30"/>
      <c r="LE92" s="30"/>
      <c r="LF92" s="30"/>
      <c r="LG92" s="30"/>
      <c r="LH92" s="30"/>
      <c r="LI92" s="30"/>
      <c r="LJ92" s="30"/>
      <c r="LK92" s="30"/>
      <c r="LL92" s="30"/>
      <c r="LM92" s="30"/>
      <c r="LN92" s="30"/>
      <c r="LO92" s="30"/>
      <c r="LP92" s="30"/>
      <c r="LQ92" s="30"/>
      <c r="LR92" s="30"/>
      <c r="LS92" s="30"/>
      <c r="LT92" s="30"/>
      <c r="LU92" s="30"/>
      <c r="LV92" s="30"/>
      <c r="LW92" s="30"/>
      <c r="LX92" s="30"/>
      <c r="LY92" s="30"/>
      <c r="LZ92" s="30"/>
      <c r="MA92" s="30"/>
      <c r="MB92" s="30"/>
      <c r="MC92" s="30"/>
      <c r="MD92" s="30"/>
      <c r="ME92" s="30"/>
      <c r="MF92" s="30"/>
      <c r="MG92" s="30"/>
      <c r="MH92" s="30"/>
      <c r="MI92" s="30"/>
      <c r="MJ92" s="30"/>
      <c r="MK92" s="30"/>
      <c r="ML92" s="30"/>
      <c r="MM92" s="30"/>
      <c r="MN92" s="30"/>
      <c r="MO92" s="30"/>
      <c r="MP92" s="30"/>
      <c r="MQ92" s="30"/>
      <c r="MR92" s="30"/>
      <c r="MS92" s="30"/>
      <c r="MT92" s="30"/>
      <c r="MU92" s="30"/>
      <c r="MV92" s="30"/>
      <c r="MW92" s="30"/>
      <c r="MX92" s="30"/>
      <c r="MY92" s="30"/>
      <c r="MZ92" s="30"/>
      <c r="NA92" s="30"/>
      <c r="NB92" s="30"/>
      <c r="NC92" s="30"/>
      <c r="ND92" s="30"/>
      <c r="NE92" s="30"/>
      <c r="NF92" s="30"/>
      <c r="NG92" s="30"/>
      <c r="NH92" s="30"/>
      <c r="NI92" s="30"/>
      <c r="NJ92" s="30"/>
      <c r="NK92" s="30"/>
      <c r="NL92" s="30"/>
      <c r="NM92" s="30"/>
      <c r="NN92" s="30"/>
      <c r="NO92" s="30"/>
      <c r="NP92" s="30"/>
      <c r="NQ92" s="30"/>
      <c r="NR92" s="30"/>
      <c r="NS92" s="30"/>
      <c r="NT92" s="30"/>
      <c r="NU92" s="30"/>
      <c r="NV92" s="30"/>
      <c r="NW92" s="30"/>
      <c r="NX92" s="30"/>
      <c r="NY92" s="30"/>
      <c r="NZ92" s="30"/>
      <c r="OA92" s="30"/>
      <c r="OB92" s="30"/>
      <c r="OC92" s="30"/>
      <c r="OD92" s="30"/>
      <c r="OE92" s="30"/>
      <c r="OF92" s="30"/>
      <c r="OG92" s="30"/>
      <c r="OH92" s="30"/>
      <c r="OI92" s="30"/>
      <c r="OJ92" s="30"/>
      <c r="OK92" s="30"/>
      <c r="OL92" s="30"/>
      <c r="OM92" s="30"/>
      <c r="ON92" s="30"/>
      <c r="OO92" s="30"/>
      <c r="OP92" s="30"/>
      <c r="OQ92" s="30"/>
      <c r="OR92" s="30"/>
      <c r="OS92" s="30"/>
      <c r="OT92" s="30"/>
      <c r="OU92" s="30"/>
      <c r="OV92" s="30"/>
      <c r="OW92" s="30"/>
      <c r="OX92" s="30"/>
      <c r="OY92" s="30"/>
      <c r="OZ92" s="30"/>
      <c r="PA92" s="30"/>
      <c r="PB92" s="30"/>
      <c r="PC92" s="30"/>
      <c r="PD92" s="30"/>
      <c r="PE92" s="30"/>
      <c r="PF92" s="30"/>
      <c r="PG92" s="30"/>
      <c r="PH92" s="30"/>
      <c r="PI92" s="30"/>
      <c r="PJ92" s="30"/>
      <c r="PK92" s="30"/>
      <c r="PL92" s="30"/>
      <c r="PM92" s="30"/>
      <c r="PN92" s="30"/>
      <c r="PO92" s="30"/>
      <c r="PP92" s="30"/>
      <c r="PQ92" s="30"/>
      <c r="PR92" s="30"/>
      <c r="PS92" s="30"/>
      <c r="PT92" s="30"/>
      <c r="PU92" s="30"/>
      <c r="PV92" s="30"/>
      <c r="PW92" s="30"/>
      <c r="PX92" s="30"/>
      <c r="PY92" s="30"/>
      <c r="PZ92" s="30"/>
      <c r="QA92" s="30"/>
      <c r="QB92" s="30"/>
      <c r="QC92" s="30"/>
      <c r="QD92" s="30"/>
      <c r="QE92" s="30"/>
      <c r="QF92" s="30"/>
      <c r="QG92" s="30"/>
      <c r="QH92" s="30"/>
      <c r="QI92" s="30"/>
      <c r="QJ92" s="30"/>
      <c r="QK92" s="30"/>
      <c r="QL92" s="30"/>
      <c r="QM92" s="30"/>
      <c r="QN92" s="30"/>
      <c r="QO92" s="30"/>
      <c r="QP92" s="30"/>
      <c r="QQ92" s="30"/>
      <c r="QR92" s="30"/>
      <c r="QS92" s="30"/>
      <c r="QT92" s="30"/>
      <c r="QU92" s="30"/>
      <c r="QV92" s="30"/>
      <c r="QW92" s="30"/>
      <c r="QX92" s="30"/>
      <c r="QY92" s="30"/>
      <c r="QZ92" s="30"/>
      <c r="RA92" s="30"/>
      <c r="RB92" s="30"/>
      <c r="RC92" s="30"/>
      <c r="RD92" s="30"/>
      <c r="RE92" s="30"/>
      <c r="RF92" s="30"/>
      <c r="RG92" s="30"/>
      <c r="RH92" s="30"/>
      <c r="RI92" s="30"/>
      <c r="RJ92" s="30"/>
      <c r="RK92" s="30"/>
      <c r="RL92" s="30"/>
      <c r="RM92" s="30"/>
      <c r="RN92" s="30"/>
      <c r="RO92" s="30"/>
      <c r="RP92" s="30"/>
      <c r="RQ92" s="30"/>
      <c r="RR92" s="30"/>
      <c r="RS92" s="30"/>
      <c r="RT92" s="30"/>
      <c r="RU92" s="30"/>
      <c r="RV92" s="30"/>
      <c r="RW92" s="30"/>
      <c r="RX92" s="30"/>
      <c r="RY92" s="30"/>
      <c r="RZ92" s="30"/>
      <c r="SA92" s="30"/>
      <c r="SB92" s="30"/>
      <c r="SC92" s="30"/>
      <c r="SD92" s="30"/>
    </row>
    <row r="93" spans="1:498" s="20" customFormat="1" hidden="1" x14ac:dyDescent="0.25">
      <c r="A93" s="59"/>
      <c r="B93" s="66"/>
      <c r="C93" s="68"/>
      <c r="D93" s="72"/>
      <c r="E93" s="72"/>
      <c r="F93" s="153">
        <f>($C$26*$C$11)-((F96*12)*C32)+N("CNAPP equals the annual interest on unsubs minus the the percentage of the annual IBR payment that would be put towards unsubs")</f>
        <v>1298.5299999999997</v>
      </c>
      <c r="G93" s="153">
        <f>IF(
F93=-$C$10+N("IF the principal payment from the previous year equals the original loan balance then"),
0+N("The CAN/PP euals zero, because you have paid of the loan")+N("if CAN/PP does not equal the original loan balance, then..."),
IF(
$C$11=0+N("If the interest rate is zero, then"),
(-(G96*12))+F93+N("CNAPP equals the last year's CNAPP minus whatever the annual IBR payment was")+N("If the interest rate is not zero, then..."),
IF(
G92=0+N("If the annual interest paid equals zero, then..."),
0+N("CNAPP equals zero")+N("If the annual interest rate does not equal zero, then..."),
(($C$26*$C$11)-((G96*12)*$C$32))+F93+N("CNAPP equals the previous CNAPP plus the annual interest on unsubs minus the the percentage of the annual IBR payment that would be put towards unsubs"))))</f>
        <v>2520.3210499999996</v>
      </c>
      <c r="H93" s="153">
        <f>IF(
G93=-$C$10+N("IF the principal payment from the previous year equals the original loan balance then"),
0+N("The CAN/PP euals zero, because you have paid of the loan")+N("if CAN/PP does not equal the original loan balance, then..."),
IF(
$C$11=0+N("If the interest rate is zero, then"),
(-(H96*12))+G93+N("CNAPP equals the last year's CNAPP minus whatever the annual IBR payment was")+N("If the interest rate is not zero, then..."),
IF(
H92=0+N("If the annual interest paid equals zero, then..."),
0+N("CNAPP equals zero")+N("If the annual interest rate does not equal zero, then..."),
(($C$26*$C$11)-((H96*12)*$C$32))+G93+N("CNAPP equals the previous CNAPP plus the annual interest on unsubs minus the the percentage of the annual IBR payment that would be put towards unsubs"))))</f>
        <v>3661.6590202349989</v>
      </c>
      <c r="I93" s="153">
        <f t="shared" ref="I93:AD93" si="44">IF(
H93=-$C10+N("IF the principal payment from the previous year equals the original loan balance then"),
0+N("The CAN/PP euals zero, because you have paid of the loan")+N("if CAN/PP does not equal the original loan balance, then..."),
IF(
$C11=0+N("If the interest rate is zero, then"),
(-(I96*12))+H93+N("CNAPP equals the last year's CNAPP minus whatever the annual IBR payment was")+N("If the interest rate is not zero, then..."),
IF(
I92=0+N("If the annual interest paid equals zero, then..."),
0+N("CNAPP equals zero")+N("If the annual interest rate does not equal zero, then..."),
I92-(I96*12)+H93+N("CNAPP equals the previous CNAPP plus the annual interest minus the annual IBR payment"))))</f>
        <v>4718.6650369980971</v>
      </c>
      <c r="J93" s="153">
        <f t="shared" si="44"/>
        <v>5687.2884867961566</v>
      </c>
      <c r="K93" s="153">
        <f t="shared" si="44"/>
        <v>6563.2997304789233</v>
      </c>
      <c r="L93" s="153">
        <f t="shared" si="44"/>
        <v>7342.2825154846942</v>
      </c>
      <c r="M93" s="153">
        <f t="shared" si="44"/>
        <v>8019.6260738649398</v>
      </c>
      <c r="N93" s="153">
        <f t="shared" si="44"/>
        <v>8590.5168932501929</v>
      </c>
      <c r="O93" s="153">
        <f t="shared" si="44"/>
        <v>9049.9301473992655</v>
      </c>
      <c r="P93" s="153">
        <f t="shared" si="44"/>
        <v>9392.6207724326196</v>
      </c>
      <c r="Q93" s="153">
        <f t="shared" si="44"/>
        <v>9613.1141742876553</v>
      </c>
      <c r="R93" s="153">
        <f t="shared" si="44"/>
        <v>9705.6965523479303</v>
      </c>
      <c r="S93" s="153">
        <f t="shared" si="44"/>
        <v>9664.4048235889441</v>
      </c>
      <c r="T93" s="153">
        <f t="shared" si="44"/>
        <v>9483.0161309491905</v>
      </c>
      <c r="U93" s="153">
        <f t="shared" si="44"/>
        <v>9155.0369189757057</v>
      </c>
      <c r="V93" s="153">
        <f t="shared" si="44"/>
        <v>8673.6915591072739</v>
      </c>
      <c r="W93" s="153">
        <f t="shared" si="44"/>
        <v>8031.9105062447552</v>
      </c>
      <c r="X93" s="153">
        <f t="shared" si="44"/>
        <v>7222.3179675155425</v>
      </c>
      <c r="Y93" s="153">
        <f t="shared" si="44"/>
        <v>6237.2190633667888</v>
      </c>
      <c r="Z93" s="153">
        <f t="shared" si="44"/>
        <v>8812.2190633667888</v>
      </c>
      <c r="AA93" s="153">
        <f t="shared" si="44"/>
        <v>11387.219063366789</v>
      </c>
      <c r="AB93" s="153">
        <f t="shared" si="44"/>
        <v>13962.219063366789</v>
      </c>
      <c r="AC93" s="153">
        <f t="shared" si="44"/>
        <v>16537.219063366789</v>
      </c>
      <c r="AD93" s="153">
        <f t="shared" si="44"/>
        <v>19112.219063366789</v>
      </c>
      <c r="AE93" s="61"/>
      <c r="AF93" s="59"/>
      <c r="AG93" s="59"/>
      <c r="AH93" s="59"/>
      <c r="AI93" s="59"/>
      <c r="AJ93" s="59"/>
      <c r="AK93" s="59"/>
      <c r="AL93" s="59"/>
      <c r="AM93" s="59"/>
      <c r="AN93" s="59"/>
      <c r="AO93" s="59"/>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c r="IV93" s="30"/>
      <c r="IW93" s="30"/>
      <c r="IX93" s="30"/>
      <c r="IY93" s="30"/>
      <c r="IZ93" s="30"/>
      <c r="JA93" s="30"/>
      <c r="JB93" s="30"/>
      <c r="JC93" s="30"/>
      <c r="JD93" s="30"/>
      <c r="JE93" s="30"/>
      <c r="JF93" s="30"/>
      <c r="JG93" s="30"/>
      <c r="JH93" s="30"/>
      <c r="JI93" s="30"/>
      <c r="JJ93" s="30"/>
      <c r="JK93" s="30"/>
      <c r="JL93" s="30"/>
      <c r="JM93" s="30"/>
      <c r="JN93" s="30"/>
      <c r="JO93" s="30"/>
      <c r="JP93" s="30"/>
      <c r="JQ93" s="30"/>
      <c r="JR93" s="30"/>
      <c r="JS93" s="30"/>
      <c r="JT93" s="30"/>
      <c r="JU93" s="30"/>
      <c r="JV93" s="30"/>
      <c r="JW93" s="30"/>
      <c r="JX93" s="30"/>
      <c r="JY93" s="30"/>
      <c r="JZ93" s="30"/>
      <c r="KA93" s="30"/>
      <c r="KB93" s="30"/>
      <c r="KC93" s="30"/>
      <c r="KD93" s="30"/>
      <c r="KE93" s="30"/>
      <c r="KF93" s="30"/>
      <c r="KG93" s="30"/>
      <c r="KH93" s="30"/>
      <c r="KI93" s="30"/>
      <c r="KJ93" s="30"/>
      <c r="KK93" s="30"/>
      <c r="KL93" s="30"/>
      <c r="KM93" s="30"/>
      <c r="KN93" s="30"/>
      <c r="KO93" s="30"/>
      <c r="KP93" s="30"/>
      <c r="KQ93" s="30"/>
      <c r="KR93" s="30"/>
      <c r="KS93" s="30"/>
      <c r="KT93" s="30"/>
      <c r="KU93" s="30"/>
      <c r="KV93" s="30"/>
      <c r="KW93" s="30"/>
      <c r="KX93" s="30"/>
      <c r="KY93" s="30"/>
      <c r="KZ93" s="30"/>
      <c r="LA93" s="30"/>
      <c r="LB93" s="30"/>
      <c r="LC93" s="30"/>
      <c r="LD93" s="30"/>
      <c r="LE93" s="30"/>
      <c r="LF93" s="30"/>
      <c r="LG93" s="30"/>
      <c r="LH93" s="30"/>
      <c r="LI93" s="30"/>
      <c r="LJ93" s="30"/>
      <c r="LK93" s="30"/>
      <c r="LL93" s="30"/>
      <c r="LM93" s="30"/>
      <c r="LN93" s="30"/>
      <c r="LO93" s="30"/>
      <c r="LP93" s="30"/>
      <c r="LQ93" s="30"/>
      <c r="LR93" s="30"/>
      <c r="LS93" s="30"/>
      <c r="LT93" s="30"/>
      <c r="LU93" s="30"/>
      <c r="LV93" s="30"/>
      <c r="LW93" s="30"/>
      <c r="LX93" s="30"/>
      <c r="LY93" s="30"/>
      <c r="LZ93" s="30"/>
      <c r="MA93" s="30"/>
      <c r="MB93" s="30"/>
      <c r="MC93" s="30"/>
      <c r="MD93" s="30"/>
      <c r="ME93" s="30"/>
      <c r="MF93" s="30"/>
      <c r="MG93" s="30"/>
      <c r="MH93" s="30"/>
      <c r="MI93" s="30"/>
      <c r="MJ93" s="30"/>
      <c r="MK93" s="30"/>
      <c r="ML93" s="30"/>
      <c r="MM93" s="30"/>
      <c r="MN93" s="30"/>
      <c r="MO93" s="30"/>
      <c r="MP93" s="30"/>
      <c r="MQ93" s="30"/>
      <c r="MR93" s="30"/>
      <c r="MS93" s="30"/>
      <c r="MT93" s="30"/>
      <c r="MU93" s="30"/>
      <c r="MV93" s="30"/>
      <c r="MW93" s="30"/>
      <c r="MX93" s="30"/>
      <c r="MY93" s="30"/>
      <c r="MZ93" s="30"/>
      <c r="NA93" s="30"/>
      <c r="NB93" s="30"/>
      <c r="NC93" s="30"/>
      <c r="ND93" s="30"/>
      <c r="NE93" s="30"/>
      <c r="NF93" s="30"/>
      <c r="NG93" s="30"/>
      <c r="NH93" s="30"/>
      <c r="NI93" s="30"/>
      <c r="NJ93" s="30"/>
      <c r="NK93" s="30"/>
      <c r="NL93" s="30"/>
      <c r="NM93" s="30"/>
      <c r="NN93" s="30"/>
      <c r="NO93" s="30"/>
      <c r="NP93" s="30"/>
      <c r="NQ93" s="30"/>
      <c r="NR93" s="30"/>
      <c r="NS93" s="30"/>
      <c r="NT93" s="30"/>
      <c r="NU93" s="30"/>
      <c r="NV93" s="30"/>
      <c r="NW93" s="30"/>
      <c r="NX93" s="30"/>
      <c r="NY93" s="30"/>
      <c r="NZ93" s="30"/>
      <c r="OA93" s="30"/>
      <c r="OB93" s="30"/>
      <c r="OC93" s="30"/>
      <c r="OD93" s="30"/>
      <c r="OE93" s="30"/>
      <c r="OF93" s="30"/>
      <c r="OG93" s="30"/>
      <c r="OH93" s="30"/>
      <c r="OI93" s="30"/>
      <c r="OJ93" s="30"/>
      <c r="OK93" s="30"/>
      <c r="OL93" s="30"/>
      <c r="OM93" s="30"/>
      <c r="ON93" s="30"/>
      <c r="OO93" s="30"/>
      <c r="OP93" s="30"/>
      <c r="OQ93" s="30"/>
      <c r="OR93" s="30"/>
      <c r="OS93" s="30"/>
      <c r="OT93" s="30"/>
      <c r="OU93" s="30"/>
      <c r="OV93" s="30"/>
      <c r="OW93" s="30"/>
      <c r="OX93" s="30"/>
      <c r="OY93" s="30"/>
      <c r="OZ93" s="30"/>
      <c r="PA93" s="30"/>
      <c r="PB93" s="30"/>
      <c r="PC93" s="30"/>
      <c r="PD93" s="30"/>
      <c r="PE93" s="30"/>
      <c r="PF93" s="30"/>
      <c r="PG93" s="30"/>
      <c r="PH93" s="30"/>
      <c r="PI93" s="30"/>
      <c r="PJ93" s="30"/>
      <c r="PK93" s="30"/>
      <c r="PL93" s="30"/>
      <c r="PM93" s="30"/>
      <c r="PN93" s="30"/>
      <c r="PO93" s="30"/>
      <c r="PP93" s="30"/>
      <c r="PQ93" s="30"/>
      <c r="PR93" s="30"/>
      <c r="PS93" s="30"/>
      <c r="PT93" s="30"/>
      <c r="PU93" s="30"/>
      <c r="PV93" s="30"/>
      <c r="PW93" s="30"/>
      <c r="PX93" s="30"/>
      <c r="PY93" s="30"/>
      <c r="PZ93" s="30"/>
      <c r="QA93" s="30"/>
      <c r="QB93" s="30"/>
      <c r="QC93" s="30"/>
      <c r="QD93" s="30"/>
      <c r="QE93" s="30"/>
      <c r="QF93" s="30"/>
      <c r="QG93" s="30"/>
      <c r="QH93" s="30"/>
      <c r="QI93" s="30"/>
      <c r="QJ93" s="30"/>
      <c r="QK93" s="30"/>
      <c r="QL93" s="30"/>
      <c r="QM93" s="30"/>
      <c r="QN93" s="30"/>
      <c r="QO93" s="30"/>
      <c r="QP93" s="30"/>
      <c r="QQ93" s="30"/>
      <c r="QR93" s="30"/>
      <c r="QS93" s="30"/>
      <c r="QT93" s="30"/>
      <c r="QU93" s="30"/>
      <c r="QV93" s="30"/>
      <c r="QW93" s="30"/>
      <c r="QX93" s="30"/>
      <c r="QY93" s="30"/>
      <c r="QZ93" s="30"/>
      <c r="RA93" s="30"/>
      <c r="RB93" s="30"/>
      <c r="RC93" s="30"/>
      <c r="RD93" s="30"/>
      <c r="RE93" s="30"/>
      <c r="RF93" s="30"/>
      <c r="RG93" s="30"/>
      <c r="RH93" s="30"/>
      <c r="RI93" s="30"/>
      <c r="RJ93" s="30"/>
      <c r="RK93" s="30"/>
      <c r="RL93" s="30"/>
      <c r="RM93" s="30"/>
      <c r="RN93" s="30"/>
      <c r="RO93" s="30"/>
      <c r="RP93" s="30"/>
      <c r="RQ93" s="30"/>
      <c r="RR93" s="30"/>
      <c r="RS93" s="30"/>
      <c r="RT93" s="30"/>
      <c r="RU93" s="30"/>
      <c r="RV93" s="30"/>
      <c r="RW93" s="30"/>
      <c r="RX93" s="30"/>
      <c r="RY93" s="30"/>
      <c r="RZ93" s="30"/>
      <c r="SA93" s="30"/>
      <c r="SB93" s="30"/>
      <c r="SC93" s="30"/>
      <c r="SD93" s="30"/>
    </row>
    <row r="94" spans="1:498" s="20" customFormat="1" hidden="1" x14ac:dyDescent="0.25">
      <c r="A94" s="59"/>
      <c r="B94" s="66"/>
      <c r="C94" s="68"/>
      <c r="D94" s="72"/>
      <c r="E94" s="72"/>
      <c r="F94" s="153">
        <f>$C$10+F93</f>
        <v>21298.53</v>
      </c>
      <c r="G94" s="153">
        <f t="shared" ref="G94:AD94" si="45">IF(
OR(
F94&lt;=0+N("If either the loan balance from the preceding year is less than or equal to zero OR"),
AND(
$C11=0+N("if the interest rate is zero AND"),
(F94-(F96*12))&lt;0+N("The loan balance is less than the annual IBR payment then"))),
0+N("the loan balance equals zero, if these conditions were not satisfied then"),
IF(
($C10+G93)&lt;0+N("If the principal payment is greaterthan the original loan balance then"),
0+N("the loan balance is zero")+N("If not, then"),
IF(
(G125*$C$15)/12&gt;=$C$113+N("If the IBR payment is greater than or equal to the standard payment then"),
(F94*(1+$C$11))-(G96*12)+N("the previous loan balance plus interest minus the annual IBR payment is the new loan balance")+N("If the condition is false then"),
($C10+G93)+N("the new loan balance is the original minus the principal or plus the negative amortization (the plus sign is in the formula because negative amortization is postitive and principal payment is negative in the spreadsheet"))))</f>
        <v>22520.321049999999</v>
      </c>
      <c r="H94" s="153">
        <f t="shared" si="45"/>
        <v>23661.659020234998</v>
      </c>
      <c r="I94" s="153">
        <f t="shared" si="45"/>
        <v>24718.665036998096</v>
      </c>
      <c r="J94" s="153">
        <f t="shared" si="45"/>
        <v>25687.288486796155</v>
      </c>
      <c r="K94" s="153">
        <f t="shared" si="45"/>
        <v>26563.299730478924</v>
      </c>
      <c r="L94" s="153">
        <f t="shared" si="45"/>
        <v>27342.282515484694</v>
      </c>
      <c r="M94" s="153">
        <f t="shared" si="45"/>
        <v>28019.62607386494</v>
      </c>
      <c r="N94" s="153">
        <f t="shared" si="45"/>
        <v>28590.516893250191</v>
      </c>
      <c r="O94" s="153">
        <f t="shared" si="45"/>
        <v>29049.930147399267</v>
      </c>
      <c r="P94" s="153">
        <f t="shared" si="45"/>
        <v>29392.62077243262</v>
      </c>
      <c r="Q94" s="153">
        <f t="shared" si="45"/>
        <v>29613.114174287657</v>
      </c>
      <c r="R94" s="153">
        <f t="shared" si="45"/>
        <v>30943.385002287465</v>
      </c>
      <c r="S94" s="153">
        <f t="shared" si="45"/>
        <v>32311.054092572991</v>
      </c>
      <c r="T94" s="153">
        <f t="shared" si="45"/>
        <v>33714.713614352011</v>
      </c>
      <c r="U94" s="153">
        <f t="shared" si="45"/>
        <v>35152.503780226347</v>
      </c>
      <c r="V94" s="153">
        <f t="shared" si="45"/>
        <v>36622.043282062048</v>
      </c>
      <c r="W94" s="153">
        <f t="shared" si="45"/>
        <v>38120.350301765015</v>
      </c>
      <c r="X94" s="153">
        <f t="shared" si="45"/>
        <v>39643.752864388043</v>
      </c>
      <c r="Y94" s="153">
        <f t="shared" si="45"/>
        <v>41187.787141529247</v>
      </c>
      <c r="Z94" s="153">
        <f t="shared" si="45"/>
        <v>46490.714736001137</v>
      </c>
      <c r="AA94" s="153">
        <f t="shared" si="45"/>
        <v>52476.39425826128</v>
      </c>
      <c r="AB94" s="153">
        <f t="shared" si="45"/>
        <v>59232.730019012415</v>
      </c>
      <c r="AC94" s="153">
        <f t="shared" si="45"/>
        <v>66858.944008960258</v>
      </c>
      <c r="AD94" s="153">
        <f t="shared" si="45"/>
        <v>75467.033050113881</v>
      </c>
      <c r="AE94" s="61"/>
      <c r="AF94" s="59"/>
      <c r="AG94" s="59"/>
      <c r="AH94" s="59"/>
      <c r="AI94" s="59"/>
      <c r="AJ94" s="59"/>
      <c r="AK94" s="59"/>
      <c r="AL94" s="59"/>
      <c r="AM94" s="59"/>
      <c r="AN94" s="59"/>
      <c r="AO94" s="59"/>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0"/>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c r="FQ94" s="30"/>
      <c r="FR94" s="30"/>
      <c r="FS94" s="30"/>
      <c r="FT94" s="30"/>
      <c r="FU94" s="30"/>
      <c r="FV94" s="30"/>
      <c r="FW94" s="30"/>
      <c r="FX94" s="30"/>
      <c r="FY94" s="30"/>
      <c r="FZ94" s="30"/>
      <c r="GA94" s="30"/>
      <c r="GB94" s="30"/>
      <c r="GC94" s="30"/>
      <c r="GD94" s="30"/>
      <c r="GE94" s="30"/>
      <c r="GF94" s="30"/>
      <c r="GG94" s="30"/>
      <c r="GH94" s="30"/>
      <c r="GI94" s="30"/>
      <c r="GJ94" s="30"/>
      <c r="GK94" s="30"/>
      <c r="GL94" s="30"/>
      <c r="GM94" s="30"/>
      <c r="GN94" s="30"/>
      <c r="GO94" s="30"/>
      <c r="GP94" s="30"/>
      <c r="GQ94" s="30"/>
      <c r="GR94" s="30"/>
      <c r="GS94" s="30"/>
      <c r="GT94" s="30"/>
      <c r="GU94" s="30"/>
      <c r="GV94" s="30"/>
      <c r="GW94" s="30"/>
      <c r="GX94" s="30"/>
      <c r="GY94" s="30"/>
      <c r="GZ94" s="30"/>
      <c r="HA94" s="30"/>
      <c r="HB94" s="30"/>
      <c r="HC94" s="30"/>
      <c r="HD94" s="30"/>
      <c r="HE94" s="30"/>
      <c r="HF94" s="30"/>
      <c r="HG94" s="30"/>
      <c r="HH94" s="30"/>
      <c r="HI94" s="30"/>
      <c r="HJ94" s="30"/>
      <c r="HK94" s="30"/>
      <c r="HL94" s="30"/>
      <c r="HM94" s="30"/>
      <c r="HN94" s="30"/>
      <c r="HO94" s="30"/>
      <c r="HP94" s="30"/>
      <c r="HQ94" s="30"/>
      <c r="HR94" s="30"/>
      <c r="HS94" s="30"/>
      <c r="HT94" s="30"/>
      <c r="HU94" s="30"/>
      <c r="HV94" s="30"/>
      <c r="HW94" s="30"/>
      <c r="HX94" s="30"/>
      <c r="HY94" s="30"/>
      <c r="HZ94" s="30"/>
      <c r="IA94" s="30"/>
      <c r="IB94" s="30"/>
      <c r="IC94" s="30"/>
      <c r="ID94" s="30"/>
      <c r="IE94" s="30"/>
      <c r="IF94" s="30"/>
      <c r="IG94" s="30"/>
      <c r="IH94" s="30"/>
      <c r="II94" s="30"/>
      <c r="IJ94" s="30"/>
      <c r="IK94" s="30"/>
      <c r="IL94" s="30"/>
      <c r="IM94" s="30"/>
      <c r="IN94" s="30"/>
      <c r="IO94" s="30"/>
      <c r="IP94" s="30"/>
      <c r="IQ94" s="30"/>
      <c r="IR94" s="30"/>
      <c r="IS94" s="30"/>
      <c r="IT94" s="30"/>
      <c r="IU94" s="30"/>
      <c r="IV94" s="30"/>
      <c r="IW94" s="30"/>
      <c r="IX94" s="30"/>
      <c r="IY94" s="30"/>
      <c r="IZ94" s="30"/>
      <c r="JA94" s="30"/>
      <c r="JB94" s="30"/>
      <c r="JC94" s="30"/>
      <c r="JD94" s="30"/>
      <c r="JE94" s="30"/>
      <c r="JF94" s="30"/>
      <c r="JG94" s="30"/>
      <c r="JH94" s="30"/>
      <c r="JI94" s="30"/>
      <c r="JJ94" s="30"/>
      <c r="JK94" s="30"/>
      <c r="JL94" s="30"/>
      <c r="JM94" s="30"/>
      <c r="JN94" s="30"/>
      <c r="JO94" s="30"/>
      <c r="JP94" s="30"/>
      <c r="JQ94" s="30"/>
      <c r="JR94" s="30"/>
      <c r="JS94" s="30"/>
      <c r="JT94" s="30"/>
      <c r="JU94" s="30"/>
      <c r="JV94" s="30"/>
      <c r="JW94" s="30"/>
      <c r="JX94" s="30"/>
      <c r="JY94" s="30"/>
      <c r="JZ94" s="30"/>
      <c r="KA94" s="30"/>
      <c r="KB94" s="30"/>
      <c r="KC94" s="30"/>
      <c r="KD94" s="30"/>
      <c r="KE94" s="30"/>
      <c r="KF94" s="30"/>
      <c r="KG94" s="30"/>
      <c r="KH94" s="30"/>
      <c r="KI94" s="30"/>
      <c r="KJ94" s="30"/>
      <c r="KK94" s="30"/>
      <c r="KL94" s="30"/>
      <c r="KM94" s="30"/>
      <c r="KN94" s="30"/>
      <c r="KO94" s="30"/>
      <c r="KP94" s="30"/>
      <c r="KQ94" s="30"/>
      <c r="KR94" s="30"/>
      <c r="KS94" s="30"/>
      <c r="KT94" s="30"/>
      <c r="KU94" s="30"/>
      <c r="KV94" s="30"/>
      <c r="KW94" s="30"/>
      <c r="KX94" s="30"/>
      <c r="KY94" s="30"/>
      <c r="KZ94" s="30"/>
      <c r="LA94" s="30"/>
      <c r="LB94" s="30"/>
      <c r="LC94" s="30"/>
      <c r="LD94" s="30"/>
      <c r="LE94" s="30"/>
      <c r="LF94" s="30"/>
      <c r="LG94" s="30"/>
      <c r="LH94" s="30"/>
      <c r="LI94" s="30"/>
      <c r="LJ94" s="30"/>
      <c r="LK94" s="30"/>
      <c r="LL94" s="30"/>
      <c r="LM94" s="30"/>
      <c r="LN94" s="30"/>
      <c r="LO94" s="30"/>
      <c r="LP94" s="30"/>
      <c r="LQ94" s="30"/>
      <c r="LR94" s="30"/>
      <c r="LS94" s="30"/>
      <c r="LT94" s="30"/>
      <c r="LU94" s="30"/>
      <c r="LV94" s="30"/>
      <c r="LW94" s="30"/>
      <c r="LX94" s="30"/>
      <c r="LY94" s="30"/>
      <c r="LZ94" s="30"/>
      <c r="MA94" s="30"/>
      <c r="MB94" s="30"/>
      <c r="MC94" s="30"/>
      <c r="MD94" s="30"/>
      <c r="ME94" s="30"/>
      <c r="MF94" s="30"/>
      <c r="MG94" s="30"/>
      <c r="MH94" s="30"/>
      <c r="MI94" s="30"/>
      <c r="MJ94" s="30"/>
      <c r="MK94" s="30"/>
      <c r="ML94" s="30"/>
      <c r="MM94" s="30"/>
      <c r="MN94" s="30"/>
      <c r="MO94" s="30"/>
      <c r="MP94" s="30"/>
      <c r="MQ94" s="30"/>
      <c r="MR94" s="30"/>
      <c r="MS94" s="30"/>
      <c r="MT94" s="30"/>
      <c r="MU94" s="30"/>
      <c r="MV94" s="30"/>
      <c r="MW94" s="30"/>
      <c r="MX94" s="30"/>
      <c r="MY94" s="30"/>
      <c r="MZ94" s="30"/>
      <c r="NA94" s="30"/>
      <c r="NB94" s="30"/>
      <c r="NC94" s="30"/>
      <c r="ND94" s="30"/>
      <c r="NE94" s="30"/>
      <c r="NF94" s="30"/>
      <c r="NG94" s="30"/>
      <c r="NH94" s="30"/>
      <c r="NI94" s="30"/>
      <c r="NJ94" s="30"/>
      <c r="NK94" s="30"/>
      <c r="NL94" s="30"/>
      <c r="NM94" s="30"/>
      <c r="NN94" s="30"/>
      <c r="NO94" s="30"/>
      <c r="NP94" s="30"/>
      <c r="NQ94" s="30"/>
      <c r="NR94" s="30"/>
      <c r="NS94" s="30"/>
      <c r="NT94" s="30"/>
      <c r="NU94" s="30"/>
      <c r="NV94" s="30"/>
      <c r="NW94" s="30"/>
      <c r="NX94" s="30"/>
      <c r="NY94" s="30"/>
      <c r="NZ94" s="30"/>
      <c r="OA94" s="30"/>
      <c r="OB94" s="30"/>
      <c r="OC94" s="30"/>
      <c r="OD94" s="30"/>
      <c r="OE94" s="30"/>
      <c r="OF94" s="30"/>
      <c r="OG94" s="30"/>
      <c r="OH94" s="30"/>
      <c r="OI94" s="30"/>
      <c r="OJ94" s="30"/>
      <c r="OK94" s="30"/>
      <c r="OL94" s="30"/>
      <c r="OM94" s="30"/>
      <c r="ON94" s="30"/>
      <c r="OO94" s="30"/>
      <c r="OP94" s="30"/>
      <c r="OQ94" s="30"/>
      <c r="OR94" s="30"/>
      <c r="OS94" s="30"/>
      <c r="OT94" s="30"/>
      <c r="OU94" s="30"/>
      <c r="OV94" s="30"/>
      <c r="OW94" s="30"/>
      <c r="OX94" s="30"/>
      <c r="OY94" s="30"/>
      <c r="OZ94" s="30"/>
      <c r="PA94" s="30"/>
      <c r="PB94" s="30"/>
      <c r="PC94" s="30"/>
      <c r="PD94" s="30"/>
      <c r="PE94" s="30"/>
      <c r="PF94" s="30"/>
      <c r="PG94" s="30"/>
      <c r="PH94" s="30"/>
      <c r="PI94" s="30"/>
      <c r="PJ94" s="30"/>
      <c r="PK94" s="30"/>
      <c r="PL94" s="30"/>
      <c r="PM94" s="30"/>
      <c r="PN94" s="30"/>
      <c r="PO94" s="30"/>
      <c r="PP94" s="30"/>
      <c r="PQ94" s="30"/>
      <c r="PR94" s="30"/>
      <c r="PS94" s="30"/>
      <c r="PT94" s="30"/>
      <c r="PU94" s="30"/>
      <c r="PV94" s="30"/>
      <c r="PW94" s="30"/>
      <c r="PX94" s="30"/>
      <c r="PY94" s="30"/>
      <c r="PZ94" s="30"/>
      <c r="QA94" s="30"/>
      <c r="QB94" s="30"/>
      <c r="QC94" s="30"/>
      <c r="QD94" s="30"/>
      <c r="QE94" s="30"/>
      <c r="QF94" s="30"/>
      <c r="QG94" s="30"/>
      <c r="QH94" s="30"/>
      <c r="QI94" s="30"/>
      <c r="QJ94" s="30"/>
      <c r="QK94" s="30"/>
      <c r="QL94" s="30"/>
      <c r="QM94" s="30"/>
      <c r="QN94" s="30"/>
      <c r="QO94" s="30"/>
      <c r="QP94" s="30"/>
      <c r="QQ94" s="30"/>
      <c r="QR94" s="30"/>
      <c r="QS94" s="30"/>
      <c r="QT94" s="30"/>
      <c r="QU94" s="30"/>
      <c r="QV94" s="30"/>
      <c r="QW94" s="30"/>
      <c r="QX94" s="30"/>
      <c r="QY94" s="30"/>
      <c r="QZ94" s="30"/>
      <c r="RA94" s="30"/>
      <c r="RB94" s="30"/>
      <c r="RC94" s="30"/>
      <c r="RD94" s="30"/>
      <c r="RE94" s="30"/>
      <c r="RF94" s="30"/>
      <c r="RG94" s="30"/>
      <c r="RH94" s="30"/>
      <c r="RI94" s="30"/>
      <c r="RJ94" s="30"/>
      <c r="RK94" s="30"/>
      <c r="RL94" s="30"/>
      <c r="RM94" s="30"/>
      <c r="RN94" s="30"/>
      <c r="RO94" s="30"/>
      <c r="RP94" s="30"/>
      <c r="RQ94" s="30"/>
      <c r="RR94" s="30"/>
      <c r="RS94" s="30"/>
      <c r="RT94" s="30"/>
      <c r="RU94" s="30"/>
      <c r="RV94" s="30"/>
      <c r="RW94" s="30"/>
      <c r="RX94" s="30"/>
      <c r="RY94" s="30"/>
      <c r="RZ94" s="30"/>
      <c r="SA94" s="30"/>
      <c r="SB94" s="30"/>
      <c r="SC94" s="30"/>
      <c r="SD94" s="30"/>
    </row>
    <row r="95" spans="1:498" s="20" customFormat="1" hidden="1" x14ac:dyDescent="0.25">
      <c r="A95" s="59"/>
      <c r="B95" s="66"/>
      <c r="C95" s="68"/>
      <c r="D95" s="72"/>
      <c r="E95" s="72"/>
      <c r="F95" s="153"/>
      <c r="G95" s="153"/>
      <c r="H95" s="153"/>
      <c r="I95" s="153"/>
      <c r="J95" s="153"/>
      <c r="K95" s="153"/>
      <c r="L95" s="153"/>
      <c r="M95" s="153"/>
      <c r="N95" s="153"/>
      <c r="O95" s="153"/>
      <c r="P95" s="153"/>
      <c r="Q95" s="153"/>
      <c r="R95" s="153"/>
      <c r="S95" s="153"/>
      <c r="T95" s="153"/>
      <c r="U95" s="153"/>
      <c r="V95" s="153"/>
      <c r="W95" s="153"/>
      <c r="X95" s="153"/>
      <c r="Y95" s="153"/>
      <c r="Z95" s="153"/>
      <c r="AA95" s="153"/>
      <c r="AB95" s="153"/>
      <c r="AC95" s="153"/>
      <c r="AD95" s="153"/>
      <c r="AE95" s="61"/>
      <c r="AF95" s="59"/>
      <c r="AG95" s="59"/>
      <c r="AH95" s="59"/>
      <c r="AI95" s="59"/>
      <c r="AJ95" s="59"/>
      <c r="AK95" s="59"/>
      <c r="AL95" s="59"/>
      <c r="AM95" s="59"/>
      <c r="AN95" s="59"/>
      <c r="AO95" s="59"/>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c r="BZ95" s="30"/>
      <c r="CA95" s="30"/>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30"/>
      <c r="FT95" s="30"/>
      <c r="FU95" s="30"/>
      <c r="FV95" s="30"/>
      <c r="FW95" s="30"/>
      <c r="FX95" s="30"/>
      <c r="FY95" s="30"/>
      <c r="FZ95" s="30"/>
      <c r="GA95" s="30"/>
      <c r="GB95" s="30"/>
      <c r="GC95" s="30"/>
      <c r="GD95" s="30"/>
      <c r="GE95" s="30"/>
      <c r="GF95" s="30"/>
      <c r="GG95" s="30"/>
      <c r="GH95" s="30"/>
      <c r="GI95" s="30"/>
      <c r="GJ95" s="30"/>
      <c r="GK95" s="30"/>
      <c r="GL95" s="30"/>
      <c r="GM95" s="30"/>
      <c r="GN95" s="30"/>
      <c r="GO95" s="30"/>
      <c r="GP95" s="30"/>
      <c r="GQ95" s="30"/>
      <c r="GR95" s="30"/>
      <c r="GS95" s="30"/>
      <c r="GT95" s="30"/>
      <c r="GU95" s="30"/>
      <c r="GV95" s="30"/>
      <c r="GW95" s="30"/>
      <c r="GX95" s="30"/>
      <c r="GY95" s="30"/>
      <c r="GZ95" s="30"/>
      <c r="HA95" s="30"/>
      <c r="HB95" s="30"/>
      <c r="HC95" s="30"/>
      <c r="HD95" s="30"/>
      <c r="HE95" s="30"/>
      <c r="HF95" s="30"/>
      <c r="HG95" s="30"/>
      <c r="HH95" s="30"/>
      <c r="HI95" s="30"/>
      <c r="HJ95" s="30"/>
      <c r="HK95" s="30"/>
      <c r="HL95" s="30"/>
      <c r="HM95" s="30"/>
      <c r="HN95" s="30"/>
      <c r="HO95" s="30"/>
      <c r="HP95" s="30"/>
      <c r="HQ95" s="30"/>
      <c r="HR95" s="30"/>
      <c r="HS95" s="30"/>
      <c r="HT95" s="30"/>
      <c r="HU95" s="30"/>
      <c r="HV95" s="30"/>
      <c r="HW95" s="30"/>
      <c r="HX95" s="30"/>
      <c r="HY95" s="30"/>
      <c r="HZ95" s="30"/>
      <c r="IA95" s="30"/>
      <c r="IB95" s="30"/>
      <c r="IC95" s="30"/>
      <c r="ID95" s="30"/>
      <c r="IE95" s="30"/>
      <c r="IF95" s="30"/>
      <c r="IG95" s="30"/>
      <c r="IH95" s="30"/>
      <c r="II95" s="30"/>
      <c r="IJ95" s="30"/>
      <c r="IK95" s="30"/>
      <c r="IL95" s="30"/>
      <c r="IM95" s="30"/>
      <c r="IN95" s="30"/>
      <c r="IO95" s="30"/>
      <c r="IP95" s="30"/>
      <c r="IQ95" s="30"/>
      <c r="IR95" s="30"/>
      <c r="IS95" s="30"/>
      <c r="IT95" s="30"/>
      <c r="IU95" s="30"/>
      <c r="IV95" s="30"/>
      <c r="IW95" s="30"/>
      <c r="IX95" s="30"/>
      <c r="IY95" s="30"/>
      <c r="IZ95" s="30"/>
      <c r="JA95" s="30"/>
      <c r="JB95" s="30"/>
      <c r="JC95" s="30"/>
      <c r="JD95" s="30"/>
      <c r="JE95" s="30"/>
      <c r="JF95" s="30"/>
      <c r="JG95" s="30"/>
      <c r="JH95" s="30"/>
      <c r="JI95" s="30"/>
      <c r="JJ95" s="30"/>
      <c r="JK95" s="30"/>
      <c r="JL95" s="30"/>
      <c r="JM95" s="30"/>
      <c r="JN95" s="30"/>
      <c r="JO95" s="30"/>
      <c r="JP95" s="30"/>
      <c r="JQ95" s="30"/>
      <c r="JR95" s="30"/>
      <c r="JS95" s="30"/>
      <c r="JT95" s="30"/>
      <c r="JU95" s="30"/>
      <c r="JV95" s="30"/>
      <c r="JW95" s="30"/>
      <c r="JX95" s="30"/>
      <c r="JY95" s="30"/>
      <c r="JZ95" s="30"/>
      <c r="KA95" s="30"/>
      <c r="KB95" s="30"/>
      <c r="KC95" s="30"/>
      <c r="KD95" s="30"/>
      <c r="KE95" s="30"/>
      <c r="KF95" s="30"/>
      <c r="KG95" s="30"/>
      <c r="KH95" s="30"/>
      <c r="KI95" s="30"/>
      <c r="KJ95" s="30"/>
      <c r="KK95" s="30"/>
      <c r="KL95" s="30"/>
      <c r="KM95" s="30"/>
      <c r="KN95" s="30"/>
      <c r="KO95" s="30"/>
      <c r="KP95" s="30"/>
      <c r="KQ95" s="30"/>
      <c r="KR95" s="30"/>
      <c r="KS95" s="30"/>
      <c r="KT95" s="30"/>
      <c r="KU95" s="30"/>
      <c r="KV95" s="30"/>
      <c r="KW95" s="30"/>
      <c r="KX95" s="30"/>
      <c r="KY95" s="30"/>
      <c r="KZ95" s="30"/>
      <c r="LA95" s="30"/>
      <c r="LB95" s="30"/>
      <c r="LC95" s="30"/>
      <c r="LD95" s="30"/>
      <c r="LE95" s="30"/>
      <c r="LF95" s="30"/>
      <c r="LG95" s="30"/>
      <c r="LH95" s="30"/>
      <c r="LI95" s="30"/>
      <c r="LJ95" s="30"/>
      <c r="LK95" s="30"/>
      <c r="LL95" s="30"/>
      <c r="LM95" s="30"/>
      <c r="LN95" s="30"/>
      <c r="LO95" s="30"/>
      <c r="LP95" s="30"/>
      <c r="LQ95" s="30"/>
      <c r="LR95" s="30"/>
      <c r="LS95" s="30"/>
      <c r="LT95" s="30"/>
      <c r="LU95" s="30"/>
      <c r="LV95" s="30"/>
      <c r="LW95" s="30"/>
      <c r="LX95" s="30"/>
      <c r="LY95" s="30"/>
      <c r="LZ95" s="30"/>
      <c r="MA95" s="30"/>
      <c r="MB95" s="30"/>
      <c r="MC95" s="30"/>
      <c r="MD95" s="30"/>
      <c r="ME95" s="30"/>
      <c r="MF95" s="30"/>
      <c r="MG95" s="30"/>
      <c r="MH95" s="30"/>
      <c r="MI95" s="30"/>
      <c r="MJ95" s="30"/>
      <c r="MK95" s="30"/>
      <c r="ML95" s="30"/>
      <c r="MM95" s="30"/>
      <c r="MN95" s="30"/>
      <c r="MO95" s="30"/>
      <c r="MP95" s="30"/>
      <c r="MQ95" s="30"/>
      <c r="MR95" s="30"/>
      <c r="MS95" s="30"/>
      <c r="MT95" s="30"/>
      <c r="MU95" s="30"/>
      <c r="MV95" s="30"/>
      <c r="MW95" s="30"/>
      <c r="MX95" s="30"/>
      <c r="MY95" s="30"/>
      <c r="MZ95" s="30"/>
      <c r="NA95" s="30"/>
      <c r="NB95" s="30"/>
      <c r="NC95" s="30"/>
      <c r="ND95" s="30"/>
      <c r="NE95" s="30"/>
      <c r="NF95" s="30"/>
      <c r="NG95" s="30"/>
      <c r="NH95" s="30"/>
      <c r="NI95" s="30"/>
      <c r="NJ95" s="30"/>
      <c r="NK95" s="30"/>
      <c r="NL95" s="30"/>
      <c r="NM95" s="30"/>
      <c r="NN95" s="30"/>
      <c r="NO95" s="30"/>
      <c r="NP95" s="30"/>
      <c r="NQ95" s="30"/>
      <c r="NR95" s="30"/>
      <c r="NS95" s="30"/>
      <c r="NT95" s="30"/>
      <c r="NU95" s="30"/>
      <c r="NV95" s="30"/>
      <c r="NW95" s="30"/>
      <c r="NX95" s="30"/>
      <c r="NY95" s="30"/>
      <c r="NZ95" s="30"/>
      <c r="OA95" s="30"/>
      <c r="OB95" s="30"/>
      <c r="OC95" s="30"/>
      <c r="OD95" s="30"/>
      <c r="OE95" s="30"/>
      <c r="OF95" s="30"/>
      <c r="OG95" s="30"/>
      <c r="OH95" s="30"/>
      <c r="OI95" s="30"/>
      <c r="OJ95" s="30"/>
      <c r="OK95" s="30"/>
      <c r="OL95" s="30"/>
      <c r="OM95" s="30"/>
      <c r="ON95" s="30"/>
      <c r="OO95" s="30"/>
      <c r="OP95" s="30"/>
      <c r="OQ95" s="30"/>
      <c r="OR95" s="30"/>
      <c r="OS95" s="30"/>
      <c r="OT95" s="30"/>
      <c r="OU95" s="30"/>
      <c r="OV95" s="30"/>
      <c r="OW95" s="30"/>
      <c r="OX95" s="30"/>
      <c r="OY95" s="30"/>
      <c r="OZ95" s="30"/>
      <c r="PA95" s="30"/>
      <c r="PB95" s="30"/>
      <c r="PC95" s="30"/>
      <c r="PD95" s="30"/>
      <c r="PE95" s="30"/>
      <c r="PF95" s="30"/>
      <c r="PG95" s="30"/>
      <c r="PH95" s="30"/>
      <c r="PI95" s="30"/>
      <c r="PJ95" s="30"/>
      <c r="PK95" s="30"/>
      <c r="PL95" s="30"/>
      <c r="PM95" s="30"/>
      <c r="PN95" s="30"/>
      <c r="PO95" s="30"/>
      <c r="PP95" s="30"/>
      <c r="PQ95" s="30"/>
      <c r="PR95" s="30"/>
      <c r="PS95" s="30"/>
      <c r="PT95" s="30"/>
      <c r="PU95" s="30"/>
      <c r="PV95" s="30"/>
      <c r="PW95" s="30"/>
      <c r="PX95" s="30"/>
      <c r="PY95" s="30"/>
      <c r="PZ95" s="30"/>
      <c r="QA95" s="30"/>
      <c r="QB95" s="30"/>
      <c r="QC95" s="30"/>
      <c r="QD95" s="30"/>
      <c r="QE95" s="30"/>
      <c r="QF95" s="30"/>
      <c r="QG95" s="30"/>
      <c r="QH95" s="30"/>
      <c r="QI95" s="30"/>
      <c r="QJ95" s="30"/>
      <c r="QK95" s="30"/>
      <c r="QL95" s="30"/>
      <c r="QM95" s="30"/>
      <c r="QN95" s="30"/>
      <c r="QO95" s="30"/>
      <c r="QP95" s="30"/>
      <c r="QQ95" s="30"/>
      <c r="QR95" s="30"/>
      <c r="QS95" s="30"/>
      <c r="QT95" s="30"/>
      <c r="QU95" s="30"/>
      <c r="QV95" s="30"/>
      <c r="QW95" s="30"/>
      <c r="QX95" s="30"/>
      <c r="QY95" s="30"/>
      <c r="QZ95" s="30"/>
      <c r="RA95" s="30"/>
      <c r="RB95" s="30"/>
      <c r="RC95" s="30"/>
      <c r="RD95" s="30"/>
      <c r="RE95" s="30"/>
      <c r="RF95" s="30"/>
      <c r="RG95" s="30"/>
      <c r="RH95" s="30"/>
      <c r="RI95" s="30"/>
      <c r="RJ95" s="30"/>
      <c r="RK95" s="30"/>
      <c r="RL95" s="30"/>
      <c r="RM95" s="30"/>
      <c r="RN95" s="30"/>
      <c r="RO95" s="30"/>
      <c r="RP95" s="30"/>
      <c r="RQ95" s="30"/>
      <c r="RR95" s="30"/>
      <c r="RS95" s="30"/>
      <c r="RT95" s="30"/>
      <c r="RU95" s="30"/>
      <c r="RV95" s="30"/>
      <c r="RW95" s="30"/>
      <c r="RX95" s="30"/>
      <c r="RY95" s="30"/>
      <c r="RZ95" s="30"/>
      <c r="SA95" s="30"/>
      <c r="SB95" s="30"/>
      <c r="SC95" s="30"/>
      <c r="SD95" s="30"/>
    </row>
    <row r="96" spans="1:498" s="20" customFormat="1" hidden="1" x14ac:dyDescent="0.25">
      <c r="A96" s="59"/>
      <c r="B96" s="66"/>
      <c r="C96" s="68"/>
      <c r="D96" s="72"/>
      <c r="E96" s="72"/>
      <c r="F96" s="153">
        <f>IF((F125*0.1)/12&lt;=0,0,IF(((F125*0.1)/12)&lt;($D$85/12),((F125*0.1)/12),"Ineligible"))</f>
        <v>106.37250000000002</v>
      </c>
      <c r="G96" s="153">
        <f t="shared" ref="G96:AD96" si="46">IF($F$96="Ineligible","",
IF($C$10=0,"",
IF(
G77&gt;20+N("IT is later than teh 20th year"),
0,
IF(
F94=0,
0+N("If loan balance from the preceding year is zero then IBR payment is zero, if not then"),
IF(
(G125*0.1)/12&lt;0,
0+N(""),
IF(
((G125*0.1)/12)&lt;($D$85/12)+N("If the IBR payment is less than the standard"),
((G125*0.1)/12)+N("Then the IBR payment"),
$F$113+N("If IBR is greater or equal to teh standard, then the standard plan")))))))</f>
        <v>112.76741250000002</v>
      </c>
      <c r="H96" s="153">
        <f t="shared" si="46"/>
        <v>119.47183581375005</v>
      </c>
      <c r="I96" s="153">
        <f t="shared" si="46"/>
        <v>126.49949860307515</v>
      </c>
      <c r="J96" s="153">
        <f t="shared" si="46"/>
        <v>133.8647125168284</v>
      </c>
      <c r="K96" s="153">
        <f t="shared" si="46"/>
        <v>141.58239635976946</v>
      </c>
      <c r="L96" s="153">
        <f t="shared" si="46"/>
        <v>149.66810124951905</v>
      </c>
      <c r="M96" s="153">
        <f t="shared" si="46"/>
        <v>158.13803680164619</v>
      </c>
      <c r="N96" s="153">
        <f t="shared" si="46"/>
        <v>167.00909838456224</v>
      </c>
      <c r="O96" s="153">
        <f t="shared" si="46"/>
        <v>176.29889548757728</v>
      </c>
      <c r="P96" s="153">
        <f t="shared" si="46"/>
        <v>186.02578124722052</v>
      </c>
      <c r="Q96" s="153">
        <f t="shared" si="46"/>
        <v>196.20888317874699</v>
      </c>
      <c r="R96" s="153">
        <f t="shared" si="46"/>
        <v>206.86813516164366</v>
      </c>
      <c r="S96" s="153">
        <f t="shared" si="46"/>
        <v>218.02431072991547</v>
      </c>
      <c r="T96" s="153">
        <f t="shared" si="46"/>
        <v>229.69905771997946</v>
      </c>
      <c r="U96" s="153">
        <f t="shared" si="46"/>
        <v>241.91493433112373</v>
      </c>
      <c r="V96" s="153">
        <f t="shared" si="46"/>
        <v>254.69544665570265</v>
      </c>
      <c r="W96" s="153">
        <f t="shared" si="46"/>
        <v>268.06508773854324</v>
      </c>
      <c r="X96" s="153">
        <f t="shared" si="46"/>
        <v>282.04937822743437</v>
      </c>
      <c r="Y96" s="153">
        <f t="shared" si="46"/>
        <v>296.67490867906281</v>
      </c>
      <c r="Z96" s="153">
        <f t="shared" si="46"/>
        <v>0</v>
      </c>
      <c r="AA96" s="153">
        <f t="shared" si="46"/>
        <v>0</v>
      </c>
      <c r="AB96" s="153">
        <f t="shared" si="46"/>
        <v>0</v>
      </c>
      <c r="AC96" s="153">
        <f t="shared" si="46"/>
        <v>0</v>
      </c>
      <c r="AD96" s="153">
        <f t="shared" si="46"/>
        <v>0</v>
      </c>
      <c r="AE96" s="61"/>
      <c r="AF96" s="59"/>
      <c r="AG96" s="59"/>
      <c r="AH96" s="59"/>
      <c r="AI96" s="59"/>
      <c r="AJ96" s="59"/>
      <c r="AK96" s="59"/>
      <c r="AL96" s="59"/>
      <c r="AM96" s="59"/>
      <c r="AN96" s="59"/>
      <c r="AO96" s="59"/>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30"/>
      <c r="IT96" s="30"/>
      <c r="IU96" s="30"/>
      <c r="IV96" s="30"/>
      <c r="IW96" s="30"/>
      <c r="IX96" s="30"/>
      <c r="IY96" s="30"/>
      <c r="IZ96" s="30"/>
      <c r="JA96" s="30"/>
      <c r="JB96" s="30"/>
      <c r="JC96" s="30"/>
      <c r="JD96" s="30"/>
      <c r="JE96" s="30"/>
      <c r="JF96" s="30"/>
      <c r="JG96" s="30"/>
      <c r="JH96" s="30"/>
      <c r="JI96" s="30"/>
      <c r="JJ96" s="30"/>
      <c r="JK96" s="30"/>
      <c r="JL96" s="30"/>
      <c r="JM96" s="30"/>
      <c r="JN96" s="30"/>
      <c r="JO96" s="30"/>
      <c r="JP96" s="30"/>
      <c r="JQ96" s="30"/>
      <c r="JR96" s="30"/>
      <c r="JS96" s="30"/>
      <c r="JT96" s="30"/>
      <c r="JU96" s="30"/>
      <c r="JV96" s="30"/>
      <c r="JW96" s="30"/>
      <c r="JX96" s="30"/>
      <c r="JY96" s="30"/>
      <c r="JZ96" s="30"/>
      <c r="KA96" s="30"/>
      <c r="KB96" s="30"/>
      <c r="KC96" s="30"/>
      <c r="KD96" s="30"/>
      <c r="KE96" s="30"/>
      <c r="KF96" s="30"/>
      <c r="KG96" s="30"/>
      <c r="KH96" s="30"/>
      <c r="KI96" s="30"/>
      <c r="KJ96" s="30"/>
      <c r="KK96" s="30"/>
      <c r="KL96" s="30"/>
      <c r="KM96" s="30"/>
      <c r="KN96" s="30"/>
      <c r="KO96" s="30"/>
      <c r="KP96" s="30"/>
      <c r="KQ96" s="30"/>
      <c r="KR96" s="30"/>
      <c r="KS96" s="30"/>
      <c r="KT96" s="30"/>
      <c r="KU96" s="30"/>
      <c r="KV96" s="30"/>
      <c r="KW96" s="30"/>
      <c r="KX96" s="30"/>
      <c r="KY96" s="30"/>
      <c r="KZ96" s="30"/>
      <c r="LA96" s="30"/>
      <c r="LB96" s="30"/>
      <c r="LC96" s="30"/>
      <c r="LD96" s="30"/>
      <c r="LE96" s="30"/>
      <c r="LF96" s="30"/>
      <c r="LG96" s="30"/>
      <c r="LH96" s="30"/>
      <c r="LI96" s="30"/>
      <c r="LJ96" s="30"/>
      <c r="LK96" s="30"/>
      <c r="LL96" s="30"/>
      <c r="LM96" s="30"/>
      <c r="LN96" s="30"/>
      <c r="LO96" s="30"/>
      <c r="LP96" s="30"/>
      <c r="LQ96" s="30"/>
      <c r="LR96" s="30"/>
      <c r="LS96" s="30"/>
      <c r="LT96" s="30"/>
      <c r="LU96" s="30"/>
      <c r="LV96" s="30"/>
      <c r="LW96" s="30"/>
      <c r="LX96" s="30"/>
      <c r="LY96" s="30"/>
      <c r="LZ96" s="30"/>
      <c r="MA96" s="30"/>
      <c r="MB96" s="30"/>
      <c r="MC96" s="30"/>
      <c r="MD96" s="30"/>
      <c r="ME96" s="30"/>
      <c r="MF96" s="30"/>
      <c r="MG96" s="30"/>
      <c r="MH96" s="30"/>
      <c r="MI96" s="30"/>
      <c r="MJ96" s="30"/>
      <c r="MK96" s="30"/>
      <c r="ML96" s="30"/>
      <c r="MM96" s="30"/>
      <c r="MN96" s="30"/>
      <c r="MO96" s="30"/>
      <c r="MP96" s="30"/>
      <c r="MQ96" s="30"/>
      <c r="MR96" s="30"/>
      <c r="MS96" s="30"/>
      <c r="MT96" s="30"/>
      <c r="MU96" s="30"/>
      <c r="MV96" s="30"/>
      <c r="MW96" s="30"/>
      <c r="MX96" s="30"/>
      <c r="MY96" s="30"/>
      <c r="MZ96" s="30"/>
      <c r="NA96" s="30"/>
      <c r="NB96" s="30"/>
      <c r="NC96" s="30"/>
      <c r="ND96" s="30"/>
      <c r="NE96" s="30"/>
      <c r="NF96" s="30"/>
      <c r="NG96" s="30"/>
      <c r="NH96" s="30"/>
      <c r="NI96" s="30"/>
      <c r="NJ96" s="30"/>
      <c r="NK96" s="30"/>
      <c r="NL96" s="30"/>
      <c r="NM96" s="30"/>
      <c r="NN96" s="30"/>
      <c r="NO96" s="30"/>
      <c r="NP96" s="30"/>
      <c r="NQ96" s="30"/>
      <c r="NR96" s="30"/>
      <c r="NS96" s="30"/>
      <c r="NT96" s="30"/>
      <c r="NU96" s="30"/>
      <c r="NV96" s="30"/>
      <c r="NW96" s="30"/>
      <c r="NX96" s="30"/>
      <c r="NY96" s="30"/>
      <c r="NZ96" s="30"/>
      <c r="OA96" s="30"/>
      <c r="OB96" s="30"/>
      <c r="OC96" s="30"/>
      <c r="OD96" s="30"/>
      <c r="OE96" s="30"/>
      <c r="OF96" s="30"/>
      <c r="OG96" s="30"/>
      <c r="OH96" s="30"/>
      <c r="OI96" s="30"/>
      <c r="OJ96" s="30"/>
      <c r="OK96" s="30"/>
      <c r="OL96" s="30"/>
      <c r="OM96" s="30"/>
      <c r="ON96" s="30"/>
      <c r="OO96" s="30"/>
      <c r="OP96" s="30"/>
      <c r="OQ96" s="30"/>
      <c r="OR96" s="30"/>
      <c r="OS96" s="30"/>
      <c r="OT96" s="30"/>
      <c r="OU96" s="30"/>
      <c r="OV96" s="30"/>
      <c r="OW96" s="30"/>
      <c r="OX96" s="30"/>
      <c r="OY96" s="30"/>
      <c r="OZ96" s="30"/>
      <c r="PA96" s="30"/>
      <c r="PB96" s="30"/>
      <c r="PC96" s="30"/>
      <c r="PD96" s="30"/>
      <c r="PE96" s="30"/>
      <c r="PF96" s="30"/>
      <c r="PG96" s="30"/>
      <c r="PH96" s="30"/>
      <c r="PI96" s="30"/>
      <c r="PJ96" s="30"/>
      <c r="PK96" s="30"/>
      <c r="PL96" s="30"/>
      <c r="PM96" s="30"/>
      <c r="PN96" s="30"/>
      <c r="PO96" s="30"/>
      <c r="PP96" s="30"/>
      <c r="PQ96" s="30"/>
      <c r="PR96" s="30"/>
      <c r="PS96" s="30"/>
      <c r="PT96" s="30"/>
      <c r="PU96" s="30"/>
      <c r="PV96" s="30"/>
      <c r="PW96" s="30"/>
      <c r="PX96" s="30"/>
      <c r="PY96" s="30"/>
      <c r="PZ96" s="30"/>
      <c r="QA96" s="30"/>
      <c r="QB96" s="30"/>
      <c r="QC96" s="30"/>
      <c r="QD96" s="30"/>
      <c r="QE96" s="30"/>
      <c r="QF96" s="30"/>
      <c r="QG96" s="30"/>
      <c r="QH96" s="30"/>
      <c r="QI96" s="30"/>
      <c r="QJ96" s="30"/>
      <c r="QK96" s="30"/>
      <c r="QL96" s="30"/>
      <c r="QM96" s="30"/>
      <c r="QN96" s="30"/>
      <c r="QO96" s="30"/>
      <c r="QP96" s="30"/>
      <c r="QQ96" s="30"/>
      <c r="QR96" s="30"/>
      <c r="QS96" s="30"/>
      <c r="QT96" s="30"/>
      <c r="QU96" s="30"/>
      <c r="QV96" s="30"/>
      <c r="QW96" s="30"/>
      <c r="QX96" s="30"/>
      <c r="QY96" s="30"/>
      <c r="QZ96" s="30"/>
      <c r="RA96" s="30"/>
      <c r="RB96" s="30"/>
      <c r="RC96" s="30"/>
      <c r="RD96" s="30"/>
      <c r="RE96" s="30"/>
      <c r="RF96" s="30"/>
      <c r="RG96" s="30"/>
      <c r="RH96" s="30"/>
      <c r="RI96" s="30"/>
      <c r="RJ96" s="30"/>
      <c r="RK96" s="30"/>
      <c r="RL96" s="30"/>
      <c r="RM96" s="30"/>
      <c r="RN96" s="30"/>
      <c r="RO96" s="30"/>
      <c r="RP96" s="30"/>
      <c r="RQ96" s="30"/>
      <c r="RR96" s="30"/>
      <c r="RS96" s="30"/>
      <c r="RT96" s="30"/>
      <c r="RU96" s="30"/>
      <c r="RV96" s="30"/>
      <c r="RW96" s="30"/>
      <c r="RX96" s="30"/>
      <c r="RY96" s="30"/>
      <c r="RZ96" s="30"/>
      <c r="SA96" s="30"/>
      <c r="SB96" s="30"/>
      <c r="SC96" s="30"/>
      <c r="SD96" s="30"/>
    </row>
    <row r="97" spans="1:498" s="20" customFormat="1" hidden="1" x14ac:dyDescent="0.25">
      <c r="A97" s="59"/>
      <c r="B97" s="66"/>
      <c r="C97" s="68"/>
      <c r="D97" s="72"/>
      <c r="E97" s="72"/>
      <c r="F97" s="153">
        <f t="shared" ref="F97:AD97" si="47">IF($F$96="Ineligible","",IF($C$10=0,"",F94))</f>
        <v>21298.53</v>
      </c>
      <c r="G97" s="153">
        <f t="shared" si="47"/>
        <v>22520.321049999999</v>
      </c>
      <c r="H97" s="153">
        <f t="shared" si="47"/>
        <v>23661.659020234998</v>
      </c>
      <c r="I97" s="153">
        <f t="shared" si="47"/>
        <v>24718.665036998096</v>
      </c>
      <c r="J97" s="153">
        <f t="shared" si="47"/>
        <v>25687.288486796155</v>
      </c>
      <c r="K97" s="153">
        <f t="shared" si="47"/>
        <v>26563.299730478924</v>
      </c>
      <c r="L97" s="153">
        <f t="shared" si="47"/>
        <v>27342.282515484694</v>
      </c>
      <c r="M97" s="153">
        <f t="shared" si="47"/>
        <v>28019.62607386494</v>
      </c>
      <c r="N97" s="153">
        <f t="shared" si="47"/>
        <v>28590.516893250191</v>
      </c>
      <c r="O97" s="153">
        <f t="shared" si="47"/>
        <v>29049.930147399267</v>
      </c>
      <c r="P97" s="153">
        <f t="shared" si="47"/>
        <v>29392.62077243262</v>
      </c>
      <c r="Q97" s="153">
        <f t="shared" si="47"/>
        <v>29613.114174287657</v>
      </c>
      <c r="R97" s="153">
        <f t="shared" si="47"/>
        <v>30943.385002287465</v>
      </c>
      <c r="S97" s="153">
        <f t="shared" si="47"/>
        <v>32311.054092572991</v>
      </c>
      <c r="T97" s="153">
        <f t="shared" si="47"/>
        <v>33714.713614352011</v>
      </c>
      <c r="U97" s="153">
        <f t="shared" si="47"/>
        <v>35152.503780226347</v>
      </c>
      <c r="V97" s="153">
        <f t="shared" si="47"/>
        <v>36622.043282062048</v>
      </c>
      <c r="W97" s="153">
        <f t="shared" si="47"/>
        <v>38120.350301765015</v>
      </c>
      <c r="X97" s="153">
        <f t="shared" si="47"/>
        <v>39643.752864388043</v>
      </c>
      <c r="Y97" s="153">
        <f t="shared" si="47"/>
        <v>41187.787141529247</v>
      </c>
      <c r="Z97" s="153">
        <f t="shared" si="47"/>
        <v>46490.714736001137</v>
      </c>
      <c r="AA97" s="153">
        <f t="shared" si="47"/>
        <v>52476.39425826128</v>
      </c>
      <c r="AB97" s="153">
        <f t="shared" si="47"/>
        <v>59232.730019012415</v>
      </c>
      <c r="AC97" s="153">
        <f t="shared" si="47"/>
        <v>66858.944008960258</v>
      </c>
      <c r="AD97" s="153">
        <f t="shared" si="47"/>
        <v>75467.033050113881</v>
      </c>
      <c r="AE97" s="61"/>
      <c r="AF97" s="59"/>
      <c r="AG97" s="59"/>
      <c r="AH97" s="59"/>
      <c r="AI97" s="59"/>
      <c r="AJ97" s="59"/>
      <c r="AK97" s="59"/>
      <c r="AL97" s="59"/>
      <c r="AM97" s="59"/>
      <c r="AN97" s="59"/>
      <c r="AO97" s="59"/>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c r="GB97" s="30"/>
      <c r="GC97" s="30"/>
      <c r="GD97" s="30"/>
      <c r="GE97" s="30"/>
      <c r="GF97" s="30"/>
      <c r="GG97" s="30"/>
      <c r="GH97" s="30"/>
      <c r="GI97" s="30"/>
      <c r="GJ97" s="30"/>
      <c r="GK97" s="30"/>
      <c r="GL97" s="30"/>
      <c r="GM97" s="30"/>
      <c r="GN97" s="30"/>
      <c r="GO97" s="30"/>
      <c r="GP97" s="30"/>
      <c r="GQ97" s="30"/>
      <c r="GR97" s="30"/>
      <c r="GS97" s="30"/>
      <c r="GT97" s="30"/>
      <c r="GU97" s="30"/>
      <c r="GV97" s="30"/>
      <c r="GW97" s="30"/>
      <c r="GX97" s="30"/>
      <c r="GY97" s="30"/>
      <c r="GZ97" s="30"/>
      <c r="HA97" s="30"/>
      <c r="HB97" s="30"/>
      <c r="HC97" s="30"/>
      <c r="HD97" s="30"/>
      <c r="HE97" s="30"/>
      <c r="HF97" s="30"/>
      <c r="HG97" s="30"/>
      <c r="HH97" s="30"/>
      <c r="HI97" s="30"/>
      <c r="HJ97" s="30"/>
      <c r="HK97" s="30"/>
      <c r="HL97" s="30"/>
      <c r="HM97" s="30"/>
      <c r="HN97" s="30"/>
      <c r="HO97" s="30"/>
      <c r="HP97" s="30"/>
      <c r="HQ97" s="30"/>
      <c r="HR97" s="30"/>
      <c r="HS97" s="30"/>
      <c r="HT97" s="30"/>
      <c r="HU97" s="30"/>
      <c r="HV97" s="30"/>
      <c r="HW97" s="30"/>
      <c r="HX97" s="30"/>
      <c r="HY97" s="30"/>
      <c r="HZ97" s="30"/>
      <c r="IA97" s="30"/>
      <c r="IB97" s="30"/>
      <c r="IC97" s="30"/>
      <c r="ID97" s="30"/>
      <c r="IE97" s="30"/>
      <c r="IF97" s="30"/>
      <c r="IG97" s="30"/>
      <c r="IH97" s="30"/>
      <c r="II97" s="30"/>
      <c r="IJ97" s="30"/>
      <c r="IK97" s="30"/>
      <c r="IL97" s="30"/>
      <c r="IM97" s="30"/>
      <c r="IN97" s="30"/>
      <c r="IO97" s="30"/>
      <c r="IP97" s="30"/>
      <c r="IQ97" s="30"/>
      <c r="IR97" s="30"/>
      <c r="IS97" s="30"/>
      <c r="IT97" s="30"/>
      <c r="IU97" s="30"/>
      <c r="IV97" s="30"/>
      <c r="IW97" s="30"/>
      <c r="IX97" s="30"/>
      <c r="IY97" s="30"/>
      <c r="IZ97" s="30"/>
      <c r="JA97" s="30"/>
      <c r="JB97" s="30"/>
      <c r="JC97" s="30"/>
      <c r="JD97" s="30"/>
      <c r="JE97" s="30"/>
      <c r="JF97" s="30"/>
      <c r="JG97" s="30"/>
      <c r="JH97" s="30"/>
      <c r="JI97" s="30"/>
      <c r="JJ97" s="30"/>
      <c r="JK97" s="30"/>
      <c r="JL97" s="30"/>
      <c r="JM97" s="30"/>
      <c r="JN97" s="30"/>
      <c r="JO97" s="30"/>
      <c r="JP97" s="30"/>
      <c r="JQ97" s="30"/>
      <c r="JR97" s="30"/>
      <c r="JS97" s="30"/>
      <c r="JT97" s="30"/>
      <c r="JU97" s="30"/>
      <c r="JV97" s="30"/>
      <c r="JW97" s="30"/>
      <c r="JX97" s="30"/>
      <c r="JY97" s="30"/>
      <c r="JZ97" s="30"/>
      <c r="KA97" s="30"/>
      <c r="KB97" s="30"/>
      <c r="KC97" s="30"/>
      <c r="KD97" s="30"/>
      <c r="KE97" s="30"/>
      <c r="KF97" s="30"/>
      <c r="KG97" s="30"/>
      <c r="KH97" s="30"/>
      <c r="KI97" s="30"/>
      <c r="KJ97" s="30"/>
      <c r="KK97" s="30"/>
      <c r="KL97" s="30"/>
      <c r="KM97" s="30"/>
      <c r="KN97" s="30"/>
      <c r="KO97" s="30"/>
      <c r="KP97" s="30"/>
      <c r="KQ97" s="30"/>
      <c r="KR97" s="30"/>
      <c r="KS97" s="30"/>
      <c r="KT97" s="30"/>
      <c r="KU97" s="30"/>
      <c r="KV97" s="30"/>
      <c r="KW97" s="30"/>
      <c r="KX97" s="30"/>
      <c r="KY97" s="30"/>
      <c r="KZ97" s="30"/>
      <c r="LA97" s="30"/>
      <c r="LB97" s="30"/>
      <c r="LC97" s="30"/>
      <c r="LD97" s="30"/>
      <c r="LE97" s="30"/>
      <c r="LF97" s="30"/>
      <c r="LG97" s="30"/>
      <c r="LH97" s="30"/>
      <c r="LI97" s="30"/>
      <c r="LJ97" s="30"/>
      <c r="LK97" s="30"/>
      <c r="LL97" s="30"/>
      <c r="LM97" s="30"/>
      <c r="LN97" s="30"/>
      <c r="LO97" s="30"/>
      <c r="LP97" s="30"/>
      <c r="LQ97" s="30"/>
      <c r="LR97" s="30"/>
      <c r="LS97" s="30"/>
      <c r="LT97" s="30"/>
      <c r="LU97" s="30"/>
      <c r="LV97" s="30"/>
      <c r="LW97" s="30"/>
      <c r="LX97" s="30"/>
      <c r="LY97" s="30"/>
      <c r="LZ97" s="30"/>
      <c r="MA97" s="30"/>
      <c r="MB97" s="30"/>
      <c r="MC97" s="30"/>
      <c r="MD97" s="30"/>
      <c r="ME97" s="30"/>
      <c r="MF97" s="30"/>
      <c r="MG97" s="30"/>
      <c r="MH97" s="30"/>
      <c r="MI97" s="30"/>
      <c r="MJ97" s="30"/>
      <c r="MK97" s="30"/>
      <c r="ML97" s="30"/>
      <c r="MM97" s="30"/>
      <c r="MN97" s="30"/>
      <c r="MO97" s="30"/>
      <c r="MP97" s="30"/>
      <c r="MQ97" s="30"/>
      <c r="MR97" s="30"/>
      <c r="MS97" s="30"/>
      <c r="MT97" s="30"/>
      <c r="MU97" s="30"/>
      <c r="MV97" s="30"/>
      <c r="MW97" s="30"/>
      <c r="MX97" s="30"/>
      <c r="MY97" s="30"/>
      <c r="MZ97" s="30"/>
      <c r="NA97" s="30"/>
      <c r="NB97" s="30"/>
      <c r="NC97" s="30"/>
      <c r="ND97" s="30"/>
      <c r="NE97" s="30"/>
      <c r="NF97" s="30"/>
      <c r="NG97" s="30"/>
      <c r="NH97" s="30"/>
      <c r="NI97" s="30"/>
      <c r="NJ97" s="30"/>
      <c r="NK97" s="30"/>
      <c r="NL97" s="30"/>
      <c r="NM97" s="30"/>
      <c r="NN97" s="30"/>
      <c r="NO97" s="30"/>
      <c r="NP97" s="30"/>
      <c r="NQ97" s="30"/>
      <c r="NR97" s="30"/>
      <c r="NS97" s="30"/>
      <c r="NT97" s="30"/>
      <c r="NU97" s="30"/>
      <c r="NV97" s="30"/>
      <c r="NW97" s="30"/>
      <c r="NX97" s="30"/>
      <c r="NY97" s="30"/>
      <c r="NZ97" s="30"/>
      <c r="OA97" s="30"/>
      <c r="OB97" s="30"/>
      <c r="OC97" s="30"/>
      <c r="OD97" s="30"/>
      <c r="OE97" s="30"/>
      <c r="OF97" s="30"/>
      <c r="OG97" s="30"/>
      <c r="OH97" s="30"/>
      <c r="OI97" s="30"/>
      <c r="OJ97" s="30"/>
      <c r="OK97" s="30"/>
      <c r="OL97" s="30"/>
      <c r="OM97" s="30"/>
      <c r="ON97" s="30"/>
      <c r="OO97" s="30"/>
      <c r="OP97" s="30"/>
      <c r="OQ97" s="30"/>
      <c r="OR97" s="30"/>
      <c r="OS97" s="30"/>
      <c r="OT97" s="30"/>
      <c r="OU97" s="30"/>
      <c r="OV97" s="30"/>
      <c r="OW97" s="30"/>
      <c r="OX97" s="30"/>
      <c r="OY97" s="30"/>
      <c r="OZ97" s="30"/>
      <c r="PA97" s="30"/>
      <c r="PB97" s="30"/>
      <c r="PC97" s="30"/>
      <c r="PD97" s="30"/>
      <c r="PE97" s="30"/>
      <c r="PF97" s="30"/>
      <c r="PG97" s="30"/>
      <c r="PH97" s="30"/>
      <c r="PI97" s="30"/>
      <c r="PJ97" s="30"/>
      <c r="PK97" s="30"/>
      <c r="PL97" s="30"/>
      <c r="PM97" s="30"/>
      <c r="PN97" s="30"/>
      <c r="PO97" s="30"/>
      <c r="PP97" s="30"/>
      <c r="PQ97" s="30"/>
      <c r="PR97" s="30"/>
      <c r="PS97" s="30"/>
      <c r="PT97" s="30"/>
      <c r="PU97" s="30"/>
      <c r="PV97" s="30"/>
      <c r="PW97" s="30"/>
      <c r="PX97" s="30"/>
      <c r="PY97" s="30"/>
      <c r="PZ97" s="30"/>
      <c r="QA97" s="30"/>
      <c r="QB97" s="30"/>
      <c r="QC97" s="30"/>
      <c r="QD97" s="30"/>
      <c r="QE97" s="30"/>
      <c r="QF97" s="30"/>
      <c r="QG97" s="30"/>
      <c r="QH97" s="30"/>
      <c r="QI97" s="30"/>
      <c r="QJ97" s="30"/>
      <c r="QK97" s="30"/>
      <c r="QL97" s="30"/>
      <c r="QM97" s="30"/>
      <c r="QN97" s="30"/>
      <c r="QO97" s="30"/>
      <c r="QP97" s="30"/>
      <c r="QQ97" s="30"/>
      <c r="QR97" s="30"/>
      <c r="QS97" s="30"/>
      <c r="QT97" s="30"/>
      <c r="QU97" s="30"/>
      <c r="QV97" s="30"/>
      <c r="QW97" s="30"/>
      <c r="QX97" s="30"/>
      <c r="QY97" s="30"/>
      <c r="QZ97" s="30"/>
      <c r="RA97" s="30"/>
      <c r="RB97" s="30"/>
      <c r="RC97" s="30"/>
      <c r="RD97" s="30"/>
      <c r="RE97" s="30"/>
      <c r="RF97" s="30"/>
      <c r="RG97" s="30"/>
      <c r="RH97" s="30"/>
      <c r="RI97" s="30"/>
      <c r="RJ97" s="30"/>
      <c r="RK97" s="30"/>
      <c r="RL97" s="30"/>
      <c r="RM97" s="30"/>
      <c r="RN97" s="30"/>
      <c r="RO97" s="30"/>
      <c r="RP97" s="30"/>
      <c r="RQ97" s="30"/>
      <c r="RR97" s="30"/>
      <c r="RS97" s="30"/>
      <c r="RT97" s="30"/>
      <c r="RU97" s="30"/>
      <c r="RV97" s="30"/>
      <c r="RW97" s="30"/>
      <c r="RX97" s="30"/>
      <c r="RY97" s="30"/>
      <c r="RZ97" s="30"/>
      <c r="SA97" s="30"/>
      <c r="SB97" s="30"/>
      <c r="SC97" s="30"/>
      <c r="SD97" s="30"/>
    </row>
    <row r="98" spans="1:498" s="20" customFormat="1" hidden="1" x14ac:dyDescent="0.25">
      <c r="A98" s="59"/>
      <c r="B98" s="66"/>
      <c r="C98" s="68"/>
      <c r="D98" s="72"/>
      <c r="E98" s="72"/>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61"/>
      <c r="AF98" s="59"/>
      <c r="AG98" s="59"/>
      <c r="AH98" s="59"/>
      <c r="AI98" s="59"/>
      <c r="AJ98" s="59"/>
      <c r="AK98" s="59"/>
      <c r="AL98" s="59"/>
      <c r="AM98" s="59"/>
      <c r="AN98" s="59"/>
      <c r="AO98" s="59"/>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c r="IV98" s="30"/>
      <c r="IW98" s="30"/>
      <c r="IX98" s="30"/>
      <c r="IY98" s="30"/>
      <c r="IZ98" s="30"/>
      <c r="JA98" s="30"/>
      <c r="JB98" s="30"/>
      <c r="JC98" s="30"/>
      <c r="JD98" s="30"/>
      <c r="JE98" s="30"/>
      <c r="JF98" s="30"/>
      <c r="JG98" s="30"/>
      <c r="JH98" s="30"/>
      <c r="JI98" s="30"/>
      <c r="JJ98" s="30"/>
      <c r="JK98" s="30"/>
      <c r="JL98" s="30"/>
      <c r="JM98" s="30"/>
      <c r="JN98" s="30"/>
      <c r="JO98" s="30"/>
      <c r="JP98" s="30"/>
      <c r="JQ98" s="30"/>
      <c r="JR98" s="30"/>
      <c r="JS98" s="30"/>
      <c r="JT98" s="30"/>
      <c r="JU98" s="30"/>
      <c r="JV98" s="30"/>
      <c r="JW98" s="30"/>
      <c r="JX98" s="30"/>
      <c r="JY98" s="30"/>
      <c r="JZ98" s="30"/>
      <c r="KA98" s="30"/>
      <c r="KB98" s="30"/>
      <c r="KC98" s="30"/>
      <c r="KD98" s="30"/>
      <c r="KE98" s="30"/>
      <c r="KF98" s="30"/>
      <c r="KG98" s="30"/>
      <c r="KH98" s="30"/>
      <c r="KI98" s="30"/>
      <c r="KJ98" s="30"/>
      <c r="KK98" s="30"/>
      <c r="KL98" s="30"/>
      <c r="KM98" s="30"/>
      <c r="KN98" s="30"/>
      <c r="KO98" s="30"/>
      <c r="KP98" s="30"/>
      <c r="KQ98" s="30"/>
      <c r="KR98" s="30"/>
      <c r="KS98" s="30"/>
      <c r="KT98" s="30"/>
      <c r="KU98" s="30"/>
      <c r="KV98" s="30"/>
      <c r="KW98" s="30"/>
      <c r="KX98" s="30"/>
      <c r="KY98" s="30"/>
      <c r="KZ98" s="30"/>
      <c r="LA98" s="30"/>
      <c r="LB98" s="30"/>
      <c r="LC98" s="30"/>
      <c r="LD98" s="30"/>
      <c r="LE98" s="30"/>
      <c r="LF98" s="30"/>
      <c r="LG98" s="30"/>
      <c r="LH98" s="30"/>
      <c r="LI98" s="30"/>
      <c r="LJ98" s="30"/>
      <c r="LK98" s="30"/>
      <c r="LL98" s="30"/>
      <c r="LM98" s="30"/>
      <c r="LN98" s="30"/>
      <c r="LO98" s="30"/>
      <c r="LP98" s="30"/>
      <c r="LQ98" s="30"/>
      <c r="LR98" s="30"/>
      <c r="LS98" s="30"/>
      <c r="LT98" s="30"/>
      <c r="LU98" s="30"/>
      <c r="LV98" s="30"/>
      <c r="LW98" s="30"/>
      <c r="LX98" s="30"/>
      <c r="LY98" s="30"/>
      <c r="LZ98" s="30"/>
      <c r="MA98" s="30"/>
      <c r="MB98" s="30"/>
      <c r="MC98" s="30"/>
      <c r="MD98" s="30"/>
      <c r="ME98" s="30"/>
      <c r="MF98" s="30"/>
      <c r="MG98" s="30"/>
      <c r="MH98" s="30"/>
      <c r="MI98" s="30"/>
      <c r="MJ98" s="30"/>
      <c r="MK98" s="30"/>
      <c r="ML98" s="30"/>
      <c r="MM98" s="30"/>
      <c r="MN98" s="30"/>
      <c r="MO98" s="30"/>
      <c r="MP98" s="30"/>
      <c r="MQ98" s="30"/>
      <c r="MR98" s="30"/>
      <c r="MS98" s="30"/>
      <c r="MT98" s="30"/>
      <c r="MU98" s="30"/>
      <c r="MV98" s="30"/>
      <c r="MW98" s="30"/>
      <c r="MX98" s="30"/>
      <c r="MY98" s="30"/>
      <c r="MZ98" s="30"/>
      <c r="NA98" s="30"/>
      <c r="NB98" s="30"/>
      <c r="NC98" s="30"/>
      <c r="ND98" s="30"/>
      <c r="NE98" s="30"/>
      <c r="NF98" s="30"/>
      <c r="NG98" s="30"/>
      <c r="NH98" s="30"/>
      <c r="NI98" s="30"/>
      <c r="NJ98" s="30"/>
      <c r="NK98" s="30"/>
      <c r="NL98" s="30"/>
      <c r="NM98" s="30"/>
      <c r="NN98" s="30"/>
      <c r="NO98" s="30"/>
      <c r="NP98" s="30"/>
      <c r="NQ98" s="30"/>
      <c r="NR98" s="30"/>
      <c r="NS98" s="30"/>
      <c r="NT98" s="30"/>
      <c r="NU98" s="30"/>
      <c r="NV98" s="30"/>
      <c r="NW98" s="30"/>
      <c r="NX98" s="30"/>
      <c r="NY98" s="30"/>
      <c r="NZ98" s="30"/>
      <c r="OA98" s="30"/>
      <c r="OB98" s="30"/>
      <c r="OC98" s="30"/>
      <c r="OD98" s="30"/>
      <c r="OE98" s="30"/>
      <c r="OF98" s="30"/>
      <c r="OG98" s="30"/>
      <c r="OH98" s="30"/>
      <c r="OI98" s="30"/>
      <c r="OJ98" s="30"/>
      <c r="OK98" s="30"/>
      <c r="OL98" s="30"/>
      <c r="OM98" s="30"/>
      <c r="ON98" s="30"/>
      <c r="OO98" s="30"/>
      <c r="OP98" s="30"/>
      <c r="OQ98" s="30"/>
      <c r="OR98" s="30"/>
      <c r="OS98" s="30"/>
      <c r="OT98" s="30"/>
      <c r="OU98" s="30"/>
      <c r="OV98" s="30"/>
      <c r="OW98" s="30"/>
      <c r="OX98" s="30"/>
      <c r="OY98" s="30"/>
      <c r="OZ98" s="30"/>
      <c r="PA98" s="30"/>
      <c r="PB98" s="30"/>
      <c r="PC98" s="30"/>
      <c r="PD98" s="30"/>
      <c r="PE98" s="30"/>
      <c r="PF98" s="30"/>
      <c r="PG98" s="30"/>
      <c r="PH98" s="30"/>
      <c r="PI98" s="30"/>
      <c r="PJ98" s="30"/>
      <c r="PK98" s="30"/>
      <c r="PL98" s="30"/>
      <c r="PM98" s="30"/>
      <c r="PN98" s="30"/>
      <c r="PO98" s="30"/>
      <c r="PP98" s="30"/>
      <c r="PQ98" s="30"/>
      <c r="PR98" s="30"/>
      <c r="PS98" s="30"/>
      <c r="PT98" s="30"/>
      <c r="PU98" s="30"/>
      <c r="PV98" s="30"/>
      <c r="PW98" s="30"/>
      <c r="PX98" s="30"/>
      <c r="PY98" s="30"/>
      <c r="PZ98" s="30"/>
      <c r="QA98" s="30"/>
      <c r="QB98" s="30"/>
      <c r="QC98" s="30"/>
      <c r="QD98" s="30"/>
      <c r="QE98" s="30"/>
      <c r="QF98" s="30"/>
      <c r="QG98" s="30"/>
      <c r="QH98" s="30"/>
      <c r="QI98" s="30"/>
      <c r="QJ98" s="30"/>
      <c r="QK98" s="30"/>
      <c r="QL98" s="30"/>
      <c r="QM98" s="30"/>
      <c r="QN98" s="30"/>
      <c r="QO98" s="30"/>
      <c r="QP98" s="30"/>
      <c r="QQ98" s="30"/>
      <c r="QR98" s="30"/>
      <c r="QS98" s="30"/>
      <c r="QT98" s="30"/>
      <c r="QU98" s="30"/>
      <c r="QV98" s="30"/>
      <c r="QW98" s="30"/>
      <c r="QX98" s="30"/>
      <c r="QY98" s="30"/>
      <c r="QZ98" s="30"/>
      <c r="RA98" s="30"/>
      <c r="RB98" s="30"/>
      <c r="RC98" s="30"/>
      <c r="RD98" s="30"/>
      <c r="RE98" s="30"/>
      <c r="RF98" s="30"/>
      <c r="RG98" s="30"/>
      <c r="RH98" s="30"/>
      <c r="RI98" s="30"/>
      <c r="RJ98" s="30"/>
      <c r="RK98" s="30"/>
      <c r="RL98" s="30"/>
      <c r="RM98" s="30"/>
      <c r="RN98" s="30"/>
      <c r="RO98" s="30"/>
      <c r="RP98" s="30"/>
      <c r="RQ98" s="30"/>
      <c r="RR98" s="30"/>
      <c r="RS98" s="30"/>
      <c r="RT98" s="30"/>
      <c r="RU98" s="30"/>
      <c r="RV98" s="30"/>
      <c r="RW98" s="30"/>
      <c r="RX98" s="30"/>
      <c r="RY98" s="30"/>
      <c r="RZ98" s="30"/>
      <c r="SA98" s="30"/>
      <c r="SB98" s="30"/>
      <c r="SC98" s="30"/>
      <c r="SD98" s="30"/>
    </row>
    <row r="99" spans="1:498" s="20" customFormat="1" x14ac:dyDescent="0.25">
      <c r="A99" s="59"/>
      <c r="B99" s="66"/>
      <c r="C99" s="68"/>
      <c r="D99" s="72"/>
      <c r="E99" s="72"/>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61"/>
      <c r="AF99" s="59"/>
      <c r="AG99" s="59"/>
      <c r="AH99" s="59"/>
      <c r="AI99" s="59"/>
      <c r="AJ99" s="59"/>
      <c r="AK99" s="59"/>
      <c r="AL99" s="59"/>
      <c r="AM99" s="59"/>
      <c r="AN99" s="59"/>
      <c r="AO99" s="59"/>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c r="GB99" s="30"/>
      <c r="GC99" s="30"/>
      <c r="GD99" s="30"/>
      <c r="GE99" s="30"/>
      <c r="GF99" s="30"/>
      <c r="GG99" s="30"/>
      <c r="GH99" s="30"/>
      <c r="GI99" s="30"/>
      <c r="GJ99" s="30"/>
      <c r="GK99" s="30"/>
      <c r="GL99" s="30"/>
      <c r="GM99" s="30"/>
      <c r="GN99" s="30"/>
      <c r="GO99" s="30"/>
      <c r="GP99" s="30"/>
      <c r="GQ99" s="30"/>
      <c r="GR99" s="30"/>
      <c r="GS99" s="30"/>
      <c r="GT99" s="30"/>
      <c r="GU99" s="30"/>
      <c r="GV99" s="30"/>
      <c r="GW99" s="30"/>
      <c r="GX99" s="30"/>
      <c r="GY99" s="30"/>
      <c r="GZ99" s="30"/>
      <c r="HA99" s="30"/>
      <c r="HB99" s="30"/>
      <c r="HC99" s="30"/>
      <c r="HD99" s="30"/>
      <c r="HE99" s="30"/>
      <c r="HF99" s="30"/>
      <c r="HG99" s="30"/>
      <c r="HH99" s="30"/>
      <c r="HI99" s="30"/>
      <c r="HJ99" s="30"/>
      <c r="HK99" s="30"/>
      <c r="HL99" s="30"/>
      <c r="HM99" s="30"/>
      <c r="HN99" s="30"/>
      <c r="HO99" s="30"/>
      <c r="HP99" s="30"/>
      <c r="HQ99" s="30"/>
      <c r="HR99" s="30"/>
      <c r="HS99" s="30"/>
      <c r="HT99" s="30"/>
      <c r="HU99" s="30"/>
      <c r="HV99" s="30"/>
      <c r="HW99" s="30"/>
      <c r="HX99" s="30"/>
      <c r="HY99" s="30"/>
      <c r="HZ99" s="30"/>
      <c r="IA99" s="30"/>
      <c r="IB99" s="30"/>
      <c r="IC99" s="30"/>
      <c r="ID99" s="30"/>
      <c r="IE99" s="30"/>
      <c r="IF99" s="30"/>
      <c r="IG99" s="30"/>
      <c r="IH99" s="30"/>
      <c r="II99" s="30"/>
      <c r="IJ99" s="30"/>
      <c r="IK99" s="30"/>
      <c r="IL99" s="30"/>
      <c r="IM99" s="30"/>
      <c r="IN99" s="30"/>
      <c r="IO99" s="30"/>
      <c r="IP99" s="30"/>
      <c r="IQ99" s="30"/>
      <c r="IR99" s="30"/>
      <c r="IS99" s="30"/>
      <c r="IT99" s="30"/>
      <c r="IU99" s="30"/>
      <c r="IV99" s="30"/>
      <c r="IW99" s="30"/>
      <c r="IX99" s="30"/>
      <c r="IY99" s="30"/>
      <c r="IZ99" s="30"/>
      <c r="JA99" s="30"/>
      <c r="JB99" s="30"/>
      <c r="JC99" s="30"/>
      <c r="JD99" s="30"/>
      <c r="JE99" s="30"/>
      <c r="JF99" s="30"/>
      <c r="JG99" s="30"/>
      <c r="JH99" s="30"/>
      <c r="JI99" s="30"/>
      <c r="JJ99" s="30"/>
      <c r="JK99" s="30"/>
      <c r="JL99" s="30"/>
      <c r="JM99" s="30"/>
      <c r="JN99" s="30"/>
      <c r="JO99" s="30"/>
      <c r="JP99" s="30"/>
      <c r="JQ99" s="30"/>
      <c r="JR99" s="30"/>
      <c r="JS99" s="30"/>
      <c r="JT99" s="30"/>
      <c r="JU99" s="30"/>
      <c r="JV99" s="30"/>
      <c r="JW99" s="30"/>
      <c r="JX99" s="30"/>
      <c r="JY99" s="30"/>
      <c r="JZ99" s="30"/>
      <c r="KA99" s="30"/>
      <c r="KB99" s="30"/>
      <c r="KC99" s="30"/>
      <c r="KD99" s="30"/>
      <c r="KE99" s="30"/>
      <c r="KF99" s="30"/>
      <c r="KG99" s="30"/>
      <c r="KH99" s="30"/>
      <c r="KI99" s="30"/>
      <c r="KJ99" s="30"/>
      <c r="KK99" s="30"/>
      <c r="KL99" s="30"/>
      <c r="KM99" s="30"/>
      <c r="KN99" s="30"/>
      <c r="KO99" s="30"/>
      <c r="KP99" s="30"/>
      <c r="KQ99" s="30"/>
      <c r="KR99" s="30"/>
      <c r="KS99" s="30"/>
      <c r="KT99" s="30"/>
      <c r="KU99" s="30"/>
      <c r="KV99" s="30"/>
      <c r="KW99" s="30"/>
      <c r="KX99" s="30"/>
      <c r="KY99" s="30"/>
      <c r="KZ99" s="30"/>
      <c r="LA99" s="30"/>
      <c r="LB99" s="30"/>
      <c r="LC99" s="30"/>
      <c r="LD99" s="30"/>
      <c r="LE99" s="30"/>
      <c r="LF99" s="30"/>
      <c r="LG99" s="30"/>
      <c r="LH99" s="30"/>
      <c r="LI99" s="30"/>
      <c r="LJ99" s="30"/>
      <c r="LK99" s="30"/>
      <c r="LL99" s="30"/>
      <c r="LM99" s="30"/>
      <c r="LN99" s="30"/>
      <c r="LO99" s="30"/>
      <c r="LP99" s="30"/>
      <c r="LQ99" s="30"/>
      <c r="LR99" s="30"/>
      <c r="LS99" s="30"/>
      <c r="LT99" s="30"/>
      <c r="LU99" s="30"/>
      <c r="LV99" s="30"/>
      <c r="LW99" s="30"/>
      <c r="LX99" s="30"/>
      <c r="LY99" s="30"/>
      <c r="LZ99" s="30"/>
      <c r="MA99" s="30"/>
      <c r="MB99" s="30"/>
      <c r="MC99" s="30"/>
      <c r="MD99" s="30"/>
      <c r="ME99" s="30"/>
      <c r="MF99" s="30"/>
      <c r="MG99" s="30"/>
      <c r="MH99" s="30"/>
      <c r="MI99" s="30"/>
      <c r="MJ99" s="30"/>
      <c r="MK99" s="30"/>
      <c r="ML99" s="30"/>
      <c r="MM99" s="30"/>
      <c r="MN99" s="30"/>
      <c r="MO99" s="30"/>
      <c r="MP99" s="30"/>
      <c r="MQ99" s="30"/>
      <c r="MR99" s="30"/>
      <c r="MS99" s="30"/>
      <c r="MT99" s="30"/>
      <c r="MU99" s="30"/>
      <c r="MV99" s="30"/>
      <c r="MW99" s="30"/>
      <c r="MX99" s="30"/>
      <c r="MY99" s="30"/>
      <c r="MZ99" s="30"/>
      <c r="NA99" s="30"/>
      <c r="NB99" s="30"/>
      <c r="NC99" s="30"/>
      <c r="ND99" s="30"/>
      <c r="NE99" s="30"/>
      <c r="NF99" s="30"/>
      <c r="NG99" s="30"/>
      <c r="NH99" s="30"/>
      <c r="NI99" s="30"/>
      <c r="NJ99" s="30"/>
      <c r="NK99" s="30"/>
      <c r="NL99" s="30"/>
      <c r="NM99" s="30"/>
      <c r="NN99" s="30"/>
      <c r="NO99" s="30"/>
      <c r="NP99" s="30"/>
      <c r="NQ99" s="30"/>
      <c r="NR99" s="30"/>
      <c r="NS99" s="30"/>
      <c r="NT99" s="30"/>
      <c r="NU99" s="30"/>
      <c r="NV99" s="30"/>
      <c r="NW99" s="30"/>
      <c r="NX99" s="30"/>
      <c r="NY99" s="30"/>
      <c r="NZ99" s="30"/>
      <c r="OA99" s="30"/>
      <c r="OB99" s="30"/>
      <c r="OC99" s="30"/>
      <c r="OD99" s="30"/>
      <c r="OE99" s="30"/>
      <c r="OF99" s="30"/>
      <c r="OG99" s="30"/>
      <c r="OH99" s="30"/>
      <c r="OI99" s="30"/>
      <c r="OJ99" s="30"/>
      <c r="OK99" s="30"/>
      <c r="OL99" s="30"/>
      <c r="OM99" s="30"/>
      <c r="ON99" s="30"/>
      <c r="OO99" s="30"/>
      <c r="OP99" s="30"/>
      <c r="OQ99" s="30"/>
      <c r="OR99" s="30"/>
      <c r="OS99" s="30"/>
      <c r="OT99" s="30"/>
      <c r="OU99" s="30"/>
      <c r="OV99" s="30"/>
      <c r="OW99" s="30"/>
      <c r="OX99" s="30"/>
      <c r="OY99" s="30"/>
      <c r="OZ99" s="30"/>
      <c r="PA99" s="30"/>
      <c r="PB99" s="30"/>
      <c r="PC99" s="30"/>
      <c r="PD99" s="30"/>
      <c r="PE99" s="30"/>
      <c r="PF99" s="30"/>
      <c r="PG99" s="30"/>
      <c r="PH99" s="30"/>
      <c r="PI99" s="30"/>
      <c r="PJ99" s="30"/>
      <c r="PK99" s="30"/>
      <c r="PL99" s="30"/>
      <c r="PM99" s="30"/>
      <c r="PN99" s="30"/>
      <c r="PO99" s="30"/>
      <c r="PP99" s="30"/>
      <c r="PQ99" s="30"/>
      <c r="PR99" s="30"/>
      <c r="PS99" s="30"/>
      <c r="PT99" s="30"/>
      <c r="PU99" s="30"/>
      <c r="PV99" s="30"/>
      <c r="PW99" s="30"/>
      <c r="PX99" s="30"/>
      <c r="PY99" s="30"/>
      <c r="PZ99" s="30"/>
      <c r="QA99" s="30"/>
      <c r="QB99" s="30"/>
      <c r="QC99" s="30"/>
      <c r="QD99" s="30"/>
      <c r="QE99" s="30"/>
      <c r="QF99" s="30"/>
      <c r="QG99" s="30"/>
      <c r="QH99" s="30"/>
      <c r="QI99" s="30"/>
      <c r="QJ99" s="30"/>
      <c r="QK99" s="30"/>
      <c r="QL99" s="30"/>
      <c r="QM99" s="30"/>
      <c r="QN99" s="30"/>
      <c r="QO99" s="30"/>
      <c r="QP99" s="30"/>
      <c r="QQ99" s="30"/>
      <c r="QR99" s="30"/>
      <c r="QS99" s="30"/>
      <c r="QT99" s="30"/>
      <c r="QU99" s="30"/>
      <c r="QV99" s="30"/>
      <c r="QW99" s="30"/>
      <c r="QX99" s="30"/>
      <c r="QY99" s="30"/>
      <c r="QZ99" s="30"/>
      <c r="RA99" s="30"/>
      <c r="RB99" s="30"/>
      <c r="RC99" s="30"/>
      <c r="RD99" s="30"/>
      <c r="RE99" s="30"/>
      <c r="RF99" s="30"/>
      <c r="RG99" s="30"/>
      <c r="RH99" s="30"/>
      <c r="RI99" s="30"/>
      <c r="RJ99" s="30"/>
      <c r="RK99" s="30"/>
      <c r="RL99" s="30"/>
      <c r="RM99" s="30"/>
      <c r="RN99" s="30"/>
      <c r="RO99" s="30"/>
      <c r="RP99" s="30"/>
      <c r="RQ99" s="30"/>
      <c r="RR99" s="30"/>
      <c r="RS99" s="30"/>
      <c r="RT99" s="30"/>
      <c r="RU99" s="30"/>
      <c r="RV99" s="30"/>
      <c r="RW99" s="30"/>
      <c r="RX99" s="30"/>
      <c r="RY99" s="30"/>
      <c r="RZ99" s="30"/>
      <c r="SA99" s="30"/>
      <c r="SB99" s="30"/>
      <c r="SC99" s="30"/>
      <c r="SD99" s="30"/>
    </row>
    <row r="100" spans="1:498" s="47" customFormat="1" hidden="1" x14ac:dyDescent="0.25">
      <c r="A100" s="59"/>
      <c r="B100" s="171">
        <v>4</v>
      </c>
      <c r="C100" s="227" t="s">
        <v>57</v>
      </c>
      <c r="D100" s="227"/>
      <c r="E100" s="227"/>
      <c r="F100" s="56">
        <f>IF((F125*$C$15)/12&lt;=0,0,IF(((F125*$C$15)/12)&lt;($D$85/12),((F125*$C$15)/12),"Ineligible"))</f>
        <v>159.55875</v>
      </c>
      <c r="G100" s="57">
        <f t="shared" ref="G100:AD100" si="48">IF($F$100="Ineligible","",
IF($C$10=0,"",
IF(
AND(
G77&gt;20+N("IT is later than teh 20th year AND"),
$C$15=0.1+N("Percentage as share is 10 percent THEN")),
0,
IF(
F89=0,
0+N("If loan balance from the preceding year is zero then IBR payment is zero, if not then"),
IF(
(G125*$C$15)/12&lt;0,
0+N(""),
IF(
((G125*$C$15)/12)&lt;($D$85/12)+N("If the IBR payment is less than the standard"),
((G125*$C$15)/12)+N("Then the IBR payment"),
$F$113+N("If IBR is greater or equal to teh standard, then the standard plan")))))))</f>
        <v>169.15111875000002</v>
      </c>
      <c r="H100" s="57">
        <f t="shared" si="48"/>
        <v>179.20775372062508</v>
      </c>
      <c r="I100" s="57">
        <f t="shared" si="48"/>
        <v>189.74924790461273</v>
      </c>
      <c r="J100" s="57">
        <f t="shared" si="48"/>
        <v>200.79706877524256</v>
      </c>
      <c r="K100" s="57">
        <f t="shared" si="48"/>
        <v>212.37359453965416</v>
      </c>
      <c r="L100" s="57">
        <f t="shared" si="48"/>
        <v>224.50215187427855</v>
      </c>
      <c r="M100" s="57">
        <f t="shared" si="48"/>
        <v>237.20705520246929</v>
      </c>
      <c r="N100" s="57">
        <f t="shared" si="48"/>
        <v>250.51364757684337</v>
      </c>
      <c r="O100" s="57">
        <f t="shared" si="48"/>
        <v>264.44834323136593</v>
      </c>
      <c r="P100" s="57">
        <f t="shared" si="48"/>
        <v>279.0386718708308</v>
      </c>
      <c r="Q100" s="57">
        <f t="shared" si="48"/>
        <v>294.31332476812048</v>
      </c>
      <c r="R100" s="57">
        <f t="shared" si="48"/>
        <v>297.14873152569487</v>
      </c>
      <c r="S100" s="57">
        <f t="shared" si="48"/>
        <v>297.14873152569487</v>
      </c>
      <c r="T100" s="57">
        <f t="shared" si="48"/>
        <v>297.14873152569487</v>
      </c>
      <c r="U100" s="57">
        <f t="shared" si="48"/>
        <v>297.14873152569487</v>
      </c>
      <c r="V100" s="57">
        <f t="shared" si="48"/>
        <v>297.14873152569487</v>
      </c>
      <c r="W100" s="57">
        <f t="shared" si="48"/>
        <v>297.14873152569487</v>
      </c>
      <c r="X100" s="57">
        <f t="shared" si="48"/>
        <v>297.14873152569487</v>
      </c>
      <c r="Y100" s="57">
        <f t="shared" si="48"/>
        <v>297.14873152569487</v>
      </c>
      <c r="Z100" s="57">
        <f t="shared" si="48"/>
        <v>297.14873152569487</v>
      </c>
      <c r="AA100" s="57">
        <f t="shared" si="48"/>
        <v>297.14873152569487</v>
      </c>
      <c r="AB100" s="57">
        <f t="shared" si="48"/>
        <v>0</v>
      </c>
      <c r="AC100" s="57">
        <f t="shared" si="48"/>
        <v>0</v>
      </c>
      <c r="AD100" s="57">
        <f t="shared" si="48"/>
        <v>0</v>
      </c>
      <c r="AE100" s="118"/>
      <c r="AF100" s="119"/>
      <c r="AG100" s="119"/>
      <c r="AH100" s="119"/>
      <c r="AI100" s="120"/>
      <c r="AJ100" s="59"/>
      <c r="AK100" s="59"/>
      <c r="AL100" s="59"/>
      <c r="AM100" s="59"/>
      <c r="AN100" s="59"/>
      <c r="AO100" s="59"/>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c r="IV100" s="30"/>
      <c r="IW100" s="30"/>
      <c r="IX100" s="30"/>
      <c r="IY100" s="30"/>
      <c r="IZ100" s="30"/>
      <c r="JA100" s="30"/>
      <c r="JB100" s="30"/>
      <c r="JC100" s="30"/>
      <c r="JD100" s="30"/>
      <c r="JE100" s="30"/>
      <c r="JF100" s="30"/>
      <c r="JG100" s="30"/>
      <c r="JH100" s="30"/>
      <c r="JI100" s="30"/>
      <c r="JJ100" s="30"/>
      <c r="JK100" s="30"/>
      <c r="JL100" s="30"/>
      <c r="JM100" s="30"/>
      <c r="JN100" s="30"/>
      <c r="JO100" s="30"/>
      <c r="JP100" s="30"/>
      <c r="JQ100" s="30"/>
      <c r="JR100" s="30"/>
      <c r="JS100" s="30"/>
      <c r="JT100" s="30"/>
      <c r="JU100" s="30"/>
      <c r="JV100" s="30"/>
      <c r="JW100" s="30"/>
      <c r="JX100" s="30"/>
      <c r="JY100" s="30"/>
      <c r="JZ100" s="30"/>
      <c r="KA100" s="30"/>
      <c r="KB100" s="30"/>
      <c r="KC100" s="30"/>
      <c r="KD100" s="30"/>
      <c r="KE100" s="30"/>
      <c r="KF100" s="30"/>
      <c r="KG100" s="30"/>
      <c r="KH100" s="30"/>
      <c r="KI100" s="30"/>
      <c r="KJ100" s="30"/>
      <c r="KK100" s="30"/>
      <c r="KL100" s="30"/>
      <c r="KM100" s="30"/>
      <c r="KN100" s="30"/>
      <c r="KO100" s="30"/>
      <c r="KP100" s="30"/>
      <c r="KQ100" s="30"/>
      <c r="KR100" s="30"/>
      <c r="KS100" s="30"/>
      <c r="KT100" s="30"/>
      <c r="KU100" s="30"/>
      <c r="KV100" s="30"/>
      <c r="KW100" s="30"/>
      <c r="KX100" s="30"/>
      <c r="KY100" s="30"/>
      <c r="KZ100" s="30"/>
      <c r="LA100" s="30"/>
      <c r="LB100" s="30"/>
      <c r="LC100" s="30"/>
      <c r="LD100" s="30"/>
      <c r="LE100" s="30"/>
      <c r="LF100" s="30"/>
      <c r="LG100" s="30"/>
      <c r="LH100" s="30"/>
      <c r="LI100" s="30"/>
      <c r="LJ100" s="30"/>
      <c r="LK100" s="30"/>
      <c r="LL100" s="30"/>
      <c r="LM100" s="30"/>
      <c r="LN100" s="30"/>
      <c r="LO100" s="30"/>
      <c r="LP100" s="30"/>
      <c r="LQ100" s="30"/>
      <c r="LR100" s="30"/>
      <c r="LS100" s="30"/>
      <c r="LT100" s="30"/>
      <c r="LU100" s="30"/>
      <c r="LV100" s="30"/>
      <c r="LW100" s="30"/>
      <c r="LX100" s="30"/>
      <c r="LY100" s="30"/>
      <c r="LZ100" s="30"/>
      <c r="MA100" s="30"/>
      <c r="MB100" s="30"/>
      <c r="MC100" s="30"/>
      <c r="MD100" s="30"/>
      <c r="ME100" s="30"/>
      <c r="MF100" s="30"/>
      <c r="MG100" s="30"/>
      <c r="MH100" s="30"/>
      <c r="MI100" s="30"/>
      <c r="MJ100" s="30"/>
      <c r="MK100" s="30"/>
      <c r="ML100" s="30"/>
      <c r="MM100" s="30"/>
      <c r="MN100" s="30"/>
      <c r="MO100" s="30"/>
      <c r="MP100" s="30"/>
      <c r="MQ100" s="30"/>
      <c r="MR100" s="30"/>
      <c r="MS100" s="30"/>
      <c r="MT100" s="30"/>
      <c r="MU100" s="30"/>
      <c r="MV100" s="30"/>
      <c r="MW100" s="30"/>
      <c r="MX100" s="30"/>
      <c r="MY100" s="30"/>
      <c r="MZ100" s="30"/>
      <c r="NA100" s="30"/>
      <c r="NB100" s="30"/>
      <c r="NC100" s="30"/>
      <c r="ND100" s="30"/>
      <c r="NE100" s="30"/>
      <c r="NF100" s="30"/>
      <c r="NG100" s="30"/>
      <c r="NH100" s="30"/>
      <c r="NI100" s="30"/>
      <c r="NJ100" s="30"/>
      <c r="NK100" s="30"/>
      <c r="NL100" s="30"/>
      <c r="NM100" s="30"/>
      <c r="NN100" s="30"/>
      <c r="NO100" s="30"/>
      <c r="NP100" s="30"/>
      <c r="NQ100" s="30"/>
      <c r="NR100" s="30"/>
      <c r="NS100" s="30"/>
      <c r="NT100" s="30"/>
      <c r="NU100" s="30"/>
      <c r="NV100" s="30"/>
      <c r="NW100" s="30"/>
      <c r="NX100" s="30"/>
      <c r="NY100" s="30"/>
      <c r="NZ100" s="30"/>
      <c r="OA100" s="30"/>
      <c r="OB100" s="30"/>
      <c r="OC100" s="30"/>
      <c r="OD100" s="30"/>
      <c r="OE100" s="30"/>
      <c r="OF100" s="30"/>
      <c r="OG100" s="30"/>
      <c r="OH100" s="30"/>
      <c r="OI100" s="30"/>
      <c r="OJ100" s="30"/>
      <c r="OK100" s="30"/>
      <c r="OL100" s="30"/>
      <c r="OM100" s="30"/>
      <c r="ON100" s="30"/>
      <c r="OO100" s="30"/>
      <c r="OP100" s="30"/>
      <c r="OQ100" s="30"/>
      <c r="OR100" s="30"/>
      <c r="OS100" s="30"/>
      <c r="OT100" s="30"/>
      <c r="OU100" s="30"/>
      <c r="OV100" s="30"/>
      <c r="OW100" s="30"/>
      <c r="OX100" s="30"/>
      <c r="OY100" s="30"/>
      <c r="OZ100" s="30"/>
      <c r="PA100" s="30"/>
      <c r="PB100" s="30"/>
      <c r="PC100" s="30"/>
      <c r="PD100" s="30"/>
      <c r="PE100" s="30"/>
      <c r="PF100" s="30"/>
      <c r="PG100" s="30"/>
      <c r="PH100" s="30"/>
      <c r="PI100" s="30"/>
      <c r="PJ100" s="30"/>
      <c r="PK100" s="30"/>
      <c r="PL100" s="30"/>
      <c r="PM100" s="30"/>
      <c r="PN100" s="30"/>
      <c r="PO100" s="30"/>
      <c r="PP100" s="30"/>
      <c r="PQ100" s="30"/>
      <c r="PR100" s="30"/>
      <c r="PS100" s="30"/>
      <c r="PT100" s="30"/>
      <c r="PU100" s="30"/>
      <c r="PV100" s="30"/>
      <c r="PW100" s="30"/>
      <c r="PX100" s="30"/>
      <c r="PY100" s="30"/>
      <c r="PZ100" s="30"/>
      <c r="QA100" s="30"/>
      <c r="QB100" s="30"/>
      <c r="QC100" s="30"/>
      <c r="QD100" s="30"/>
      <c r="QE100" s="30"/>
      <c r="QF100" s="30"/>
      <c r="QG100" s="30"/>
      <c r="QH100" s="30"/>
      <c r="QI100" s="30"/>
      <c r="QJ100" s="30"/>
      <c r="QK100" s="30"/>
      <c r="QL100" s="30"/>
      <c r="QM100" s="30"/>
      <c r="QN100" s="30"/>
      <c r="QO100" s="30"/>
      <c r="QP100" s="30"/>
      <c r="QQ100" s="30"/>
      <c r="QR100" s="30"/>
      <c r="QS100" s="30"/>
      <c r="QT100" s="30"/>
      <c r="QU100" s="30"/>
      <c r="QV100" s="30"/>
      <c r="QW100" s="30"/>
      <c r="QX100" s="30"/>
      <c r="QY100" s="30"/>
      <c r="QZ100" s="30"/>
      <c r="RA100" s="30"/>
      <c r="RB100" s="30"/>
      <c r="RC100" s="30"/>
      <c r="RD100" s="30"/>
      <c r="RE100" s="30"/>
      <c r="RF100" s="30"/>
      <c r="RG100" s="30"/>
      <c r="RH100" s="30"/>
      <c r="RI100" s="30"/>
      <c r="RJ100" s="30"/>
      <c r="RK100" s="30"/>
      <c r="RL100" s="30"/>
      <c r="RM100" s="30"/>
      <c r="RN100" s="30"/>
      <c r="RO100" s="30"/>
      <c r="RP100" s="30"/>
      <c r="RQ100" s="30"/>
      <c r="RR100" s="30"/>
      <c r="RS100" s="30"/>
      <c r="RT100" s="30"/>
      <c r="RU100" s="30"/>
      <c r="RV100" s="30"/>
      <c r="RW100" s="30"/>
      <c r="RX100" s="30"/>
      <c r="RY100" s="30"/>
      <c r="RZ100" s="30"/>
      <c r="SA100" s="30"/>
      <c r="SB100" s="30"/>
      <c r="SC100" s="30"/>
      <c r="SD100" s="30"/>
    </row>
    <row r="101" spans="1:498" s="20" customFormat="1" hidden="1" x14ac:dyDescent="0.25">
      <c r="A101" s="68"/>
      <c r="B101" s="66"/>
      <c r="C101" s="228" t="s">
        <v>44</v>
      </c>
      <c r="D101" s="228"/>
      <c r="E101" s="228"/>
      <c r="F101" s="83">
        <f t="shared" ref="F101:AD101" si="49">IF($F$100="Ineligible","",IF($C$10=0,"",F89))</f>
        <v>20660.294999999998</v>
      </c>
      <c r="G101" s="83">
        <f t="shared" si="49"/>
        <v>21205.481574999998</v>
      </c>
      <c r="H101" s="83">
        <f t="shared" si="49"/>
        <v>21629.988530352501</v>
      </c>
      <c r="I101" s="83">
        <f t="shared" si="49"/>
        <v>21927.997555497146</v>
      </c>
      <c r="J101" s="83">
        <f t="shared" si="49"/>
        <v>22093.432730194236</v>
      </c>
      <c r="K101" s="83">
        <f t="shared" si="49"/>
        <v>22119.949595718386</v>
      </c>
      <c r="L101" s="83">
        <f t="shared" si="49"/>
        <v>22000.923773227041</v>
      </c>
      <c r="M101" s="83">
        <f t="shared" si="49"/>
        <v>21729.439110797412</v>
      </c>
      <c r="N101" s="83">
        <f t="shared" si="49"/>
        <v>21298.27533987529</v>
      </c>
      <c r="O101" s="83">
        <f t="shared" si="49"/>
        <v>20699.895221098901</v>
      </c>
      <c r="P101" s="83">
        <f t="shared" si="49"/>
        <v>19926.431158648931</v>
      </c>
      <c r="Q101" s="83">
        <f t="shared" si="49"/>
        <v>18960.199273107533</v>
      </c>
      <c r="R101" s="83">
        <f t="shared" si="49"/>
        <v>17835.54015121179</v>
      </c>
      <c r="S101" s="83">
        <f t="shared" si="49"/>
        <v>16566.081167371969</v>
      </c>
      <c r="T101" s="83">
        <f t="shared" si="49"/>
        <v>15133.17933936277</v>
      </c>
      <c r="U101" s="83">
        <f t="shared" si="49"/>
        <v>13515.791400997387</v>
      </c>
      <c r="V101" s="83">
        <f t="shared" si="49"/>
        <v>11690.164765567461</v>
      </c>
      <c r="W101" s="83">
        <f t="shared" si="49"/>
        <v>9629.488700825932</v>
      </c>
      <c r="X101" s="83">
        <f t="shared" si="49"/>
        <v>7303.5005927489328</v>
      </c>
      <c r="Y101" s="83">
        <f t="shared" si="49"/>
        <v>4678.0415157570187</v>
      </c>
      <c r="Z101" s="83">
        <f t="shared" si="49"/>
        <v>1714.5545826023958</v>
      </c>
      <c r="AA101" s="83">
        <f t="shared" si="49"/>
        <v>0</v>
      </c>
      <c r="AB101" s="83">
        <f t="shared" si="49"/>
        <v>0</v>
      </c>
      <c r="AC101" s="83">
        <f t="shared" si="49"/>
        <v>0</v>
      </c>
      <c r="AD101" s="83">
        <f t="shared" si="49"/>
        <v>0</v>
      </c>
      <c r="AE101" s="121"/>
      <c r="AF101" s="122"/>
      <c r="AG101" s="122"/>
      <c r="AH101" s="122"/>
      <c r="AI101" s="123"/>
      <c r="AJ101" s="68"/>
      <c r="AK101" s="68"/>
      <c r="AL101" s="68"/>
      <c r="AM101" s="68"/>
      <c r="AN101" s="68"/>
      <c r="AO101" s="68"/>
      <c r="AP101" s="21"/>
      <c r="AQ101" s="21"/>
      <c r="AR101" s="21"/>
      <c r="AS101" s="21"/>
      <c r="AT101" s="21"/>
      <c r="AU101" s="21"/>
      <c r="AV101" s="21"/>
      <c r="AW101" s="21"/>
      <c r="AX101" s="21"/>
      <c r="AY101" s="21"/>
      <c r="AZ101" s="21"/>
      <c r="BA101" s="21"/>
      <c r="BB101" s="21"/>
      <c r="BC101" s="30"/>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0"/>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c r="EY101" s="30"/>
      <c r="EZ101" s="30"/>
      <c r="FA101" s="30"/>
      <c r="FB101" s="30"/>
      <c r="FC101" s="30"/>
      <c r="FD101" s="30"/>
      <c r="FE101" s="30"/>
      <c r="FF101" s="30"/>
      <c r="FG101" s="30"/>
      <c r="FH101" s="30"/>
      <c r="FI101" s="30"/>
      <c r="FJ101" s="30"/>
      <c r="FK101" s="30"/>
      <c r="FL101" s="30"/>
      <c r="FM101" s="30"/>
      <c r="FN101" s="30"/>
      <c r="FO101" s="30"/>
      <c r="FP101" s="30"/>
      <c r="FQ101" s="30"/>
      <c r="FR101" s="30"/>
      <c r="FS101" s="30"/>
      <c r="FT101" s="30"/>
      <c r="FU101" s="30"/>
      <c r="FV101" s="30"/>
      <c r="FW101" s="30"/>
      <c r="FX101" s="30"/>
      <c r="FY101" s="30"/>
      <c r="FZ101" s="30"/>
      <c r="GA101" s="30"/>
      <c r="GB101" s="30"/>
      <c r="GC101" s="30"/>
      <c r="GD101" s="30"/>
      <c r="GE101" s="30"/>
      <c r="GF101" s="30"/>
      <c r="GG101" s="30"/>
      <c r="GH101" s="30"/>
      <c r="GI101" s="30"/>
      <c r="GJ101" s="30"/>
      <c r="GK101" s="30"/>
      <c r="GL101" s="30"/>
      <c r="GM101" s="30"/>
      <c r="GN101" s="30"/>
      <c r="GO101" s="30"/>
      <c r="GP101" s="30"/>
      <c r="GQ101" s="30"/>
      <c r="GR101" s="30"/>
      <c r="GS101" s="30"/>
      <c r="GT101" s="30"/>
      <c r="GU101" s="30"/>
      <c r="GV101" s="30"/>
      <c r="GW101" s="30"/>
      <c r="GX101" s="30"/>
      <c r="GY101" s="30"/>
      <c r="GZ101" s="30"/>
      <c r="HA101" s="30"/>
      <c r="HB101" s="30"/>
      <c r="HC101" s="30"/>
      <c r="HD101" s="30"/>
      <c r="HE101" s="30"/>
      <c r="HF101" s="30"/>
      <c r="HG101" s="30"/>
      <c r="HH101" s="30"/>
      <c r="HI101" s="30"/>
      <c r="HJ101" s="30"/>
      <c r="HK101" s="30"/>
      <c r="HL101" s="30"/>
      <c r="HM101" s="30"/>
      <c r="HN101" s="30"/>
      <c r="HO101" s="30"/>
      <c r="HP101" s="30"/>
      <c r="HQ101" s="30"/>
      <c r="HR101" s="30"/>
      <c r="HS101" s="30"/>
      <c r="HT101" s="30"/>
      <c r="HU101" s="30"/>
      <c r="HV101" s="30"/>
      <c r="HW101" s="30"/>
      <c r="HX101" s="30"/>
      <c r="HY101" s="30"/>
      <c r="HZ101" s="30"/>
      <c r="IA101" s="30"/>
      <c r="IB101" s="30"/>
      <c r="IC101" s="30"/>
      <c r="ID101" s="30"/>
      <c r="IE101" s="30"/>
      <c r="IF101" s="30"/>
      <c r="IG101" s="30"/>
      <c r="IH101" s="30"/>
      <c r="II101" s="30"/>
      <c r="IJ101" s="30"/>
      <c r="IK101" s="30"/>
      <c r="IL101" s="30"/>
      <c r="IM101" s="30"/>
      <c r="IN101" s="30"/>
      <c r="IO101" s="30"/>
      <c r="IP101" s="30"/>
      <c r="IQ101" s="30"/>
      <c r="IR101" s="30"/>
      <c r="IS101" s="30"/>
      <c r="IT101" s="30"/>
      <c r="IU101" s="30"/>
      <c r="IV101" s="30"/>
      <c r="IW101" s="30"/>
      <c r="IX101" s="30"/>
      <c r="IY101" s="30"/>
      <c r="IZ101" s="30"/>
      <c r="JA101" s="30"/>
      <c r="JB101" s="30"/>
      <c r="JC101" s="30"/>
      <c r="JD101" s="30"/>
      <c r="JE101" s="30"/>
      <c r="JF101" s="30"/>
      <c r="JG101" s="30"/>
      <c r="JH101" s="30"/>
      <c r="JI101" s="30"/>
      <c r="JJ101" s="30"/>
      <c r="JK101" s="30"/>
      <c r="JL101" s="30"/>
      <c r="JM101" s="30"/>
      <c r="JN101" s="30"/>
      <c r="JO101" s="30"/>
      <c r="JP101" s="30"/>
      <c r="JQ101" s="30"/>
      <c r="JR101" s="30"/>
      <c r="JS101" s="30"/>
      <c r="JT101" s="30"/>
      <c r="JU101" s="30"/>
      <c r="JV101" s="30"/>
      <c r="JW101" s="30"/>
      <c r="JX101" s="30"/>
      <c r="JY101" s="30"/>
      <c r="JZ101" s="30"/>
      <c r="KA101" s="30"/>
      <c r="KB101" s="30"/>
      <c r="KC101" s="30"/>
      <c r="KD101" s="30"/>
      <c r="KE101" s="30"/>
      <c r="KF101" s="30"/>
      <c r="KG101" s="30"/>
      <c r="KH101" s="30"/>
      <c r="KI101" s="30"/>
      <c r="KJ101" s="30"/>
      <c r="KK101" s="30"/>
      <c r="KL101" s="30"/>
      <c r="KM101" s="30"/>
      <c r="KN101" s="30"/>
      <c r="KO101" s="30"/>
      <c r="KP101" s="30"/>
      <c r="KQ101" s="30"/>
      <c r="KR101" s="30"/>
      <c r="KS101" s="30"/>
      <c r="KT101" s="30"/>
      <c r="KU101" s="30"/>
      <c r="KV101" s="30"/>
      <c r="KW101" s="30"/>
      <c r="KX101" s="30"/>
      <c r="KY101" s="30"/>
      <c r="KZ101" s="30"/>
      <c r="LA101" s="30"/>
      <c r="LB101" s="30"/>
      <c r="LC101" s="30"/>
      <c r="LD101" s="30"/>
      <c r="LE101" s="30"/>
      <c r="LF101" s="30"/>
      <c r="LG101" s="30"/>
      <c r="LH101" s="30"/>
      <c r="LI101" s="30"/>
      <c r="LJ101" s="30"/>
      <c r="LK101" s="30"/>
      <c r="LL101" s="30"/>
      <c r="LM101" s="30"/>
      <c r="LN101" s="30"/>
      <c r="LO101" s="30"/>
      <c r="LP101" s="30"/>
      <c r="LQ101" s="30"/>
      <c r="LR101" s="30"/>
      <c r="LS101" s="30"/>
      <c r="LT101" s="30"/>
      <c r="LU101" s="30"/>
      <c r="LV101" s="30"/>
      <c r="LW101" s="30"/>
      <c r="LX101" s="30"/>
      <c r="LY101" s="30"/>
      <c r="LZ101" s="30"/>
      <c r="MA101" s="30"/>
      <c r="MB101" s="30"/>
      <c r="MC101" s="30"/>
      <c r="MD101" s="30"/>
      <c r="ME101" s="30"/>
      <c r="MF101" s="30"/>
      <c r="MG101" s="30"/>
      <c r="MH101" s="30"/>
      <c r="MI101" s="30"/>
      <c r="MJ101" s="30"/>
      <c r="MK101" s="30"/>
      <c r="ML101" s="30"/>
      <c r="MM101" s="30"/>
      <c r="MN101" s="30"/>
      <c r="MO101" s="30"/>
      <c r="MP101" s="30"/>
      <c r="MQ101" s="30"/>
      <c r="MR101" s="30"/>
      <c r="MS101" s="30"/>
      <c r="MT101" s="30"/>
      <c r="MU101" s="30"/>
      <c r="MV101" s="30"/>
      <c r="MW101" s="30"/>
      <c r="MX101" s="30"/>
      <c r="MY101" s="30"/>
      <c r="MZ101" s="30"/>
      <c r="NA101" s="30"/>
      <c r="NB101" s="30"/>
      <c r="NC101" s="30"/>
      <c r="ND101" s="30"/>
      <c r="NE101" s="30"/>
      <c r="NF101" s="30"/>
      <c r="NG101" s="30"/>
      <c r="NH101" s="30"/>
      <c r="NI101" s="30"/>
      <c r="NJ101" s="30"/>
      <c r="NK101" s="30"/>
      <c r="NL101" s="30"/>
      <c r="NM101" s="30"/>
      <c r="NN101" s="30"/>
      <c r="NO101" s="30"/>
      <c r="NP101" s="30"/>
      <c r="NQ101" s="30"/>
      <c r="NR101" s="30"/>
      <c r="NS101" s="30"/>
      <c r="NT101" s="30"/>
      <c r="NU101" s="30"/>
      <c r="NV101" s="30"/>
      <c r="NW101" s="30"/>
      <c r="NX101" s="30"/>
      <c r="NY101" s="30"/>
      <c r="NZ101" s="30"/>
      <c r="OA101" s="30"/>
      <c r="OB101" s="30"/>
      <c r="OC101" s="30"/>
      <c r="OD101" s="30"/>
      <c r="OE101" s="30"/>
      <c r="OF101" s="30"/>
      <c r="OG101" s="30"/>
      <c r="OH101" s="30"/>
      <c r="OI101" s="30"/>
      <c r="OJ101" s="30"/>
      <c r="OK101" s="30"/>
      <c r="OL101" s="30"/>
      <c r="OM101" s="30"/>
      <c r="ON101" s="30"/>
      <c r="OO101" s="30"/>
      <c r="OP101" s="30"/>
      <c r="OQ101" s="30"/>
      <c r="OR101" s="30"/>
      <c r="OS101" s="30"/>
      <c r="OT101" s="30"/>
      <c r="OU101" s="30"/>
      <c r="OV101" s="30"/>
      <c r="OW101" s="30"/>
      <c r="OX101" s="30"/>
      <c r="OY101" s="30"/>
      <c r="OZ101" s="30"/>
      <c r="PA101" s="30"/>
      <c r="PB101" s="30"/>
      <c r="PC101" s="30"/>
      <c r="PD101" s="30"/>
      <c r="PE101" s="30"/>
      <c r="PF101" s="30"/>
      <c r="PG101" s="30"/>
      <c r="PH101" s="30"/>
      <c r="PI101" s="30"/>
      <c r="PJ101" s="30"/>
      <c r="PK101" s="30"/>
      <c r="PL101" s="30"/>
      <c r="PM101" s="30"/>
      <c r="PN101" s="30"/>
      <c r="PO101" s="30"/>
      <c r="PP101" s="30"/>
      <c r="PQ101" s="30"/>
      <c r="PR101" s="30"/>
      <c r="PS101" s="30"/>
      <c r="PT101" s="30"/>
      <c r="PU101" s="30"/>
      <c r="PV101" s="30"/>
      <c r="PW101" s="30"/>
      <c r="PX101" s="30"/>
      <c r="PY101" s="30"/>
      <c r="PZ101" s="30"/>
      <c r="QA101" s="30"/>
      <c r="QB101" s="30"/>
      <c r="QC101" s="30"/>
      <c r="QD101" s="30"/>
      <c r="QE101" s="30"/>
      <c r="QF101" s="30"/>
      <c r="QG101" s="30"/>
      <c r="QH101" s="30"/>
      <c r="QI101" s="30"/>
      <c r="QJ101" s="30"/>
      <c r="QK101" s="30"/>
      <c r="QL101" s="30"/>
      <c r="QM101" s="30"/>
      <c r="QN101" s="30"/>
      <c r="QO101" s="30"/>
      <c r="QP101" s="30"/>
      <c r="QQ101" s="30"/>
      <c r="QR101" s="30"/>
      <c r="QS101" s="30"/>
      <c r="QT101" s="30"/>
      <c r="QU101" s="30"/>
      <c r="QV101" s="30"/>
      <c r="QW101" s="30"/>
      <c r="QX101" s="30"/>
      <c r="QY101" s="30"/>
      <c r="QZ101" s="30"/>
      <c r="RA101" s="30"/>
      <c r="RB101" s="30"/>
      <c r="RC101" s="30"/>
      <c r="RD101" s="30"/>
      <c r="RE101" s="30"/>
      <c r="RF101" s="30"/>
      <c r="RG101" s="30"/>
      <c r="RH101" s="30"/>
      <c r="RI101" s="30"/>
      <c r="RJ101" s="30"/>
      <c r="RK101" s="30"/>
      <c r="RL101" s="30"/>
      <c r="RM101" s="30"/>
      <c r="RN101" s="30"/>
      <c r="RO101" s="30"/>
      <c r="RP101" s="30"/>
      <c r="RQ101" s="30"/>
      <c r="RR101" s="30"/>
      <c r="RS101" s="30"/>
      <c r="RT101" s="30"/>
      <c r="RU101" s="30"/>
      <c r="RV101" s="30"/>
      <c r="RW101" s="30"/>
      <c r="RX101" s="30"/>
      <c r="RY101" s="30"/>
      <c r="RZ101" s="30"/>
      <c r="SA101" s="30"/>
      <c r="SB101" s="30"/>
      <c r="SC101" s="30"/>
      <c r="SD101" s="30"/>
    </row>
    <row r="102" spans="1:498" s="20" customFormat="1" x14ac:dyDescent="0.25">
      <c r="A102" s="68"/>
      <c r="B102" s="66"/>
      <c r="C102" s="154"/>
      <c r="D102" s="154"/>
      <c r="E102" s="15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0"/>
      <c r="AF102" s="110"/>
      <c r="AG102" s="110"/>
      <c r="AH102" s="110"/>
      <c r="AI102" s="110"/>
      <c r="AJ102" s="68"/>
      <c r="AK102" s="68"/>
      <c r="AL102" s="68"/>
      <c r="AM102" s="68"/>
      <c r="AN102" s="68"/>
      <c r="AO102" s="68"/>
      <c r="AP102" s="21"/>
      <c r="AQ102" s="21"/>
      <c r="AR102" s="21"/>
      <c r="AS102" s="21"/>
      <c r="AT102" s="21"/>
      <c r="AU102" s="21"/>
      <c r="AV102" s="21"/>
      <c r="AW102" s="21"/>
      <c r="AX102" s="21"/>
      <c r="AY102" s="21"/>
      <c r="AZ102" s="21"/>
      <c r="BA102" s="21"/>
      <c r="BB102" s="21"/>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c r="FG102" s="30"/>
      <c r="FH102" s="30"/>
      <c r="FI102" s="30"/>
      <c r="FJ102" s="30"/>
      <c r="FK102" s="30"/>
      <c r="FL102" s="30"/>
      <c r="FM102" s="30"/>
      <c r="FN102" s="30"/>
      <c r="FO102" s="30"/>
      <c r="FP102" s="30"/>
      <c r="FQ102" s="30"/>
      <c r="FR102" s="30"/>
      <c r="FS102" s="30"/>
      <c r="FT102" s="30"/>
      <c r="FU102" s="30"/>
      <c r="FV102" s="30"/>
      <c r="FW102" s="30"/>
      <c r="FX102" s="30"/>
      <c r="FY102" s="30"/>
      <c r="FZ102" s="30"/>
      <c r="GA102" s="30"/>
      <c r="GB102" s="30"/>
      <c r="GC102" s="30"/>
      <c r="GD102" s="30"/>
      <c r="GE102" s="30"/>
      <c r="GF102" s="30"/>
      <c r="GG102" s="30"/>
      <c r="GH102" s="30"/>
      <c r="GI102" s="30"/>
      <c r="GJ102" s="30"/>
      <c r="GK102" s="30"/>
      <c r="GL102" s="30"/>
      <c r="GM102" s="30"/>
      <c r="GN102" s="30"/>
      <c r="GO102" s="30"/>
      <c r="GP102" s="30"/>
      <c r="GQ102" s="30"/>
      <c r="GR102" s="30"/>
      <c r="GS102" s="30"/>
      <c r="GT102" s="30"/>
      <c r="GU102" s="30"/>
      <c r="GV102" s="30"/>
      <c r="GW102" s="30"/>
      <c r="GX102" s="30"/>
      <c r="GY102" s="30"/>
      <c r="GZ102" s="30"/>
      <c r="HA102" s="30"/>
      <c r="HB102" s="30"/>
      <c r="HC102" s="30"/>
      <c r="HD102" s="30"/>
      <c r="HE102" s="30"/>
      <c r="HF102" s="30"/>
      <c r="HG102" s="30"/>
      <c r="HH102" s="30"/>
      <c r="HI102" s="30"/>
      <c r="HJ102" s="30"/>
      <c r="HK102" s="30"/>
      <c r="HL102" s="30"/>
      <c r="HM102" s="30"/>
      <c r="HN102" s="30"/>
      <c r="HO102" s="30"/>
      <c r="HP102" s="30"/>
      <c r="HQ102" s="30"/>
      <c r="HR102" s="30"/>
      <c r="HS102" s="30"/>
      <c r="HT102" s="30"/>
      <c r="HU102" s="30"/>
      <c r="HV102" s="30"/>
      <c r="HW102" s="30"/>
      <c r="HX102" s="30"/>
      <c r="HY102" s="30"/>
      <c r="HZ102" s="30"/>
      <c r="IA102" s="30"/>
      <c r="IB102" s="30"/>
      <c r="IC102" s="30"/>
      <c r="ID102" s="30"/>
      <c r="IE102" s="30"/>
      <c r="IF102" s="30"/>
      <c r="IG102" s="30"/>
      <c r="IH102" s="30"/>
      <c r="II102" s="30"/>
      <c r="IJ102" s="30"/>
      <c r="IK102" s="30"/>
      <c r="IL102" s="30"/>
      <c r="IM102" s="30"/>
      <c r="IN102" s="30"/>
      <c r="IO102" s="30"/>
      <c r="IP102" s="30"/>
      <c r="IQ102" s="30"/>
      <c r="IR102" s="30"/>
      <c r="IS102" s="30"/>
      <c r="IT102" s="30"/>
      <c r="IU102" s="30"/>
      <c r="IV102" s="30"/>
      <c r="IW102" s="30"/>
      <c r="IX102" s="30"/>
      <c r="IY102" s="30"/>
      <c r="IZ102" s="30"/>
      <c r="JA102" s="30"/>
      <c r="JB102" s="30"/>
      <c r="JC102" s="30"/>
      <c r="JD102" s="30"/>
      <c r="JE102" s="30"/>
      <c r="JF102" s="30"/>
      <c r="JG102" s="30"/>
      <c r="JH102" s="30"/>
      <c r="JI102" s="30"/>
      <c r="JJ102" s="30"/>
      <c r="JK102" s="30"/>
      <c r="JL102" s="30"/>
      <c r="JM102" s="30"/>
      <c r="JN102" s="30"/>
      <c r="JO102" s="30"/>
      <c r="JP102" s="30"/>
      <c r="JQ102" s="30"/>
      <c r="JR102" s="30"/>
      <c r="JS102" s="30"/>
      <c r="JT102" s="30"/>
      <c r="JU102" s="30"/>
      <c r="JV102" s="30"/>
      <c r="JW102" s="30"/>
      <c r="JX102" s="30"/>
      <c r="JY102" s="30"/>
      <c r="JZ102" s="30"/>
      <c r="KA102" s="30"/>
      <c r="KB102" s="30"/>
      <c r="KC102" s="30"/>
      <c r="KD102" s="30"/>
      <c r="KE102" s="30"/>
      <c r="KF102" s="30"/>
      <c r="KG102" s="30"/>
      <c r="KH102" s="30"/>
      <c r="KI102" s="30"/>
      <c r="KJ102" s="30"/>
      <c r="KK102" s="30"/>
      <c r="KL102" s="30"/>
      <c r="KM102" s="30"/>
      <c r="KN102" s="30"/>
      <c r="KO102" s="30"/>
      <c r="KP102" s="30"/>
      <c r="KQ102" s="30"/>
      <c r="KR102" s="30"/>
      <c r="KS102" s="30"/>
      <c r="KT102" s="30"/>
      <c r="KU102" s="30"/>
      <c r="KV102" s="30"/>
      <c r="KW102" s="30"/>
      <c r="KX102" s="30"/>
      <c r="KY102" s="30"/>
      <c r="KZ102" s="30"/>
      <c r="LA102" s="30"/>
      <c r="LB102" s="30"/>
      <c r="LC102" s="30"/>
      <c r="LD102" s="30"/>
      <c r="LE102" s="30"/>
      <c r="LF102" s="30"/>
      <c r="LG102" s="30"/>
      <c r="LH102" s="30"/>
      <c r="LI102" s="30"/>
      <c r="LJ102" s="30"/>
      <c r="LK102" s="30"/>
      <c r="LL102" s="30"/>
      <c r="LM102" s="30"/>
      <c r="LN102" s="30"/>
      <c r="LO102" s="30"/>
      <c r="LP102" s="30"/>
      <c r="LQ102" s="30"/>
      <c r="LR102" s="30"/>
      <c r="LS102" s="30"/>
      <c r="LT102" s="30"/>
      <c r="LU102" s="30"/>
      <c r="LV102" s="30"/>
      <c r="LW102" s="30"/>
      <c r="LX102" s="30"/>
      <c r="LY102" s="30"/>
      <c r="LZ102" s="30"/>
      <c r="MA102" s="30"/>
      <c r="MB102" s="30"/>
      <c r="MC102" s="30"/>
      <c r="MD102" s="30"/>
      <c r="ME102" s="30"/>
      <c r="MF102" s="30"/>
      <c r="MG102" s="30"/>
      <c r="MH102" s="30"/>
      <c r="MI102" s="30"/>
      <c r="MJ102" s="30"/>
      <c r="MK102" s="30"/>
      <c r="ML102" s="30"/>
      <c r="MM102" s="30"/>
      <c r="MN102" s="30"/>
      <c r="MO102" s="30"/>
      <c r="MP102" s="30"/>
      <c r="MQ102" s="30"/>
      <c r="MR102" s="30"/>
      <c r="MS102" s="30"/>
      <c r="MT102" s="30"/>
      <c r="MU102" s="30"/>
      <c r="MV102" s="30"/>
      <c r="MW102" s="30"/>
      <c r="MX102" s="30"/>
      <c r="MY102" s="30"/>
      <c r="MZ102" s="30"/>
      <c r="NA102" s="30"/>
      <c r="NB102" s="30"/>
      <c r="NC102" s="30"/>
      <c r="ND102" s="30"/>
      <c r="NE102" s="30"/>
      <c r="NF102" s="30"/>
      <c r="NG102" s="30"/>
      <c r="NH102" s="30"/>
      <c r="NI102" s="30"/>
      <c r="NJ102" s="30"/>
      <c r="NK102" s="30"/>
      <c r="NL102" s="30"/>
      <c r="NM102" s="30"/>
      <c r="NN102" s="30"/>
      <c r="NO102" s="30"/>
      <c r="NP102" s="30"/>
      <c r="NQ102" s="30"/>
      <c r="NR102" s="30"/>
      <c r="NS102" s="30"/>
      <c r="NT102" s="30"/>
      <c r="NU102" s="30"/>
      <c r="NV102" s="30"/>
      <c r="NW102" s="30"/>
      <c r="NX102" s="30"/>
      <c r="NY102" s="30"/>
      <c r="NZ102" s="30"/>
      <c r="OA102" s="30"/>
      <c r="OB102" s="30"/>
      <c r="OC102" s="30"/>
      <c r="OD102" s="30"/>
      <c r="OE102" s="30"/>
      <c r="OF102" s="30"/>
      <c r="OG102" s="30"/>
      <c r="OH102" s="30"/>
      <c r="OI102" s="30"/>
      <c r="OJ102" s="30"/>
      <c r="OK102" s="30"/>
      <c r="OL102" s="30"/>
      <c r="OM102" s="30"/>
      <c r="ON102" s="30"/>
      <c r="OO102" s="30"/>
      <c r="OP102" s="30"/>
      <c r="OQ102" s="30"/>
      <c r="OR102" s="30"/>
      <c r="OS102" s="30"/>
      <c r="OT102" s="30"/>
      <c r="OU102" s="30"/>
      <c r="OV102" s="30"/>
      <c r="OW102" s="30"/>
      <c r="OX102" s="30"/>
      <c r="OY102" s="30"/>
      <c r="OZ102" s="30"/>
      <c r="PA102" s="30"/>
      <c r="PB102" s="30"/>
      <c r="PC102" s="30"/>
      <c r="PD102" s="30"/>
      <c r="PE102" s="30"/>
      <c r="PF102" s="30"/>
      <c r="PG102" s="30"/>
      <c r="PH102" s="30"/>
      <c r="PI102" s="30"/>
      <c r="PJ102" s="30"/>
      <c r="PK102" s="30"/>
      <c r="PL102" s="30"/>
      <c r="PM102" s="30"/>
      <c r="PN102" s="30"/>
      <c r="PO102" s="30"/>
      <c r="PP102" s="30"/>
      <c r="PQ102" s="30"/>
      <c r="PR102" s="30"/>
      <c r="PS102" s="30"/>
      <c r="PT102" s="30"/>
      <c r="PU102" s="30"/>
      <c r="PV102" s="30"/>
      <c r="PW102" s="30"/>
      <c r="PX102" s="30"/>
      <c r="PY102" s="30"/>
      <c r="PZ102" s="30"/>
      <c r="QA102" s="30"/>
      <c r="QB102" s="30"/>
      <c r="QC102" s="30"/>
      <c r="QD102" s="30"/>
      <c r="QE102" s="30"/>
      <c r="QF102" s="30"/>
      <c r="QG102" s="30"/>
      <c r="QH102" s="30"/>
      <c r="QI102" s="30"/>
      <c r="QJ102" s="30"/>
      <c r="QK102" s="30"/>
      <c r="QL102" s="30"/>
      <c r="QM102" s="30"/>
      <c r="QN102" s="30"/>
      <c r="QO102" s="30"/>
      <c r="QP102" s="30"/>
      <c r="QQ102" s="30"/>
      <c r="QR102" s="30"/>
      <c r="QS102" s="30"/>
      <c r="QT102" s="30"/>
      <c r="QU102" s="30"/>
      <c r="QV102" s="30"/>
      <c r="QW102" s="30"/>
      <c r="QX102" s="30"/>
      <c r="QY102" s="30"/>
      <c r="QZ102" s="30"/>
      <c r="RA102" s="30"/>
      <c r="RB102" s="30"/>
      <c r="RC102" s="30"/>
      <c r="RD102" s="30"/>
      <c r="RE102" s="30"/>
      <c r="RF102" s="30"/>
      <c r="RG102" s="30"/>
      <c r="RH102" s="30"/>
      <c r="RI102" s="30"/>
      <c r="RJ102" s="30"/>
      <c r="RK102" s="30"/>
      <c r="RL102" s="30"/>
      <c r="RM102" s="30"/>
      <c r="RN102" s="30"/>
      <c r="RO102" s="30"/>
      <c r="RP102" s="30"/>
      <c r="RQ102" s="30"/>
      <c r="RR102" s="30"/>
      <c r="RS102" s="30"/>
      <c r="RT102" s="30"/>
      <c r="RU102" s="30"/>
      <c r="RV102" s="30"/>
      <c r="RW102" s="30"/>
      <c r="RX102" s="30"/>
      <c r="RY102" s="30"/>
      <c r="RZ102" s="30"/>
      <c r="SA102" s="30"/>
      <c r="SB102" s="30"/>
      <c r="SC102" s="30"/>
      <c r="SD102" s="30"/>
    </row>
    <row r="103" spans="1:498" s="20" customFormat="1" x14ac:dyDescent="0.25">
      <c r="A103" s="68"/>
      <c r="B103" s="170">
        <v>5</v>
      </c>
      <c r="C103" s="229" t="s">
        <v>58</v>
      </c>
      <c r="D103" s="229"/>
      <c r="E103" s="229"/>
      <c r="F103" s="117">
        <f>F96</f>
        <v>106.37250000000002</v>
      </c>
      <c r="G103" s="156">
        <f t="shared" ref="G103:Y103" si="50">G96</f>
        <v>112.76741250000002</v>
      </c>
      <c r="H103" s="156">
        <f t="shared" si="50"/>
        <v>119.47183581375005</v>
      </c>
      <c r="I103" s="156">
        <f t="shared" si="50"/>
        <v>126.49949860307515</v>
      </c>
      <c r="J103" s="156">
        <f t="shared" si="50"/>
        <v>133.8647125168284</v>
      </c>
      <c r="K103" s="156">
        <f t="shared" si="50"/>
        <v>141.58239635976946</v>
      </c>
      <c r="L103" s="156">
        <f t="shared" si="50"/>
        <v>149.66810124951905</v>
      </c>
      <c r="M103" s="156">
        <f t="shared" si="50"/>
        <v>158.13803680164619</v>
      </c>
      <c r="N103" s="156">
        <f t="shared" si="50"/>
        <v>167.00909838456224</v>
      </c>
      <c r="O103" s="156">
        <f t="shared" si="50"/>
        <v>176.29889548757728</v>
      </c>
      <c r="P103" s="156">
        <f t="shared" si="50"/>
        <v>186.02578124722052</v>
      </c>
      <c r="Q103" s="156">
        <f t="shared" si="50"/>
        <v>196.20888317874699</v>
      </c>
      <c r="R103" s="156">
        <f t="shared" si="50"/>
        <v>206.86813516164366</v>
      </c>
      <c r="S103" s="156">
        <f t="shared" si="50"/>
        <v>218.02431072991547</v>
      </c>
      <c r="T103" s="156">
        <f t="shared" si="50"/>
        <v>229.69905771997946</v>
      </c>
      <c r="U103" s="156">
        <f t="shared" si="50"/>
        <v>241.91493433112373</v>
      </c>
      <c r="V103" s="156">
        <f t="shared" si="50"/>
        <v>254.69544665570265</v>
      </c>
      <c r="W103" s="156">
        <f t="shared" si="50"/>
        <v>268.06508773854324</v>
      </c>
      <c r="X103" s="156">
        <f t="shared" si="50"/>
        <v>282.04937822743437</v>
      </c>
      <c r="Y103" s="115">
        <f t="shared" si="50"/>
        <v>296.67490867906281</v>
      </c>
      <c r="Z103" s="118"/>
      <c r="AA103" s="119"/>
      <c r="AB103" s="119"/>
      <c r="AC103" s="119"/>
      <c r="AD103" s="119"/>
      <c r="AE103" s="119"/>
      <c r="AF103" s="119"/>
      <c r="AG103" s="119"/>
      <c r="AH103" s="119"/>
      <c r="AI103" s="120"/>
      <c r="AJ103" s="68"/>
      <c r="AK103" s="68"/>
      <c r="AL103" s="68"/>
      <c r="AM103" s="68"/>
      <c r="AN103" s="68"/>
      <c r="AO103" s="68"/>
      <c r="AP103" s="21"/>
      <c r="AQ103" s="21"/>
      <c r="AR103" s="21"/>
      <c r="AS103" s="21"/>
      <c r="AT103" s="21"/>
      <c r="AU103" s="21"/>
      <c r="AV103" s="21"/>
      <c r="AW103" s="21"/>
      <c r="AX103" s="21"/>
      <c r="AY103" s="21"/>
      <c r="AZ103" s="21"/>
      <c r="BA103" s="21"/>
      <c r="BB103" s="21"/>
      <c r="BC103" s="30"/>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c r="FG103" s="30"/>
      <c r="FH103" s="30"/>
      <c r="FI103" s="30"/>
      <c r="FJ103" s="30"/>
      <c r="FK103" s="30"/>
      <c r="FL103" s="30"/>
      <c r="FM103" s="30"/>
      <c r="FN103" s="30"/>
      <c r="FO103" s="30"/>
      <c r="FP103" s="30"/>
      <c r="FQ103" s="30"/>
      <c r="FR103" s="30"/>
      <c r="FS103" s="30"/>
      <c r="FT103" s="30"/>
      <c r="FU103" s="30"/>
      <c r="FV103" s="30"/>
      <c r="FW103" s="30"/>
      <c r="FX103" s="30"/>
      <c r="FY103" s="30"/>
      <c r="FZ103" s="30"/>
      <c r="GA103" s="30"/>
      <c r="GB103" s="30"/>
      <c r="GC103" s="30"/>
      <c r="GD103" s="30"/>
      <c r="GE103" s="30"/>
      <c r="GF103" s="30"/>
      <c r="GG103" s="30"/>
      <c r="GH103" s="30"/>
      <c r="GI103" s="30"/>
      <c r="GJ103" s="30"/>
      <c r="GK103" s="30"/>
      <c r="GL103" s="30"/>
      <c r="GM103" s="30"/>
      <c r="GN103" s="30"/>
      <c r="GO103" s="30"/>
      <c r="GP103" s="30"/>
      <c r="GQ103" s="30"/>
      <c r="GR103" s="30"/>
      <c r="GS103" s="30"/>
      <c r="GT103" s="30"/>
      <c r="GU103" s="30"/>
      <c r="GV103" s="30"/>
      <c r="GW103" s="30"/>
      <c r="GX103" s="30"/>
      <c r="GY103" s="30"/>
      <c r="GZ103" s="30"/>
      <c r="HA103" s="30"/>
      <c r="HB103" s="30"/>
      <c r="HC103" s="30"/>
      <c r="HD103" s="30"/>
      <c r="HE103" s="30"/>
      <c r="HF103" s="30"/>
      <c r="HG103" s="30"/>
      <c r="HH103" s="30"/>
      <c r="HI103" s="30"/>
      <c r="HJ103" s="30"/>
      <c r="HK103" s="30"/>
      <c r="HL103" s="30"/>
      <c r="HM103" s="30"/>
      <c r="HN103" s="30"/>
      <c r="HO103" s="30"/>
      <c r="HP103" s="30"/>
      <c r="HQ103" s="30"/>
      <c r="HR103" s="30"/>
      <c r="HS103" s="30"/>
      <c r="HT103" s="30"/>
      <c r="HU103" s="30"/>
      <c r="HV103" s="30"/>
      <c r="HW103" s="30"/>
      <c r="HX103" s="30"/>
      <c r="HY103" s="30"/>
      <c r="HZ103" s="30"/>
      <c r="IA103" s="30"/>
      <c r="IB103" s="30"/>
      <c r="IC103" s="30"/>
      <c r="ID103" s="30"/>
      <c r="IE103" s="30"/>
      <c r="IF103" s="30"/>
      <c r="IG103" s="30"/>
      <c r="IH103" s="30"/>
      <c r="II103" s="30"/>
      <c r="IJ103" s="30"/>
      <c r="IK103" s="30"/>
      <c r="IL103" s="30"/>
      <c r="IM103" s="30"/>
      <c r="IN103" s="30"/>
      <c r="IO103" s="30"/>
      <c r="IP103" s="30"/>
      <c r="IQ103" s="30"/>
      <c r="IR103" s="30"/>
      <c r="IS103" s="30"/>
      <c r="IT103" s="30"/>
      <c r="IU103" s="30"/>
      <c r="IV103" s="30"/>
      <c r="IW103" s="30"/>
      <c r="IX103" s="30"/>
      <c r="IY103" s="30"/>
      <c r="IZ103" s="30"/>
      <c r="JA103" s="30"/>
      <c r="JB103" s="30"/>
      <c r="JC103" s="30"/>
      <c r="JD103" s="30"/>
      <c r="JE103" s="30"/>
      <c r="JF103" s="30"/>
      <c r="JG103" s="30"/>
      <c r="JH103" s="30"/>
      <c r="JI103" s="30"/>
      <c r="JJ103" s="30"/>
      <c r="JK103" s="30"/>
      <c r="JL103" s="30"/>
      <c r="JM103" s="30"/>
      <c r="JN103" s="30"/>
      <c r="JO103" s="30"/>
      <c r="JP103" s="30"/>
      <c r="JQ103" s="30"/>
      <c r="JR103" s="30"/>
      <c r="JS103" s="30"/>
      <c r="JT103" s="30"/>
      <c r="JU103" s="30"/>
      <c r="JV103" s="30"/>
      <c r="JW103" s="30"/>
      <c r="JX103" s="30"/>
      <c r="JY103" s="30"/>
      <c r="JZ103" s="30"/>
      <c r="KA103" s="30"/>
      <c r="KB103" s="30"/>
      <c r="KC103" s="30"/>
      <c r="KD103" s="30"/>
      <c r="KE103" s="30"/>
      <c r="KF103" s="30"/>
      <c r="KG103" s="30"/>
      <c r="KH103" s="30"/>
      <c r="KI103" s="30"/>
      <c r="KJ103" s="30"/>
      <c r="KK103" s="30"/>
      <c r="KL103" s="30"/>
      <c r="KM103" s="30"/>
      <c r="KN103" s="30"/>
      <c r="KO103" s="30"/>
      <c r="KP103" s="30"/>
      <c r="KQ103" s="30"/>
      <c r="KR103" s="30"/>
      <c r="KS103" s="30"/>
      <c r="KT103" s="30"/>
      <c r="KU103" s="30"/>
      <c r="KV103" s="30"/>
      <c r="KW103" s="30"/>
      <c r="KX103" s="30"/>
      <c r="KY103" s="30"/>
      <c r="KZ103" s="30"/>
      <c r="LA103" s="30"/>
      <c r="LB103" s="30"/>
      <c r="LC103" s="30"/>
      <c r="LD103" s="30"/>
      <c r="LE103" s="30"/>
      <c r="LF103" s="30"/>
      <c r="LG103" s="30"/>
      <c r="LH103" s="30"/>
      <c r="LI103" s="30"/>
      <c r="LJ103" s="30"/>
      <c r="LK103" s="30"/>
      <c r="LL103" s="30"/>
      <c r="LM103" s="30"/>
      <c r="LN103" s="30"/>
      <c r="LO103" s="30"/>
      <c r="LP103" s="30"/>
      <c r="LQ103" s="30"/>
      <c r="LR103" s="30"/>
      <c r="LS103" s="30"/>
      <c r="LT103" s="30"/>
      <c r="LU103" s="30"/>
      <c r="LV103" s="30"/>
      <c r="LW103" s="30"/>
      <c r="LX103" s="30"/>
      <c r="LY103" s="30"/>
      <c r="LZ103" s="30"/>
      <c r="MA103" s="30"/>
      <c r="MB103" s="30"/>
      <c r="MC103" s="30"/>
      <c r="MD103" s="30"/>
      <c r="ME103" s="30"/>
      <c r="MF103" s="30"/>
      <c r="MG103" s="30"/>
      <c r="MH103" s="30"/>
      <c r="MI103" s="30"/>
      <c r="MJ103" s="30"/>
      <c r="MK103" s="30"/>
      <c r="ML103" s="30"/>
      <c r="MM103" s="30"/>
      <c r="MN103" s="30"/>
      <c r="MO103" s="30"/>
      <c r="MP103" s="30"/>
      <c r="MQ103" s="30"/>
      <c r="MR103" s="30"/>
      <c r="MS103" s="30"/>
      <c r="MT103" s="30"/>
      <c r="MU103" s="30"/>
      <c r="MV103" s="30"/>
      <c r="MW103" s="30"/>
      <c r="MX103" s="30"/>
      <c r="MY103" s="30"/>
      <c r="MZ103" s="30"/>
      <c r="NA103" s="30"/>
      <c r="NB103" s="30"/>
      <c r="NC103" s="30"/>
      <c r="ND103" s="30"/>
      <c r="NE103" s="30"/>
      <c r="NF103" s="30"/>
      <c r="NG103" s="30"/>
      <c r="NH103" s="30"/>
      <c r="NI103" s="30"/>
      <c r="NJ103" s="30"/>
      <c r="NK103" s="30"/>
      <c r="NL103" s="30"/>
      <c r="NM103" s="30"/>
      <c r="NN103" s="30"/>
      <c r="NO103" s="30"/>
      <c r="NP103" s="30"/>
      <c r="NQ103" s="30"/>
      <c r="NR103" s="30"/>
      <c r="NS103" s="30"/>
      <c r="NT103" s="30"/>
      <c r="NU103" s="30"/>
      <c r="NV103" s="30"/>
      <c r="NW103" s="30"/>
      <c r="NX103" s="30"/>
      <c r="NY103" s="30"/>
      <c r="NZ103" s="30"/>
      <c r="OA103" s="30"/>
      <c r="OB103" s="30"/>
      <c r="OC103" s="30"/>
      <c r="OD103" s="30"/>
      <c r="OE103" s="30"/>
      <c r="OF103" s="30"/>
      <c r="OG103" s="30"/>
      <c r="OH103" s="30"/>
      <c r="OI103" s="30"/>
      <c r="OJ103" s="30"/>
      <c r="OK103" s="30"/>
      <c r="OL103" s="30"/>
      <c r="OM103" s="30"/>
      <c r="ON103" s="30"/>
      <c r="OO103" s="30"/>
      <c r="OP103" s="30"/>
      <c r="OQ103" s="30"/>
      <c r="OR103" s="30"/>
      <c r="OS103" s="30"/>
      <c r="OT103" s="30"/>
      <c r="OU103" s="30"/>
      <c r="OV103" s="30"/>
      <c r="OW103" s="30"/>
      <c r="OX103" s="30"/>
      <c r="OY103" s="30"/>
      <c r="OZ103" s="30"/>
      <c r="PA103" s="30"/>
      <c r="PB103" s="30"/>
      <c r="PC103" s="30"/>
      <c r="PD103" s="30"/>
      <c r="PE103" s="30"/>
      <c r="PF103" s="30"/>
      <c r="PG103" s="30"/>
      <c r="PH103" s="30"/>
      <c r="PI103" s="30"/>
      <c r="PJ103" s="30"/>
      <c r="PK103" s="30"/>
      <c r="PL103" s="30"/>
      <c r="PM103" s="30"/>
      <c r="PN103" s="30"/>
      <c r="PO103" s="30"/>
      <c r="PP103" s="30"/>
      <c r="PQ103" s="30"/>
      <c r="PR103" s="30"/>
      <c r="PS103" s="30"/>
      <c r="PT103" s="30"/>
      <c r="PU103" s="30"/>
      <c r="PV103" s="30"/>
      <c r="PW103" s="30"/>
      <c r="PX103" s="30"/>
      <c r="PY103" s="30"/>
      <c r="PZ103" s="30"/>
      <c r="QA103" s="30"/>
      <c r="QB103" s="30"/>
      <c r="QC103" s="30"/>
      <c r="QD103" s="30"/>
      <c r="QE103" s="30"/>
      <c r="QF103" s="30"/>
      <c r="QG103" s="30"/>
      <c r="QH103" s="30"/>
      <c r="QI103" s="30"/>
      <c r="QJ103" s="30"/>
      <c r="QK103" s="30"/>
      <c r="QL103" s="30"/>
      <c r="QM103" s="30"/>
      <c r="QN103" s="30"/>
      <c r="QO103" s="30"/>
      <c r="QP103" s="30"/>
      <c r="QQ103" s="30"/>
      <c r="QR103" s="30"/>
      <c r="QS103" s="30"/>
      <c r="QT103" s="30"/>
      <c r="QU103" s="30"/>
      <c r="QV103" s="30"/>
      <c r="QW103" s="30"/>
      <c r="QX103" s="30"/>
      <c r="QY103" s="30"/>
      <c r="QZ103" s="30"/>
      <c r="RA103" s="30"/>
      <c r="RB103" s="30"/>
      <c r="RC103" s="30"/>
      <c r="RD103" s="30"/>
      <c r="RE103" s="30"/>
      <c r="RF103" s="30"/>
      <c r="RG103" s="30"/>
      <c r="RH103" s="30"/>
      <c r="RI103" s="30"/>
      <c r="RJ103" s="30"/>
      <c r="RK103" s="30"/>
      <c r="RL103" s="30"/>
      <c r="RM103" s="30"/>
      <c r="RN103" s="30"/>
      <c r="RO103" s="30"/>
      <c r="RP103" s="30"/>
      <c r="RQ103" s="30"/>
      <c r="RR103" s="30"/>
      <c r="RS103" s="30"/>
      <c r="RT103" s="30"/>
      <c r="RU103" s="30"/>
      <c r="RV103" s="30"/>
      <c r="RW103" s="30"/>
      <c r="RX103" s="30"/>
      <c r="RY103" s="30"/>
      <c r="RZ103" s="30"/>
      <c r="SA103" s="30"/>
      <c r="SB103" s="30"/>
      <c r="SC103" s="30"/>
      <c r="SD103" s="30"/>
    </row>
    <row r="104" spans="1:498" s="20" customFormat="1" x14ac:dyDescent="0.25">
      <c r="A104" s="68"/>
      <c r="B104" s="66"/>
      <c r="C104" s="228" t="s">
        <v>44</v>
      </c>
      <c r="D104" s="228"/>
      <c r="E104" s="228"/>
      <c r="F104" s="158">
        <f>F97</f>
        <v>21298.53</v>
      </c>
      <c r="G104" s="157">
        <f t="shared" ref="G104:Y104" si="51">G97</f>
        <v>22520.321049999999</v>
      </c>
      <c r="H104" s="157">
        <f t="shared" si="51"/>
        <v>23661.659020234998</v>
      </c>
      <c r="I104" s="157">
        <f t="shared" si="51"/>
        <v>24718.665036998096</v>
      </c>
      <c r="J104" s="157">
        <f t="shared" si="51"/>
        <v>25687.288486796155</v>
      </c>
      <c r="K104" s="157">
        <f t="shared" si="51"/>
        <v>26563.299730478924</v>
      </c>
      <c r="L104" s="157">
        <f t="shared" si="51"/>
        <v>27342.282515484694</v>
      </c>
      <c r="M104" s="157">
        <f t="shared" si="51"/>
        <v>28019.62607386494</v>
      </c>
      <c r="N104" s="157">
        <f t="shared" si="51"/>
        <v>28590.516893250191</v>
      </c>
      <c r="O104" s="157">
        <f t="shared" si="51"/>
        <v>29049.930147399267</v>
      </c>
      <c r="P104" s="157">
        <f t="shared" si="51"/>
        <v>29392.62077243262</v>
      </c>
      <c r="Q104" s="157">
        <f t="shared" si="51"/>
        <v>29613.114174287657</v>
      </c>
      <c r="R104" s="157">
        <f t="shared" si="51"/>
        <v>30943.385002287465</v>
      </c>
      <c r="S104" s="157">
        <f t="shared" si="51"/>
        <v>32311.054092572991</v>
      </c>
      <c r="T104" s="157">
        <f t="shared" si="51"/>
        <v>33714.713614352011</v>
      </c>
      <c r="U104" s="157">
        <f t="shared" si="51"/>
        <v>35152.503780226347</v>
      </c>
      <c r="V104" s="157">
        <f t="shared" si="51"/>
        <v>36622.043282062048</v>
      </c>
      <c r="W104" s="157">
        <f t="shared" si="51"/>
        <v>38120.350301765015</v>
      </c>
      <c r="X104" s="157">
        <f t="shared" si="51"/>
        <v>39643.752864388043</v>
      </c>
      <c r="Y104" s="159">
        <f t="shared" si="51"/>
        <v>41187.787141529247</v>
      </c>
      <c r="Z104" s="121"/>
      <c r="AA104" s="122"/>
      <c r="AB104" s="122"/>
      <c r="AC104" s="122"/>
      <c r="AD104" s="122"/>
      <c r="AE104" s="122"/>
      <c r="AF104" s="122"/>
      <c r="AG104" s="122"/>
      <c r="AH104" s="122"/>
      <c r="AI104" s="123"/>
      <c r="AJ104" s="68"/>
      <c r="AK104" s="68"/>
      <c r="AL104" s="68"/>
      <c r="AM104" s="68"/>
      <c r="AN104" s="68"/>
      <c r="AO104" s="68"/>
      <c r="AP104" s="21"/>
      <c r="AQ104" s="21"/>
      <c r="AR104" s="21"/>
      <c r="AS104" s="21"/>
      <c r="AT104" s="21"/>
      <c r="AU104" s="21"/>
      <c r="AV104" s="21"/>
      <c r="AW104" s="21"/>
      <c r="AX104" s="21"/>
      <c r="AY104" s="21"/>
      <c r="AZ104" s="21"/>
      <c r="BA104" s="21"/>
      <c r="BB104" s="21"/>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c r="FG104" s="30"/>
      <c r="FH104" s="30"/>
      <c r="FI104" s="30"/>
      <c r="FJ104" s="30"/>
      <c r="FK104" s="30"/>
      <c r="FL104" s="30"/>
      <c r="FM104" s="30"/>
      <c r="FN104" s="30"/>
      <c r="FO104" s="30"/>
      <c r="FP104" s="30"/>
      <c r="FQ104" s="30"/>
      <c r="FR104" s="30"/>
      <c r="FS104" s="30"/>
      <c r="FT104" s="30"/>
      <c r="FU104" s="30"/>
      <c r="FV104" s="30"/>
      <c r="FW104" s="30"/>
      <c r="FX104" s="30"/>
      <c r="FY104" s="30"/>
      <c r="FZ104" s="30"/>
      <c r="GA104" s="30"/>
      <c r="GB104" s="30"/>
      <c r="GC104" s="30"/>
      <c r="GD104" s="30"/>
      <c r="GE104" s="30"/>
      <c r="GF104" s="30"/>
      <c r="GG104" s="30"/>
      <c r="GH104" s="30"/>
      <c r="GI104" s="30"/>
      <c r="GJ104" s="30"/>
      <c r="GK104" s="30"/>
      <c r="GL104" s="30"/>
      <c r="GM104" s="30"/>
      <c r="GN104" s="30"/>
      <c r="GO104" s="30"/>
      <c r="GP104" s="30"/>
      <c r="GQ104" s="30"/>
      <c r="GR104" s="30"/>
      <c r="GS104" s="30"/>
      <c r="GT104" s="30"/>
      <c r="GU104" s="30"/>
      <c r="GV104" s="30"/>
      <c r="GW104" s="30"/>
      <c r="GX104" s="30"/>
      <c r="GY104" s="30"/>
      <c r="GZ104" s="30"/>
      <c r="HA104" s="30"/>
      <c r="HB104" s="30"/>
      <c r="HC104" s="30"/>
      <c r="HD104" s="30"/>
      <c r="HE104" s="30"/>
      <c r="HF104" s="30"/>
      <c r="HG104" s="30"/>
      <c r="HH104" s="30"/>
      <c r="HI104" s="30"/>
      <c r="HJ104" s="30"/>
      <c r="HK104" s="30"/>
      <c r="HL104" s="30"/>
      <c r="HM104" s="30"/>
      <c r="HN104" s="30"/>
      <c r="HO104" s="30"/>
      <c r="HP104" s="30"/>
      <c r="HQ104" s="30"/>
      <c r="HR104" s="30"/>
      <c r="HS104" s="30"/>
      <c r="HT104" s="30"/>
      <c r="HU104" s="30"/>
      <c r="HV104" s="30"/>
      <c r="HW104" s="30"/>
      <c r="HX104" s="30"/>
      <c r="HY104" s="30"/>
      <c r="HZ104" s="30"/>
      <c r="IA104" s="30"/>
      <c r="IB104" s="30"/>
      <c r="IC104" s="30"/>
      <c r="ID104" s="30"/>
      <c r="IE104" s="30"/>
      <c r="IF104" s="30"/>
      <c r="IG104" s="30"/>
      <c r="IH104" s="30"/>
      <c r="II104" s="30"/>
      <c r="IJ104" s="30"/>
      <c r="IK104" s="30"/>
      <c r="IL104" s="30"/>
      <c r="IM104" s="30"/>
      <c r="IN104" s="30"/>
      <c r="IO104" s="30"/>
      <c r="IP104" s="30"/>
      <c r="IQ104" s="30"/>
      <c r="IR104" s="30"/>
      <c r="IS104" s="30"/>
      <c r="IT104" s="30"/>
      <c r="IU104" s="30"/>
      <c r="IV104" s="30"/>
      <c r="IW104" s="30"/>
      <c r="IX104" s="30"/>
      <c r="IY104" s="30"/>
      <c r="IZ104" s="30"/>
      <c r="JA104" s="30"/>
      <c r="JB104" s="30"/>
      <c r="JC104" s="30"/>
      <c r="JD104" s="30"/>
      <c r="JE104" s="30"/>
      <c r="JF104" s="30"/>
      <c r="JG104" s="30"/>
      <c r="JH104" s="30"/>
      <c r="JI104" s="30"/>
      <c r="JJ104" s="30"/>
      <c r="JK104" s="30"/>
      <c r="JL104" s="30"/>
      <c r="JM104" s="30"/>
      <c r="JN104" s="30"/>
      <c r="JO104" s="30"/>
      <c r="JP104" s="30"/>
      <c r="JQ104" s="30"/>
      <c r="JR104" s="30"/>
      <c r="JS104" s="30"/>
      <c r="JT104" s="30"/>
      <c r="JU104" s="30"/>
      <c r="JV104" s="30"/>
      <c r="JW104" s="30"/>
      <c r="JX104" s="30"/>
      <c r="JY104" s="30"/>
      <c r="JZ104" s="30"/>
      <c r="KA104" s="30"/>
      <c r="KB104" s="30"/>
      <c r="KC104" s="30"/>
      <c r="KD104" s="30"/>
      <c r="KE104" s="30"/>
      <c r="KF104" s="30"/>
      <c r="KG104" s="30"/>
      <c r="KH104" s="30"/>
      <c r="KI104" s="30"/>
      <c r="KJ104" s="30"/>
      <c r="KK104" s="30"/>
      <c r="KL104" s="30"/>
      <c r="KM104" s="30"/>
      <c r="KN104" s="30"/>
      <c r="KO104" s="30"/>
      <c r="KP104" s="30"/>
      <c r="KQ104" s="30"/>
      <c r="KR104" s="30"/>
      <c r="KS104" s="30"/>
      <c r="KT104" s="30"/>
      <c r="KU104" s="30"/>
      <c r="KV104" s="30"/>
      <c r="KW104" s="30"/>
      <c r="KX104" s="30"/>
      <c r="KY104" s="30"/>
      <c r="KZ104" s="30"/>
      <c r="LA104" s="30"/>
      <c r="LB104" s="30"/>
      <c r="LC104" s="30"/>
      <c r="LD104" s="30"/>
      <c r="LE104" s="30"/>
      <c r="LF104" s="30"/>
      <c r="LG104" s="30"/>
      <c r="LH104" s="30"/>
      <c r="LI104" s="30"/>
      <c r="LJ104" s="30"/>
      <c r="LK104" s="30"/>
      <c r="LL104" s="30"/>
      <c r="LM104" s="30"/>
      <c r="LN104" s="30"/>
      <c r="LO104" s="30"/>
      <c r="LP104" s="30"/>
      <c r="LQ104" s="30"/>
      <c r="LR104" s="30"/>
      <c r="LS104" s="30"/>
      <c r="LT104" s="30"/>
      <c r="LU104" s="30"/>
      <c r="LV104" s="30"/>
      <c r="LW104" s="30"/>
      <c r="LX104" s="30"/>
      <c r="LY104" s="30"/>
      <c r="LZ104" s="30"/>
      <c r="MA104" s="30"/>
      <c r="MB104" s="30"/>
      <c r="MC104" s="30"/>
      <c r="MD104" s="30"/>
      <c r="ME104" s="30"/>
      <c r="MF104" s="30"/>
      <c r="MG104" s="30"/>
      <c r="MH104" s="30"/>
      <c r="MI104" s="30"/>
      <c r="MJ104" s="30"/>
      <c r="MK104" s="30"/>
      <c r="ML104" s="30"/>
      <c r="MM104" s="30"/>
      <c r="MN104" s="30"/>
      <c r="MO104" s="30"/>
      <c r="MP104" s="30"/>
      <c r="MQ104" s="30"/>
      <c r="MR104" s="30"/>
      <c r="MS104" s="30"/>
      <c r="MT104" s="30"/>
      <c r="MU104" s="30"/>
      <c r="MV104" s="30"/>
      <c r="MW104" s="30"/>
      <c r="MX104" s="30"/>
      <c r="MY104" s="30"/>
      <c r="MZ104" s="30"/>
      <c r="NA104" s="30"/>
      <c r="NB104" s="30"/>
      <c r="NC104" s="30"/>
      <c r="ND104" s="30"/>
      <c r="NE104" s="30"/>
      <c r="NF104" s="30"/>
      <c r="NG104" s="30"/>
      <c r="NH104" s="30"/>
      <c r="NI104" s="30"/>
      <c r="NJ104" s="30"/>
      <c r="NK104" s="30"/>
      <c r="NL104" s="30"/>
      <c r="NM104" s="30"/>
      <c r="NN104" s="30"/>
      <c r="NO104" s="30"/>
      <c r="NP104" s="30"/>
      <c r="NQ104" s="30"/>
      <c r="NR104" s="30"/>
      <c r="NS104" s="30"/>
      <c r="NT104" s="30"/>
      <c r="NU104" s="30"/>
      <c r="NV104" s="30"/>
      <c r="NW104" s="30"/>
      <c r="NX104" s="30"/>
      <c r="NY104" s="30"/>
      <c r="NZ104" s="30"/>
      <c r="OA104" s="30"/>
      <c r="OB104" s="30"/>
      <c r="OC104" s="30"/>
      <c r="OD104" s="30"/>
      <c r="OE104" s="30"/>
      <c r="OF104" s="30"/>
      <c r="OG104" s="30"/>
      <c r="OH104" s="30"/>
      <c r="OI104" s="30"/>
      <c r="OJ104" s="30"/>
      <c r="OK104" s="30"/>
      <c r="OL104" s="30"/>
      <c r="OM104" s="30"/>
      <c r="ON104" s="30"/>
      <c r="OO104" s="30"/>
      <c r="OP104" s="30"/>
      <c r="OQ104" s="30"/>
      <c r="OR104" s="30"/>
      <c r="OS104" s="30"/>
      <c r="OT104" s="30"/>
      <c r="OU104" s="30"/>
      <c r="OV104" s="30"/>
      <c r="OW104" s="30"/>
      <c r="OX104" s="30"/>
      <c r="OY104" s="30"/>
      <c r="OZ104" s="30"/>
      <c r="PA104" s="30"/>
      <c r="PB104" s="30"/>
      <c r="PC104" s="30"/>
      <c r="PD104" s="30"/>
      <c r="PE104" s="30"/>
      <c r="PF104" s="30"/>
      <c r="PG104" s="30"/>
      <c r="PH104" s="30"/>
      <c r="PI104" s="30"/>
      <c r="PJ104" s="30"/>
      <c r="PK104" s="30"/>
      <c r="PL104" s="30"/>
      <c r="PM104" s="30"/>
      <c r="PN104" s="30"/>
      <c r="PO104" s="30"/>
      <c r="PP104" s="30"/>
      <c r="PQ104" s="30"/>
      <c r="PR104" s="30"/>
      <c r="PS104" s="30"/>
      <c r="PT104" s="30"/>
      <c r="PU104" s="30"/>
      <c r="PV104" s="30"/>
      <c r="PW104" s="30"/>
      <c r="PX104" s="30"/>
      <c r="PY104" s="30"/>
      <c r="PZ104" s="30"/>
      <c r="QA104" s="30"/>
      <c r="QB104" s="30"/>
      <c r="QC104" s="30"/>
      <c r="QD104" s="30"/>
      <c r="QE104" s="30"/>
      <c r="QF104" s="30"/>
      <c r="QG104" s="30"/>
      <c r="QH104" s="30"/>
      <c r="QI104" s="30"/>
      <c r="QJ104" s="30"/>
      <c r="QK104" s="30"/>
      <c r="QL104" s="30"/>
      <c r="QM104" s="30"/>
      <c r="QN104" s="30"/>
      <c r="QO104" s="30"/>
      <c r="QP104" s="30"/>
      <c r="QQ104" s="30"/>
      <c r="QR104" s="30"/>
      <c r="QS104" s="30"/>
      <c r="QT104" s="30"/>
      <c r="QU104" s="30"/>
      <c r="QV104" s="30"/>
      <c r="QW104" s="30"/>
      <c r="QX104" s="30"/>
      <c r="QY104" s="30"/>
      <c r="QZ104" s="30"/>
      <c r="RA104" s="30"/>
      <c r="RB104" s="30"/>
      <c r="RC104" s="30"/>
      <c r="RD104" s="30"/>
      <c r="RE104" s="30"/>
      <c r="RF104" s="30"/>
      <c r="RG104" s="30"/>
      <c r="RH104" s="30"/>
      <c r="RI104" s="30"/>
      <c r="RJ104" s="30"/>
      <c r="RK104" s="30"/>
      <c r="RL104" s="30"/>
      <c r="RM104" s="30"/>
      <c r="RN104" s="30"/>
      <c r="RO104" s="30"/>
      <c r="RP104" s="30"/>
      <c r="RQ104" s="30"/>
      <c r="RR104" s="30"/>
      <c r="RS104" s="30"/>
      <c r="RT104" s="30"/>
      <c r="RU104" s="30"/>
      <c r="RV104" s="30"/>
      <c r="RW104" s="30"/>
      <c r="RX104" s="30"/>
      <c r="RY104" s="30"/>
      <c r="RZ104" s="30"/>
      <c r="SA104" s="30"/>
      <c r="SB104" s="30"/>
      <c r="SC104" s="30"/>
      <c r="SD104" s="30"/>
    </row>
    <row r="105" spans="1:498" s="86" customFormat="1" ht="25.5" customHeight="1" x14ac:dyDescent="0.25">
      <c r="A105" s="68"/>
      <c r="B105" s="66"/>
      <c r="C105" s="68"/>
      <c r="D105" s="67"/>
      <c r="E105" s="143"/>
      <c r="F105" s="155"/>
      <c r="G105" s="155"/>
      <c r="H105" s="155"/>
      <c r="I105" s="155"/>
      <c r="J105" s="155"/>
      <c r="K105" s="155"/>
      <c r="L105" s="155"/>
      <c r="M105" s="155"/>
      <c r="N105" s="155"/>
      <c r="O105" s="155"/>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68"/>
      <c r="AK105" s="68"/>
      <c r="AL105" s="68"/>
      <c r="AM105" s="68"/>
      <c r="AN105" s="68"/>
      <c r="AO105" s="68"/>
      <c r="AP105" s="68"/>
      <c r="AQ105" s="68"/>
      <c r="AR105" s="68"/>
      <c r="AS105" s="68"/>
      <c r="AT105" s="68"/>
      <c r="AU105" s="68"/>
      <c r="AV105" s="68"/>
      <c r="AW105" s="68"/>
      <c r="AX105" s="68"/>
      <c r="AY105" s="68"/>
      <c r="AZ105" s="68"/>
      <c r="BA105" s="68"/>
      <c r="BB105" s="68"/>
    </row>
    <row r="106" spans="1:498" s="47" customFormat="1" hidden="1" x14ac:dyDescent="0.25">
      <c r="A106" s="68"/>
      <c r="B106" s="171">
        <v>6</v>
      </c>
      <c r="C106" s="224" t="s">
        <v>45</v>
      </c>
      <c r="D106" s="224"/>
      <c r="E106" s="224"/>
      <c r="F106" s="84">
        <f t="shared" ref="F106:O106" si="52">IF($C$10=0,"",F113)</f>
        <v>297.14873152569487</v>
      </c>
      <c r="G106" s="84">
        <f t="shared" si="52"/>
        <v>297.14873152569487</v>
      </c>
      <c r="H106" s="84">
        <f t="shared" si="52"/>
        <v>297.14873152569487</v>
      </c>
      <c r="I106" s="84">
        <f t="shared" si="52"/>
        <v>297.14873152569487</v>
      </c>
      <c r="J106" s="84">
        <f t="shared" si="52"/>
        <v>297.14873152569487</v>
      </c>
      <c r="K106" s="84">
        <f t="shared" si="52"/>
        <v>297.14873152569487</v>
      </c>
      <c r="L106" s="84">
        <f t="shared" si="52"/>
        <v>297.14873152569487</v>
      </c>
      <c r="M106" s="84">
        <f t="shared" si="52"/>
        <v>297.14873152569487</v>
      </c>
      <c r="N106" s="84">
        <f t="shared" si="52"/>
        <v>297.14873152569487</v>
      </c>
      <c r="O106" s="84">
        <f t="shared" si="52"/>
        <v>297.14873152569487</v>
      </c>
      <c r="P106" s="115"/>
      <c r="Q106" s="116"/>
      <c r="R106" s="116"/>
      <c r="S106" s="116"/>
      <c r="T106" s="116"/>
      <c r="U106" s="116"/>
      <c r="V106" s="116"/>
      <c r="W106" s="116"/>
      <c r="X106" s="116"/>
      <c r="Y106" s="116"/>
      <c r="Z106" s="116"/>
      <c r="AA106" s="116"/>
      <c r="AB106" s="116"/>
      <c r="AC106" s="116"/>
      <c r="AD106" s="116"/>
      <c r="AE106" s="116"/>
      <c r="AF106" s="116"/>
      <c r="AG106" s="116"/>
      <c r="AH106" s="116"/>
      <c r="AI106" s="117"/>
      <c r="AJ106" s="59"/>
      <c r="AK106" s="59"/>
      <c r="AL106" s="59"/>
      <c r="AM106" s="59"/>
      <c r="AN106" s="59"/>
      <c r="AO106" s="59"/>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0"/>
      <c r="FJ106" s="30"/>
      <c r="FK106" s="30"/>
      <c r="FL106" s="30"/>
      <c r="FM106" s="30"/>
      <c r="FN106" s="30"/>
      <c r="FO106" s="30"/>
      <c r="FP106" s="30"/>
      <c r="FQ106" s="30"/>
      <c r="FR106" s="30"/>
      <c r="FS106" s="30"/>
      <c r="FT106" s="30"/>
      <c r="FU106" s="30"/>
      <c r="FV106" s="30"/>
      <c r="FW106" s="30"/>
      <c r="FX106" s="30"/>
      <c r="FY106" s="30"/>
      <c r="FZ106" s="30"/>
      <c r="GA106" s="30"/>
      <c r="GB106" s="30"/>
      <c r="GC106" s="30"/>
      <c r="GD106" s="30"/>
      <c r="GE106" s="30"/>
      <c r="GF106" s="30"/>
      <c r="GG106" s="30"/>
      <c r="GH106" s="30"/>
      <c r="GI106" s="30"/>
      <c r="GJ106" s="30"/>
      <c r="GK106" s="30"/>
      <c r="GL106" s="30"/>
      <c r="GM106" s="30"/>
      <c r="GN106" s="30"/>
      <c r="GO106" s="30"/>
      <c r="GP106" s="30"/>
      <c r="GQ106" s="30"/>
      <c r="GR106" s="30"/>
      <c r="GS106" s="30"/>
      <c r="GT106" s="30"/>
      <c r="GU106" s="30"/>
      <c r="GV106" s="30"/>
      <c r="GW106" s="30"/>
      <c r="GX106" s="30"/>
      <c r="GY106" s="30"/>
      <c r="GZ106" s="30"/>
      <c r="HA106" s="30"/>
      <c r="HB106" s="30"/>
      <c r="HC106" s="30"/>
      <c r="HD106" s="30"/>
      <c r="HE106" s="30"/>
      <c r="HF106" s="30"/>
      <c r="HG106" s="30"/>
      <c r="HH106" s="30"/>
      <c r="HI106" s="30"/>
      <c r="HJ106" s="30"/>
      <c r="HK106" s="30"/>
      <c r="HL106" s="30"/>
      <c r="HM106" s="30"/>
      <c r="HN106" s="30"/>
      <c r="HO106" s="30"/>
      <c r="HP106" s="30"/>
      <c r="HQ106" s="30"/>
      <c r="HR106" s="30"/>
      <c r="HS106" s="30"/>
      <c r="HT106" s="30"/>
      <c r="HU106" s="30"/>
      <c r="HV106" s="30"/>
      <c r="HW106" s="30"/>
      <c r="HX106" s="30"/>
      <c r="HY106" s="30"/>
      <c r="HZ106" s="30"/>
      <c r="IA106" s="30"/>
      <c r="IB106" s="30"/>
      <c r="IC106" s="30"/>
      <c r="ID106" s="30"/>
      <c r="IE106" s="30"/>
      <c r="IF106" s="30"/>
      <c r="IG106" s="30"/>
      <c r="IH106" s="30"/>
      <c r="II106" s="30"/>
      <c r="IJ106" s="30"/>
      <c r="IK106" s="30"/>
      <c r="IL106" s="30"/>
      <c r="IM106" s="30"/>
      <c r="IN106" s="30"/>
      <c r="IO106" s="30"/>
      <c r="IP106" s="30"/>
      <c r="IQ106" s="30"/>
      <c r="IR106" s="30"/>
      <c r="IS106" s="30"/>
      <c r="IT106" s="30"/>
      <c r="IU106" s="30"/>
      <c r="IV106" s="30"/>
      <c r="IW106" s="30"/>
      <c r="IX106" s="30"/>
      <c r="IY106" s="30"/>
      <c r="IZ106" s="30"/>
      <c r="JA106" s="30"/>
      <c r="JB106" s="30"/>
      <c r="JC106" s="30"/>
      <c r="JD106" s="30"/>
      <c r="JE106" s="30"/>
      <c r="JF106" s="30"/>
      <c r="JG106" s="30"/>
      <c r="JH106" s="30"/>
      <c r="JI106" s="30"/>
      <c r="JJ106" s="30"/>
      <c r="JK106" s="30"/>
      <c r="JL106" s="30"/>
      <c r="JM106" s="30"/>
      <c r="JN106" s="30"/>
      <c r="JO106" s="30"/>
      <c r="JP106" s="30"/>
      <c r="JQ106" s="30"/>
      <c r="JR106" s="30"/>
      <c r="JS106" s="30"/>
      <c r="JT106" s="30"/>
      <c r="JU106" s="30"/>
      <c r="JV106" s="30"/>
      <c r="JW106" s="30"/>
      <c r="JX106" s="30"/>
      <c r="JY106" s="30"/>
      <c r="JZ106" s="30"/>
      <c r="KA106" s="30"/>
      <c r="KB106" s="30"/>
      <c r="KC106" s="30"/>
      <c r="KD106" s="30"/>
      <c r="KE106" s="30"/>
      <c r="KF106" s="30"/>
      <c r="KG106" s="30"/>
      <c r="KH106" s="30"/>
      <c r="KI106" s="30"/>
      <c r="KJ106" s="30"/>
      <c r="KK106" s="30"/>
      <c r="KL106" s="30"/>
      <c r="KM106" s="30"/>
      <c r="KN106" s="30"/>
      <c r="KO106" s="30"/>
      <c r="KP106" s="30"/>
      <c r="KQ106" s="30"/>
      <c r="KR106" s="30"/>
      <c r="KS106" s="30"/>
      <c r="KT106" s="30"/>
      <c r="KU106" s="30"/>
      <c r="KV106" s="30"/>
      <c r="KW106" s="30"/>
      <c r="KX106" s="30"/>
      <c r="KY106" s="30"/>
      <c r="KZ106" s="30"/>
      <c r="LA106" s="30"/>
      <c r="LB106" s="30"/>
      <c r="LC106" s="30"/>
      <c r="LD106" s="30"/>
      <c r="LE106" s="30"/>
      <c r="LF106" s="30"/>
      <c r="LG106" s="30"/>
      <c r="LH106" s="30"/>
      <c r="LI106" s="30"/>
      <c r="LJ106" s="30"/>
      <c r="LK106" s="30"/>
      <c r="LL106" s="30"/>
      <c r="LM106" s="30"/>
      <c r="LN106" s="30"/>
      <c r="LO106" s="30"/>
      <c r="LP106" s="30"/>
      <c r="LQ106" s="30"/>
      <c r="LR106" s="30"/>
      <c r="LS106" s="30"/>
      <c r="LT106" s="30"/>
      <c r="LU106" s="30"/>
      <c r="LV106" s="30"/>
      <c r="LW106" s="30"/>
      <c r="LX106" s="30"/>
      <c r="LY106" s="30"/>
      <c r="LZ106" s="30"/>
      <c r="MA106" s="30"/>
      <c r="MB106" s="30"/>
      <c r="MC106" s="30"/>
      <c r="MD106" s="30"/>
      <c r="ME106" s="30"/>
      <c r="MF106" s="30"/>
      <c r="MG106" s="30"/>
      <c r="MH106" s="30"/>
      <c r="MI106" s="30"/>
      <c r="MJ106" s="30"/>
      <c r="MK106" s="30"/>
      <c r="ML106" s="30"/>
      <c r="MM106" s="30"/>
      <c r="MN106" s="30"/>
      <c r="MO106" s="30"/>
      <c r="MP106" s="30"/>
      <c r="MQ106" s="30"/>
      <c r="MR106" s="30"/>
      <c r="MS106" s="30"/>
      <c r="MT106" s="30"/>
      <c r="MU106" s="30"/>
      <c r="MV106" s="30"/>
      <c r="MW106" s="30"/>
      <c r="MX106" s="30"/>
      <c r="MY106" s="30"/>
      <c r="MZ106" s="30"/>
      <c r="NA106" s="30"/>
      <c r="NB106" s="30"/>
      <c r="NC106" s="30"/>
      <c r="ND106" s="30"/>
      <c r="NE106" s="30"/>
      <c r="NF106" s="30"/>
      <c r="NG106" s="30"/>
      <c r="NH106" s="30"/>
      <c r="NI106" s="30"/>
      <c r="NJ106" s="30"/>
      <c r="NK106" s="30"/>
      <c r="NL106" s="30"/>
      <c r="NM106" s="30"/>
      <c r="NN106" s="30"/>
      <c r="NO106" s="30"/>
      <c r="NP106" s="30"/>
      <c r="NQ106" s="30"/>
      <c r="NR106" s="30"/>
      <c r="NS106" s="30"/>
      <c r="NT106" s="30"/>
      <c r="NU106" s="30"/>
      <c r="NV106" s="30"/>
      <c r="NW106" s="30"/>
      <c r="NX106" s="30"/>
      <c r="NY106" s="30"/>
      <c r="NZ106" s="30"/>
      <c r="OA106" s="30"/>
      <c r="OB106" s="30"/>
      <c r="OC106" s="30"/>
      <c r="OD106" s="30"/>
      <c r="OE106" s="30"/>
      <c r="OF106" s="30"/>
      <c r="OG106" s="30"/>
      <c r="OH106" s="30"/>
      <c r="OI106" s="30"/>
      <c r="OJ106" s="30"/>
      <c r="OK106" s="30"/>
      <c r="OL106" s="30"/>
      <c r="OM106" s="30"/>
      <c r="ON106" s="30"/>
      <c r="OO106" s="30"/>
      <c r="OP106" s="30"/>
      <c r="OQ106" s="30"/>
      <c r="OR106" s="30"/>
      <c r="OS106" s="30"/>
      <c r="OT106" s="30"/>
      <c r="OU106" s="30"/>
      <c r="OV106" s="30"/>
      <c r="OW106" s="30"/>
      <c r="OX106" s="30"/>
      <c r="OY106" s="30"/>
      <c r="OZ106" s="30"/>
      <c r="PA106" s="30"/>
      <c r="PB106" s="30"/>
      <c r="PC106" s="30"/>
      <c r="PD106" s="30"/>
      <c r="PE106" s="30"/>
      <c r="PF106" s="30"/>
      <c r="PG106" s="30"/>
      <c r="PH106" s="30"/>
      <c r="PI106" s="30"/>
      <c r="PJ106" s="30"/>
      <c r="PK106" s="30"/>
      <c r="PL106" s="30"/>
      <c r="PM106" s="30"/>
      <c r="PN106" s="30"/>
      <c r="PO106" s="30"/>
      <c r="PP106" s="30"/>
      <c r="PQ106" s="30"/>
      <c r="PR106" s="30"/>
      <c r="PS106" s="30"/>
      <c r="PT106" s="30"/>
      <c r="PU106" s="30"/>
      <c r="PV106" s="30"/>
      <c r="PW106" s="30"/>
      <c r="PX106" s="30"/>
      <c r="PY106" s="30"/>
      <c r="PZ106" s="30"/>
      <c r="QA106" s="30"/>
      <c r="QB106" s="30"/>
      <c r="QC106" s="30"/>
      <c r="QD106" s="30"/>
      <c r="QE106" s="30"/>
      <c r="QF106" s="30"/>
      <c r="QG106" s="30"/>
      <c r="QH106" s="30"/>
      <c r="QI106" s="30"/>
      <c r="QJ106" s="30"/>
      <c r="QK106" s="30"/>
      <c r="QL106" s="30"/>
      <c r="QM106" s="30"/>
      <c r="QN106" s="30"/>
      <c r="QO106" s="30"/>
      <c r="QP106" s="30"/>
      <c r="QQ106" s="30"/>
      <c r="QR106" s="30"/>
      <c r="QS106" s="30"/>
      <c r="QT106" s="30"/>
      <c r="QU106" s="30"/>
      <c r="QV106" s="30"/>
      <c r="QW106" s="30"/>
      <c r="QX106" s="30"/>
      <c r="QY106" s="30"/>
      <c r="QZ106" s="30"/>
      <c r="RA106" s="30"/>
      <c r="RB106" s="30"/>
      <c r="RC106" s="30"/>
      <c r="RD106" s="30"/>
      <c r="RE106" s="30"/>
      <c r="RF106" s="30"/>
      <c r="RG106" s="30"/>
      <c r="RH106" s="30"/>
      <c r="RI106" s="30"/>
      <c r="RJ106" s="30"/>
      <c r="RK106" s="30"/>
      <c r="RL106" s="30"/>
      <c r="RM106" s="30"/>
      <c r="RN106" s="30"/>
      <c r="RO106" s="30"/>
      <c r="RP106" s="30"/>
      <c r="RQ106" s="30"/>
      <c r="RR106" s="30"/>
      <c r="RS106" s="30"/>
      <c r="RT106" s="30"/>
      <c r="RU106" s="30"/>
      <c r="RV106" s="30"/>
      <c r="RW106" s="30"/>
      <c r="RX106" s="30"/>
      <c r="RY106" s="30"/>
      <c r="RZ106" s="30"/>
      <c r="SA106" s="30"/>
      <c r="SB106" s="30"/>
      <c r="SC106" s="30"/>
      <c r="SD106" s="30"/>
    </row>
    <row r="107" spans="1:498" s="47" customFormat="1" hidden="1" x14ac:dyDescent="0.25">
      <c r="A107" s="68"/>
      <c r="B107" s="68"/>
      <c r="C107" s="224" t="s">
        <v>46</v>
      </c>
      <c r="D107" s="224"/>
      <c r="E107" s="224"/>
      <c r="F107" s="84">
        <f>IF($C$10=0,"",F109)</f>
        <v>232.5364313224047</v>
      </c>
      <c r="G107" s="84">
        <f t="shared" ref="G107:AI107" si="53">IF($C$10=0,"",G109)</f>
        <v>232.5364313224047</v>
      </c>
      <c r="H107" s="84">
        <f t="shared" si="53"/>
        <v>232.5364313224047</v>
      </c>
      <c r="I107" s="84">
        <f t="shared" si="53"/>
        <v>232.5364313224047</v>
      </c>
      <c r="J107" s="84">
        <f t="shared" si="53"/>
        <v>232.5364313224047</v>
      </c>
      <c r="K107" s="84">
        <f t="shared" si="53"/>
        <v>232.5364313224047</v>
      </c>
      <c r="L107" s="84">
        <f t="shared" si="53"/>
        <v>232.5364313224047</v>
      </c>
      <c r="M107" s="84">
        <f t="shared" si="53"/>
        <v>232.5364313224047</v>
      </c>
      <c r="N107" s="84">
        <f t="shared" si="53"/>
        <v>232.5364313224047</v>
      </c>
      <c r="O107" s="84">
        <f t="shared" si="53"/>
        <v>232.5364313224047</v>
      </c>
      <c r="P107" s="84">
        <f t="shared" si="53"/>
        <v>232.5364313224047</v>
      </c>
      <c r="Q107" s="84">
        <f t="shared" si="53"/>
        <v>232.5364313224047</v>
      </c>
      <c r="R107" s="84">
        <f t="shared" si="53"/>
        <v>232.5364313224047</v>
      </c>
      <c r="S107" s="84">
        <f t="shared" si="53"/>
        <v>232.5364313224047</v>
      </c>
      <c r="T107" s="84">
        <f t="shared" si="53"/>
        <v>232.5364313224047</v>
      </c>
      <c r="U107" s="84">
        <f t="shared" si="53"/>
        <v>232.5364313224047</v>
      </c>
      <c r="V107" s="84">
        <f t="shared" si="53"/>
        <v>232.5364313224047</v>
      </c>
      <c r="W107" s="84">
        <f t="shared" si="53"/>
        <v>232.5364313224047</v>
      </c>
      <c r="X107" s="84">
        <f t="shared" si="53"/>
        <v>232.5364313224047</v>
      </c>
      <c r="Y107" s="84">
        <f t="shared" si="53"/>
        <v>232.5364313224047</v>
      </c>
      <c r="Z107" s="84">
        <f t="shared" si="53"/>
        <v>0</v>
      </c>
      <c r="AA107" s="84">
        <f t="shared" si="53"/>
        <v>0</v>
      </c>
      <c r="AB107" s="84">
        <f t="shared" si="53"/>
        <v>0</v>
      </c>
      <c r="AC107" s="84">
        <f t="shared" si="53"/>
        <v>0</v>
      </c>
      <c r="AD107" s="84">
        <f t="shared" si="53"/>
        <v>0</v>
      </c>
      <c r="AE107" s="84">
        <f t="shared" si="53"/>
        <v>0</v>
      </c>
      <c r="AF107" s="84">
        <f t="shared" si="53"/>
        <v>0</v>
      </c>
      <c r="AG107" s="84">
        <f t="shared" si="53"/>
        <v>0</v>
      </c>
      <c r="AH107" s="84">
        <f t="shared" si="53"/>
        <v>0</v>
      </c>
      <c r="AI107" s="84">
        <f t="shared" si="53"/>
        <v>0</v>
      </c>
      <c r="AJ107" s="59"/>
      <c r="AK107" s="59"/>
      <c r="AL107" s="59"/>
      <c r="AM107" s="59"/>
      <c r="AN107" s="59"/>
      <c r="AO107" s="59"/>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30"/>
      <c r="BZ107" s="30"/>
      <c r="CA107" s="30"/>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30"/>
      <c r="FI107" s="30"/>
      <c r="FJ107" s="30"/>
      <c r="FK107" s="30"/>
      <c r="FL107" s="30"/>
      <c r="FM107" s="30"/>
      <c r="FN107" s="30"/>
      <c r="FO107" s="30"/>
      <c r="FP107" s="30"/>
      <c r="FQ107" s="30"/>
      <c r="FR107" s="30"/>
      <c r="FS107" s="30"/>
      <c r="FT107" s="30"/>
      <c r="FU107" s="30"/>
      <c r="FV107" s="30"/>
      <c r="FW107" s="30"/>
      <c r="FX107" s="30"/>
      <c r="FY107" s="30"/>
      <c r="FZ107" s="30"/>
      <c r="GA107" s="30"/>
      <c r="GB107" s="30"/>
      <c r="GC107" s="30"/>
      <c r="GD107" s="30"/>
      <c r="GE107" s="30"/>
      <c r="GF107" s="30"/>
      <c r="GG107" s="30"/>
      <c r="GH107" s="30"/>
      <c r="GI107" s="30"/>
      <c r="GJ107" s="30"/>
      <c r="GK107" s="30"/>
      <c r="GL107" s="30"/>
      <c r="GM107" s="30"/>
      <c r="GN107" s="30"/>
      <c r="GO107" s="30"/>
      <c r="GP107" s="30"/>
      <c r="GQ107" s="30"/>
      <c r="GR107" s="30"/>
      <c r="GS107" s="30"/>
      <c r="GT107" s="30"/>
      <c r="GU107" s="30"/>
      <c r="GV107" s="30"/>
      <c r="GW107" s="30"/>
      <c r="GX107" s="30"/>
      <c r="GY107" s="30"/>
      <c r="GZ107" s="30"/>
      <c r="HA107" s="30"/>
      <c r="HB107" s="30"/>
      <c r="HC107" s="30"/>
      <c r="HD107" s="30"/>
      <c r="HE107" s="30"/>
      <c r="HF107" s="30"/>
      <c r="HG107" s="30"/>
      <c r="HH107" s="30"/>
      <c r="HI107" s="30"/>
      <c r="HJ107" s="30"/>
      <c r="HK107" s="30"/>
      <c r="HL107" s="30"/>
      <c r="HM107" s="30"/>
      <c r="HN107" s="30"/>
      <c r="HO107" s="30"/>
      <c r="HP107" s="30"/>
      <c r="HQ107" s="30"/>
      <c r="HR107" s="30"/>
      <c r="HS107" s="30"/>
      <c r="HT107" s="30"/>
      <c r="HU107" s="30"/>
      <c r="HV107" s="30"/>
      <c r="HW107" s="30"/>
      <c r="HX107" s="30"/>
      <c r="HY107" s="30"/>
      <c r="HZ107" s="30"/>
      <c r="IA107" s="30"/>
      <c r="IB107" s="30"/>
      <c r="IC107" s="30"/>
      <c r="ID107" s="30"/>
      <c r="IE107" s="30"/>
      <c r="IF107" s="30"/>
      <c r="IG107" s="30"/>
      <c r="IH107" s="30"/>
      <c r="II107" s="30"/>
      <c r="IJ107" s="30"/>
      <c r="IK107" s="30"/>
      <c r="IL107" s="30"/>
      <c r="IM107" s="30"/>
      <c r="IN107" s="30"/>
      <c r="IO107" s="30"/>
      <c r="IP107" s="30"/>
      <c r="IQ107" s="30"/>
      <c r="IR107" s="30"/>
      <c r="IS107" s="30"/>
      <c r="IT107" s="30"/>
      <c r="IU107" s="30"/>
      <c r="IV107" s="30"/>
      <c r="IW107" s="30"/>
      <c r="IX107" s="30"/>
      <c r="IY107" s="30"/>
      <c r="IZ107" s="30"/>
      <c r="JA107" s="30"/>
      <c r="JB107" s="30"/>
      <c r="JC107" s="30"/>
      <c r="JD107" s="30"/>
      <c r="JE107" s="30"/>
      <c r="JF107" s="30"/>
      <c r="JG107" s="30"/>
      <c r="JH107" s="30"/>
      <c r="JI107" s="30"/>
      <c r="JJ107" s="30"/>
      <c r="JK107" s="30"/>
      <c r="JL107" s="30"/>
      <c r="JM107" s="30"/>
      <c r="JN107" s="30"/>
      <c r="JO107" s="30"/>
      <c r="JP107" s="30"/>
      <c r="JQ107" s="30"/>
      <c r="JR107" s="30"/>
      <c r="JS107" s="30"/>
      <c r="JT107" s="30"/>
      <c r="JU107" s="30"/>
      <c r="JV107" s="30"/>
      <c r="JW107" s="30"/>
      <c r="JX107" s="30"/>
      <c r="JY107" s="30"/>
      <c r="JZ107" s="30"/>
      <c r="KA107" s="30"/>
      <c r="KB107" s="30"/>
      <c r="KC107" s="30"/>
      <c r="KD107" s="30"/>
      <c r="KE107" s="30"/>
      <c r="KF107" s="30"/>
      <c r="KG107" s="30"/>
      <c r="KH107" s="30"/>
      <c r="KI107" s="30"/>
      <c r="KJ107" s="30"/>
      <c r="KK107" s="30"/>
      <c r="KL107" s="30"/>
      <c r="KM107" s="30"/>
      <c r="KN107" s="30"/>
      <c r="KO107" s="30"/>
      <c r="KP107" s="30"/>
      <c r="KQ107" s="30"/>
      <c r="KR107" s="30"/>
      <c r="KS107" s="30"/>
      <c r="KT107" s="30"/>
      <c r="KU107" s="30"/>
      <c r="KV107" s="30"/>
      <c r="KW107" s="30"/>
      <c r="KX107" s="30"/>
      <c r="KY107" s="30"/>
      <c r="KZ107" s="30"/>
      <c r="LA107" s="30"/>
      <c r="LB107" s="30"/>
      <c r="LC107" s="30"/>
      <c r="LD107" s="30"/>
      <c r="LE107" s="30"/>
      <c r="LF107" s="30"/>
      <c r="LG107" s="30"/>
      <c r="LH107" s="30"/>
      <c r="LI107" s="30"/>
      <c r="LJ107" s="30"/>
      <c r="LK107" s="30"/>
      <c r="LL107" s="30"/>
      <c r="LM107" s="30"/>
      <c r="LN107" s="30"/>
      <c r="LO107" s="30"/>
      <c r="LP107" s="30"/>
      <c r="LQ107" s="30"/>
      <c r="LR107" s="30"/>
      <c r="LS107" s="30"/>
      <c r="LT107" s="30"/>
      <c r="LU107" s="30"/>
      <c r="LV107" s="30"/>
      <c r="LW107" s="30"/>
      <c r="LX107" s="30"/>
      <c r="LY107" s="30"/>
      <c r="LZ107" s="30"/>
      <c r="MA107" s="30"/>
      <c r="MB107" s="30"/>
      <c r="MC107" s="30"/>
      <c r="MD107" s="30"/>
      <c r="ME107" s="30"/>
      <c r="MF107" s="30"/>
      <c r="MG107" s="30"/>
      <c r="MH107" s="30"/>
      <c r="MI107" s="30"/>
      <c r="MJ107" s="30"/>
      <c r="MK107" s="30"/>
      <c r="ML107" s="30"/>
      <c r="MM107" s="30"/>
      <c r="MN107" s="30"/>
      <c r="MO107" s="30"/>
      <c r="MP107" s="30"/>
      <c r="MQ107" s="30"/>
      <c r="MR107" s="30"/>
      <c r="MS107" s="30"/>
      <c r="MT107" s="30"/>
      <c r="MU107" s="30"/>
      <c r="MV107" s="30"/>
      <c r="MW107" s="30"/>
      <c r="MX107" s="30"/>
      <c r="MY107" s="30"/>
      <c r="MZ107" s="30"/>
      <c r="NA107" s="30"/>
      <c r="NB107" s="30"/>
      <c r="NC107" s="30"/>
      <c r="ND107" s="30"/>
      <c r="NE107" s="30"/>
      <c r="NF107" s="30"/>
      <c r="NG107" s="30"/>
      <c r="NH107" s="30"/>
      <c r="NI107" s="30"/>
      <c r="NJ107" s="30"/>
      <c r="NK107" s="30"/>
      <c r="NL107" s="30"/>
      <c r="NM107" s="30"/>
      <c r="NN107" s="30"/>
      <c r="NO107" s="30"/>
      <c r="NP107" s="30"/>
      <c r="NQ107" s="30"/>
      <c r="NR107" s="30"/>
      <c r="NS107" s="30"/>
      <c r="NT107" s="30"/>
      <c r="NU107" s="30"/>
      <c r="NV107" s="30"/>
      <c r="NW107" s="30"/>
      <c r="NX107" s="30"/>
      <c r="NY107" s="30"/>
      <c r="NZ107" s="30"/>
      <c r="OA107" s="30"/>
      <c r="OB107" s="30"/>
      <c r="OC107" s="30"/>
      <c r="OD107" s="30"/>
      <c r="OE107" s="30"/>
      <c r="OF107" s="30"/>
      <c r="OG107" s="30"/>
      <c r="OH107" s="30"/>
      <c r="OI107" s="30"/>
      <c r="OJ107" s="30"/>
      <c r="OK107" s="30"/>
      <c r="OL107" s="30"/>
      <c r="OM107" s="30"/>
      <c r="ON107" s="30"/>
      <c r="OO107" s="30"/>
      <c r="OP107" s="30"/>
      <c r="OQ107" s="30"/>
      <c r="OR107" s="30"/>
      <c r="OS107" s="30"/>
      <c r="OT107" s="30"/>
      <c r="OU107" s="30"/>
      <c r="OV107" s="30"/>
      <c r="OW107" s="30"/>
      <c r="OX107" s="30"/>
      <c r="OY107" s="30"/>
      <c r="OZ107" s="30"/>
      <c r="PA107" s="30"/>
      <c r="PB107" s="30"/>
      <c r="PC107" s="30"/>
      <c r="PD107" s="30"/>
      <c r="PE107" s="30"/>
      <c r="PF107" s="30"/>
      <c r="PG107" s="30"/>
      <c r="PH107" s="30"/>
      <c r="PI107" s="30"/>
      <c r="PJ107" s="30"/>
      <c r="PK107" s="30"/>
      <c r="PL107" s="30"/>
      <c r="PM107" s="30"/>
      <c r="PN107" s="30"/>
      <c r="PO107" s="30"/>
      <c r="PP107" s="30"/>
      <c r="PQ107" s="30"/>
      <c r="PR107" s="30"/>
      <c r="PS107" s="30"/>
      <c r="PT107" s="30"/>
      <c r="PU107" s="30"/>
      <c r="PV107" s="30"/>
      <c r="PW107" s="30"/>
      <c r="PX107" s="30"/>
      <c r="PY107" s="30"/>
      <c r="PZ107" s="30"/>
      <c r="QA107" s="30"/>
      <c r="QB107" s="30"/>
      <c r="QC107" s="30"/>
      <c r="QD107" s="30"/>
      <c r="QE107" s="30"/>
      <c r="QF107" s="30"/>
      <c r="QG107" s="30"/>
      <c r="QH107" s="30"/>
      <c r="QI107" s="30"/>
      <c r="QJ107" s="30"/>
      <c r="QK107" s="30"/>
      <c r="QL107" s="30"/>
      <c r="QM107" s="30"/>
      <c r="QN107" s="30"/>
      <c r="QO107" s="30"/>
      <c r="QP107" s="30"/>
      <c r="QQ107" s="30"/>
      <c r="QR107" s="30"/>
      <c r="QS107" s="30"/>
      <c r="QT107" s="30"/>
      <c r="QU107" s="30"/>
      <c r="QV107" s="30"/>
      <c r="QW107" s="30"/>
      <c r="QX107" s="30"/>
      <c r="QY107" s="30"/>
      <c r="QZ107" s="30"/>
      <c r="RA107" s="30"/>
      <c r="RB107" s="30"/>
      <c r="RC107" s="30"/>
      <c r="RD107" s="30"/>
      <c r="RE107" s="30"/>
      <c r="RF107" s="30"/>
      <c r="RG107" s="30"/>
      <c r="RH107" s="30"/>
      <c r="RI107" s="30"/>
      <c r="RJ107" s="30"/>
      <c r="RK107" s="30"/>
      <c r="RL107" s="30"/>
      <c r="RM107" s="30"/>
      <c r="RN107" s="30"/>
      <c r="RO107" s="30"/>
      <c r="RP107" s="30"/>
      <c r="RQ107" s="30"/>
      <c r="RR107" s="30"/>
      <c r="RS107" s="30"/>
      <c r="RT107" s="30"/>
      <c r="RU107" s="30"/>
      <c r="RV107" s="30"/>
      <c r="RW107" s="30"/>
      <c r="RX107" s="30"/>
      <c r="RY107" s="30"/>
      <c r="RZ107" s="30"/>
      <c r="SA107" s="30"/>
      <c r="SB107" s="30"/>
      <c r="SC107" s="30"/>
      <c r="SD107" s="30"/>
    </row>
    <row r="108" spans="1:498" s="47" customFormat="1" hidden="1" x14ac:dyDescent="0.25">
      <c r="A108" s="68"/>
      <c r="B108" s="68"/>
      <c r="C108" s="224" t="s">
        <v>49</v>
      </c>
      <c r="D108" s="224"/>
      <c r="E108" s="224"/>
      <c r="F108" s="84">
        <f t="shared" ref="F108:AI108" si="54">IF($C$10=0,"",F119)</f>
        <v>174.40232349180351</v>
      </c>
      <c r="G108" s="84">
        <f t="shared" si="54"/>
        <v>174.40232349180351</v>
      </c>
      <c r="H108" s="84">
        <f t="shared" si="54"/>
        <v>195.46078041244061</v>
      </c>
      <c r="I108" s="84">
        <f t="shared" si="54"/>
        <v>195.46078041244061</v>
      </c>
      <c r="J108" s="84">
        <f t="shared" si="54"/>
        <v>214.75805280165733</v>
      </c>
      <c r="K108" s="84">
        <f t="shared" si="54"/>
        <v>214.75805280165733</v>
      </c>
      <c r="L108" s="84">
        <f t="shared" si="54"/>
        <v>235.21048638454661</v>
      </c>
      <c r="M108" s="84">
        <f t="shared" si="54"/>
        <v>235.21048638454661</v>
      </c>
      <c r="N108" s="84">
        <f t="shared" si="54"/>
        <v>260.06258608551758</v>
      </c>
      <c r="O108" s="84">
        <f t="shared" si="54"/>
        <v>260.06258608551758</v>
      </c>
      <c r="P108" s="84">
        <f t="shared" si="54"/>
        <v>285.99988295707351</v>
      </c>
      <c r="Q108" s="84">
        <f t="shared" si="54"/>
        <v>285.99988295707351</v>
      </c>
      <c r="R108" s="84">
        <f t="shared" si="54"/>
        <v>309.76926047844432</v>
      </c>
      <c r="S108" s="84">
        <f t="shared" si="54"/>
        <v>309.76926047844432</v>
      </c>
      <c r="T108" s="84">
        <f t="shared" si="54"/>
        <v>340.2784327806994</v>
      </c>
      <c r="U108" s="84">
        <f t="shared" si="54"/>
        <v>340.2784327806994</v>
      </c>
      <c r="V108" s="84">
        <f t="shared" si="54"/>
        <v>375.31704412210473</v>
      </c>
      <c r="W108" s="84">
        <f t="shared" si="54"/>
        <v>375.31704412210473</v>
      </c>
      <c r="X108" s="84">
        <f t="shared" si="54"/>
        <v>428.41961282369385</v>
      </c>
      <c r="Y108" s="84">
        <f t="shared" si="54"/>
        <v>482.52877943716544</v>
      </c>
      <c r="Z108" s="84">
        <f t="shared" si="54"/>
        <v>0</v>
      </c>
      <c r="AA108" s="84">
        <f t="shared" si="54"/>
        <v>0</v>
      </c>
      <c r="AB108" s="84">
        <f t="shared" si="54"/>
        <v>0</v>
      </c>
      <c r="AC108" s="84">
        <f t="shared" si="54"/>
        <v>0</v>
      </c>
      <c r="AD108" s="84">
        <f t="shared" si="54"/>
        <v>0</v>
      </c>
      <c r="AE108" s="84">
        <f t="shared" si="54"/>
        <v>0</v>
      </c>
      <c r="AF108" s="84">
        <f t="shared" si="54"/>
        <v>0</v>
      </c>
      <c r="AG108" s="84">
        <f t="shared" si="54"/>
        <v>0</v>
      </c>
      <c r="AH108" s="84">
        <f t="shared" si="54"/>
        <v>0</v>
      </c>
      <c r="AI108" s="84">
        <f t="shared" si="54"/>
        <v>0</v>
      </c>
      <c r="AJ108" s="59"/>
      <c r="AK108" s="59"/>
      <c r="AL108" s="59"/>
      <c r="AM108" s="59"/>
      <c r="AN108" s="59"/>
      <c r="AO108" s="59"/>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30"/>
      <c r="BZ108" s="30"/>
      <c r="CA108" s="30"/>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30"/>
      <c r="FI108" s="30"/>
      <c r="FJ108" s="30"/>
      <c r="FK108" s="30"/>
      <c r="FL108" s="30"/>
      <c r="FM108" s="30"/>
      <c r="FN108" s="30"/>
      <c r="FO108" s="30"/>
      <c r="FP108" s="30"/>
      <c r="FQ108" s="30"/>
      <c r="FR108" s="30"/>
      <c r="FS108" s="30"/>
      <c r="FT108" s="30"/>
      <c r="FU108" s="30"/>
      <c r="FV108" s="30"/>
      <c r="FW108" s="30"/>
      <c r="FX108" s="30"/>
      <c r="FY108" s="30"/>
      <c r="FZ108" s="30"/>
      <c r="GA108" s="30"/>
      <c r="GB108" s="30"/>
      <c r="GC108" s="30"/>
      <c r="GD108" s="30"/>
      <c r="GE108" s="30"/>
      <c r="GF108" s="30"/>
      <c r="GG108" s="30"/>
      <c r="GH108" s="30"/>
      <c r="GI108" s="30"/>
      <c r="GJ108" s="30"/>
      <c r="GK108" s="30"/>
      <c r="GL108" s="30"/>
      <c r="GM108" s="30"/>
      <c r="GN108" s="30"/>
      <c r="GO108" s="30"/>
      <c r="GP108" s="30"/>
      <c r="GQ108" s="30"/>
      <c r="GR108" s="30"/>
      <c r="GS108" s="30"/>
      <c r="GT108" s="30"/>
      <c r="GU108" s="30"/>
      <c r="GV108" s="30"/>
      <c r="GW108" s="30"/>
      <c r="GX108" s="30"/>
      <c r="GY108" s="30"/>
      <c r="GZ108" s="30"/>
      <c r="HA108" s="30"/>
      <c r="HB108" s="30"/>
      <c r="HC108" s="30"/>
      <c r="HD108" s="30"/>
      <c r="HE108" s="30"/>
      <c r="HF108" s="30"/>
      <c r="HG108" s="30"/>
      <c r="HH108" s="30"/>
      <c r="HI108" s="30"/>
      <c r="HJ108" s="30"/>
      <c r="HK108" s="30"/>
      <c r="HL108" s="30"/>
      <c r="HM108" s="30"/>
      <c r="HN108" s="30"/>
      <c r="HO108" s="30"/>
      <c r="HP108" s="30"/>
      <c r="HQ108" s="30"/>
      <c r="HR108" s="30"/>
      <c r="HS108" s="30"/>
      <c r="HT108" s="30"/>
      <c r="HU108" s="30"/>
      <c r="HV108" s="30"/>
      <c r="HW108" s="30"/>
      <c r="HX108" s="30"/>
      <c r="HY108" s="30"/>
      <c r="HZ108" s="30"/>
      <c r="IA108" s="30"/>
      <c r="IB108" s="30"/>
      <c r="IC108" s="30"/>
      <c r="ID108" s="30"/>
      <c r="IE108" s="30"/>
      <c r="IF108" s="30"/>
      <c r="IG108" s="30"/>
      <c r="IH108" s="30"/>
      <c r="II108" s="30"/>
      <c r="IJ108" s="30"/>
      <c r="IK108" s="30"/>
      <c r="IL108" s="30"/>
      <c r="IM108" s="30"/>
      <c r="IN108" s="30"/>
      <c r="IO108" s="30"/>
      <c r="IP108" s="30"/>
      <c r="IQ108" s="30"/>
      <c r="IR108" s="30"/>
      <c r="IS108" s="30"/>
      <c r="IT108" s="30"/>
      <c r="IU108" s="30"/>
      <c r="IV108" s="30"/>
      <c r="IW108" s="30"/>
      <c r="IX108" s="30"/>
      <c r="IY108" s="30"/>
      <c r="IZ108" s="30"/>
      <c r="JA108" s="30"/>
      <c r="JB108" s="30"/>
      <c r="JC108" s="30"/>
      <c r="JD108" s="30"/>
      <c r="JE108" s="30"/>
      <c r="JF108" s="30"/>
      <c r="JG108" s="30"/>
      <c r="JH108" s="30"/>
      <c r="JI108" s="30"/>
      <c r="JJ108" s="30"/>
      <c r="JK108" s="30"/>
      <c r="JL108" s="30"/>
      <c r="JM108" s="30"/>
      <c r="JN108" s="30"/>
      <c r="JO108" s="30"/>
      <c r="JP108" s="30"/>
      <c r="JQ108" s="30"/>
      <c r="JR108" s="30"/>
      <c r="JS108" s="30"/>
      <c r="JT108" s="30"/>
      <c r="JU108" s="30"/>
      <c r="JV108" s="30"/>
      <c r="JW108" s="30"/>
      <c r="JX108" s="30"/>
      <c r="JY108" s="30"/>
      <c r="JZ108" s="30"/>
      <c r="KA108" s="30"/>
      <c r="KB108" s="30"/>
      <c r="KC108" s="30"/>
      <c r="KD108" s="30"/>
      <c r="KE108" s="30"/>
      <c r="KF108" s="30"/>
      <c r="KG108" s="30"/>
      <c r="KH108" s="30"/>
      <c r="KI108" s="30"/>
      <c r="KJ108" s="30"/>
      <c r="KK108" s="30"/>
      <c r="KL108" s="30"/>
      <c r="KM108" s="30"/>
      <c r="KN108" s="30"/>
      <c r="KO108" s="30"/>
      <c r="KP108" s="30"/>
      <c r="KQ108" s="30"/>
      <c r="KR108" s="30"/>
      <c r="KS108" s="30"/>
      <c r="KT108" s="30"/>
      <c r="KU108" s="30"/>
      <c r="KV108" s="30"/>
      <c r="KW108" s="30"/>
      <c r="KX108" s="30"/>
      <c r="KY108" s="30"/>
      <c r="KZ108" s="30"/>
      <c r="LA108" s="30"/>
      <c r="LB108" s="30"/>
      <c r="LC108" s="30"/>
      <c r="LD108" s="30"/>
      <c r="LE108" s="30"/>
      <c r="LF108" s="30"/>
      <c r="LG108" s="30"/>
      <c r="LH108" s="30"/>
      <c r="LI108" s="30"/>
      <c r="LJ108" s="30"/>
      <c r="LK108" s="30"/>
      <c r="LL108" s="30"/>
      <c r="LM108" s="30"/>
      <c r="LN108" s="30"/>
      <c r="LO108" s="30"/>
      <c r="LP108" s="30"/>
      <c r="LQ108" s="30"/>
      <c r="LR108" s="30"/>
      <c r="LS108" s="30"/>
      <c r="LT108" s="30"/>
      <c r="LU108" s="30"/>
      <c r="LV108" s="30"/>
      <c r="LW108" s="30"/>
      <c r="LX108" s="30"/>
      <c r="LY108" s="30"/>
      <c r="LZ108" s="30"/>
      <c r="MA108" s="30"/>
      <c r="MB108" s="30"/>
      <c r="MC108" s="30"/>
      <c r="MD108" s="30"/>
      <c r="ME108" s="30"/>
      <c r="MF108" s="30"/>
      <c r="MG108" s="30"/>
      <c r="MH108" s="30"/>
      <c r="MI108" s="30"/>
      <c r="MJ108" s="30"/>
      <c r="MK108" s="30"/>
      <c r="ML108" s="30"/>
      <c r="MM108" s="30"/>
      <c r="MN108" s="30"/>
      <c r="MO108" s="30"/>
      <c r="MP108" s="30"/>
      <c r="MQ108" s="30"/>
      <c r="MR108" s="30"/>
      <c r="MS108" s="30"/>
      <c r="MT108" s="30"/>
      <c r="MU108" s="30"/>
      <c r="MV108" s="30"/>
      <c r="MW108" s="30"/>
      <c r="MX108" s="30"/>
      <c r="MY108" s="30"/>
      <c r="MZ108" s="30"/>
      <c r="NA108" s="30"/>
      <c r="NB108" s="30"/>
      <c r="NC108" s="30"/>
      <c r="ND108" s="30"/>
      <c r="NE108" s="30"/>
      <c r="NF108" s="30"/>
      <c r="NG108" s="30"/>
      <c r="NH108" s="30"/>
      <c r="NI108" s="30"/>
      <c r="NJ108" s="30"/>
      <c r="NK108" s="30"/>
      <c r="NL108" s="30"/>
      <c r="NM108" s="30"/>
      <c r="NN108" s="30"/>
      <c r="NO108" s="30"/>
      <c r="NP108" s="30"/>
      <c r="NQ108" s="30"/>
      <c r="NR108" s="30"/>
      <c r="NS108" s="30"/>
      <c r="NT108" s="30"/>
      <c r="NU108" s="30"/>
      <c r="NV108" s="30"/>
      <c r="NW108" s="30"/>
      <c r="NX108" s="30"/>
      <c r="NY108" s="30"/>
      <c r="NZ108" s="30"/>
      <c r="OA108" s="30"/>
      <c r="OB108" s="30"/>
      <c r="OC108" s="30"/>
      <c r="OD108" s="30"/>
      <c r="OE108" s="30"/>
      <c r="OF108" s="30"/>
      <c r="OG108" s="30"/>
      <c r="OH108" s="30"/>
      <c r="OI108" s="30"/>
      <c r="OJ108" s="30"/>
      <c r="OK108" s="30"/>
      <c r="OL108" s="30"/>
      <c r="OM108" s="30"/>
      <c r="ON108" s="30"/>
      <c r="OO108" s="30"/>
      <c r="OP108" s="30"/>
      <c r="OQ108" s="30"/>
      <c r="OR108" s="30"/>
      <c r="OS108" s="30"/>
      <c r="OT108" s="30"/>
      <c r="OU108" s="30"/>
      <c r="OV108" s="30"/>
      <c r="OW108" s="30"/>
      <c r="OX108" s="30"/>
      <c r="OY108" s="30"/>
      <c r="OZ108" s="30"/>
      <c r="PA108" s="30"/>
      <c r="PB108" s="30"/>
      <c r="PC108" s="30"/>
      <c r="PD108" s="30"/>
      <c r="PE108" s="30"/>
      <c r="PF108" s="30"/>
      <c r="PG108" s="30"/>
      <c r="PH108" s="30"/>
      <c r="PI108" s="30"/>
      <c r="PJ108" s="30"/>
      <c r="PK108" s="30"/>
      <c r="PL108" s="30"/>
      <c r="PM108" s="30"/>
      <c r="PN108" s="30"/>
      <c r="PO108" s="30"/>
      <c r="PP108" s="30"/>
      <c r="PQ108" s="30"/>
      <c r="PR108" s="30"/>
      <c r="PS108" s="30"/>
      <c r="PT108" s="30"/>
      <c r="PU108" s="30"/>
      <c r="PV108" s="30"/>
      <c r="PW108" s="30"/>
      <c r="PX108" s="30"/>
      <c r="PY108" s="30"/>
      <c r="PZ108" s="30"/>
      <c r="QA108" s="30"/>
      <c r="QB108" s="30"/>
      <c r="QC108" s="30"/>
      <c r="QD108" s="30"/>
      <c r="QE108" s="30"/>
      <c r="QF108" s="30"/>
      <c r="QG108" s="30"/>
      <c r="QH108" s="30"/>
      <c r="QI108" s="30"/>
      <c r="QJ108" s="30"/>
      <c r="QK108" s="30"/>
      <c r="QL108" s="30"/>
      <c r="QM108" s="30"/>
      <c r="QN108" s="30"/>
      <c r="QO108" s="30"/>
      <c r="QP108" s="30"/>
      <c r="QQ108" s="30"/>
      <c r="QR108" s="30"/>
      <c r="QS108" s="30"/>
      <c r="QT108" s="30"/>
      <c r="QU108" s="30"/>
      <c r="QV108" s="30"/>
      <c r="QW108" s="30"/>
      <c r="QX108" s="30"/>
      <c r="QY108" s="30"/>
      <c r="QZ108" s="30"/>
      <c r="RA108" s="30"/>
      <c r="RB108" s="30"/>
      <c r="RC108" s="30"/>
      <c r="RD108" s="30"/>
      <c r="RE108" s="30"/>
      <c r="RF108" s="30"/>
      <c r="RG108" s="30"/>
      <c r="RH108" s="30"/>
      <c r="RI108" s="30"/>
      <c r="RJ108" s="30"/>
      <c r="RK108" s="30"/>
      <c r="RL108" s="30"/>
      <c r="RM108" s="30"/>
      <c r="RN108" s="30"/>
      <c r="RO108" s="30"/>
      <c r="RP108" s="30"/>
      <c r="RQ108" s="30"/>
      <c r="RR108" s="30"/>
      <c r="RS108" s="30"/>
      <c r="RT108" s="30"/>
      <c r="RU108" s="30"/>
      <c r="RV108" s="30"/>
      <c r="RW108" s="30"/>
      <c r="RX108" s="30"/>
      <c r="RY108" s="30"/>
      <c r="RZ108" s="30"/>
      <c r="SA108" s="30"/>
      <c r="SB108" s="30"/>
      <c r="SC108" s="30"/>
      <c r="SD108" s="30"/>
    </row>
    <row r="109" spans="1:498" s="47" customFormat="1" ht="14.1" hidden="1" customHeight="1" x14ac:dyDescent="0.25">
      <c r="A109" s="68"/>
      <c r="B109" s="68"/>
      <c r="C109" s="68"/>
      <c r="D109" s="67"/>
      <c r="E109" s="96" t="s">
        <v>46</v>
      </c>
      <c r="F109" s="46">
        <f>IF($C10&lt;10000,PMT($C$11/$C$12,12*$C$12,-$C$10),IF($C10&lt;20000,PMT($C$11/$C$12,15*$C$12,-$C$10),IF($C10&lt;40000,PMT($C$11/$C$12,20*$C$12,-$C$10),IF($C10&lt;60000,PMT($C$11/$C$12,25*$C$12,-$C$10),PMT($C$11/$C$12,30*$C$12,-$C$10)))))</f>
        <v>232.5364313224047</v>
      </c>
      <c r="G109" s="16">
        <f t="shared" ref="G109:Q111" si="55">F109</f>
        <v>232.5364313224047</v>
      </c>
      <c r="H109" s="16">
        <f t="shared" si="55"/>
        <v>232.5364313224047</v>
      </c>
      <c r="I109" s="16">
        <f t="shared" si="55"/>
        <v>232.5364313224047</v>
      </c>
      <c r="J109" s="16">
        <f t="shared" si="55"/>
        <v>232.5364313224047</v>
      </c>
      <c r="K109" s="16">
        <f t="shared" si="55"/>
        <v>232.5364313224047</v>
      </c>
      <c r="L109" s="16">
        <f t="shared" si="55"/>
        <v>232.5364313224047</v>
      </c>
      <c r="M109" s="16">
        <f t="shared" si="55"/>
        <v>232.5364313224047</v>
      </c>
      <c r="N109" s="16">
        <f t="shared" si="55"/>
        <v>232.5364313224047</v>
      </c>
      <c r="O109" s="16">
        <f t="shared" si="55"/>
        <v>232.5364313224047</v>
      </c>
      <c r="P109" s="85">
        <f t="shared" si="55"/>
        <v>232.5364313224047</v>
      </c>
      <c r="Q109" s="85">
        <f t="shared" si="55"/>
        <v>232.5364313224047</v>
      </c>
      <c r="R109" s="85">
        <f>IF(C10&lt;10000,0,Q109)</f>
        <v>232.5364313224047</v>
      </c>
      <c r="S109" s="85">
        <f>R109</f>
        <v>232.5364313224047</v>
      </c>
      <c r="T109" s="85">
        <f>S109</f>
        <v>232.5364313224047</v>
      </c>
      <c r="U109" s="85">
        <f>IF(C10&lt;20000,0,T109)</f>
        <v>232.5364313224047</v>
      </c>
      <c r="V109" s="85">
        <f t="shared" ref="V109:Y111" si="56">U109</f>
        <v>232.5364313224047</v>
      </c>
      <c r="W109" s="85">
        <f t="shared" si="56"/>
        <v>232.5364313224047</v>
      </c>
      <c r="X109" s="85">
        <f t="shared" si="56"/>
        <v>232.5364313224047</v>
      </c>
      <c r="Y109" s="85">
        <f t="shared" si="56"/>
        <v>232.5364313224047</v>
      </c>
      <c r="Z109" s="85">
        <f>IF(C10&lt;40000,0,Y109)</f>
        <v>0</v>
      </c>
      <c r="AA109" s="85">
        <f t="shared" ref="AA109:AD111" si="57">Z109</f>
        <v>0</v>
      </c>
      <c r="AB109" s="85">
        <f t="shared" si="57"/>
        <v>0</v>
      </c>
      <c r="AC109" s="85">
        <f t="shared" si="57"/>
        <v>0</v>
      </c>
      <c r="AD109" s="85">
        <f t="shared" si="57"/>
        <v>0</v>
      </c>
      <c r="AE109" s="85">
        <f>IF(C10&lt;60000,0,AD109)</f>
        <v>0</v>
      </c>
      <c r="AF109" s="85">
        <f t="shared" ref="AF109:AI111" si="58">AE109</f>
        <v>0</v>
      </c>
      <c r="AG109" s="85">
        <f t="shared" si="58"/>
        <v>0</v>
      </c>
      <c r="AH109" s="85">
        <f t="shared" si="58"/>
        <v>0</v>
      </c>
      <c r="AI109" s="85">
        <f t="shared" si="58"/>
        <v>0</v>
      </c>
      <c r="AJ109" s="59"/>
      <c r="AK109" s="59"/>
      <c r="AL109" s="59"/>
      <c r="AM109" s="59"/>
      <c r="AN109" s="59"/>
      <c r="AO109" s="59"/>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30"/>
      <c r="BZ109" s="30"/>
      <c r="CA109" s="30"/>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30"/>
      <c r="FI109" s="30"/>
      <c r="FJ109" s="30"/>
      <c r="FK109" s="30"/>
      <c r="FL109" s="30"/>
      <c r="FM109" s="30"/>
      <c r="FN109" s="30"/>
      <c r="FO109" s="30"/>
      <c r="FP109" s="30"/>
      <c r="FQ109" s="30"/>
      <c r="FR109" s="30"/>
      <c r="FS109" s="30"/>
      <c r="FT109" s="30"/>
      <c r="FU109" s="30"/>
      <c r="FV109" s="30"/>
      <c r="FW109" s="30"/>
      <c r="FX109" s="30"/>
      <c r="FY109" s="30"/>
      <c r="FZ109" s="30"/>
      <c r="GA109" s="30"/>
      <c r="GB109" s="30"/>
      <c r="GC109" s="30"/>
      <c r="GD109" s="30"/>
      <c r="GE109" s="30"/>
      <c r="GF109" s="30"/>
      <c r="GG109" s="30"/>
      <c r="GH109" s="30"/>
      <c r="GI109" s="30"/>
      <c r="GJ109" s="30"/>
      <c r="GK109" s="30"/>
      <c r="GL109" s="30"/>
      <c r="GM109" s="30"/>
      <c r="GN109" s="30"/>
      <c r="GO109" s="30"/>
      <c r="GP109" s="30"/>
      <c r="GQ109" s="30"/>
      <c r="GR109" s="30"/>
      <c r="GS109" s="30"/>
      <c r="GT109" s="30"/>
      <c r="GU109" s="30"/>
      <c r="GV109" s="30"/>
      <c r="GW109" s="30"/>
      <c r="GX109" s="30"/>
      <c r="GY109" s="30"/>
      <c r="GZ109" s="30"/>
      <c r="HA109" s="30"/>
      <c r="HB109" s="30"/>
      <c r="HC109" s="30"/>
      <c r="HD109" s="30"/>
      <c r="HE109" s="30"/>
      <c r="HF109" s="30"/>
      <c r="HG109" s="30"/>
      <c r="HH109" s="30"/>
      <c r="HI109" s="30"/>
      <c r="HJ109" s="30"/>
      <c r="HK109" s="30"/>
      <c r="HL109" s="30"/>
      <c r="HM109" s="30"/>
      <c r="HN109" s="30"/>
      <c r="HO109" s="30"/>
      <c r="HP109" s="30"/>
      <c r="HQ109" s="30"/>
      <c r="HR109" s="30"/>
      <c r="HS109" s="30"/>
      <c r="HT109" s="30"/>
      <c r="HU109" s="30"/>
      <c r="HV109" s="30"/>
      <c r="HW109" s="30"/>
      <c r="HX109" s="30"/>
      <c r="HY109" s="30"/>
      <c r="HZ109" s="30"/>
      <c r="IA109" s="30"/>
      <c r="IB109" s="30"/>
      <c r="IC109" s="30"/>
      <c r="ID109" s="30"/>
      <c r="IE109" s="30"/>
      <c r="IF109" s="30"/>
      <c r="IG109" s="30"/>
      <c r="IH109" s="30"/>
      <c r="II109" s="30"/>
      <c r="IJ109" s="30"/>
      <c r="IK109" s="30"/>
      <c r="IL109" s="30"/>
      <c r="IM109" s="30"/>
      <c r="IN109" s="30"/>
      <c r="IO109" s="30"/>
      <c r="IP109" s="30"/>
      <c r="IQ109" s="30"/>
      <c r="IR109" s="30"/>
      <c r="IS109" s="30"/>
      <c r="IT109" s="30"/>
      <c r="IU109" s="30"/>
      <c r="IV109" s="30"/>
      <c r="IW109" s="30"/>
      <c r="IX109" s="30"/>
      <c r="IY109" s="30"/>
      <c r="IZ109" s="30"/>
      <c r="JA109" s="30"/>
      <c r="JB109" s="30"/>
      <c r="JC109" s="30"/>
      <c r="JD109" s="30"/>
      <c r="JE109" s="30"/>
      <c r="JF109" s="30"/>
      <c r="JG109" s="30"/>
      <c r="JH109" s="30"/>
      <c r="JI109" s="30"/>
      <c r="JJ109" s="30"/>
      <c r="JK109" s="30"/>
      <c r="JL109" s="30"/>
      <c r="JM109" s="30"/>
      <c r="JN109" s="30"/>
      <c r="JO109" s="30"/>
      <c r="JP109" s="30"/>
      <c r="JQ109" s="30"/>
      <c r="JR109" s="30"/>
      <c r="JS109" s="30"/>
      <c r="JT109" s="30"/>
      <c r="JU109" s="30"/>
      <c r="JV109" s="30"/>
      <c r="JW109" s="30"/>
      <c r="JX109" s="30"/>
      <c r="JY109" s="30"/>
      <c r="JZ109" s="30"/>
      <c r="KA109" s="30"/>
      <c r="KB109" s="30"/>
      <c r="KC109" s="30"/>
      <c r="KD109" s="30"/>
      <c r="KE109" s="30"/>
      <c r="KF109" s="30"/>
      <c r="KG109" s="30"/>
      <c r="KH109" s="30"/>
      <c r="KI109" s="30"/>
      <c r="KJ109" s="30"/>
      <c r="KK109" s="30"/>
      <c r="KL109" s="30"/>
      <c r="KM109" s="30"/>
      <c r="KN109" s="30"/>
      <c r="KO109" s="30"/>
      <c r="KP109" s="30"/>
      <c r="KQ109" s="30"/>
      <c r="KR109" s="30"/>
      <c r="KS109" s="30"/>
      <c r="KT109" s="30"/>
      <c r="KU109" s="30"/>
      <c r="KV109" s="30"/>
      <c r="KW109" s="30"/>
      <c r="KX109" s="30"/>
      <c r="KY109" s="30"/>
      <c r="KZ109" s="30"/>
      <c r="LA109" s="30"/>
      <c r="LB109" s="30"/>
      <c r="LC109" s="30"/>
      <c r="LD109" s="30"/>
      <c r="LE109" s="30"/>
      <c r="LF109" s="30"/>
      <c r="LG109" s="30"/>
      <c r="LH109" s="30"/>
      <c r="LI109" s="30"/>
      <c r="LJ109" s="30"/>
      <c r="LK109" s="30"/>
      <c r="LL109" s="30"/>
      <c r="LM109" s="30"/>
      <c r="LN109" s="30"/>
      <c r="LO109" s="30"/>
      <c r="LP109" s="30"/>
      <c r="LQ109" s="30"/>
      <c r="LR109" s="30"/>
      <c r="LS109" s="30"/>
      <c r="LT109" s="30"/>
      <c r="LU109" s="30"/>
      <c r="LV109" s="30"/>
      <c r="LW109" s="30"/>
      <c r="LX109" s="30"/>
      <c r="LY109" s="30"/>
      <c r="LZ109" s="30"/>
      <c r="MA109" s="30"/>
      <c r="MB109" s="30"/>
      <c r="MC109" s="30"/>
      <c r="MD109" s="30"/>
      <c r="ME109" s="30"/>
      <c r="MF109" s="30"/>
      <c r="MG109" s="30"/>
      <c r="MH109" s="30"/>
      <c r="MI109" s="30"/>
      <c r="MJ109" s="30"/>
      <c r="MK109" s="30"/>
      <c r="ML109" s="30"/>
      <c r="MM109" s="30"/>
      <c r="MN109" s="30"/>
      <c r="MO109" s="30"/>
      <c r="MP109" s="30"/>
      <c r="MQ109" s="30"/>
      <c r="MR109" s="30"/>
      <c r="MS109" s="30"/>
      <c r="MT109" s="30"/>
      <c r="MU109" s="30"/>
      <c r="MV109" s="30"/>
      <c r="MW109" s="30"/>
      <c r="MX109" s="30"/>
      <c r="MY109" s="30"/>
      <c r="MZ109" s="30"/>
      <c r="NA109" s="30"/>
      <c r="NB109" s="30"/>
      <c r="NC109" s="30"/>
      <c r="ND109" s="30"/>
      <c r="NE109" s="30"/>
      <c r="NF109" s="30"/>
      <c r="NG109" s="30"/>
      <c r="NH109" s="30"/>
      <c r="NI109" s="30"/>
      <c r="NJ109" s="30"/>
      <c r="NK109" s="30"/>
      <c r="NL109" s="30"/>
      <c r="NM109" s="30"/>
      <c r="NN109" s="30"/>
      <c r="NO109" s="30"/>
      <c r="NP109" s="30"/>
      <c r="NQ109" s="30"/>
      <c r="NR109" s="30"/>
      <c r="NS109" s="30"/>
      <c r="NT109" s="30"/>
      <c r="NU109" s="30"/>
      <c r="NV109" s="30"/>
      <c r="NW109" s="30"/>
      <c r="NX109" s="30"/>
      <c r="NY109" s="30"/>
      <c r="NZ109" s="30"/>
      <c r="OA109" s="30"/>
      <c r="OB109" s="30"/>
      <c r="OC109" s="30"/>
      <c r="OD109" s="30"/>
      <c r="OE109" s="30"/>
      <c r="OF109" s="30"/>
      <c r="OG109" s="30"/>
      <c r="OH109" s="30"/>
      <c r="OI109" s="30"/>
      <c r="OJ109" s="30"/>
      <c r="OK109" s="30"/>
      <c r="OL109" s="30"/>
      <c r="OM109" s="30"/>
      <c r="ON109" s="30"/>
      <c r="OO109" s="30"/>
      <c r="OP109" s="30"/>
      <c r="OQ109" s="30"/>
      <c r="OR109" s="30"/>
      <c r="OS109" s="30"/>
      <c r="OT109" s="30"/>
      <c r="OU109" s="30"/>
      <c r="OV109" s="30"/>
      <c r="OW109" s="30"/>
      <c r="OX109" s="30"/>
      <c r="OY109" s="30"/>
      <c r="OZ109" s="30"/>
      <c r="PA109" s="30"/>
      <c r="PB109" s="30"/>
      <c r="PC109" s="30"/>
      <c r="PD109" s="30"/>
      <c r="PE109" s="30"/>
      <c r="PF109" s="30"/>
      <c r="PG109" s="30"/>
      <c r="PH109" s="30"/>
      <c r="PI109" s="30"/>
      <c r="PJ109" s="30"/>
      <c r="PK109" s="30"/>
      <c r="PL109" s="30"/>
      <c r="PM109" s="30"/>
      <c r="PN109" s="30"/>
      <c r="PO109" s="30"/>
      <c r="PP109" s="30"/>
      <c r="PQ109" s="30"/>
      <c r="PR109" s="30"/>
      <c r="PS109" s="30"/>
      <c r="PT109" s="30"/>
      <c r="PU109" s="30"/>
      <c r="PV109" s="30"/>
      <c r="PW109" s="30"/>
      <c r="PX109" s="30"/>
      <c r="PY109" s="30"/>
      <c r="PZ109" s="30"/>
      <c r="QA109" s="30"/>
      <c r="QB109" s="30"/>
      <c r="QC109" s="30"/>
      <c r="QD109" s="30"/>
      <c r="QE109" s="30"/>
      <c r="QF109" s="30"/>
      <c r="QG109" s="30"/>
      <c r="QH109" s="30"/>
      <c r="QI109" s="30"/>
      <c r="QJ109" s="30"/>
      <c r="QK109" s="30"/>
      <c r="QL109" s="30"/>
      <c r="QM109" s="30"/>
      <c r="QN109" s="30"/>
      <c r="QO109" s="30"/>
      <c r="QP109" s="30"/>
      <c r="QQ109" s="30"/>
      <c r="QR109" s="30"/>
      <c r="QS109" s="30"/>
      <c r="QT109" s="30"/>
      <c r="QU109" s="30"/>
      <c r="QV109" s="30"/>
      <c r="QW109" s="30"/>
      <c r="QX109" s="30"/>
      <c r="QY109" s="30"/>
      <c r="QZ109" s="30"/>
      <c r="RA109" s="30"/>
      <c r="RB109" s="30"/>
      <c r="RC109" s="30"/>
      <c r="RD109" s="30"/>
      <c r="RE109" s="30"/>
      <c r="RF109" s="30"/>
      <c r="RG109" s="30"/>
      <c r="RH109" s="30"/>
      <c r="RI109" s="30"/>
      <c r="RJ109" s="30"/>
      <c r="RK109" s="30"/>
      <c r="RL109" s="30"/>
      <c r="RM109" s="30"/>
      <c r="RN109" s="30"/>
      <c r="RO109" s="30"/>
      <c r="RP109" s="30"/>
      <c r="RQ109" s="30"/>
      <c r="RR109" s="30"/>
      <c r="RS109" s="30"/>
      <c r="RT109" s="30"/>
      <c r="RU109" s="30"/>
      <c r="RV109" s="30"/>
      <c r="RW109" s="30"/>
      <c r="RX109" s="30"/>
      <c r="RY109" s="30"/>
      <c r="RZ109" s="30"/>
      <c r="SA109" s="30"/>
      <c r="SB109" s="30"/>
      <c r="SC109" s="30"/>
      <c r="SD109" s="30"/>
    </row>
    <row r="110" spans="1:498" s="47" customFormat="1" ht="14.1" hidden="1" customHeight="1" x14ac:dyDescent="0.25">
      <c r="A110" s="68"/>
      <c r="B110" s="68"/>
      <c r="C110" s="68"/>
      <c r="D110" s="67"/>
      <c r="E110" s="189" t="s">
        <v>79</v>
      </c>
      <c r="F110" s="190">
        <f>F109*12</f>
        <v>2790.4371758688562</v>
      </c>
      <c r="G110" s="190">
        <f t="shared" ref="G110:AI110" si="59">G109*12</f>
        <v>2790.4371758688562</v>
      </c>
      <c r="H110" s="190">
        <f t="shared" si="59"/>
        <v>2790.4371758688562</v>
      </c>
      <c r="I110" s="190">
        <f t="shared" si="59"/>
        <v>2790.4371758688562</v>
      </c>
      <c r="J110" s="190">
        <f t="shared" si="59"/>
        <v>2790.4371758688562</v>
      </c>
      <c r="K110" s="190">
        <f t="shared" si="59"/>
        <v>2790.4371758688562</v>
      </c>
      <c r="L110" s="190">
        <f t="shared" si="59"/>
        <v>2790.4371758688562</v>
      </c>
      <c r="M110" s="190">
        <f t="shared" si="59"/>
        <v>2790.4371758688562</v>
      </c>
      <c r="N110" s="190">
        <f t="shared" si="59"/>
        <v>2790.4371758688562</v>
      </c>
      <c r="O110" s="190">
        <f t="shared" si="59"/>
        <v>2790.4371758688562</v>
      </c>
      <c r="P110" s="190">
        <f t="shared" si="59"/>
        <v>2790.4371758688562</v>
      </c>
      <c r="Q110" s="190">
        <f t="shared" si="59"/>
        <v>2790.4371758688562</v>
      </c>
      <c r="R110" s="190">
        <f t="shared" si="59"/>
        <v>2790.4371758688562</v>
      </c>
      <c r="S110" s="190">
        <f t="shared" si="59"/>
        <v>2790.4371758688562</v>
      </c>
      <c r="T110" s="190">
        <f t="shared" si="59"/>
        <v>2790.4371758688562</v>
      </c>
      <c r="U110" s="190">
        <f t="shared" si="59"/>
        <v>2790.4371758688562</v>
      </c>
      <c r="V110" s="190">
        <f t="shared" si="59"/>
        <v>2790.4371758688562</v>
      </c>
      <c r="W110" s="190">
        <f t="shared" si="59"/>
        <v>2790.4371758688562</v>
      </c>
      <c r="X110" s="190">
        <f t="shared" si="59"/>
        <v>2790.4371758688562</v>
      </c>
      <c r="Y110" s="190">
        <f t="shared" si="59"/>
        <v>2790.4371758688562</v>
      </c>
      <c r="Z110" s="190">
        <f t="shared" si="59"/>
        <v>0</v>
      </c>
      <c r="AA110" s="190">
        <f t="shared" si="59"/>
        <v>0</v>
      </c>
      <c r="AB110" s="190">
        <f t="shared" si="59"/>
        <v>0</v>
      </c>
      <c r="AC110" s="190">
        <f t="shared" si="59"/>
        <v>0</v>
      </c>
      <c r="AD110" s="190">
        <f t="shared" si="59"/>
        <v>0</v>
      </c>
      <c r="AE110" s="190">
        <f t="shared" si="59"/>
        <v>0</v>
      </c>
      <c r="AF110" s="190">
        <f t="shared" si="59"/>
        <v>0</v>
      </c>
      <c r="AG110" s="190">
        <f t="shared" si="59"/>
        <v>0</v>
      </c>
      <c r="AH110" s="190">
        <f t="shared" si="59"/>
        <v>0</v>
      </c>
      <c r="AI110" s="190">
        <f t="shared" si="59"/>
        <v>0</v>
      </c>
      <c r="AJ110" s="59"/>
      <c r="AK110" s="59"/>
      <c r="AL110" s="59"/>
      <c r="AM110" s="59"/>
      <c r="AN110" s="59"/>
      <c r="AO110" s="59"/>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30"/>
      <c r="FI110" s="30"/>
      <c r="FJ110" s="30"/>
      <c r="FK110" s="30"/>
      <c r="FL110" s="30"/>
      <c r="FM110" s="30"/>
      <c r="FN110" s="30"/>
      <c r="FO110" s="30"/>
      <c r="FP110" s="30"/>
      <c r="FQ110" s="30"/>
      <c r="FR110" s="30"/>
      <c r="FS110" s="30"/>
      <c r="FT110" s="30"/>
      <c r="FU110" s="30"/>
      <c r="FV110" s="30"/>
      <c r="FW110" s="30"/>
      <c r="FX110" s="30"/>
      <c r="FY110" s="30"/>
      <c r="FZ110" s="30"/>
      <c r="GA110" s="30"/>
      <c r="GB110" s="30"/>
      <c r="GC110" s="30"/>
      <c r="GD110" s="30"/>
      <c r="GE110" s="30"/>
      <c r="GF110" s="30"/>
      <c r="GG110" s="30"/>
      <c r="GH110" s="30"/>
      <c r="GI110" s="30"/>
      <c r="GJ110" s="30"/>
      <c r="GK110" s="30"/>
      <c r="GL110" s="30"/>
      <c r="GM110" s="30"/>
      <c r="GN110" s="30"/>
      <c r="GO110" s="30"/>
      <c r="GP110" s="30"/>
      <c r="GQ110" s="30"/>
      <c r="GR110" s="30"/>
      <c r="GS110" s="30"/>
      <c r="GT110" s="30"/>
      <c r="GU110" s="30"/>
      <c r="GV110" s="30"/>
      <c r="GW110" s="30"/>
      <c r="GX110" s="30"/>
      <c r="GY110" s="30"/>
      <c r="GZ110" s="30"/>
      <c r="HA110" s="30"/>
      <c r="HB110" s="30"/>
      <c r="HC110" s="30"/>
      <c r="HD110" s="30"/>
      <c r="HE110" s="30"/>
      <c r="HF110" s="30"/>
      <c r="HG110" s="30"/>
      <c r="HH110" s="30"/>
      <c r="HI110" s="30"/>
      <c r="HJ110" s="30"/>
      <c r="HK110" s="30"/>
      <c r="HL110" s="30"/>
      <c r="HM110" s="30"/>
      <c r="HN110" s="30"/>
      <c r="HO110" s="30"/>
      <c r="HP110" s="30"/>
      <c r="HQ110" s="30"/>
      <c r="HR110" s="30"/>
      <c r="HS110" s="30"/>
      <c r="HT110" s="30"/>
      <c r="HU110" s="30"/>
      <c r="HV110" s="30"/>
      <c r="HW110" s="30"/>
      <c r="HX110" s="30"/>
      <c r="HY110" s="30"/>
      <c r="HZ110" s="30"/>
      <c r="IA110" s="30"/>
      <c r="IB110" s="30"/>
      <c r="IC110" s="30"/>
      <c r="ID110" s="30"/>
      <c r="IE110" s="30"/>
      <c r="IF110" s="30"/>
      <c r="IG110" s="30"/>
      <c r="IH110" s="30"/>
      <c r="II110" s="30"/>
      <c r="IJ110" s="30"/>
      <c r="IK110" s="30"/>
      <c r="IL110" s="30"/>
      <c r="IM110" s="30"/>
      <c r="IN110" s="30"/>
      <c r="IO110" s="30"/>
      <c r="IP110" s="30"/>
      <c r="IQ110" s="30"/>
      <c r="IR110" s="30"/>
      <c r="IS110" s="30"/>
      <c r="IT110" s="30"/>
      <c r="IU110" s="30"/>
      <c r="IV110" s="30"/>
      <c r="IW110" s="30"/>
      <c r="IX110" s="30"/>
      <c r="IY110" s="30"/>
      <c r="IZ110" s="30"/>
      <c r="JA110" s="30"/>
      <c r="JB110" s="30"/>
      <c r="JC110" s="30"/>
      <c r="JD110" s="30"/>
      <c r="JE110" s="30"/>
      <c r="JF110" s="30"/>
      <c r="JG110" s="30"/>
      <c r="JH110" s="30"/>
      <c r="JI110" s="30"/>
      <c r="JJ110" s="30"/>
      <c r="JK110" s="30"/>
      <c r="JL110" s="30"/>
      <c r="JM110" s="30"/>
      <c r="JN110" s="30"/>
      <c r="JO110" s="30"/>
      <c r="JP110" s="30"/>
      <c r="JQ110" s="30"/>
      <c r="JR110" s="30"/>
      <c r="JS110" s="30"/>
      <c r="JT110" s="30"/>
      <c r="JU110" s="30"/>
      <c r="JV110" s="30"/>
      <c r="JW110" s="30"/>
      <c r="JX110" s="30"/>
      <c r="JY110" s="30"/>
      <c r="JZ110" s="30"/>
      <c r="KA110" s="30"/>
      <c r="KB110" s="30"/>
      <c r="KC110" s="30"/>
      <c r="KD110" s="30"/>
      <c r="KE110" s="30"/>
      <c r="KF110" s="30"/>
      <c r="KG110" s="30"/>
      <c r="KH110" s="30"/>
      <c r="KI110" s="30"/>
      <c r="KJ110" s="30"/>
      <c r="KK110" s="30"/>
      <c r="KL110" s="30"/>
      <c r="KM110" s="30"/>
      <c r="KN110" s="30"/>
      <c r="KO110" s="30"/>
      <c r="KP110" s="30"/>
      <c r="KQ110" s="30"/>
      <c r="KR110" s="30"/>
      <c r="KS110" s="30"/>
      <c r="KT110" s="30"/>
      <c r="KU110" s="30"/>
      <c r="KV110" s="30"/>
      <c r="KW110" s="30"/>
      <c r="KX110" s="30"/>
      <c r="KY110" s="30"/>
      <c r="KZ110" s="30"/>
      <c r="LA110" s="30"/>
      <c r="LB110" s="30"/>
      <c r="LC110" s="30"/>
      <c r="LD110" s="30"/>
      <c r="LE110" s="30"/>
      <c r="LF110" s="30"/>
      <c r="LG110" s="30"/>
      <c r="LH110" s="30"/>
      <c r="LI110" s="30"/>
      <c r="LJ110" s="30"/>
      <c r="LK110" s="30"/>
      <c r="LL110" s="30"/>
      <c r="LM110" s="30"/>
      <c r="LN110" s="30"/>
      <c r="LO110" s="30"/>
      <c r="LP110" s="30"/>
      <c r="LQ110" s="30"/>
      <c r="LR110" s="30"/>
      <c r="LS110" s="30"/>
      <c r="LT110" s="30"/>
      <c r="LU110" s="30"/>
      <c r="LV110" s="30"/>
      <c r="LW110" s="30"/>
      <c r="LX110" s="30"/>
      <c r="LY110" s="30"/>
      <c r="LZ110" s="30"/>
      <c r="MA110" s="30"/>
      <c r="MB110" s="30"/>
      <c r="MC110" s="30"/>
      <c r="MD110" s="30"/>
      <c r="ME110" s="30"/>
      <c r="MF110" s="30"/>
      <c r="MG110" s="30"/>
      <c r="MH110" s="30"/>
      <c r="MI110" s="30"/>
      <c r="MJ110" s="30"/>
      <c r="MK110" s="30"/>
      <c r="ML110" s="30"/>
      <c r="MM110" s="30"/>
      <c r="MN110" s="30"/>
      <c r="MO110" s="30"/>
      <c r="MP110" s="30"/>
      <c r="MQ110" s="30"/>
      <c r="MR110" s="30"/>
      <c r="MS110" s="30"/>
      <c r="MT110" s="30"/>
      <c r="MU110" s="30"/>
      <c r="MV110" s="30"/>
      <c r="MW110" s="30"/>
      <c r="MX110" s="30"/>
      <c r="MY110" s="30"/>
      <c r="MZ110" s="30"/>
      <c r="NA110" s="30"/>
      <c r="NB110" s="30"/>
      <c r="NC110" s="30"/>
      <c r="ND110" s="30"/>
      <c r="NE110" s="30"/>
      <c r="NF110" s="30"/>
      <c r="NG110" s="30"/>
      <c r="NH110" s="30"/>
      <c r="NI110" s="30"/>
      <c r="NJ110" s="30"/>
      <c r="NK110" s="30"/>
      <c r="NL110" s="30"/>
      <c r="NM110" s="30"/>
      <c r="NN110" s="30"/>
      <c r="NO110" s="30"/>
      <c r="NP110" s="30"/>
      <c r="NQ110" s="30"/>
      <c r="NR110" s="30"/>
      <c r="NS110" s="30"/>
      <c r="NT110" s="30"/>
      <c r="NU110" s="30"/>
      <c r="NV110" s="30"/>
      <c r="NW110" s="30"/>
      <c r="NX110" s="30"/>
      <c r="NY110" s="30"/>
      <c r="NZ110" s="30"/>
      <c r="OA110" s="30"/>
      <c r="OB110" s="30"/>
      <c r="OC110" s="30"/>
      <c r="OD110" s="30"/>
      <c r="OE110" s="30"/>
      <c r="OF110" s="30"/>
      <c r="OG110" s="30"/>
      <c r="OH110" s="30"/>
      <c r="OI110" s="30"/>
      <c r="OJ110" s="30"/>
      <c r="OK110" s="30"/>
      <c r="OL110" s="30"/>
      <c r="OM110" s="30"/>
      <c r="ON110" s="30"/>
      <c r="OO110" s="30"/>
      <c r="OP110" s="30"/>
      <c r="OQ110" s="30"/>
      <c r="OR110" s="30"/>
      <c r="OS110" s="30"/>
      <c r="OT110" s="30"/>
      <c r="OU110" s="30"/>
      <c r="OV110" s="30"/>
      <c r="OW110" s="30"/>
      <c r="OX110" s="30"/>
      <c r="OY110" s="30"/>
      <c r="OZ110" s="30"/>
      <c r="PA110" s="30"/>
      <c r="PB110" s="30"/>
      <c r="PC110" s="30"/>
      <c r="PD110" s="30"/>
      <c r="PE110" s="30"/>
      <c r="PF110" s="30"/>
      <c r="PG110" s="30"/>
      <c r="PH110" s="30"/>
      <c r="PI110" s="30"/>
      <c r="PJ110" s="30"/>
      <c r="PK110" s="30"/>
      <c r="PL110" s="30"/>
      <c r="PM110" s="30"/>
      <c r="PN110" s="30"/>
      <c r="PO110" s="30"/>
      <c r="PP110" s="30"/>
      <c r="PQ110" s="30"/>
      <c r="PR110" s="30"/>
      <c r="PS110" s="30"/>
      <c r="PT110" s="30"/>
      <c r="PU110" s="30"/>
      <c r="PV110" s="30"/>
      <c r="PW110" s="30"/>
      <c r="PX110" s="30"/>
      <c r="PY110" s="30"/>
      <c r="PZ110" s="30"/>
      <c r="QA110" s="30"/>
      <c r="QB110" s="30"/>
      <c r="QC110" s="30"/>
      <c r="QD110" s="30"/>
      <c r="QE110" s="30"/>
      <c r="QF110" s="30"/>
      <c r="QG110" s="30"/>
      <c r="QH110" s="30"/>
      <c r="QI110" s="30"/>
      <c r="QJ110" s="30"/>
      <c r="QK110" s="30"/>
      <c r="QL110" s="30"/>
      <c r="QM110" s="30"/>
      <c r="QN110" s="30"/>
      <c r="QO110" s="30"/>
      <c r="QP110" s="30"/>
      <c r="QQ110" s="30"/>
      <c r="QR110" s="30"/>
      <c r="QS110" s="30"/>
      <c r="QT110" s="30"/>
      <c r="QU110" s="30"/>
      <c r="QV110" s="30"/>
      <c r="QW110" s="30"/>
      <c r="QX110" s="30"/>
      <c r="QY110" s="30"/>
      <c r="QZ110" s="30"/>
      <c r="RA110" s="30"/>
      <c r="RB110" s="30"/>
      <c r="RC110" s="30"/>
      <c r="RD110" s="30"/>
      <c r="RE110" s="30"/>
      <c r="RF110" s="30"/>
      <c r="RG110" s="30"/>
      <c r="RH110" s="30"/>
      <c r="RI110" s="30"/>
      <c r="RJ110" s="30"/>
      <c r="RK110" s="30"/>
      <c r="RL110" s="30"/>
      <c r="RM110" s="30"/>
      <c r="RN110" s="30"/>
      <c r="RO110" s="30"/>
      <c r="RP110" s="30"/>
      <c r="RQ110" s="30"/>
      <c r="RR110" s="30"/>
      <c r="RS110" s="30"/>
      <c r="RT110" s="30"/>
      <c r="RU110" s="30"/>
      <c r="RV110" s="30"/>
      <c r="RW110" s="30"/>
      <c r="RX110" s="30"/>
      <c r="RY110" s="30"/>
      <c r="RZ110" s="30"/>
      <c r="SA110" s="30"/>
      <c r="SB110" s="30"/>
      <c r="SC110" s="30"/>
      <c r="SD110" s="30"/>
    </row>
    <row r="111" spans="1:498" s="20" customFormat="1" ht="14.1" hidden="1" customHeight="1" x14ac:dyDescent="0.25">
      <c r="A111" s="59"/>
      <c r="B111" s="59" t="s">
        <v>18</v>
      </c>
      <c r="C111" s="59"/>
      <c r="D111" s="73">
        <f>IF(K111="N/A","N/A",SUM(F111:AI111)*12)</f>
        <v>57594.359460271487</v>
      </c>
      <c r="E111" s="43"/>
      <c r="F111" s="34">
        <f>($C$10*$C$11)/12</f>
        <v>214.58333333333334</v>
      </c>
      <c r="G111" s="29">
        <f>($C$10*$C$11)/12</f>
        <v>214.58333333333334</v>
      </c>
      <c r="H111" s="29">
        <f>($C$10*$C$11)/12</f>
        <v>214.58333333333334</v>
      </c>
      <c r="I111" s="29">
        <f>($C$10*$C$11)/12</f>
        <v>214.58333333333334</v>
      </c>
      <c r="J111" s="29">
        <f>IF($C$10&lt;10000,PMT($C$11/$C$12,8*$C$12,-$C$10),IF($C$10&lt;20000,PMT($C$11/$C$12,11*$C$12,-$C$10),IF($C$10&lt;40000,PMT($C$11/$C$12,16*$C$12,-$C$10),IF($C$10&lt;60000,PMT($C$11/$C$12,21*$C$12,-$C$10),PMT($C$11/$C$12,26*$C$12,-$C$10)))))</f>
        <v>246.32478885558058</v>
      </c>
      <c r="K111" s="29">
        <f>IF(J111&gt;($F$111*3),"N/A",J111)</f>
        <v>246.32478885558058</v>
      </c>
      <c r="L111" s="29">
        <f t="shared" si="55"/>
        <v>246.32478885558058</v>
      </c>
      <c r="M111" s="29">
        <f t="shared" si="55"/>
        <v>246.32478885558058</v>
      </c>
      <c r="N111" s="29">
        <f t="shared" si="55"/>
        <v>246.32478885558058</v>
      </c>
      <c r="O111" s="29">
        <f t="shared" si="55"/>
        <v>246.32478885558058</v>
      </c>
      <c r="P111" s="29">
        <f t="shared" si="55"/>
        <v>246.32478885558058</v>
      </c>
      <c r="Q111" s="29">
        <f t="shared" si="55"/>
        <v>246.32478885558058</v>
      </c>
      <c r="R111" s="29">
        <f>IF($C$10&lt;10000,0,Q111)</f>
        <v>246.32478885558058</v>
      </c>
      <c r="S111" s="29">
        <f>R111</f>
        <v>246.32478885558058</v>
      </c>
      <c r="T111" s="29">
        <f>S111</f>
        <v>246.32478885558058</v>
      </c>
      <c r="U111" s="29">
        <f>IF($C$10&lt;20000,0,T111)</f>
        <v>246.32478885558058</v>
      </c>
      <c r="V111" s="29">
        <f t="shared" si="56"/>
        <v>246.32478885558058</v>
      </c>
      <c r="W111" s="29">
        <f t="shared" si="56"/>
        <v>246.32478885558058</v>
      </c>
      <c r="X111" s="29">
        <f t="shared" si="56"/>
        <v>246.32478885558058</v>
      </c>
      <c r="Y111" s="29">
        <f t="shared" si="56"/>
        <v>246.32478885558058</v>
      </c>
      <c r="Z111" s="29">
        <f>IF($C$10&lt;40000,0,Y111)</f>
        <v>0</v>
      </c>
      <c r="AA111" s="29">
        <f t="shared" si="57"/>
        <v>0</v>
      </c>
      <c r="AB111" s="29">
        <f t="shared" si="57"/>
        <v>0</v>
      </c>
      <c r="AC111" s="29">
        <f t="shared" si="57"/>
        <v>0</v>
      </c>
      <c r="AD111" s="29">
        <f t="shared" si="57"/>
        <v>0</v>
      </c>
      <c r="AE111" s="29">
        <f>IF($C$10&lt;60000,0,AD111)</f>
        <v>0</v>
      </c>
      <c r="AF111" s="29">
        <f t="shared" si="58"/>
        <v>0</v>
      </c>
      <c r="AG111" s="29">
        <f t="shared" si="58"/>
        <v>0</v>
      </c>
      <c r="AH111" s="29">
        <f t="shared" si="58"/>
        <v>0</v>
      </c>
      <c r="AI111" s="29">
        <f t="shared" si="58"/>
        <v>0</v>
      </c>
      <c r="AJ111" s="59"/>
      <c r="AK111" s="59"/>
      <c r="AL111" s="59"/>
      <c r="AM111" s="59"/>
      <c r="AN111" s="59"/>
      <c r="AO111" s="59"/>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0"/>
      <c r="BX111" s="30"/>
      <c r="BY111" s="30"/>
      <c r="BZ111" s="30"/>
      <c r="CA111" s="30"/>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30"/>
      <c r="FI111" s="30"/>
      <c r="FJ111" s="30"/>
      <c r="FK111" s="30"/>
      <c r="FL111" s="30"/>
      <c r="FM111" s="30"/>
      <c r="FN111" s="30"/>
      <c r="FO111" s="30"/>
      <c r="FP111" s="30"/>
      <c r="FQ111" s="30"/>
      <c r="FR111" s="30"/>
      <c r="FS111" s="30"/>
      <c r="FT111" s="30"/>
      <c r="FU111" s="30"/>
      <c r="FV111" s="30"/>
      <c r="FW111" s="30"/>
      <c r="FX111" s="30"/>
      <c r="FY111" s="30"/>
      <c r="FZ111" s="30"/>
      <c r="GA111" s="30"/>
      <c r="GB111" s="30"/>
      <c r="GC111" s="30"/>
      <c r="GD111" s="30"/>
      <c r="GE111" s="30"/>
      <c r="GF111" s="30"/>
      <c r="GG111" s="30"/>
      <c r="GH111" s="30"/>
      <c r="GI111" s="30"/>
      <c r="GJ111" s="30"/>
      <c r="GK111" s="30"/>
      <c r="GL111" s="30"/>
      <c r="GM111" s="30"/>
      <c r="GN111" s="30"/>
      <c r="GO111" s="30"/>
      <c r="GP111" s="30"/>
      <c r="GQ111" s="30"/>
      <c r="GR111" s="30"/>
      <c r="GS111" s="30"/>
      <c r="GT111" s="30"/>
      <c r="GU111" s="30"/>
      <c r="GV111" s="30"/>
      <c r="GW111" s="30"/>
      <c r="GX111" s="30"/>
      <c r="GY111" s="30"/>
      <c r="GZ111" s="30"/>
      <c r="HA111" s="30"/>
      <c r="HB111" s="30"/>
      <c r="HC111" s="30"/>
      <c r="HD111" s="30"/>
      <c r="HE111" s="30"/>
      <c r="HF111" s="30"/>
      <c r="HG111" s="30"/>
      <c r="HH111" s="30"/>
      <c r="HI111" s="30"/>
      <c r="HJ111" s="30"/>
      <c r="HK111" s="30"/>
      <c r="HL111" s="30"/>
      <c r="HM111" s="30"/>
      <c r="HN111" s="30"/>
      <c r="HO111" s="30"/>
      <c r="HP111" s="30"/>
      <c r="HQ111" s="30"/>
      <c r="HR111" s="30"/>
      <c r="HS111" s="30"/>
      <c r="HT111" s="30"/>
      <c r="HU111" s="30"/>
      <c r="HV111" s="30"/>
      <c r="HW111" s="30"/>
      <c r="HX111" s="30"/>
      <c r="HY111" s="30"/>
      <c r="HZ111" s="30"/>
      <c r="IA111" s="30"/>
      <c r="IB111" s="30"/>
      <c r="IC111" s="30"/>
      <c r="ID111" s="30"/>
      <c r="IE111" s="30"/>
      <c r="IF111" s="30"/>
      <c r="IG111" s="30"/>
      <c r="IH111" s="30"/>
      <c r="II111" s="30"/>
      <c r="IJ111" s="30"/>
      <c r="IK111" s="30"/>
      <c r="IL111" s="30"/>
      <c r="IM111" s="30"/>
      <c r="IN111" s="30"/>
      <c r="IO111" s="30"/>
      <c r="IP111" s="30"/>
      <c r="IQ111" s="30"/>
      <c r="IR111" s="30"/>
      <c r="IS111" s="30"/>
      <c r="IT111" s="30"/>
      <c r="IU111" s="30"/>
      <c r="IV111" s="30"/>
      <c r="IW111" s="30"/>
      <c r="IX111" s="30"/>
      <c r="IY111" s="30"/>
      <c r="IZ111" s="30"/>
      <c r="JA111" s="30"/>
      <c r="JB111" s="30"/>
      <c r="JC111" s="30"/>
      <c r="JD111" s="30"/>
      <c r="JE111" s="30"/>
      <c r="JF111" s="30"/>
      <c r="JG111" s="30"/>
      <c r="JH111" s="30"/>
      <c r="JI111" s="30"/>
      <c r="JJ111" s="30"/>
      <c r="JK111" s="30"/>
      <c r="JL111" s="30"/>
      <c r="JM111" s="30"/>
      <c r="JN111" s="30"/>
      <c r="JO111" s="30"/>
      <c r="JP111" s="30"/>
      <c r="JQ111" s="30"/>
      <c r="JR111" s="30"/>
      <c r="JS111" s="30"/>
      <c r="JT111" s="30"/>
      <c r="JU111" s="30"/>
      <c r="JV111" s="30"/>
      <c r="JW111" s="30"/>
      <c r="JX111" s="30"/>
      <c r="JY111" s="30"/>
      <c r="JZ111" s="30"/>
      <c r="KA111" s="30"/>
      <c r="KB111" s="30"/>
      <c r="KC111" s="30"/>
      <c r="KD111" s="30"/>
      <c r="KE111" s="30"/>
      <c r="KF111" s="30"/>
      <c r="KG111" s="30"/>
      <c r="KH111" s="30"/>
      <c r="KI111" s="30"/>
      <c r="KJ111" s="30"/>
      <c r="KK111" s="30"/>
      <c r="KL111" s="30"/>
      <c r="KM111" s="30"/>
      <c r="KN111" s="30"/>
      <c r="KO111" s="30"/>
      <c r="KP111" s="30"/>
      <c r="KQ111" s="30"/>
      <c r="KR111" s="30"/>
      <c r="KS111" s="30"/>
      <c r="KT111" s="30"/>
      <c r="KU111" s="30"/>
      <c r="KV111" s="30"/>
      <c r="KW111" s="30"/>
      <c r="KX111" s="30"/>
      <c r="KY111" s="30"/>
      <c r="KZ111" s="30"/>
      <c r="LA111" s="30"/>
      <c r="LB111" s="30"/>
      <c r="LC111" s="30"/>
      <c r="LD111" s="30"/>
      <c r="LE111" s="30"/>
      <c r="LF111" s="30"/>
      <c r="LG111" s="30"/>
      <c r="LH111" s="30"/>
      <c r="LI111" s="30"/>
      <c r="LJ111" s="30"/>
      <c r="LK111" s="30"/>
      <c r="LL111" s="30"/>
      <c r="LM111" s="30"/>
      <c r="LN111" s="30"/>
      <c r="LO111" s="30"/>
      <c r="LP111" s="30"/>
      <c r="LQ111" s="30"/>
      <c r="LR111" s="30"/>
      <c r="LS111" s="30"/>
      <c r="LT111" s="30"/>
      <c r="LU111" s="30"/>
      <c r="LV111" s="30"/>
      <c r="LW111" s="30"/>
      <c r="LX111" s="30"/>
      <c r="LY111" s="30"/>
      <c r="LZ111" s="30"/>
      <c r="MA111" s="30"/>
      <c r="MB111" s="30"/>
      <c r="MC111" s="30"/>
      <c r="MD111" s="30"/>
      <c r="ME111" s="30"/>
      <c r="MF111" s="30"/>
      <c r="MG111" s="30"/>
      <c r="MH111" s="30"/>
      <c r="MI111" s="30"/>
      <c r="MJ111" s="30"/>
      <c r="MK111" s="30"/>
      <c r="ML111" s="30"/>
      <c r="MM111" s="30"/>
      <c r="MN111" s="30"/>
      <c r="MO111" s="30"/>
      <c r="MP111" s="30"/>
      <c r="MQ111" s="30"/>
      <c r="MR111" s="30"/>
      <c r="MS111" s="30"/>
      <c r="MT111" s="30"/>
      <c r="MU111" s="30"/>
      <c r="MV111" s="30"/>
      <c r="MW111" s="30"/>
      <c r="MX111" s="30"/>
      <c r="MY111" s="30"/>
      <c r="MZ111" s="30"/>
      <c r="NA111" s="30"/>
      <c r="NB111" s="30"/>
      <c r="NC111" s="30"/>
      <c r="ND111" s="30"/>
      <c r="NE111" s="30"/>
      <c r="NF111" s="30"/>
      <c r="NG111" s="30"/>
      <c r="NH111" s="30"/>
      <c r="NI111" s="30"/>
      <c r="NJ111" s="30"/>
      <c r="NK111" s="30"/>
      <c r="NL111" s="30"/>
      <c r="NM111" s="30"/>
      <c r="NN111" s="30"/>
      <c r="NO111" s="30"/>
      <c r="NP111" s="30"/>
      <c r="NQ111" s="30"/>
      <c r="NR111" s="30"/>
      <c r="NS111" s="30"/>
      <c r="NT111" s="30"/>
      <c r="NU111" s="30"/>
      <c r="NV111" s="30"/>
      <c r="NW111" s="30"/>
      <c r="NX111" s="30"/>
      <c r="NY111" s="30"/>
      <c r="NZ111" s="30"/>
      <c r="OA111" s="30"/>
      <c r="OB111" s="30"/>
      <c r="OC111" s="30"/>
      <c r="OD111" s="30"/>
      <c r="OE111" s="30"/>
      <c r="OF111" s="30"/>
      <c r="OG111" s="30"/>
      <c r="OH111" s="30"/>
      <c r="OI111" s="30"/>
      <c r="OJ111" s="30"/>
      <c r="OK111" s="30"/>
      <c r="OL111" s="30"/>
      <c r="OM111" s="30"/>
      <c r="ON111" s="30"/>
      <c r="OO111" s="30"/>
      <c r="OP111" s="30"/>
      <c r="OQ111" s="30"/>
      <c r="OR111" s="30"/>
      <c r="OS111" s="30"/>
      <c r="OT111" s="30"/>
      <c r="OU111" s="30"/>
      <c r="OV111" s="30"/>
      <c r="OW111" s="30"/>
      <c r="OX111" s="30"/>
      <c r="OY111" s="30"/>
      <c r="OZ111" s="30"/>
      <c r="PA111" s="30"/>
      <c r="PB111" s="30"/>
      <c r="PC111" s="30"/>
      <c r="PD111" s="30"/>
      <c r="PE111" s="30"/>
      <c r="PF111" s="30"/>
      <c r="PG111" s="30"/>
      <c r="PH111" s="30"/>
      <c r="PI111" s="30"/>
      <c r="PJ111" s="30"/>
      <c r="PK111" s="30"/>
      <c r="PL111" s="30"/>
      <c r="PM111" s="30"/>
      <c r="PN111" s="30"/>
      <c r="PO111" s="30"/>
      <c r="PP111" s="30"/>
      <c r="PQ111" s="30"/>
      <c r="PR111" s="30"/>
      <c r="PS111" s="30"/>
      <c r="PT111" s="30"/>
      <c r="PU111" s="30"/>
      <c r="PV111" s="30"/>
      <c r="PW111" s="30"/>
      <c r="PX111" s="30"/>
      <c r="PY111" s="30"/>
      <c r="PZ111" s="30"/>
      <c r="QA111" s="30"/>
      <c r="QB111" s="30"/>
      <c r="QC111" s="30"/>
      <c r="QD111" s="30"/>
      <c r="QE111" s="30"/>
      <c r="QF111" s="30"/>
      <c r="QG111" s="30"/>
      <c r="QH111" s="30"/>
      <c r="QI111" s="30"/>
      <c r="QJ111" s="30"/>
      <c r="QK111" s="30"/>
      <c r="QL111" s="30"/>
      <c r="QM111" s="30"/>
      <c r="QN111" s="30"/>
      <c r="QO111" s="30"/>
      <c r="QP111" s="30"/>
      <c r="QQ111" s="30"/>
      <c r="QR111" s="30"/>
      <c r="QS111" s="30"/>
      <c r="QT111" s="30"/>
      <c r="QU111" s="30"/>
      <c r="QV111" s="30"/>
      <c r="QW111" s="30"/>
      <c r="QX111" s="30"/>
      <c r="QY111" s="30"/>
      <c r="QZ111" s="30"/>
      <c r="RA111" s="30"/>
      <c r="RB111" s="30"/>
      <c r="RC111" s="30"/>
      <c r="RD111" s="30"/>
      <c r="RE111" s="30"/>
      <c r="RF111" s="30"/>
      <c r="RG111" s="30"/>
      <c r="RH111" s="30"/>
      <c r="RI111" s="30"/>
      <c r="RJ111" s="30"/>
      <c r="RK111" s="30"/>
      <c r="RL111" s="30"/>
      <c r="RM111" s="30"/>
      <c r="RN111" s="30"/>
      <c r="RO111" s="30"/>
      <c r="RP111" s="30"/>
      <c r="RQ111" s="30"/>
      <c r="RR111" s="30"/>
      <c r="RS111" s="30"/>
      <c r="RT111" s="30"/>
      <c r="RU111" s="30"/>
      <c r="RV111" s="30"/>
      <c r="RW111" s="30"/>
      <c r="RX111" s="30"/>
      <c r="RY111" s="30"/>
      <c r="RZ111" s="30"/>
      <c r="SA111" s="30"/>
      <c r="SB111" s="30"/>
      <c r="SC111" s="30"/>
      <c r="SD111" s="30"/>
    </row>
    <row r="112" spans="1:498" s="20" customFormat="1" ht="14.1" hidden="1" customHeight="1" x14ac:dyDescent="0.25">
      <c r="A112" s="59"/>
      <c r="B112" s="59"/>
      <c r="C112" s="59"/>
      <c r="D112" s="73"/>
      <c r="E112" s="43" t="s">
        <v>83</v>
      </c>
      <c r="F112" s="210">
        <f>F113*12</f>
        <v>3565.7847783083384</v>
      </c>
      <c r="G112" s="210">
        <f t="shared" ref="G112:O112" si="60">G113*12</f>
        <v>3565.7847783083384</v>
      </c>
      <c r="H112" s="210">
        <f t="shared" si="60"/>
        <v>3565.7847783083384</v>
      </c>
      <c r="I112" s="210">
        <f t="shared" si="60"/>
        <v>3565.7847783083384</v>
      </c>
      <c r="J112" s="210">
        <f t="shared" si="60"/>
        <v>3565.7847783083384</v>
      </c>
      <c r="K112" s="210">
        <f t="shared" si="60"/>
        <v>3565.7847783083384</v>
      </c>
      <c r="L112" s="210">
        <f t="shared" si="60"/>
        <v>3565.7847783083384</v>
      </c>
      <c r="M112" s="210">
        <f t="shared" si="60"/>
        <v>3565.7847783083384</v>
      </c>
      <c r="N112" s="210">
        <f t="shared" si="60"/>
        <v>3565.7847783083384</v>
      </c>
      <c r="O112" s="210">
        <f t="shared" si="60"/>
        <v>3565.7847783083384</v>
      </c>
      <c r="P112" s="29"/>
      <c r="Q112" s="29"/>
      <c r="R112" s="29"/>
      <c r="S112" s="29"/>
      <c r="T112" s="29"/>
      <c r="U112" s="29"/>
      <c r="V112" s="29"/>
      <c r="W112" s="29"/>
      <c r="X112" s="29"/>
      <c r="Y112" s="29"/>
      <c r="Z112" s="29"/>
      <c r="AA112" s="29"/>
      <c r="AB112" s="29"/>
      <c r="AC112" s="29"/>
      <c r="AD112" s="29"/>
      <c r="AE112" s="29"/>
      <c r="AF112" s="29"/>
      <c r="AG112" s="29"/>
      <c r="AH112" s="29"/>
      <c r="AI112" s="29"/>
      <c r="AJ112" s="59"/>
      <c r="AK112" s="59"/>
      <c r="AL112" s="59"/>
      <c r="AM112" s="59"/>
      <c r="AN112" s="59"/>
      <c r="AO112" s="59"/>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c r="CA112" s="30"/>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c r="FG112" s="30"/>
      <c r="FH112" s="30"/>
      <c r="FI112" s="30"/>
      <c r="FJ112" s="30"/>
      <c r="FK112" s="30"/>
      <c r="FL112" s="30"/>
      <c r="FM112" s="30"/>
      <c r="FN112" s="30"/>
      <c r="FO112" s="30"/>
      <c r="FP112" s="30"/>
      <c r="FQ112" s="30"/>
      <c r="FR112" s="30"/>
      <c r="FS112" s="30"/>
      <c r="FT112" s="30"/>
      <c r="FU112" s="30"/>
      <c r="FV112" s="30"/>
      <c r="FW112" s="30"/>
      <c r="FX112" s="30"/>
      <c r="FY112" s="30"/>
      <c r="FZ112" s="30"/>
      <c r="GA112" s="30"/>
      <c r="GB112" s="30"/>
      <c r="GC112" s="30"/>
      <c r="GD112" s="30"/>
      <c r="GE112" s="30"/>
      <c r="GF112" s="30"/>
      <c r="GG112" s="30"/>
      <c r="GH112" s="30"/>
      <c r="GI112" s="30"/>
      <c r="GJ112" s="30"/>
      <c r="GK112" s="30"/>
      <c r="GL112" s="30"/>
      <c r="GM112" s="30"/>
      <c r="GN112" s="30"/>
      <c r="GO112" s="30"/>
      <c r="GP112" s="30"/>
      <c r="GQ112" s="30"/>
      <c r="GR112" s="30"/>
      <c r="GS112" s="30"/>
      <c r="GT112" s="30"/>
      <c r="GU112" s="30"/>
      <c r="GV112" s="30"/>
      <c r="GW112" s="30"/>
      <c r="GX112" s="30"/>
      <c r="GY112" s="30"/>
      <c r="GZ112" s="30"/>
      <c r="HA112" s="30"/>
      <c r="HB112" s="30"/>
      <c r="HC112" s="30"/>
      <c r="HD112" s="30"/>
      <c r="HE112" s="30"/>
      <c r="HF112" s="30"/>
      <c r="HG112" s="30"/>
      <c r="HH112" s="30"/>
      <c r="HI112" s="30"/>
      <c r="HJ112" s="30"/>
      <c r="HK112" s="30"/>
      <c r="HL112" s="30"/>
      <c r="HM112" s="30"/>
      <c r="HN112" s="30"/>
      <c r="HO112" s="30"/>
      <c r="HP112" s="30"/>
      <c r="HQ112" s="30"/>
      <c r="HR112" s="30"/>
      <c r="HS112" s="30"/>
      <c r="HT112" s="30"/>
      <c r="HU112" s="30"/>
      <c r="HV112" s="30"/>
      <c r="HW112" s="30"/>
      <c r="HX112" s="30"/>
      <c r="HY112" s="30"/>
      <c r="HZ112" s="30"/>
      <c r="IA112" s="30"/>
      <c r="IB112" s="30"/>
      <c r="IC112" s="30"/>
      <c r="ID112" s="30"/>
      <c r="IE112" s="30"/>
      <c r="IF112" s="30"/>
      <c r="IG112" s="30"/>
      <c r="IH112" s="30"/>
      <c r="II112" s="30"/>
      <c r="IJ112" s="30"/>
      <c r="IK112" s="30"/>
      <c r="IL112" s="30"/>
      <c r="IM112" s="30"/>
      <c r="IN112" s="30"/>
      <c r="IO112" s="30"/>
      <c r="IP112" s="30"/>
      <c r="IQ112" s="30"/>
      <c r="IR112" s="30"/>
      <c r="IS112" s="30"/>
      <c r="IT112" s="30"/>
      <c r="IU112" s="30"/>
      <c r="IV112" s="30"/>
      <c r="IW112" s="30"/>
      <c r="IX112" s="30"/>
      <c r="IY112" s="30"/>
      <c r="IZ112" s="30"/>
      <c r="JA112" s="30"/>
      <c r="JB112" s="30"/>
      <c r="JC112" s="30"/>
      <c r="JD112" s="30"/>
      <c r="JE112" s="30"/>
      <c r="JF112" s="30"/>
      <c r="JG112" s="30"/>
      <c r="JH112" s="30"/>
      <c r="JI112" s="30"/>
      <c r="JJ112" s="30"/>
      <c r="JK112" s="30"/>
      <c r="JL112" s="30"/>
      <c r="JM112" s="30"/>
      <c r="JN112" s="30"/>
      <c r="JO112" s="30"/>
      <c r="JP112" s="30"/>
      <c r="JQ112" s="30"/>
      <c r="JR112" s="30"/>
      <c r="JS112" s="30"/>
      <c r="JT112" s="30"/>
      <c r="JU112" s="30"/>
      <c r="JV112" s="30"/>
      <c r="JW112" s="30"/>
      <c r="JX112" s="30"/>
      <c r="JY112" s="30"/>
      <c r="JZ112" s="30"/>
      <c r="KA112" s="30"/>
      <c r="KB112" s="30"/>
      <c r="KC112" s="30"/>
      <c r="KD112" s="30"/>
      <c r="KE112" s="30"/>
      <c r="KF112" s="30"/>
      <c r="KG112" s="30"/>
      <c r="KH112" s="30"/>
      <c r="KI112" s="30"/>
      <c r="KJ112" s="30"/>
      <c r="KK112" s="30"/>
      <c r="KL112" s="30"/>
      <c r="KM112" s="30"/>
      <c r="KN112" s="30"/>
      <c r="KO112" s="30"/>
      <c r="KP112" s="30"/>
      <c r="KQ112" s="30"/>
      <c r="KR112" s="30"/>
      <c r="KS112" s="30"/>
      <c r="KT112" s="30"/>
      <c r="KU112" s="30"/>
      <c r="KV112" s="30"/>
      <c r="KW112" s="30"/>
      <c r="KX112" s="30"/>
      <c r="KY112" s="30"/>
      <c r="KZ112" s="30"/>
      <c r="LA112" s="30"/>
      <c r="LB112" s="30"/>
      <c r="LC112" s="30"/>
      <c r="LD112" s="30"/>
      <c r="LE112" s="30"/>
      <c r="LF112" s="30"/>
      <c r="LG112" s="30"/>
      <c r="LH112" s="30"/>
      <c r="LI112" s="30"/>
      <c r="LJ112" s="30"/>
      <c r="LK112" s="30"/>
      <c r="LL112" s="30"/>
      <c r="LM112" s="30"/>
      <c r="LN112" s="30"/>
      <c r="LO112" s="30"/>
      <c r="LP112" s="30"/>
      <c r="LQ112" s="30"/>
      <c r="LR112" s="30"/>
      <c r="LS112" s="30"/>
      <c r="LT112" s="30"/>
      <c r="LU112" s="30"/>
      <c r="LV112" s="30"/>
      <c r="LW112" s="30"/>
      <c r="LX112" s="30"/>
      <c r="LY112" s="30"/>
      <c r="LZ112" s="30"/>
      <c r="MA112" s="30"/>
      <c r="MB112" s="30"/>
      <c r="MC112" s="30"/>
      <c r="MD112" s="30"/>
      <c r="ME112" s="30"/>
      <c r="MF112" s="30"/>
      <c r="MG112" s="30"/>
      <c r="MH112" s="30"/>
      <c r="MI112" s="30"/>
      <c r="MJ112" s="30"/>
      <c r="MK112" s="30"/>
      <c r="ML112" s="30"/>
      <c r="MM112" s="30"/>
      <c r="MN112" s="30"/>
      <c r="MO112" s="30"/>
      <c r="MP112" s="30"/>
      <c r="MQ112" s="30"/>
      <c r="MR112" s="30"/>
      <c r="MS112" s="30"/>
      <c r="MT112" s="30"/>
      <c r="MU112" s="30"/>
      <c r="MV112" s="30"/>
      <c r="MW112" s="30"/>
      <c r="MX112" s="30"/>
      <c r="MY112" s="30"/>
      <c r="MZ112" s="30"/>
      <c r="NA112" s="30"/>
      <c r="NB112" s="30"/>
      <c r="NC112" s="30"/>
      <c r="ND112" s="30"/>
      <c r="NE112" s="30"/>
      <c r="NF112" s="30"/>
      <c r="NG112" s="30"/>
      <c r="NH112" s="30"/>
      <c r="NI112" s="30"/>
      <c r="NJ112" s="30"/>
      <c r="NK112" s="30"/>
      <c r="NL112" s="30"/>
      <c r="NM112" s="30"/>
      <c r="NN112" s="30"/>
      <c r="NO112" s="30"/>
      <c r="NP112" s="30"/>
      <c r="NQ112" s="30"/>
      <c r="NR112" s="30"/>
      <c r="NS112" s="30"/>
      <c r="NT112" s="30"/>
      <c r="NU112" s="30"/>
      <c r="NV112" s="30"/>
      <c r="NW112" s="30"/>
      <c r="NX112" s="30"/>
      <c r="NY112" s="30"/>
      <c r="NZ112" s="30"/>
      <c r="OA112" s="30"/>
      <c r="OB112" s="30"/>
      <c r="OC112" s="30"/>
      <c r="OD112" s="30"/>
      <c r="OE112" s="30"/>
      <c r="OF112" s="30"/>
      <c r="OG112" s="30"/>
      <c r="OH112" s="30"/>
      <c r="OI112" s="30"/>
      <c r="OJ112" s="30"/>
      <c r="OK112" s="30"/>
      <c r="OL112" s="30"/>
      <c r="OM112" s="30"/>
      <c r="ON112" s="30"/>
      <c r="OO112" s="30"/>
      <c r="OP112" s="30"/>
      <c r="OQ112" s="30"/>
      <c r="OR112" s="30"/>
      <c r="OS112" s="30"/>
      <c r="OT112" s="30"/>
      <c r="OU112" s="30"/>
      <c r="OV112" s="30"/>
      <c r="OW112" s="30"/>
      <c r="OX112" s="30"/>
      <c r="OY112" s="30"/>
      <c r="OZ112" s="30"/>
      <c r="PA112" s="30"/>
      <c r="PB112" s="30"/>
      <c r="PC112" s="30"/>
      <c r="PD112" s="30"/>
      <c r="PE112" s="30"/>
      <c r="PF112" s="30"/>
      <c r="PG112" s="30"/>
      <c r="PH112" s="30"/>
      <c r="PI112" s="30"/>
      <c r="PJ112" s="30"/>
      <c r="PK112" s="30"/>
      <c r="PL112" s="30"/>
      <c r="PM112" s="30"/>
      <c r="PN112" s="30"/>
      <c r="PO112" s="30"/>
      <c r="PP112" s="30"/>
      <c r="PQ112" s="30"/>
      <c r="PR112" s="30"/>
      <c r="PS112" s="30"/>
      <c r="PT112" s="30"/>
      <c r="PU112" s="30"/>
      <c r="PV112" s="30"/>
      <c r="PW112" s="30"/>
      <c r="PX112" s="30"/>
      <c r="PY112" s="30"/>
      <c r="PZ112" s="30"/>
      <c r="QA112" s="30"/>
      <c r="QB112" s="30"/>
      <c r="QC112" s="30"/>
      <c r="QD112" s="30"/>
      <c r="QE112" s="30"/>
      <c r="QF112" s="30"/>
      <c r="QG112" s="30"/>
      <c r="QH112" s="30"/>
      <c r="QI112" s="30"/>
      <c r="QJ112" s="30"/>
      <c r="QK112" s="30"/>
      <c r="QL112" s="30"/>
      <c r="QM112" s="30"/>
      <c r="QN112" s="30"/>
      <c r="QO112" s="30"/>
      <c r="QP112" s="30"/>
      <c r="QQ112" s="30"/>
      <c r="QR112" s="30"/>
      <c r="QS112" s="30"/>
      <c r="QT112" s="30"/>
      <c r="QU112" s="30"/>
      <c r="QV112" s="30"/>
      <c r="QW112" s="30"/>
      <c r="QX112" s="30"/>
      <c r="QY112" s="30"/>
      <c r="QZ112" s="30"/>
      <c r="RA112" s="30"/>
      <c r="RB112" s="30"/>
      <c r="RC112" s="30"/>
      <c r="RD112" s="30"/>
      <c r="RE112" s="30"/>
      <c r="RF112" s="30"/>
      <c r="RG112" s="30"/>
      <c r="RH112" s="30"/>
      <c r="RI112" s="30"/>
      <c r="RJ112" s="30"/>
      <c r="RK112" s="30"/>
      <c r="RL112" s="30"/>
      <c r="RM112" s="30"/>
      <c r="RN112" s="30"/>
      <c r="RO112" s="30"/>
      <c r="RP112" s="30"/>
      <c r="RQ112" s="30"/>
      <c r="RR112" s="30"/>
      <c r="RS112" s="30"/>
      <c r="RT112" s="30"/>
      <c r="RU112" s="30"/>
      <c r="RV112" s="30"/>
      <c r="RW112" s="30"/>
      <c r="RX112" s="30"/>
      <c r="RY112" s="30"/>
      <c r="RZ112" s="30"/>
      <c r="SA112" s="30"/>
      <c r="SB112" s="30"/>
      <c r="SC112" s="30"/>
      <c r="SD112" s="30"/>
    </row>
    <row r="113" spans="1:498" s="20" customFormat="1" ht="14.1" hidden="1" customHeight="1" x14ac:dyDescent="0.25">
      <c r="A113" s="59"/>
      <c r="B113" s="59"/>
      <c r="C113" s="74">
        <f>PMT(C$11/12,10*12,-C$10)</f>
        <v>297.14873152569487</v>
      </c>
      <c r="D113" s="59"/>
      <c r="E113" s="44" t="s">
        <v>19</v>
      </c>
      <c r="F113" s="34">
        <f>PMT(C$11/12,10*12,-C$10)</f>
        <v>297.14873152569487</v>
      </c>
      <c r="G113" s="29">
        <f t="shared" ref="G113:O113" si="61">$F$113</f>
        <v>297.14873152569487</v>
      </c>
      <c r="H113" s="29">
        <f t="shared" si="61"/>
        <v>297.14873152569487</v>
      </c>
      <c r="I113" s="29">
        <f t="shared" si="61"/>
        <v>297.14873152569487</v>
      </c>
      <c r="J113" s="29">
        <f t="shared" si="61"/>
        <v>297.14873152569487</v>
      </c>
      <c r="K113" s="29">
        <f t="shared" si="61"/>
        <v>297.14873152569487</v>
      </c>
      <c r="L113" s="29">
        <f t="shared" si="61"/>
        <v>297.14873152569487</v>
      </c>
      <c r="M113" s="29">
        <f t="shared" si="61"/>
        <v>297.14873152569487</v>
      </c>
      <c r="N113" s="29">
        <f t="shared" si="61"/>
        <v>297.14873152569487</v>
      </c>
      <c r="O113" s="29">
        <f t="shared" si="61"/>
        <v>297.14873152569487</v>
      </c>
      <c r="P113" s="29">
        <v>0</v>
      </c>
      <c r="Q113" s="29">
        <v>0</v>
      </c>
      <c r="R113" s="29">
        <v>0</v>
      </c>
      <c r="S113" s="29">
        <v>0</v>
      </c>
      <c r="T113" s="29">
        <v>0</v>
      </c>
      <c r="U113" s="29">
        <v>0</v>
      </c>
      <c r="V113" s="29">
        <v>0</v>
      </c>
      <c r="W113" s="29">
        <v>0</v>
      </c>
      <c r="X113" s="29">
        <v>0</v>
      </c>
      <c r="Y113" s="29">
        <v>0</v>
      </c>
      <c r="Z113" s="29">
        <v>0</v>
      </c>
      <c r="AA113" s="29">
        <v>0</v>
      </c>
      <c r="AB113" s="29">
        <v>0</v>
      </c>
      <c r="AC113" s="29">
        <v>0</v>
      </c>
      <c r="AD113" s="29">
        <v>0</v>
      </c>
      <c r="AE113" s="29"/>
      <c r="AF113" s="29"/>
      <c r="AG113" s="29"/>
      <c r="AH113" s="29"/>
      <c r="AI113" s="29"/>
      <c r="AJ113" s="59"/>
      <c r="AK113" s="59"/>
      <c r="AL113" s="59"/>
      <c r="AM113" s="59"/>
      <c r="AN113" s="59"/>
      <c r="AO113" s="59"/>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0"/>
      <c r="BU113" s="30"/>
      <c r="BV113" s="30"/>
      <c r="BW113" s="30"/>
      <c r="BX113" s="30"/>
      <c r="BY113" s="30"/>
      <c r="BZ113" s="30"/>
      <c r="CA113" s="30"/>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30"/>
      <c r="FI113" s="30"/>
      <c r="FJ113" s="30"/>
      <c r="FK113" s="30"/>
      <c r="FL113" s="30"/>
      <c r="FM113" s="30"/>
      <c r="FN113" s="30"/>
      <c r="FO113" s="30"/>
      <c r="FP113" s="30"/>
      <c r="FQ113" s="30"/>
      <c r="FR113" s="30"/>
      <c r="FS113" s="30"/>
      <c r="FT113" s="30"/>
      <c r="FU113" s="30"/>
      <c r="FV113" s="30"/>
      <c r="FW113" s="30"/>
      <c r="FX113" s="30"/>
      <c r="FY113" s="30"/>
      <c r="FZ113" s="30"/>
      <c r="GA113" s="30"/>
      <c r="GB113" s="30"/>
      <c r="GC113" s="30"/>
      <c r="GD113" s="30"/>
      <c r="GE113" s="30"/>
      <c r="GF113" s="30"/>
      <c r="GG113" s="30"/>
      <c r="GH113" s="30"/>
      <c r="GI113" s="30"/>
      <c r="GJ113" s="30"/>
      <c r="GK113" s="30"/>
      <c r="GL113" s="30"/>
      <c r="GM113" s="30"/>
      <c r="GN113" s="30"/>
      <c r="GO113" s="30"/>
      <c r="GP113" s="30"/>
      <c r="GQ113" s="30"/>
      <c r="GR113" s="30"/>
      <c r="GS113" s="30"/>
      <c r="GT113" s="30"/>
      <c r="GU113" s="30"/>
      <c r="GV113" s="30"/>
      <c r="GW113" s="30"/>
      <c r="GX113" s="30"/>
      <c r="GY113" s="30"/>
      <c r="GZ113" s="30"/>
      <c r="HA113" s="30"/>
      <c r="HB113" s="30"/>
      <c r="HC113" s="30"/>
      <c r="HD113" s="30"/>
      <c r="HE113" s="30"/>
      <c r="HF113" s="30"/>
      <c r="HG113" s="30"/>
      <c r="HH113" s="30"/>
      <c r="HI113" s="30"/>
      <c r="HJ113" s="30"/>
      <c r="HK113" s="30"/>
      <c r="HL113" s="30"/>
      <c r="HM113" s="30"/>
      <c r="HN113" s="30"/>
      <c r="HO113" s="30"/>
      <c r="HP113" s="30"/>
      <c r="HQ113" s="30"/>
      <c r="HR113" s="30"/>
      <c r="HS113" s="30"/>
      <c r="HT113" s="30"/>
      <c r="HU113" s="30"/>
      <c r="HV113" s="30"/>
      <c r="HW113" s="30"/>
      <c r="HX113" s="30"/>
      <c r="HY113" s="30"/>
      <c r="HZ113" s="30"/>
      <c r="IA113" s="30"/>
      <c r="IB113" s="30"/>
      <c r="IC113" s="30"/>
      <c r="ID113" s="30"/>
      <c r="IE113" s="30"/>
      <c r="IF113" s="30"/>
      <c r="IG113" s="30"/>
      <c r="IH113" s="30"/>
      <c r="II113" s="30"/>
      <c r="IJ113" s="30"/>
      <c r="IK113" s="30"/>
      <c r="IL113" s="30"/>
      <c r="IM113" s="30"/>
      <c r="IN113" s="30"/>
      <c r="IO113" s="30"/>
      <c r="IP113" s="30"/>
      <c r="IQ113" s="30"/>
      <c r="IR113" s="30"/>
      <c r="IS113" s="30"/>
      <c r="IT113" s="30"/>
      <c r="IU113" s="30"/>
      <c r="IV113" s="30"/>
      <c r="IW113" s="30"/>
      <c r="IX113" s="30"/>
      <c r="IY113" s="30"/>
      <c r="IZ113" s="30"/>
      <c r="JA113" s="30"/>
      <c r="JB113" s="30"/>
      <c r="JC113" s="30"/>
      <c r="JD113" s="30"/>
      <c r="JE113" s="30"/>
      <c r="JF113" s="30"/>
      <c r="JG113" s="30"/>
      <c r="JH113" s="30"/>
      <c r="JI113" s="30"/>
      <c r="JJ113" s="30"/>
      <c r="JK113" s="30"/>
      <c r="JL113" s="30"/>
      <c r="JM113" s="30"/>
      <c r="JN113" s="30"/>
      <c r="JO113" s="30"/>
      <c r="JP113" s="30"/>
      <c r="JQ113" s="30"/>
      <c r="JR113" s="30"/>
      <c r="JS113" s="30"/>
      <c r="JT113" s="30"/>
      <c r="JU113" s="30"/>
      <c r="JV113" s="30"/>
      <c r="JW113" s="30"/>
      <c r="JX113" s="30"/>
      <c r="JY113" s="30"/>
      <c r="JZ113" s="30"/>
      <c r="KA113" s="30"/>
      <c r="KB113" s="30"/>
      <c r="KC113" s="30"/>
      <c r="KD113" s="30"/>
      <c r="KE113" s="30"/>
      <c r="KF113" s="30"/>
      <c r="KG113" s="30"/>
      <c r="KH113" s="30"/>
      <c r="KI113" s="30"/>
      <c r="KJ113" s="30"/>
      <c r="KK113" s="30"/>
      <c r="KL113" s="30"/>
      <c r="KM113" s="30"/>
      <c r="KN113" s="30"/>
      <c r="KO113" s="30"/>
      <c r="KP113" s="30"/>
      <c r="KQ113" s="30"/>
      <c r="KR113" s="30"/>
      <c r="KS113" s="30"/>
      <c r="KT113" s="30"/>
      <c r="KU113" s="30"/>
      <c r="KV113" s="30"/>
      <c r="KW113" s="30"/>
      <c r="KX113" s="30"/>
      <c r="KY113" s="30"/>
      <c r="KZ113" s="30"/>
      <c r="LA113" s="30"/>
      <c r="LB113" s="30"/>
      <c r="LC113" s="30"/>
      <c r="LD113" s="30"/>
      <c r="LE113" s="30"/>
      <c r="LF113" s="30"/>
      <c r="LG113" s="30"/>
      <c r="LH113" s="30"/>
      <c r="LI113" s="30"/>
      <c r="LJ113" s="30"/>
      <c r="LK113" s="30"/>
      <c r="LL113" s="30"/>
      <c r="LM113" s="30"/>
      <c r="LN113" s="30"/>
      <c r="LO113" s="30"/>
      <c r="LP113" s="30"/>
      <c r="LQ113" s="30"/>
      <c r="LR113" s="30"/>
      <c r="LS113" s="30"/>
      <c r="LT113" s="30"/>
      <c r="LU113" s="30"/>
      <c r="LV113" s="30"/>
      <c r="LW113" s="30"/>
      <c r="LX113" s="30"/>
      <c r="LY113" s="30"/>
      <c r="LZ113" s="30"/>
      <c r="MA113" s="30"/>
      <c r="MB113" s="30"/>
      <c r="MC113" s="30"/>
      <c r="MD113" s="30"/>
      <c r="ME113" s="30"/>
      <c r="MF113" s="30"/>
      <c r="MG113" s="30"/>
      <c r="MH113" s="30"/>
      <c r="MI113" s="30"/>
      <c r="MJ113" s="30"/>
      <c r="MK113" s="30"/>
      <c r="ML113" s="30"/>
      <c r="MM113" s="30"/>
      <c r="MN113" s="30"/>
      <c r="MO113" s="30"/>
      <c r="MP113" s="30"/>
      <c r="MQ113" s="30"/>
      <c r="MR113" s="30"/>
      <c r="MS113" s="30"/>
      <c r="MT113" s="30"/>
      <c r="MU113" s="30"/>
      <c r="MV113" s="30"/>
      <c r="MW113" s="30"/>
      <c r="MX113" s="30"/>
      <c r="MY113" s="30"/>
      <c r="MZ113" s="30"/>
      <c r="NA113" s="30"/>
      <c r="NB113" s="30"/>
      <c r="NC113" s="30"/>
      <c r="ND113" s="30"/>
      <c r="NE113" s="30"/>
      <c r="NF113" s="30"/>
      <c r="NG113" s="30"/>
      <c r="NH113" s="30"/>
      <c r="NI113" s="30"/>
      <c r="NJ113" s="30"/>
      <c r="NK113" s="30"/>
      <c r="NL113" s="30"/>
      <c r="NM113" s="30"/>
      <c r="NN113" s="30"/>
      <c r="NO113" s="30"/>
      <c r="NP113" s="30"/>
      <c r="NQ113" s="30"/>
      <c r="NR113" s="30"/>
      <c r="NS113" s="30"/>
      <c r="NT113" s="30"/>
      <c r="NU113" s="30"/>
      <c r="NV113" s="30"/>
      <c r="NW113" s="30"/>
      <c r="NX113" s="30"/>
      <c r="NY113" s="30"/>
      <c r="NZ113" s="30"/>
      <c r="OA113" s="30"/>
      <c r="OB113" s="30"/>
      <c r="OC113" s="30"/>
      <c r="OD113" s="30"/>
      <c r="OE113" s="30"/>
      <c r="OF113" s="30"/>
      <c r="OG113" s="30"/>
      <c r="OH113" s="30"/>
      <c r="OI113" s="30"/>
      <c r="OJ113" s="30"/>
      <c r="OK113" s="30"/>
      <c r="OL113" s="30"/>
      <c r="OM113" s="30"/>
      <c r="ON113" s="30"/>
      <c r="OO113" s="30"/>
      <c r="OP113" s="30"/>
      <c r="OQ113" s="30"/>
      <c r="OR113" s="30"/>
      <c r="OS113" s="30"/>
      <c r="OT113" s="30"/>
      <c r="OU113" s="30"/>
      <c r="OV113" s="30"/>
      <c r="OW113" s="30"/>
      <c r="OX113" s="30"/>
      <c r="OY113" s="30"/>
      <c r="OZ113" s="30"/>
      <c r="PA113" s="30"/>
      <c r="PB113" s="30"/>
      <c r="PC113" s="30"/>
      <c r="PD113" s="30"/>
      <c r="PE113" s="30"/>
      <c r="PF113" s="30"/>
      <c r="PG113" s="30"/>
      <c r="PH113" s="30"/>
      <c r="PI113" s="30"/>
      <c r="PJ113" s="30"/>
      <c r="PK113" s="30"/>
      <c r="PL113" s="30"/>
      <c r="PM113" s="30"/>
      <c r="PN113" s="30"/>
      <c r="PO113" s="30"/>
      <c r="PP113" s="30"/>
      <c r="PQ113" s="30"/>
      <c r="PR113" s="30"/>
      <c r="PS113" s="30"/>
      <c r="PT113" s="30"/>
      <c r="PU113" s="30"/>
      <c r="PV113" s="30"/>
      <c r="PW113" s="30"/>
      <c r="PX113" s="30"/>
      <c r="PY113" s="30"/>
      <c r="PZ113" s="30"/>
      <c r="QA113" s="30"/>
      <c r="QB113" s="30"/>
      <c r="QC113" s="30"/>
      <c r="QD113" s="30"/>
      <c r="QE113" s="30"/>
      <c r="QF113" s="30"/>
      <c r="QG113" s="30"/>
      <c r="QH113" s="30"/>
      <c r="QI113" s="30"/>
      <c r="QJ113" s="30"/>
      <c r="QK113" s="30"/>
      <c r="QL113" s="30"/>
      <c r="QM113" s="30"/>
      <c r="QN113" s="30"/>
      <c r="QO113" s="30"/>
      <c r="QP113" s="30"/>
      <c r="QQ113" s="30"/>
      <c r="QR113" s="30"/>
      <c r="QS113" s="30"/>
      <c r="QT113" s="30"/>
      <c r="QU113" s="30"/>
      <c r="QV113" s="30"/>
      <c r="QW113" s="30"/>
      <c r="QX113" s="30"/>
      <c r="QY113" s="30"/>
      <c r="QZ113" s="30"/>
      <c r="RA113" s="30"/>
      <c r="RB113" s="30"/>
      <c r="RC113" s="30"/>
      <c r="RD113" s="30"/>
      <c r="RE113" s="30"/>
      <c r="RF113" s="30"/>
      <c r="RG113" s="30"/>
      <c r="RH113" s="30"/>
      <c r="RI113" s="30"/>
      <c r="RJ113" s="30"/>
      <c r="RK113" s="30"/>
      <c r="RL113" s="30"/>
      <c r="RM113" s="30"/>
      <c r="RN113" s="30"/>
      <c r="RO113" s="30"/>
      <c r="RP113" s="30"/>
      <c r="RQ113" s="30"/>
      <c r="RR113" s="30"/>
      <c r="RS113" s="30"/>
      <c r="RT113" s="30"/>
      <c r="RU113" s="30"/>
      <c r="RV113" s="30"/>
      <c r="RW113" s="30"/>
      <c r="RX113" s="30"/>
      <c r="RY113" s="30"/>
      <c r="RZ113" s="30"/>
      <c r="SA113" s="30"/>
      <c r="SB113" s="30"/>
      <c r="SC113" s="30"/>
      <c r="SD113" s="30"/>
    </row>
    <row r="114" spans="1:498" s="20" customFormat="1" ht="14.1" hidden="1" customHeight="1" x14ac:dyDescent="0.25">
      <c r="A114" s="59"/>
      <c r="B114" s="59" t="s">
        <v>20</v>
      </c>
      <c r="C114" s="59"/>
      <c r="D114" s="75">
        <f>IF(J114="N/A","N/A",SUM(F114:O114)*12)</f>
        <v>41073.038640545128</v>
      </c>
      <c r="E114" s="45"/>
      <c r="F114" s="35">
        <f>PMT($C$11/12,10*12,(0.69)*-($C$10))</f>
        <v>205.03262475272942</v>
      </c>
      <c r="G114" s="32">
        <f>PMT($C$11/12,10*12,(0.69)*-($C$10))</f>
        <v>205.03262475272942</v>
      </c>
      <c r="H114" s="32">
        <f>PMT($C$11/12,8*12,(0.76)*-($G$118))</f>
        <v>257.51210541507794</v>
      </c>
      <c r="I114" s="32">
        <f>PMT($C$11/12,8*12,(0.76)*-($G$118))</f>
        <v>257.51210541507794</v>
      </c>
      <c r="J114" s="32">
        <f>PMT($C$11/12,6*12,(0.84)*-($I$118))</f>
        <v>322.93119526915149</v>
      </c>
      <c r="K114" s="32">
        <f>PMT($C$11/12,6*12,(0.84)*-($I$118))</f>
        <v>322.93119526915149</v>
      </c>
      <c r="L114" s="32">
        <f>PMT($C$11/12,4*12,(0.9)*-($K$118))</f>
        <v>390.99049175496515</v>
      </c>
      <c r="M114" s="32">
        <f>PMT($C$11/12,4*12,(0.9)*-($K$118))</f>
        <v>390.99049175496515</v>
      </c>
      <c r="N114" s="32">
        <f>PMT($C$11/12,2*12,-($M$118))</f>
        <v>507.68166232659775</v>
      </c>
      <c r="O114" s="32">
        <f>(PMT($C$11/12,2*12,-($M$118)))+((N118-(N115-(N118*$C11)))/12)</f>
        <v>562.13872333498148</v>
      </c>
      <c r="P114" s="29"/>
      <c r="Q114" s="29"/>
      <c r="R114" s="29"/>
      <c r="S114" s="29"/>
      <c r="T114" s="29"/>
      <c r="U114" s="29"/>
      <c r="V114" s="29"/>
      <c r="W114" s="29"/>
      <c r="X114" s="29"/>
      <c r="Y114" s="29"/>
      <c r="Z114" s="29"/>
      <c r="AA114" s="29"/>
      <c r="AB114" s="29"/>
      <c r="AC114" s="29"/>
      <c r="AD114" s="29"/>
      <c r="AE114" s="31"/>
      <c r="AF114" s="31"/>
      <c r="AG114" s="31"/>
      <c r="AH114" s="31"/>
      <c r="AI114" s="31"/>
      <c r="AJ114" s="59"/>
      <c r="AK114" s="59"/>
      <c r="AL114" s="59"/>
      <c r="AM114" s="59"/>
      <c r="AN114" s="59"/>
      <c r="AO114" s="59"/>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c r="BV114" s="30"/>
      <c r="BW114" s="30"/>
      <c r="BX114" s="30"/>
      <c r="BY114" s="30"/>
      <c r="BZ114" s="30"/>
      <c r="CA114" s="30"/>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30"/>
      <c r="FI114" s="30"/>
      <c r="FJ114" s="30"/>
      <c r="FK114" s="30"/>
      <c r="FL114" s="30"/>
      <c r="FM114" s="30"/>
      <c r="FN114" s="30"/>
      <c r="FO114" s="30"/>
      <c r="FP114" s="30"/>
      <c r="FQ114" s="30"/>
      <c r="FR114" s="30"/>
      <c r="FS114" s="30"/>
      <c r="FT114" s="30"/>
      <c r="FU114" s="30"/>
      <c r="FV114" s="30"/>
      <c r="FW114" s="30"/>
      <c r="FX114" s="30"/>
      <c r="FY114" s="30"/>
      <c r="FZ114" s="30"/>
      <c r="GA114" s="30"/>
      <c r="GB114" s="30"/>
      <c r="GC114" s="30"/>
      <c r="GD114" s="30"/>
      <c r="GE114" s="30"/>
      <c r="GF114" s="30"/>
      <c r="GG114" s="30"/>
      <c r="GH114" s="30"/>
      <c r="GI114" s="30"/>
      <c r="GJ114" s="30"/>
      <c r="GK114" s="30"/>
      <c r="GL114" s="30"/>
      <c r="GM114" s="30"/>
      <c r="GN114" s="30"/>
      <c r="GO114" s="30"/>
      <c r="GP114" s="30"/>
      <c r="GQ114" s="30"/>
      <c r="GR114" s="30"/>
      <c r="GS114" s="30"/>
      <c r="GT114" s="30"/>
      <c r="GU114" s="30"/>
      <c r="GV114" s="30"/>
      <c r="GW114" s="30"/>
      <c r="GX114" s="30"/>
      <c r="GY114" s="30"/>
      <c r="GZ114" s="30"/>
      <c r="HA114" s="30"/>
      <c r="HB114" s="30"/>
      <c r="HC114" s="30"/>
      <c r="HD114" s="30"/>
      <c r="HE114" s="30"/>
      <c r="HF114" s="30"/>
      <c r="HG114" s="30"/>
      <c r="HH114" s="30"/>
      <c r="HI114" s="30"/>
      <c r="HJ114" s="30"/>
      <c r="HK114" s="30"/>
      <c r="HL114" s="30"/>
      <c r="HM114" s="30"/>
      <c r="HN114" s="30"/>
      <c r="HO114" s="30"/>
      <c r="HP114" s="30"/>
      <c r="HQ114" s="30"/>
      <c r="HR114" s="30"/>
      <c r="HS114" s="30"/>
      <c r="HT114" s="30"/>
      <c r="HU114" s="30"/>
      <c r="HV114" s="30"/>
      <c r="HW114" s="30"/>
      <c r="HX114" s="30"/>
      <c r="HY114" s="30"/>
      <c r="HZ114" s="30"/>
      <c r="IA114" s="30"/>
      <c r="IB114" s="30"/>
      <c r="IC114" s="30"/>
      <c r="ID114" s="30"/>
      <c r="IE114" s="30"/>
      <c r="IF114" s="30"/>
      <c r="IG114" s="30"/>
      <c r="IH114" s="30"/>
      <c r="II114" s="30"/>
      <c r="IJ114" s="30"/>
      <c r="IK114" s="30"/>
      <c r="IL114" s="30"/>
      <c r="IM114" s="30"/>
      <c r="IN114" s="30"/>
      <c r="IO114" s="30"/>
      <c r="IP114" s="30"/>
      <c r="IQ114" s="30"/>
      <c r="IR114" s="30"/>
      <c r="IS114" s="30"/>
      <c r="IT114" s="30"/>
      <c r="IU114" s="30"/>
      <c r="IV114" s="30"/>
      <c r="IW114" s="30"/>
      <c r="IX114" s="30"/>
      <c r="IY114" s="30"/>
      <c r="IZ114" s="30"/>
      <c r="JA114" s="30"/>
      <c r="JB114" s="30"/>
      <c r="JC114" s="30"/>
      <c r="JD114" s="30"/>
      <c r="JE114" s="30"/>
      <c r="JF114" s="30"/>
      <c r="JG114" s="30"/>
      <c r="JH114" s="30"/>
      <c r="JI114" s="30"/>
      <c r="JJ114" s="30"/>
      <c r="JK114" s="30"/>
      <c r="JL114" s="30"/>
      <c r="JM114" s="30"/>
      <c r="JN114" s="30"/>
      <c r="JO114" s="30"/>
      <c r="JP114" s="30"/>
      <c r="JQ114" s="30"/>
      <c r="JR114" s="30"/>
      <c r="JS114" s="30"/>
      <c r="JT114" s="30"/>
      <c r="JU114" s="30"/>
      <c r="JV114" s="30"/>
      <c r="JW114" s="30"/>
      <c r="JX114" s="30"/>
      <c r="JY114" s="30"/>
      <c r="JZ114" s="30"/>
      <c r="KA114" s="30"/>
      <c r="KB114" s="30"/>
      <c r="KC114" s="30"/>
      <c r="KD114" s="30"/>
      <c r="KE114" s="30"/>
      <c r="KF114" s="30"/>
      <c r="KG114" s="30"/>
      <c r="KH114" s="30"/>
      <c r="KI114" s="30"/>
      <c r="KJ114" s="30"/>
      <c r="KK114" s="30"/>
      <c r="KL114" s="30"/>
      <c r="KM114" s="30"/>
      <c r="KN114" s="30"/>
      <c r="KO114" s="30"/>
      <c r="KP114" s="30"/>
      <c r="KQ114" s="30"/>
      <c r="KR114" s="30"/>
      <c r="KS114" s="30"/>
      <c r="KT114" s="30"/>
      <c r="KU114" s="30"/>
      <c r="KV114" s="30"/>
      <c r="KW114" s="30"/>
      <c r="KX114" s="30"/>
      <c r="KY114" s="30"/>
      <c r="KZ114" s="30"/>
      <c r="LA114" s="30"/>
      <c r="LB114" s="30"/>
      <c r="LC114" s="30"/>
      <c r="LD114" s="30"/>
      <c r="LE114" s="30"/>
      <c r="LF114" s="30"/>
      <c r="LG114" s="30"/>
      <c r="LH114" s="30"/>
      <c r="LI114" s="30"/>
      <c r="LJ114" s="30"/>
      <c r="LK114" s="30"/>
      <c r="LL114" s="30"/>
      <c r="LM114" s="30"/>
      <c r="LN114" s="30"/>
      <c r="LO114" s="30"/>
      <c r="LP114" s="30"/>
      <c r="LQ114" s="30"/>
      <c r="LR114" s="30"/>
      <c r="LS114" s="30"/>
      <c r="LT114" s="30"/>
      <c r="LU114" s="30"/>
      <c r="LV114" s="30"/>
      <c r="LW114" s="30"/>
      <c r="LX114" s="30"/>
      <c r="LY114" s="30"/>
      <c r="LZ114" s="30"/>
      <c r="MA114" s="30"/>
      <c r="MB114" s="30"/>
      <c r="MC114" s="30"/>
      <c r="MD114" s="30"/>
      <c r="ME114" s="30"/>
      <c r="MF114" s="30"/>
      <c r="MG114" s="30"/>
      <c r="MH114" s="30"/>
      <c r="MI114" s="30"/>
      <c r="MJ114" s="30"/>
      <c r="MK114" s="30"/>
      <c r="ML114" s="30"/>
      <c r="MM114" s="30"/>
      <c r="MN114" s="30"/>
      <c r="MO114" s="30"/>
      <c r="MP114" s="30"/>
      <c r="MQ114" s="30"/>
      <c r="MR114" s="30"/>
      <c r="MS114" s="30"/>
      <c r="MT114" s="30"/>
      <c r="MU114" s="30"/>
      <c r="MV114" s="30"/>
      <c r="MW114" s="30"/>
      <c r="MX114" s="30"/>
      <c r="MY114" s="30"/>
      <c r="MZ114" s="30"/>
      <c r="NA114" s="30"/>
      <c r="NB114" s="30"/>
      <c r="NC114" s="30"/>
      <c r="ND114" s="30"/>
      <c r="NE114" s="30"/>
      <c r="NF114" s="30"/>
      <c r="NG114" s="30"/>
      <c r="NH114" s="30"/>
      <c r="NI114" s="30"/>
      <c r="NJ114" s="30"/>
      <c r="NK114" s="30"/>
      <c r="NL114" s="30"/>
      <c r="NM114" s="30"/>
      <c r="NN114" s="30"/>
      <c r="NO114" s="30"/>
      <c r="NP114" s="30"/>
      <c r="NQ114" s="30"/>
      <c r="NR114" s="30"/>
      <c r="NS114" s="30"/>
      <c r="NT114" s="30"/>
      <c r="NU114" s="30"/>
      <c r="NV114" s="30"/>
      <c r="NW114" s="30"/>
      <c r="NX114" s="30"/>
      <c r="NY114" s="30"/>
      <c r="NZ114" s="30"/>
      <c r="OA114" s="30"/>
      <c r="OB114" s="30"/>
      <c r="OC114" s="30"/>
      <c r="OD114" s="30"/>
      <c r="OE114" s="30"/>
      <c r="OF114" s="30"/>
      <c r="OG114" s="30"/>
      <c r="OH114" s="30"/>
      <c r="OI114" s="30"/>
      <c r="OJ114" s="30"/>
      <c r="OK114" s="30"/>
      <c r="OL114" s="30"/>
      <c r="OM114" s="30"/>
      <c r="ON114" s="30"/>
      <c r="OO114" s="30"/>
      <c r="OP114" s="30"/>
      <c r="OQ114" s="30"/>
      <c r="OR114" s="30"/>
      <c r="OS114" s="30"/>
      <c r="OT114" s="30"/>
      <c r="OU114" s="30"/>
      <c r="OV114" s="30"/>
      <c r="OW114" s="30"/>
      <c r="OX114" s="30"/>
      <c r="OY114" s="30"/>
      <c r="OZ114" s="30"/>
      <c r="PA114" s="30"/>
      <c r="PB114" s="30"/>
      <c r="PC114" s="30"/>
      <c r="PD114" s="30"/>
      <c r="PE114" s="30"/>
      <c r="PF114" s="30"/>
      <c r="PG114" s="30"/>
      <c r="PH114" s="30"/>
      <c r="PI114" s="30"/>
      <c r="PJ114" s="30"/>
      <c r="PK114" s="30"/>
      <c r="PL114" s="30"/>
      <c r="PM114" s="30"/>
      <c r="PN114" s="30"/>
      <c r="PO114" s="30"/>
      <c r="PP114" s="30"/>
      <c r="PQ114" s="30"/>
      <c r="PR114" s="30"/>
      <c r="PS114" s="30"/>
      <c r="PT114" s="30"/>
      <c r="PU114" s="30"/>
      <c r="PV114" s="30"/>
      <c r="PW114" s="30"/>
      <c r="PX114" s="30"/>
      <c r="PY114" s="30"/>
      <c r="PZ114" s="30"/>
      <c r="QA114" s="30"/>
      <c r="QB114" s="30"/>
      <c r="QC114" s="30"/>
      <c r="QD114" s="30"/>
      <c r="QE114" s="30"/>
      <c r="QF114" s="30"/>
      <c r="QG114" s="30"/>
      <c r="QH114" s="30"/>
      <c r="QI114" s="30"/>
      <c r="QJ114" s="30"/>
      <c r="QK114" s="30"/>
      <c r="QL114" s="30"/>
      <c r="QM114" s="30"/>
      <c r="QN114" s="30"/>
      <c r="QO114" s="30"/>
      <c r="QP114" s="30"/>
      <c r="QQ114" s="30"/>
      <c r="QR114" s="30"/>
      <c r="QS114" s="30"/>
      <c r="QT114" s="30"/>
      <c r="QU114" s="30"/>
      <c r="QV114" s="30"/>
      <c r="QW114" s="30"/>
      <c r="QX114" s="30"/>
      <c r="QY114" s="30"/>
      <c r="QZ114" s="30"/>
      <c r="RA114" s="30"/>
      <c r="RB114" s="30"/>
      <c r="RC114" s="30"/>
      <c r="RD114" s="30"/>
      <c r="RE114" s="30"/>
      <c r="RF114" s="30"/>
      <c r="RG114" s="30"/>
      <c r="RH114" s="30"/>
      <c r="RI114" s="30"/>
      <c r="RJ114" s="30"/>
      <c r="RK114" s="30"/>
      <c r="RL114" s="30"/>
      <c r="RM114" s="30"/>
      <c r="RN114" s="30"/>
      <c r="RO114" s="30"/>
      <c r="RP114" s="30"/>
      <c r="RQ114" s="30"/>
      <c r="RR114" s="30"/>
      <c r="RS114" s="30"/>
      <c r="RT114" s="30"/>
      <c r="RU114" s="30"/>
      <c r="RV114" s="30"/>
      <c r="RW114" s="30"/>
      <c r="RX114" s="30"/>
      <c r="RY114" s="30"/>
      <c r="RZ114" s="30"/>
      <c r="SA114" s="30"/>
      <c r="SB114" s="30"/>
      <c r="SC114" s="30"/>
      <c r="SD114" s="30"/>
    </row>
    <row r="115" spans="1:498" s="20" customFormat="1" ht="14.1" hidden="1" customHeight="1" x14ac:dyDescent="0.25">
      <c r="A115" s="59"/>
      <c r="B115" s="59" t="s">
        <v>21</v>
      </c>
      <c r="C115" s="59"/>
      <c r="D115" s="59"/>
      <c r="E115" s="44"/>
      <c r="F115" s="36">
        <f>F114*12</f>
        <v>2460.3914970327533</v>
      </c>
      <c r="G115" s="33">
        <f>G114*12</f>
        <v>2460.3914970327533</v>
      </c>
      <c r="H115" s="33">
        <f t="shared" ref="H115:AD115" si="62">H114*12</f>
        <v>3090.1452649809353</v>
      </c>
      <c r="I115" s="33">
        <f t="shared" si="62"/>
        <v>3090.1452649809353</v>
      </c>
      <c r="J115" s="33">
        <f t="shared" si="62"/>
        <v>3875.1743432298181</v>
      </c>
      <c r="K115" s="33">
        <f t="shared" si="62"/>
        <v>3875.1743432298181</v>
      </c>
      <c r="L115" s="33">
        <f t="shared" si="62"/>
        <v>4691.8859010595816</v>
      </c>
      <c r="M115" s="33">
        <f t="shared" si="62"/>
        <v>4691.8859010595816</v>
      </c>
      <c r="N115" s="33">
        <f t="shared" si="62"/>
        <v>6092.1799479191732</v>
      </c>
      <c r="O115" s="33">
        <f>O114*12</f>
        <v>6745.6646800197777</v>
      </c>
      <c r="P115" s="33">
        <f t="shared" si="62"/>
        <v>0</v>
      </c>
      <c r="Q115" s="33">
        <f t="shared" si="62"/>
        <v>0</v>
      </c>
      <c r="R115" s="33">
        <f t="shared" si="62"/>
        <v>0</v>
      </c>
      <c r="S115" s="33">
        <f t="shared" si="62"/>
        <v>0</v>
      </c>
      <c r="T115" s="33">
        <f t="shared" si="62"/>
        <v>0</v>
      </c>
      <c r="U115" s="33">
        <f t="shared" si="62"/>
        <v>0</v>
      </c>
      <c r="V115" s="33">
        <f t="shared" si="62"/>
        <v>0</v>
      </c>
      <c r="W115" s="33">
        <f t="shared" si="62"/>
        <v>0</v>
      </c>
      <c r="X115" s="33">
        <f t="shared" si="62"/>
        <v>0</v>
      </c>
      <c r="Y115" s="33">
        <f t="shared" si="62"/>
        <v>0</v>
      </c>
      <c r="Z115" s="33">
        <f t="shared" si="62"/>
        <v>0</v>
      </c>
      <c r="AA115" s="33">
        <f t="shared" si="62"/>
        <v>0</v>
      </c>
      <c r="AB115" s="33">
        <f t="shared" si="62"/>
        <v>0</v>
      </c>
      <c r="AC115" s="33">
        <f t="shared" si="62"/>
        <v>0</v>
      </c>
      <c r="AD115" s="33">
        <f t="shared" si="62"/>
        <v>0</v>
      </c>
      <c r="AE115" s="31"/>
      <c r="AF115" s="31"/>
      <c r="AG115" s="31"/>
      <c r="AH115" s="31"/>
      <c r="AI115" s="31"/>
      <c r="AJ115" s="59"/>
      <c r="AK115" s="59"/>
      <c r="AL115" s="59"/>
      <c r="AM115" s="59"/>
      <c r="AN115" s="59"/>
      <c r="AO115" s="59"/>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0"/>
      <c r="BU115" s="30"/>
      <c r="BV115" s="30"/>
      <c r="BW115" s="30"/>
      <c r="BX115" s="30"/>
      <c r="BY115" s="30"/>
      <c r="BZ115" s="30"/>
      <c r="CA115" s="30"/>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c r="FG115" s="30"/>
      <c r="FH115" s="30"/>
      <c r="FI115" s="30"/>
      <c r="FJ115" s="30"/>
      <c r="FK115" s="30"/>
      <c r="FL115" s="30"/>
      <c r="FM115" s="30"/>
      <c r="FN115" s="30"/>
      <c r="FO115" s="30"/>
      <c r="FP115" s="30"/>
      <c r="FQ115" s="30"/>
      <c r="FR115" s="30"/>
      <c r="FS115" s="30"/>
      <c r="FT115" s="30"/>
      <c r="FU115" s="30"/>
      <c r="FV115" s="30"/>
      <c r="FW115" s="30"/>
      <c r="FX115" s="30"/>
      <c r="FY115" s="30"/>
      <c r="FZ115" s="30"/>
      <c r="GA115" s="30"/>
      <c r="GB115" s="30"/>
      <c r="GC115" s="30"/>
      <c r="GD115" s="30"/>
      <c r="GE115" s="30"/>
      <c r="GF115" s="30"/>
      <c r="GG115" s="30"/>
      <c r="GH115" s="30"/>
      <c r="GI115" s="30"/>
      <c r="GJ115" s="30"/>
      <c r="GK115" s="30"/>
      <c r="GL115" s="30"/>
      <c r="GM115" s="30"/>
      <c r="GN115" s="30"/>
      <c r="GO115" s="30"/>
      <c r="GP115" s="30"/>
      <c r="GQ115" s="30"/>
      <c r="GR115" s="30"/>
      <c r="GS115" s="30"/>
      <c r="GT115" s="30"/>
      <c r="GU115" s="30"/>
      <c r="GV115" s="30"/>
      <c r="GW115" s="30"/>
      <c r="GX115" s="30"/>
      <c r="GY115" s="30"/>
      <c r="GZ115" s="30"/>
      <c r="HA115" s="30"/>
      <c r="HB115" s="30"/>
      <c r="HC115" s="30"/>
      <c r="HD115" s="30"/>
      <c r="HE115" s="30"/>
      <c r="HF115" s="30"/>
      <c r="HG115" s="30"/>
      <c r="HH115" s="30"/>
      <c r="HI115" s="30"/>
      <c r="HJ115" s="30"/>
      <c r="HK115" s="30"/>
      <c r="HL115" s="30"/>
      <c r="HM115" s="30"/>
      <c r="HN115" s="30"/>
      <c r="HO115" s="30"/>
      <c r="HP115" s="30"/>
      <c r="HQ115" s="30"/>
      <c r="HR115" s="30"/>
      <c r="HS115" s="30"/>
      <c r="HT115" s="30"/>
      <c r="HU115" s="30"/>
      <c r="HV115" s="30"/>
      <c r="HW115" s="30"/>
      <c r="HX115" s="30"/>
      <c r="HY115" s="30"/>
      <c r="HZ115" s="30"/>
      <c r="IA115" s="30"/>
      <c r="IB115" s="30"/>
      <c r="IC115" s="30"/>
      <c r="ID115" s="30"/>
      <c r="IE115" s="30"/>
      <c r="IF115" s="30"/>
      <c r="IG115" s="30"/>
      <c r="IH115" s="30"/>
      <c r="II115" s="30"/>
      <c r="IJ115" s="30"/>
      <c r="IK115" s="30"/>
      <c r="IL115" s="30"/>
      <c r="IM115" s="30"/>
      <c r="IN115" s="30"/>
      <c r="IO115" s="30"/>
      <c r="IP115" s="30"/>
      <c r="IQ115" s="30"/>
      <c r="IR115" s="30"/>
      <c r="IS115" s="30"/>
      <c r="IT115" s="30"/>
      <c r="IU115" s="30"/>
      <c r="IV115" s="30"/>
      <c r="IW115" s="30"/>
      <c r="IX115" s="30"/>
      <c r="IY115" s="30"/>
      <c r="IZ115" s="30"/>
      <c r="JA115" s="30"/>
      <c r="JB115" s="30"/>
      <c r="JC115" s="30"/>
      <c r="JD115" s="30"/>
      <c r="JE115" s="30"/>
      <c r="JF115" s="30"/>
      <c r="JG115" s="30"/>
      <c r="JH115" s="30"/>
      <c r="JI115" s="30"/>
      <c r="JJ115" s="30"/>
      <c r="JK115" s="30"/>
      <c r="JL115" s="30"/>
      <c r="JM115" s="30"/>
      <c r="JN115" s="30"/>
      <c r="JO115" s="30"/>
      <c r="JP115" s="30"/>
      <c r="JQ115" s="30"/>
      <c r="JR115" s="30"/>
      <c r="JS115" s="30"/>
      <c r="JT115" s="30"/>
      <c r="JU115" s="30"/>
      <c r="JV115" s="30"/>
      <c r="JW115" s="30"/>
      <c r="JX115" s="30"/>
      <c r="JY115" s="30"/>
      <c r="JZ115" s="30"/>
      <c r="KA115" s="30"/>
      <c r="KB115" s="30"/>
      <c r="KC115" s="30"/>
      <c r="KD115" s="30"/>
      <c r="KE115" s="30"/>
      <c r="KF115" s="30"/>
      <c r="KG115" s="30"/>
      <c r="KH115" s="30"/>
      <c r="KI115" s="30"/>
      <c r="KJ115" s="30"/>
      <c r="KK115" s="30"/>
      <c r="KL115" s="30"/>
      <c r="KM115" s="30"/>
      <c r="KN115" s="30"/>
      <c r="KO115" s="30"/>
      <c r="KP115" s="30"/>
      <c r="KQ115" s="30"/>
      <c r="KR115" s="30"/>
      <c r="KS115" s="30"/>
      <c r="KT115" s="30"/>
      <c r="KU115" s="30"/>
      <c r="KV115" s="30"/>
      <c r="KW115" s="30"/>
      <c r="KX115" s="30"/>
      <c r="KY115" s="30"/>
      <c r="KZ115" s="30"/>
      <c r="LA115" s="30"/>
      <c r="LB115" s="30"/>
      <c r="LC115" s="30"/>
      <c r="LD115" s="30"/>
      <c r="LE115" s="30"/>
      <c r="LF115" s="30"/>
      <c r="LG115" s="30"/>
      <c r="LH115" s="30"/>
      <c r="LI115" s="30"/>
      <c r="LJ115" s="30"/>
      <c r="LK115" s="30"/>
      <c r="LL115" s="30"/>
      <c r="LM115" s="30"/>
      <c r="LN115" s="30"/>
      <c r="LO115" s="30"/>
      <c r="LP115" s="30"/>
      <c r="LQ115" s="30"/>
      <c r="LR115" s="30"/>
      <c r="LS115" s="30"/>
      <c r="LT115" s="30"/>
      <c r="LU115" s="30"/>
      <c r="LV115" s="30"/>
      <c r="LW115" s="30"/>
      <c r="LX115" s="30"/>
      <c r="LY115" s="30"/>
      <c r="LZ115" s="30"/>
      <c r="MA115" s="30"/>
      <c r="MB115" s="30"/>
      <c r="MC115" s="30"/>
      <c r="MD115" s="30"/>
      <c r="ME115" s="30"/>
      <c r="MF115" s="30"/>
      <c r="MG115" s="30"/>
      <c r="MH115" s="30"/>
      <c r="MI115" s="30"/>
      <c r="MJ115" s="30"/>
      <c r="MK115" s="30"/>
      <c r="ML115" s="30"/>
      <c r="MM115" s="30"/>
      <c r="MN115" s="30"/>
      <c r="MO115" s="30"/>
      <c r="MP115" s="30"/>
      <c r="MQ115" s="30"/>
      <c r="MR115" s="30"/>
      <c r="MS115" s="30"/>
      <c r="MT115" s="30"/>
      <c r="MU115" s="30"/>
      <c r="MV115" s="30"/>
      <c r="MW115" s="30"/>
      <c r="MX115" s="30"/>
      <c r="MY115" s="30"/>
      <c r="MZ115" s="30"/>
      <c r="NA115" s="30"/>
      <c r="NB115" s="30"/>
      <c r="NC115" s="30"/>
      <c r="ND115" s="30"/>
      <c r="NE115" s="30"/>
      <c r="NF115" s="30"/>
      <c r="NG115" s="30"/>
      <c r="NH115" s="30"/>
      <c r="NI115" s="30"/>
      <c r="NJ115" s="30"/>
      <c r="NK115" s="30"/>
      <c r="NL115" s="30"/>
      <c r="NM115" s="30"/>
      <c r="NN115" s="30"/>
      <c r="NO115" s="30"/>
      <c r="NP115" s="30"/>
      <c r="NQ115" s="30"/>
      <c r="NR115" s="30"/>
      <c r="NS115" s="30"/>
      <c r="NT115" s="30"/>
      <c r="NU115" s="30"/>
      <c r="NV115" s="30"/>
      <c r="NW115" s="30"/>
      <c r="NX115" s="30"/>
      <c r="NY115" s="30"/>
      <c r="NZ115" s="30"/>
      <c r="OA115" s="30"/>
      <c r="OB115" s="30"/>
      <c r="OC115" s="30"/>
      <c r="OD115" s="30"/>
      <c r="OE115" s="30"/>
      <c r="OF115" s="30"/>
      <c r="OG115" s="30"/>
      <c r="OH115" s="30"/>
      <c r="OI115" s="30"/>
      <c r="OJ115" s="30"/>
      <c r="OK115" s="30"/>
      <c r="OL115" s="30"/>
      <c r="OM115" s="30"/>
      <c r="ON115" s="30"/>
      <c r="OO115" s="30"/>
      <c r="OP115" s="30"/>
      <c r="OQ115" s="30"/>
      <c r="OR115" s="30"/>
      <c r="OS115" s="30"/>
      <c r="OT115" s="30"/>
      <c r="OU115" s="30"/>
      <c r="OV115" s="30"/>
      <c r="OW115" s="30"/>
      <c r="OX115" s="30"/>
      <c r="OY115" s="30"/>
      <c r="OZ115" s="30"/>
      <c r="PA115" s="30"/>
      <c r="PB115" s="30"/>
      <c r="PC115" s="30"/>
      <c r="PD115" s="30"/>
      <c r="PE115" s="30"/>
      <c r="PF115" s="30"/>
      <c r="PG115" s="30"/>
      <c r="PH115" s="30"/>
      <c r="PI115" s="30"/>
      <c r="PJ115" s="30"/>
      <c r="PK115" s="30"/>
      <c r="PL115" s="30"/>
      <c r="PM115" s="30"/>
      <c r="PN115" s="30"/>
      <c r="PO115" s="30"/>
      <c r="PP115" s="30"/>
      <c r="PQ115" s="30"/>
      <c r="PR115" s="30"/>
      <c r="PS115" s="30"/>
      <c r="PT115" s="30"/>
      <c r="PU115" s="30"/>
      <c r="PV115" s="30"/>
      <c r="PW115" s="30"/>
      <c r="PX115" s="30"/>
      <c r="PY115" s="30"/>
      <c r="PZ115" s="30"/>
      <c r="QA115" s="30"/>
      <c r="QB115" s="30"/>
      <c r="QC115" s="30"/>
      <c r="QD115" s="30"/>
      <c r="QE115" s="30"/>
      <c r="QF115" s="30"/>
      <c r="QG115" s="30"/>
      <c r="QH115" s="30"/>
      <c r="QI115" s="30"/>
      <c r="QJ115" s="30"/>
      <c r="QK115" s="30"/>
      <c r="QL115" s="30"/>
      <c r="QM115" s="30"/>
      <c r="QN115" s="30"/>
      <c r="QO115" s="30"/>
      <c r="QP115" s="30"/>
      <c r="QQ115" s="30"/>
      <c r="QR115" s="30"/>
      <c r="QS115" s="30"/>
      <c r="QT115" s="30"/>
      <c r="QU115" s="30"/>
      <c r="QV115" s="30"/>
      <c r="QW115" s="30"/>
      <c r="QX115" s="30"/>
      <c r="QY115" s="30"/>
      <c r="QZ115" s="30"/>
      <c r="RA115" s="30"/>
      <c r="RB115" s="30"/>
      <c r="RC115" s="30"/>
      <c r="RD115" s="30"/>
      <c r="RE115" s="30"/>
      <c r="RF115" s="30"/>
      <c r="RG115" s="30"/>
      <c r="RH115" s="30"/>
      <c r="RI115" s="30"/>
      <c r="RJ115" s="30"/>
      <c r="RK115" s="30"/>
      <c r="RL115" s="30"/>
      <c r="RM115" s="30"/>
      <c r="RN115" s="30"/>
      <c r="RO115" s="30"/>
      <c r="RP115" s="30"/>
      <c r="RQ115" s="30"/>
      <c r="RR115" s="30"/>
      <c r="RS115" s="30"/>
      <c r="RT115" s="30"/>
      <c r="RU115" s="30"/>
      <c r="RV115" s="30"/>
      <c r="RW115" s="30"/>
      <c r="RX115" s="30"/>
      <c r="RY115" s="30"/>
      <c r="RZ115" s="30"/>
      <c r="SA115" s="30"/>
      <c r="SB115" s="30"/>
      <c r="SC115" s="30"/>
      <c r="SD115" s="30"/>
    </row>
    <row r="116" spans="1:498" s="20" customFormat="1" ht="14.1" hidden="1" customHeight="1" x14ac:dyDescent="0.25">
      <c r="A116" s="59"/>
      <c r="B116" s="59" t="s">
        <v>14</v>
      </c>
      <c r="C116" s="59"/>
      <c r="D116" s="59"/>
      <c r="E116" s="44"/>
      <c r="F116" s="36">
        <f>$C$10*$C$11</f>
        <v>2575</v>
      </c>
      <c r="G116" s="33">
        <f>F118*$C$11</f>
        <v>2589.7558447570332</v>
      </c>
      <c r="H116" s="33">
        <f t="shared" ref="H116:AI116" si="63">G118*$C$11</f>
        <v>2606.4115045265344</v>
      </c>
      <c r="I116" s="33">
        <f t="shared" si="63"/>
        <v>2544.1307828680301</v>
      </c>
      <c r="J116" s="33">
        <f t="shared" si="63"/>
        <v>2473.8314182959934</v>
      </c>
      <c r="K116" s="33">
        <f t="shared" si="63"/>
        <v>2293.4085167107633</v>
      </c>
      <c r="L116" s="33">
        <f t="shared" si="63"/>
        <v>2089.756166546435</v>
      </c>
      <c r="M116" s="33">
        <f t="shared" si="63"/>
        <v>1754.7319632278673</v>
      </c>
      <c r="N116" s="33">
        <f t="shared" si="63"/>
        <v>1376.5733937320342</v>
      </c>
      <c r="O116" s="33">
        <f t="shared" si="63"/>
        <v>769.43904988043994</v>
      </c>
      <c r="P116" s="33">
        <f t="shared" si="63"/>
        <v>0</v>
      </c>
      <c r="Q116" s="33">
        <f t="shared" si="63"/>
        <v>0</v>
      </c>
      <c r="R116" s="33">
        <f t="shared" si="63"/>
        <v>0</v>
      </c>
      <c r="S116" s="33">
        <f t="shared" si="63"/>
        <v>0</v>
      </c>
      <c r="T116" s="33">
        <f t="shared" si="63"/>
        <v>0</v>
      </c>
      <c r="U116" s="33">
        <f t="shared" si="63"/>
        <v>0</v>
      </c>
      <c r="V116" s="33">
        <f t="shared" si="63"/>
        <v>0</v>
      </c>
      <c r="W116" s="33">
        <f t="shared" si="63"/>
        <v>0</v>
      </c>
      <c r="X116" s="33">
        <f t="shared" si="63"/>
        <v>0</v>
      </c>
      <c r="Y116" s="33">
        <f t="shared" si="63"/>
        <v>0</v>
      </c>
      <c r="Z116" s="33">
        <f t="shared" si="63"/>
        <v>0</v>
      </c>
      <c r="AA116" s="33">
        <f t="shared" si="63"/>
        <v>0</v>
      </c>
      <c r="AB116" s="33">
        <f t="shared" si="63"/>
        <v>0</v>
      </c>
      <c r="AC116" s="33">
        <f t="shared" si="63"/>
        <v>0</v>
      </c>
      <c r="AD116" s="33">
        <f>AC118*$C$11</f>
        <v>0</v>
      </c>
      <c r="AE116" s="33">
        <f t="shared" si="63"/>
        <v>0</v>
      </c>
      <c r="AF116" s="33">
        <f t="shared" si="63"/>
        <v>0</v>
      </c>
      <c r="AG116" s="33">
        <f t="shared" si="63"/>
        <v>0</v>
      </c>
      <c r="AH116" s="33">
        <f t="shared" si="63"/>
        <v>0</v>
      </c>
      <c r="AI116" s="33">
        <f t="shared" si="63"/>
        <v>0</v>
      </c>
      <c r="AJ116" s="59"/>
      <c r="AK116" s="59"/>
      <c r="AL116" s="59"/>
      <c r="AM116" s="59"/>
      <c r="AN116" s="59"/>
      <c r="AO116" s="59"/>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0"/>
      <c r="FJ116" s="30"/>
      <c r="FK116" s="30"/>
      <c r="FL116" s="30"/>
      <c r="FM116" s="30"/>
      <c r="FN116" s="30"/>
      <c r="FO116" s="30"/>
      <c r="FP116" s="30"/>
      <c r="FQ116" s="30"/>
      <c r="FR116" s="30"/>
      <c r="FS116" s="30"/>
      <c r="FT116" s="30"/>
      <c r="FU116" s="30"/>
      <c r="FV116" s="30"/>
      <c r="FW116" s="30"/>
      <c r="FX116" s="30"/>
      <c r="FY116" s="30"/>
      <c r="FZ116" s="30"/>
      <c r="GA116" s="30"/>
      <c r="GB116" s="30"/>
      <c r="GC116" s="30"/>
      <c r="GD116" s="30"/>
      <c r="GE116" s="30"/>
      <c r="GF116" s="30"/>
      <c r="GG116" s="30"/>
      <c r="GH116" s="30"/>
      <c r="GI116" s="30"/>
      <c r="GJ116" s="30"/>
      <c r="GK116" s="30"/>
      <c r="GL116" s="30"/>
      <c r="GM116" s="30"/>
      <c r="GN116" s="30"/>
      <c r="GO116" s="30"/>
      <c r="GP116" s="30"/>
      <c r="GQ116" s="30"/>
      <c r="GR116" s="30"/>
      <c r="GS116" s="30"/>
      <c r="GT116" s="30"/>
      <c r="GU116" s="30"/>
      <c r="GV116" s="30"/>
      <c r="GW116" s="30"/>
      <c r="GX116" s="30"/>
      <c r="GY116" s="30"/>
      <c r="GZ116" s="30"/>
      <c r="HA116" s="30"/>
      <c r="HB116" s="30"/>
      <c r="HC116" s="30"/>
      <c r="HD116" s="30"/>
      <c r="HE116" s="30"/>
      <c r="HF116" s="30"/>
      <c r="HG116" s="30"/>
      <c r="HH116" s="30"/>
      <c r="HI116" s="30"/>
      <c r="HJ116" s="30"/>
      <c r="HK116" s="30"/>
      <c r="HL116" s="30"/>
      <c r="HM116" s="30"/>
      <c r="HN116" s="30"/>
      <c r="HO116" s="30"/>
      <c r="HP116" s="30"/>
      <c r="HQ116" s="30"/>
      <c r="HR116" s="30"/>
      <c r="HS116" s="30"/>
      <c r="HT116" s="30"/>
      <c r="HU116" s="30"/>
      <c r="HV116" s="30"/>
      <c r="HW116" s="30"/>
      <c r="HX116" s="30"/>
      <c r="HY116" s="30"/>
      <c r="HZ116" s="30"/>
      <c r="IA116" s="30"/>
      <c r="IB116" s="30"/>
      <c r="IC116" s="30"/>
      <c r="ID116" s="30"/>
      <c r="IE116" s="30"/>
      <c r="IF116" s="30"/>
      <c r="IG116" s="30"/>
      <c r="IH116" s="30"/>
      <c r="II116" s="30"/>
      <c r="IJ116" s="30"/>
      <c r="IK116" s="30"/>
      <c r="IL116" s="30"/>
      <c r="IM116" s="30"/>
      <c r="IN116" s="30"/>
      <c r="IO116" s="30"/>
      <c r="IP116" s="30"/>
      <c r="IQ116" s="30"/>
      <c r="IR116" s="30"/>
      <c r="IS116" s="30"/>
      <c r="IT116" s="30"/>
      <c r="IU116" s="30"/>
      <c r="IV116" s="30"/>
      <c r="IW116" s="30"/>
      <c r="IX116" s="30"/>
      <c r="IY116" s="30"/>
      <c r="IZ116" s="30"/>
      <c r="JA116" s="30"/>
      <c r="JB116" s="30"/>
      <c r="JC116" s="30"/>
      <c r="JD116" s="30"/>
      <c r="JE116" s="30"/>
      <c r="JF116" s="30"/>
      <c r="JG116" s="30"/>
      <c r="JH116" s="30"/>
      <c r="JI116" s="30"/>
      <c r="JJ116" s="30"/>
      <c r="JK116" s="30"/>
      <c r="JL116" s="30"/>
      <c r="JM116" s="30"/>
      <c r="JN116" s="30"/>
      <c r="JO116" s="30"/>
      <c r="JP116" s="30"/>
      <c r="JQ116" s="30"/>
      <c r="JR116" s="30"/>
      <c r="JS116" s="30"/>
      <c r="JT116" s="30"/>
      <c r="JU116" s="30"/>
      <c r="JV116" s="30"/>
      <c r="JW116" s="30"/>
      <c r="JX116" s="30"/>
      <c r="JY116" s="30"/>
      <c r="JZ116" s="30"/>
      <c r="KA116" s="30"/>
      <c r="KB116" s="30"/>
      <c r="KC116" s="30"/>
      <c r="KD116" s="30"/>
      <c r="KE116" s="30"/>
      <c r="KF116" s="30"/>
      <c r="KG116" s="30"/>
      <c r="KH116" s="30"/>
      <c r="KI116" s="30"/>
      <c r="KJ116" s="30"/>
      <c r="KK116" s="30"/>
      <c r="KL116" s="30"/>
      <c r="KM116" s="30"/>
      <c r="KN116" s="30"/>
      <c r="KO116" s="30"/>
      <c r="KP116" s="30"/>
      <c r="KQ116" s="30"/>
      <c r="KR116" s="30"/>
      <c r="KS116" s="30"/>
      <c r="KT116" s="30"/>
      <c r="KU116" s="30"/>
      <c r="KV116" s="30"/>
      <c r="KW116" s="30"/>
      <c r="KX116" s="30"/>
      <c r="KY116" s="30"/>
      <c r="KZ116" s="30"/>
      <c r="LA116" s="30"/>
      <c r="LB116" s="30"/>
      <c r="LC116" s="30"/>
      <c r="LD116" s="30"/>
      <c r="LE116" s="30"/>
      <c r="LF116" s="30"/>
      <c r="LG116" s="30"/>
      <c r="LH116" s="30"/>
      <c r="LI116" s="30"/>
      <c r="LJ116" s="30"/>
      <c r="LK116" s="30"/>
      <c r="LL116" s="30"/>
      <c r="LM116" s="30"/>
      <c r="LN116" s="30"/>
      <c r="LO116" s="30"/>
      <c r="LP116" s="30"/>
      <c r="LQ116" s="30"/>
      <c r="LR116" s="30"/>
      <c r="LS116" s="30"/>
      <c r="LT116" s="30"/>
      <c r="LU116" s="30"/>
      <c r="LV116" s="30"/>
      <c r="LW116" s="30"/>
      <c r="LX116" s="30"/>
      <c r="LY116" s="30"/>
      <c r="LZ116" s="30"/>
      <c r="MA116" s="30"/>
      <c r="MB116" s="30"/>
      <c r="MC116" s="30"/>
      <c r="MD116" s="30"/>
      <c r="ME116" s="30"/>
      <c r="MF116" s="30"/>
      <c r="MG116" s="30"/>
      <c r="MH116" s="30"/>
      <c r="MI116" s="30"/>
      <c r="MJ116" s="30"/>
      <c r="MK116" s="30"/>
      <c r="ML116" s="30"/>
      <c r="MM116" s="30"/>
      <c r="MN116" s="30"/>
      <c r="MO116" s="30"/>
      <c r="MP116" s="30"/>
      <c r="MQ116" s="30"/>
      <c r="MR116" s="30"/>
      <c r="MS116" s="30"/>
      <c r="MT116" s="30"/>
      <c r="MU116" s="30"/>
      <c r="MV116" s="30"/>
      <c r="MW116" s="30"/>
      <c r="MX116" s="30"/>
      <c r="MY116" s="30"/>
      <c r="MZ116" s="30"/>
      <c r="NA116" s="30"/>
      <c r="NB116" s="30"/>
      <c r="NC116" s="30"/>
      <c r="ND116" s="30"/>
      <c r="NE116" s="30"/>
      <c r="NF116" s="30"/>
      <c r="NG116" s="30"/>
      <c r="NH116" s="30"/>
      <c r="NI116" s="30"/>
      <c r="NJ116" s="30"/>
      <c r="NK116" s="30"/>
      <c r="NL116" s="30"/>
      <c r="NM116" s="30"/>
      <c r="NN116" s="30"/>
      <c r="NO116" s="30"/>
      <c r="NP116" s="30"/>
      <c r="NQ116" s="30"/>
      <c r="NR116" s="30"/>
      <c r="NS116" s="30"/>
      <c r="NT116" s="30"/>
      <c r="NU116" s="30"/>
      <c r="NV116" s="30"/>
      <c r="NW116" s="30"/>
      <c r="NX116" s="30"/>
      <c r="NY116" s="30"/>
      <c r="NZ116" s="30"/>
      <c r="OA116" s="30"/>
      <c r="OB116" s="30"/>
      <c r="OC116" s="30"/>
      <c r="OD116" s="30"/>
      <c r="OE116" s="30"/>
      <c r="OF116" s="30"/>
      <c r="OG116" s="30"/>
      <c r="OH116" s="30"/>
      <c r="OI116" s="30"/>
      <c r="OJ116" s="30"/>
      <c r="OK116" s="30"/>
      <c r="OL116" s="30"/>
      <c r="OM116" s="30"/>
      <c r="ON116" s="30"/>
      <c r="OO116" s="30"/>
      <c r="OP116" s="30"/>
      <c r="OQ116" s="30"/>
      <c r="OR116" s="30"/>
      <c r="OS116" s="30"/>
      <c r="OT116" s="30"/>
      <c r="OU116" s="30"/>
      <c r="OV116" s="30"/>
      <c r="OW116" s="30"/>
      <c r="OX116" s="30"/>
      <c r="OY116" s="30"/>
      <c r="OZ116" s="30"/>
      <c r="PA116" s="30"/>
      <c r="PB116" s="30"/>
      <c r="PC116" s="30"/>
      <c r="PD116" s="30"/>
      <c r="PE116" s="30"/>
      <c r="PF116" s="30"/>
      <c r="PG116" s="30"/>
      <c r="PH116" s="30"/>
      <c r="PI116" s="30"/>
      <c r="PJ116" s="30"/>
      <c r="PK116" s="30"/>
      <c r="PL116" s="30"/>
      <c r="PM116" s="30"/>
      <c r="PN116" s="30"/>
      <c r="PO116" s="30"/>
      <c r="PP116" s="30"/>
      <c r="PQ116" s="30"/>
      <c r="PR116" s="30"/>
      <c r="PS116" s="30"/>
      <c r="PT116" s="30"/>
      <c r="PU116" s="30"/>
      <c r="PV116" s="30"/>
      <c r="PW116" s="30"/>
      <c r="PX116" s="30"/>
      <c r="PY116" s="30"/>
      <c r="PZ116" s="30"/>
      <c r="QA116" s="30"/>
      <c r="QB116" s="30"/>
      <c r="QC116" s="30"/>
      <c r="QD116" s="30"/>
      <c r="QE116" s="30"/>
      <c r="QF116" s="30"/>
      <c r="QG116" s="30"/>
      <c r="QH116" s="30"/>
      <c r="QI116" s="30"/>
      <c r="QJ116" s="30"/>
      <c r="QK116" s="30"/>
      <c r="QL116" s="30"/>
      <c r="QM116" s="30"/>
      <c r="QN116" s="30"/>
      <c r="QO116" s="30"/>
      <c r="QP116" s="30"/>
      <c r="QQ116" s="30"/>
      <c r="QR116" s="30"/>
      <c r="QS116" s="30"/>
      <c r="QT116" s="30"/>
      <c r="QU116" s="30"/>
      <c r="QV116" s="30"/>
      <c r="QW116" s="30"/>
      <c r="QX116" s="30"/>
      <c r="QY116" s="30"/>
      <c r="QZ116" s="30"/>
      <c r="RA116" s="30"/>
      <c r="RB116" s="30"/>
      <c r="RC116" s="30"/>
      <c r="RD116" s="30"/>
      <c r="RE116" s="30"/>
      <c r="RF116" s="30"/>
      <c r="RG116" s="30"/>
      <c r="RH116" s="30"/>
      <c r="RI116" s="30"/>
      <c r="RJ116" s="30"/>
      <c r="RK116" s="30"/>
      <c r="RL116" s="30"/>
      <c r="RM116" s="30"/>
      <c r="RN116" s="30"/>
      <c r="RO116" s="30"/>
      <c r="RP116" s="30"/>
      <c r="RQ116" s="30"/>
      <c r="RR116" s="30"/>
      <c r="RS116" s="30"/>
      <c r="RT116" s="30"/>
      <c r="RU116" s="30"/>
      <c r="RV116" s="30"/>
      <c r="RW116" s="30"/>
      <c r="RX116" s="30"/>
      <c r="RY116" s="30"/>
      <c r="RZ116" s="30"/>
      <c r="SA116" s="30"/>
      <c r="SB116" s="30"/>
      <c r="SC116" s="30"/>
      <c r="SD116" s="30"/>
    </row>
    <row r="117" spans="1:498" s="20" customFormat="1" ht="14.1" hidden="1" customHeight="1" x14ac:dyDescent="0.25">
      <c r="A117" s="59"/>
      <c r="B117" s="59" t="s">
        <v>22</v>
      </c>
      <c r="C117" s="59"/>
      <c r="D117" s="59"/>
      <c r="E117" s="44"/>
      <c r="F117" s="36">
        <f>F115-F116</f>
        <v>-114.60850296724675</v>
      </c>
      <c r="G117" s="33">
        <f>G115-G116</f>
        <v>-129.36434772427992</v>
      </c>
      <c r="H117" s="33">
        <f t="shared" ref="H117:N117" si="64">H115-H116</f>
        <v>483.73376045440091</v>
      </c>
      <c r="I117" s="33">
        <f t="shared" si="64"/>
        <v>546.01448211290517</v>
      </c>
      <c r="J117" s="33">
        <f t="shared" si="64"/>
        <v>1401.3429249338246</v>
      </c>
      <c r="K117" s="33">
        <f t="shared" si="64"/>
        <v>1581.7658265190548</v>
      </c>
      <c r="L117" s="33">
        <f t="shared" si="64"/>
        <v>2602.1297345131466</v>
      </c>
      <c r="M117" s="33">
        <f t="shared" si="64"/>
        <v>2937.1539378317143</v>
      </c>
      <c r="N117" s="33">
        <f t="shared" si="64"/>
        <v>4715.6065541871394</v>
      </c>
      <c r="O117" s="33">
        <f>O115-O116</f>
        <v>5976.2256301393381</v>
      </c>
      <c r="P117" s="33"/>
      <c r="Q117" s="33"/>
      <c r="R117" s="33"/>
      <c r="S117" s="33"/>
      <c r="T117" s="33"/>
      <c r="U117" s="33"/>
      <c r="V117" s="33"/>
      <c r="W117" s="33"/>
      <c r="X117" s="33"/>
      <c r="Y117" s="33"/>
      <c r="Z117" s="31"/>
      <c r="AA117" s="31"/>
      <c r="AB117" s="31"/>
      <c r="AC117" s="31"/>
      <c r="AD117" s="31"/>
      <c r="AE117" s="31"/>
      <c r="AF117" s="31"/>
      <c r="AG117" s="31"/>
      <c r="AH117" s="31"/>
      <c r="AI117" s="31"/>
      <c r="AJ117" s="59"/>
      <c r="AK117" s="59"/>
      <c r="AL117" s="59"/>
      <c r="AM117" s="59"/>
      <c r="AN117" s="59"/>
      <c r="AO117" s="59"/>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c r="FG117" s="30"/>
      <c r="FH117" s="30"/>
      <c r="FI117" s="30"/>
      <c r="FJ117" s="30"/>
      <c r="FK117" s="30"/>
      <c r="FL117" s="30"/>
      <c r="FM117" s="30"/>
      <c r="FN117" s="30"/>
      <c r="FO117" s="30"/>
      <c r="FP117" s="30"/>
      <c r="FQ117" s="30"/>
      <c r="FR117" s="30"/>
      <c r="FS117" s="30"/>
      <c r="FT117" s="30"/>
      <c r="FU117" s="30"/>
      <c r="FV117" s="30"/>
      <c r="FW117" s="30"/>
      <c r="FX117" s="30"/>
      <c r="FY117" s="30"/>
      <c r="FZ117" s="30"/>
      <c r="GA117" s="30"/>
      <c r="GB117" s="30"/>
      <c r="GC117" s="30"/>
      <c r="GD117" s="30"/>
      <c r="GE117" s="30"/>
      <c r="GF117" s="30"/>
      <c r="GG117" s="30"/>
      <c r="GH117" s="30"/>
      <c r="GI117" s="30"/>
      <c r="GJ117" s="30"/>
      <c r="GK117" s="30"/>
      <c r="GL117" s="30"/>
      <c r="GM117" s="30"/>
      <c r="GN117" s="30"/>
      <c r="GO117" s="30"/>
      <c r="GP117" s="30"/>
      <c r="GQ117" s="30"/>
      <c r="GR117" s="30"/>
      <c r="GS117" s="30"/>
      <c r="GT117" s="30"/>
      <c r="GU117" s="30"/>
      <c r="GV117" s="30"/>
      <c r="GW117" s="30"/>
      <c r="GX117" s="30"/>
      <c r="GY117" s="30"/>
      <c r="GZ117" s="30"/>
      <c r="HA117" s="30"/>
      <c r="HB117" s="30"/>
      <c r="HC117" s="30"/>
      <c r="HD117" s="30"/>
      <c r="HE117" s="30"/>
      <c r="HF117" s="30"/>
      <c r="HG117" s="30"/>
      <c r="HH117" s="30"/>
      <c r="HI117" s="30"/>
      <c r="HJ117" s="30"/>
      <c r="HK117" s="30"/>
      <c r="HL117" s="30"/>
      <c r="HM117" s="30"/>
      <c r="HN117" s="30"/>
      <c r="HO117" s="30"/>
      <c r="HP117" s="30"/>
      <c r="HQ117" s="30"/>
      <c r="HR117" s="30"/>
      <c r="HS117" s="30"/>
      <c r="HT117" s="30"/>
      <c r="HU117" s="30"/>
      <c r="HV117" s="30"/>
      <c r="HW117" s="30"/>
      <c r="HX117" s="30"/>
      <c r="HY117" s="30"/>
      <c r="HZ117" s="30"/>
      <c r="IA117" s="30"/>
      <c r="IB117" s="30"/>
      <c r="IC117" s="30"/>
      <c r="ID117" s="30"/>
      <c r="IE117" s="30"/>
      <c r="IF117" s="30"/>
      <c r="IG117" s="30"/>
      <c r="IH117" s="30"/>
      <c r="II117" s="30"/>
      <c r="IJ117" s="30"/>
      <c r="IK117" s="30"/>
      <c r="IL117" s="30"/>
      <c r="IM117" s="30"/>
      <c r="IN117" s="30"/>
      <c r="IO117" s="30"/>
      <c r="IP117" s="30"/>
      <c r="IQ117" s="30"/>
      <c r="IR117" s="30"/>
      <c r="IS117" s="30"/>
      <c r="IT117" s="30"/>
      <c r="IU117" s="30"/>
      <c r="IV117" s="30"/>
      <c r="IW117" s="30"/>
      <c r="IX117" s="30"/>
      <c r="IY117" s="30"/>
      <c r="IZ117" s="30"/>
      <c r="JA117" s="30"/>
      <c r="JB117" s="30"/>
      <c r="JC117" s="30"/>
      <c r="JD117" s="30"/>
      <c r="JE117" s="30"/>
      <c r="JF117" s="30"/>
      <c r="JG117" s="30"/>
      <c r="JH117" s="30"/>
      <c r="JI117" s="30"/>
      <c r="JJ117" s="30"/>
      <c r="JK117" s="30"/>
      <c r="JL117" s="30"/>
      <c r="JM117" s="30"/>
      <c r="JN117" s="30"/>
      <c r="JO117" s="30"/>
      <c r="JP117" s="30"/>
      <c r="JQ117" s="30"/>
      <c r="JR117" s="30"/>
      <c r="JS117" s="30"/>
      <c r="JT117" s="30"/>
      <c r="JU117" s="30"/>
      <c r="JV117" s="30"/>
      <c r="JW117" s="30"/>
      <c r="JX117" s="30"/>
      <c r="JY117" s="30"/>
      <c r="JZ117" s="30"/>
      <c r="KA117" s="30"/>
      <c r="KB117" s="30"/>
      <c r="KC117" s="30"/>
      <c r="KD117" s="30"/>
      <c r="KE117" s="30"/>
      <c r="KF117" s="30"/>
      <c r="KG117" s="30"/>
      <c r="KH117" s="30"/>
      <c r="KI117" s="30"/>
      <c r="KJ117" s="30"/>
      <c r="KK117" s="30"/>
      <c r="KL117" s="30"/>
      <c r="KM117" s="30"/>
      <c r="KN117" s="30"/>
      <c r="KO117" s="30"/>
      <c r="KP117" s="30"/>
      <c r="KQ117" s="30"/>
      <c r="KR117" s="30"/>
      <c r="KS117" s="30"/>
      <c r="KT117" s="30"/>
      <c r="KU117" s="30"/>
      <c r="KV117" s="30"/>
      <c r="KW117" s="30"/>
      <c r="KX117" s="30"/>
      <c r="KY117" s="30"/>
      <c r="KZ117" s="30"/>
      <c r="LA117" s="30"/>
      <c r="LB117" s="30"/>
      <c r="LC117" s="30"/>
      <c r="LD117" s="30"/>
      <c r="LE117" s="30"/>
      <c r="LF117" s="30"/>
      <c r="LG117" s="30"/>
      <c r="LH117" s="30"/>
      <c r="LI117" s="30"/>
      <c r="LJ117" s="30"/>
      <c r="LK117" s="30"/>
      <c r="LL117" s="30"/>
      <c r="LM117" s="30"/>
      <c r="LN117" s="30"/>
      <c r="LO117" s="30"/>
      <c r="LP117" s="30"/>
      <c r="LQ117" s="30"/>
      <c r="LR117" s="30"/>
      <c r="LS117" s="30"/>
      <c r="LT117" s="30"/>
      <c r="LU117" s="30"/>
      <c r="LV117" s="30"/>
      <c r="LW117" s="30"/>
      <c r="LX117" s="30"/>
      <c r="LY117" s="30"/>
      <c r="LZ117" s="30"/>
      <c r="MA117" s="30"/>
      <c r="MB117" s="30"/>
      <c r="MC117" s="30"/>
      <c r="MD117" s="30"/>
      <c r="ME117" s="30"/>
      <c r="MF117" s="30"/>
      <c r="MG117" s="30"/>
      <c r="MH117" s="30"/>
      <c r="MI117" s="30"/>
      <c r="MJ117" s="30"/>
      <c r="MK117" s="30"/>
      <c r="ML117" s="30"/>
      <c r="MM117" s="30"/>
      <c r="MN117" s="30"/>
      <c r="MO117" s="30"/>
      <c r="MP117" s="30"/>
      <c r="MQ117" s="30"/>
      <c r="MR117" s="30"/>
      <c r="MS117" s="30"/>
      <c r="MT117" s="30"/>
      <c r="MU117" s="30"/>
      <c r="MV117" s="30"/>
      <c r="MW117" s="30"/>
      <c r="MX117" s="30"/>
      <c r="MY117" s="30"/>
      <c r="MZ117" s="30"/>
      <c r="NA117" s="30"/>
      <c r="NB117" s="30"/>
      <c r="NC117" s="30"/>
      <c r="ND117" s="30"/>
      <c r="NE117" s="30"/>
      <c r="NF117" s="30"/>
      <c r="NG117" s="30"/>
      <c r="NH117" s="30"/>
      <c r="NI117" s="30"/>
      <c r="NJ117" s="30"/>
      <c r="NK117" s="30"/>
      <c r="NL117" s="30"/>
      <c r="NM117" s="30"/>
      <c r="NN117" s="30"/>
      <c r="NO117" s="30"/>
      <c r="NP117" s="30"/>
      <c r="NQ117" s="30"/>
      <c r="NR117" s="30"/>
      <c r="NS117" s="30"/>
      <c r="NT117" s="30"/>
      <c r="NU117" s="30"/>
      <c r="NV117" s="30"/>
      <c r="NW117" s="30"/>
      <c r="NX117" s="30"/>
      <c r="NY117" s="30"/>
      <c r="NZ117" s="30"/>
      <c r="OA117" s="30"/>
      <c r="OB117" s="30"/>
      <c r="OC117" s="30"/>
      <c r="OD117" s="30"/>
      <c r="OE117" s="30"/>
      <c r="OF117" s="30"/>
      <c r="OG117" s="30"/>
      <c r="OH117" s="30"/>
      <c r="OI117" s="30"/>
      <c r="OJ117" s="30"/>
      <c r="OK117" s="30"/>
      <c r="OL117" s="30"/>
      <c r="OM117" s="30"/>
      <c r="ON117" s="30"/>
      <c r="OO117" s="30"/>
      <c r="OP117" s="30"/>
      <c r="OQ117" s="30"/>
      <c r="OR117" s="30"/>
      <c r="OS117" s="30"/>
      <c r="OT117" s="30"/>
      <c r="OU117" s="30"/>
      <c r="OV117" s="30"/>
      <c r="OW117" s="30"/>
      <c r="OX117" s="30"/>
      <c r="OY117" s="30"/>
      <c r="OZ117" s="30"/>
      <c r="PA117" s="30"/>
      <c r="PB117" s="30"/>
      <c r="PC117" s="30"/>
      <c r="PD117" s="30"/>
      <c r="PE117" s="30"/>
      <c r="PF117" s="30"/>
      <c r="PG117" s="30"/>
      <c r="PH117" s="30"/>
      <c r="PI117" s="30"/>
      <c r="PJ117" s="30"/>
      <c r="PK117" s="30"/>
      <c r="PL117" s="30"/>
      <c r="PM117" s="30"/>
      <c r="PN117" s="30"/>
      <c r="PO117" s="30"/>
      <c r="PP117" s="30"/>
      <c r="PQ117" s="30"/>
      <c r="PR117" s="30"/>
      <c r="PS117" s="30"/>
      <c r="PT117" s="30"/>
      <c r="PU117" s="30"/>
      <c r="PV117" s="30"/>
      <c r="PW117" s="30"/>
      <c r="PX117" s="30"/>
      <c r="PY117" s="30"/>
      <c r="PZ117" s="30"/>
      <c r="QA117" s="30"/>
      <c r="QB117" s="30"/>
      <c r="QC117" s="30"/>
      <c r="QD117" s="30"/>
      <c r="QE117" s="30"/>
      <c r="QF117" s="30"/>
      <c r="QG117" s="30"/>
      <c r="QH117" s="30"/>
      <c r="QI117" s="30"/>
      <c r="QJ117" s="30"/>
      <c r="QK117" s="30"/>
      <c r="QL117" s="30"/>
      <c r="QM117" s="30"/>
      <c r="QN117" s="30"/>
      <c r="QO117" s="30"/>
      <c r="QP117" s="30"/>
      <c r="QQ117" s="30"/>
      <c r="QR117" s="30"/>
      <c r="QS117" s="30"/>
      <c r="QT117" s="30"/>
      <c r="QU117" s="30"/>
      <c r="QV117" s="30"/>
      <c r="QW117" s="30"/>
      <c r="QX117" s="30"/>
      <c r="QY117" s="30"/>
      <c r="QZ117" s="30"/>
      <c r="RA117" s="30"/>
      <c r="RB117" s="30"/>
      <c r="RC117" s="30"/>
      <c r="RD117" s="30"/>
      <c r="RE117" s="30"/>
      <c r="RF117" s="30"/>
      <c r="RG117" s="30"/>
      <c r="RH117" s="30"/>
      <c r="RI117" s="30"/>
      <c r="RJ117" s="30"/>
      <c r="RK117" s="30"/>
      <c r="RL117" s="30"/>
      <c r="RM117" s="30"/>
      <c r="RN117" s="30"/>
      <c r="RO117" s="30"/>
      <c r="RP117" s="30"/>
      <c r="RQ117" s="30"/>
      <c r="RR117" s="30"/>
      <c r="RS117" s="30"/>
      <c r="RT117" s="30"/>
      <c r="RU117" s="30"/>
      <c r="RV117" s="30"/>
      <c r="RW117" s="30"/>
      <c r="RX117" s="30"/>
      <c r="RY117" s="30"/>
      <c r="RZ117" s="30"/>
      <c r="SA117" s="30"/>
      <c r="SB117" s="30"/>
      <c r="SC117" s="30"/>
      <c r="SD117" s="30"/>
    </row>
    <row r="118" spans="1:498" s="20" customFormat="1" hidden="1" x14ac:dyDescent="0.25">
      <c r="A118" s="59"/>
      <c r="B118" s="59" t="s">
        <v>16</v>
      </c>
      <c r="C118" s="59"/>
      <c r="D118" s="59"/>
      <c r="E118" s="44"/>
      <c r="F118" s="36">
        <f>$C$10-F117</f>
        <v>20114.608502967247</v>
      </c>
      <c r="G118" s="33">
        <f>F118-G117</f>
        <v>20243.972850691527</v>
      </c>
      <c r="H118" s="33">
        <f t="shared" ref="H118:O118" si="65">G118-H117</f>
        <v>19760.239090237126</v>
      </c>
      <c r="I118" s="33">
        <f t="shared" si="65"/>
        <v>19214.224608124219</v>
      </c>
      <c r="J118" s="33">
        <f t="shared" si="65"/>
        <v>17812.881683190393</v>
      </c>
      <c r="K118" s="33">
        <f t="shared" si="65"/>
        <v>16231.115856671338</v>
      </c>
      <c r="L118" s="33">
        <f t="shared" si="65"/>
        <v>13628.986122158192</v>
      </c>
      <c r="M118" s="33">
        <f t="shared" si="65"/>
        <v>10691.832184326478</v>
      </c>
      <c r="N118" s="33">
        <f t="shared" si="65"/>
        <v>5976.225630139339</v>
      </c>
      <c r="O118" s="33">
        <f t="shared" si="65"/>
        <v>0</v>
      </c>
      <c r="P118" s="33"/>
      <c r="Q118" s="33"/>
      <c r="R118" s="33"/>
      <c r="S118" s="33"/>
      <c r="T118" s="33"/>
      <c r="U118" s="33"/>
      <c r="V118" s="33"/>
      <c r="W118" s="33"/>
      <c r="X118" s="33"/>
      <c r="Y118" s="33"/>
      <c r="Z118" s="31"/>
      <c r="AA118" s="31"/>
      <c r="AB118" s="31"/>
      <c r="AC118" s="31"/>
      <c r="AD118" s="31"/>
      <c r="AE118" s="31"/>
      <c r="AF118" s="31"/>
      <c r="AG118" s="31"/>
      <c r="AH118" s="31"/>
      <c r="AI118" s="31"/>
      <c r="AJ118" s="59"/>
      <c r="AK118" s="59"/>
      <c r="AL118" s="59"/>
      <c r="AM118" s="59"/>
      <c r="AN118" s="59"/>
      <c r="AO118" s="59"/>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c r="CA118" s="30"/>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30"/>
      <c r="FI118" s="30"/>
      <c r="FJ118" s="30"/>
      <c r="FK118" s="30"/>
      <c r="FL118" s="30"/>
      <c r="FM118" s="30"/>
      <c r="FN118" s="30"/>
      <c r="FO118" s="30"/>
      <c r="FP118" s="30"/>
      <c r="FQ118" s="30"/>
      <c r="FR118" s="30"/>
      <c r="FS118" s="30"/>
      <c r="FT118" s="30"/>
      <c r="FU118" s="30"/>
      <c r="FV118" s="30"/>
      <c r="FW118" s="30"/>
      <c r="FX118" s="30"/>
      <c r="FY118" s="30"/>
      <c r="FZ118" s="30"/>
      <c r="GA118" s="30"/>
      <c r="GB118" s="30"/>
      <c r="GC118" s="30"/>
      <c r="GD118" s="30"/>
      <c r="GE118" s="30"/>
      <c r="GF118" s="30"/>
      <c r="GG118" s="30"/>
      <c r="GH118" s="30"/>
      <c r="GI118" s="30"/>
      <c r="GJ118" s="30"/>
      <c r="GK118" s="30"/>
      <c r="GL118" s="30"/>
      <c r="GM118" s="30"/>
      <c r="GN118" s="30"/>
      <c r="GO118" s="30"/>
      <c r="GP118" s="30"/>
      <c r="GQ118" s="30"/>
      <c r="GR118" s="30"/>
      <c r="GS118" s="30"/>
      <c r="GT118" s="30"/>
      <c r="GU118" s="30"/>
      <c r="GV118" s="30"/>
      <c r="GW118" s="30"/>
      <c r="GX118" s="30"/>
      <c r="GY118" s="30"/>
      <c r="GZ118" s="30"/>
      <c r="HA118" s="30"/>
      <c r="HB118" s="30"/>
      <c r="HC118" s="30"/>
      <c r="HD118" s="30"/>
      <c r="HE118" s="30"/>
      <c r="HF118" s="30"/>
      <c r="HG118" s="30"/>
      <c r="HH118" s="30"/>
      <c r="HI118" s="30"/>
      <c r="HJ118" s="30"/>
      <c r="HK118" s="30"/>
      <c r="HL118" s="30"/>
      <c r="HM118" s="30"/>
      <c r="HN118" s="30"/>
      <c r="HO118" s="30"/>
      <c r="HP118" s="30"/>
      <c r="HQ118" s="30"/>
      <c r="HR118" s="30"/>
      <c r="HS118" s="30"/>
      <c r="HT118" s="30"/>
      <c r="HU118" s="30"/>
      <c r="HV118" s="30"/>
      <c r="HW118" s="30"/>
      <c r="HX118" s="30"/>
      <c r="HY118" s="30"/>
      <c r="HZ118" s="30"/>
      <c r="IA118" s="30"/>
      <c r="IB118" s="30"/>
      <c r="IC118" s="30"/>
      <c r="ID118" s="30"/>
      <c r="IE118" s="30"/>
      <c r="IF118" s="30"/>
      <c r="IG118" s="30"/>
      <c r="IH118" s="30"/>
      <c r="II118" s="30"/>
      <c r="IJ118" s="30"/>
      <c r="IK118" s="30"/>
      <c r="IL118" s="30"/>
      <c r="IM118" s="30"/>
      <c r="IN118" s="30"/>
      <c r="IO118" s="30"/>
      <c r="IP118" s="30"/>
      <c r="IQ118" s="30"/>
      <c r="IR118" s="30"/>
      <c r="IS118" s="30"/>
      <c r="IT118" s="30"/>
      <c r="IU118" s="30"/>
      <c r="IV118" s="30"/>
      <c r="IW118" s="30"/>
      <c r="IX118" s="30"/>
      <c r="IY118" s="30"/>
      <c r="IZ118" s="30"/>
      <c r="JA118" s="30"/>
      <c r="JB118" s="30"/>
      <c r="JC118" s="30"/>
      <c r="JD118" s="30"/>
      <c r="JE118" s="30"/>
      <c r="JF118" s="30"/>
      <c r="JG118" s="30"/>
      <c r="JH118" s="30"/>
      <c r="JI118" s="30"/>
      <c r="JJ118" s="30"/>
      <c r="JK118" s="30"/>
      <c r="JL118" s="30"/>
      <c r="JM118" s="30"/>
      <c r="JN118" s="30"/>
      <c r="JO118" s="30"/>
      <c r="JP118" s="30"/>
      <c r="JQ118" s="30"/>
      <c r="JR118" s="30"/>
      <c r="JS118" s="30"/>
      <c r="JT118" s="30"/>
      <c r="JU118" s="30"/>
      <c r="JV118" s="30"/>
      <c r="JW118" s="30"/>
      <c r="JX118" s="30"/>
      <c r="JY118" s="30"/>
      <c r="JZ118" s="30"/>
      <c r="KA118" s="30"/>
      <c r="KB118" s="30"/>
      <c r="KC118" s="30"/>
      <c r="KD118" s="30"/>
      <c r="KE118" s="30"/>
      <c r="KF118" s="30"/>
      <c r="KG118" s="30"/>
      <c r="KH118" s="30"/>
      <c r="KI118" s="30"/>
      <c r="KJ118" s="30"/>
      <c r="KK118" s="30"/>
      <c r="KL118" s="30"/>
      <c r="KM118" s="30"/>
      <c r="KN118" s="30"/>
      <c r="KO118" s="30"/>
      <c r="KP118" s="30"/>
      <c r="KQ118" s="30"/>
      <c r="KR118" s="30"/>
      <c r="KS118" s="30"/>
      <c r="KT118" s="30"/>
      <c r="KU118" s="30"/>
      <c r="KV118" s="30"/>
      <c r="KW118" s="30"/>
      <c r="KX118" s="30"/>
      <c r="KY118" s="30"/>
      <c r="KZ118" s="30"/>
      <c r="LA118" s="30"/>
      <c r="LB118" s="30"/>
      <c r="LC118" s="30"/>
      <c r="LD118" s="30"/>
      <c r="LE118" s="30"/>
      <c r="LF118" s="30"/>
      <c r="LG118" s="30"/>
      <c r="LH118" s="30"/>
      <c r="LI118" s="30"/>
      <c r="LJ118" s="30"/>
      <c r="LK118" s="30"/>
      <c r="LL118" s="30"/>
      <c r="LM118" s="30"/>
      <c r="LN118" s="30"/>
      <c r="LO118" s="30"/>
      <c r="LP118" s="30"/>
      <c r="LQ118" s="30"/>
      <c r="LR118" s="30"/>
      <c r="LS118" s="30"/>
      <c r="LT118" s="30"/>
      <c r="LU118" s="30"/>
      <c r="LV118" s="30"/>
      <c r="LW118" s="30"/>
      <c r="LX118" s="30"/>
      <c r="LY118" s="30"/>
      <c r="LZ118" s="30"/>
      <c r="MA118" s="30"/>
      <c r="MB118" s="30"/>
      <c r="MC118" s="30"/>
      <c r="MD118" s="30"/>
      <c r="ME118" s="30"/>
      <c r="MF118" s="30"/>
      <c r="MG118" s="30"/>
      <c r="MH118" s="30"/>
      <c r="MI118" s="30"/>
      <c r="MJ118" s="30"/>
      <c r="MK118" s="30"/>
      <c r="ML118" s="30"/>
      <c r="MM118" s="30"/>
      <c r="MN118" s="30"/>
      <c r="MO118" s="30"/>
      <c r="MP118" s="30"/>
      <c r="MQ118" s="30"/>
      <c r="MR118" s="30"/>
      <c r="MS118" s="30"/>
      <c r="MT118" s="30"/>
      <c r="MU118" s="30"/>
      <c r="MV118" s="30"/>
      <c r="MW118" s="30"/>
      <c r="MX118" s="30"/>
      <c r="MY118" s="30"/>
      <c r="MZ118" s="30"/>
      <c r="NA118" s="30"/>
      <c r="NB118" s="30"/>
      <c r="NC118" s="30"/>
      <c r="ND118" s="30"/>
      <c r="NE118" s="30"/>
      <c r="NF118" s="30"/>
      <c r="NG118" s="30"/>
      <c r="NH118" s="30"/>
      <c r="NI118" s="30"/>
      <c r="NJ118" s="30"/>
      <c r="NK118" s="30"/>
      <c r="NL118" s="30"/>
      <c r="NM118" s="30"/>
      <c r="NN118" s="30"/>
      <c r="NO118" s="30"/>
      <c r="NP118" s="30"/>
      <c r="NQ118" s="30"/>
      <c r="NR118" s="30"/>
      <c r="NS118" s="30"/>
      <c r="NT118" s="30"/>
      <c r="NU118" s="30"/>
      <c r="NV118" s="30"/>
      <c r="NW118" s="30"/>
      <c r="NX118" s="30"/>
      <c r="NY118" s="30"/>
      <c r="NZ118" s="30"/>
      <c r="OA118" s="30"/>
      <c r="OB118" s="30"/>
      <c r="OC118" s="30"/>
      <c r="OD118" s="30"/>
      <c r="OE118" s="30"/>
      <c r="OF118" s="30"/>
      <c r="OG118" s="30"/>
      <c r="OH118" s="30"/>
      <c r="OI118" s="30"/>
      <c r="OJ118" s="30"/>
      <c r="OK118" s="30"/>
      <c r="OL118" s="30"/>
      <c r="OM118" s="30"/>
      <c r="ON118" s="30"/>
      <c r="OO118" s="30"/>
      <c r="OP118" s="30"/>
      <c r="OQ118" s="30"/>
      <c r="OR118" s="30"/>
      <c r="OS118" s="30"/>
      <c r="OT118" s="30"/>
      <c r="OU118" s="30"/>
      <c r="OV118" s="30"/>
      <c r="OW118" s="30"/>
      <c r="OX118" s="30"/>
      <c r="OY118" s="30"/>
      <c r="OZ118" s="30"/>
      <c r="PA118" s="30"/>
      <c r="PB118" s="30"/>
      <c r="PC118" s="30"/>
      <c r="PD118" s="30"/>
      <c r="PE118" s="30"/>
      <c r="PF118" s="30"/>
      <c r="PG118" s="30"/>
      <c r="PH118" s="30"/>
      <c r="PI118" s="30"/>
      <c r="PJ118" s="30"/>
      <c r="PK118" s="30"/>
      <c r="PL118" s="30"/>
      <c r="PM118" s="30"/>
      <c r="PN118" s="30"/>
      <c r="PO118" s="30"/>
      <c r="PP118" s="30"/>
      <c r="PQ118" s="30"/>
      <c r="PR118" s="30"/>
      <c r="PS118" s="30"/>
      <c r="PT118" s="30"/>
      <c r="PU118" s="30"/>
      <c r="PV118" s="30"/>
      <c r="PW118" s="30"/>
      <c r="PX118" s="30"/>
      <c r="PY118" s="30"/>
      <c r="PZ118" s="30"/>
      <c r="QA118" s="30"/>
      <c r="QB118" s="30"/>
      <c r="QC118" s="30"/>
      <c r="QD118" s="30"/>
      <c r="QE118" s="30"/>
      <c r="QF118" s="30"/>
      <c r="QG118" s="30"/>
      <c r="QH118" s="30"/>
      <c r="QI118" s="30"/>
      <c r="QJ118" s="30"/>
      <c r="QK118" s="30"/>
      <c r="QL118" s="30"/>
      <c r="QM118" s="30"/>
      <c r="QN118" s="30"/>
      <c r="QO118" s="30"/>
      <c r="QP118" s="30"/>
      <c r="QQ118" s="30"/>
      <c r="QR118" s="30"/>
      <c r="QS118" s="30"/>
      <c r="QT118" s="30"/>
      <c r="QU118" s="30"/>
      <c r="QV118" s="30"/>
      <c r="QW118" s="30"/>
      <c r="QX118" s="30"/>
      <c r="QY118" s="30"/>
      <c r="QZ118" s="30"/>
      <c r="RA118" s="30"/>
      <c r="RB118" s="30"/>
      <c r="RC118" s="30"/>
      <c r="RD118" s="30"/>
      <c r="RE118" s="30"/>
      <c r="RF118" s="30"/>
      <c r="RG118" s="30"/>
      <c r="RH118" s="30"/>
      <c r="RI118" s="30"/>
      <c r="RJ118" s="30"/>
      <c r="RK118" s="30"/>
      <c r="RL118" s="30"/>
      <c r="RM118" s="30"/>
      <c r="RN118" s="30"/>
      <c r="RO118" s="30"/>
      <c r="RP118" s="30"/>
      <c r="RQ118" s="30"/>
      <c r="RR118" s="30"/>
      <c r="RS118" s="30"/>
      <c r="RT118" s="30"/>
      <c r="RU118" s="30"/>
      <c r="RV118" s="30"/>
      <c r="RW118" s="30"/>
      <c r="RX118" s="30"/>
      <c r="RY118" s="30"/>
      <c r="RZ118" s="30"/>
      <c r="SA118" s="30"/>
      <c r="SB118" s="30"/>
      <c r="SC118" s="30"/>
      <c r="SD118" s="30"/>
    </row>
    <row r="119" spans="1:498" s="47" customFormat="1" hidden="1" x14ac:dyDescent="0.25">
      <c r="A119" s="68"/>
      <c r="B119" s="68"/>
      <c r="C119" s="68"/>
      <c r="D119" s="67"/>
      <c r="E119" s="97" t="s">
        <v>49</v>
      </c>
      <c r="F119" s="46">
        <f>IF($C$10&lt;10000,PMT($C$11/12,12*12,(0.7)*-($C$10)),IF($C$10&lt;20000,PMT($C$11/12,15*12,(0.69)*-($C$10)),IF($C$10&lt;40000,PMT($C$11/12,20*12,(0.75)*-($C$10)),IF($C$10&lt;60000,PMT($C$11/12,25*12,(0.83)*-($C$10)),PMT($C$11/12,30*12,(0.88)*-($C$10))))))</f>
        <v>174.40232349180351</v>
      </c>
      <c r="G119" s="16">
        <f>IF($C$10&lt;10000,PMT($C$11/12,12*12,(0.7)*-($C$10)),IF($C$10&lt;20000,PMT($C$11/12,15*12,(0.69)*-($C$10)),IF($C$10&lt;40000,PMT($C$11/12,20*12,(0.75)*-($C$10)),IF($C$10&lt;60000,PMT($C$11/12,25*12,(0.83)*-($C$10)),PMT($C$11/12,30*12,(0.88)*-($C$10))))))</f>
        <v>174.40232349180351</v>
      </c>
      <c r="H119" s="16">
        <f>IF($C$10&lt;10000,PMT($C$11/12,10*12,(0.75)*-($G$123)),IF($C$10&lt;20000,PMT($C$11/12,13*12,(0.72)*-($G$123)),IF($C$10&lt;40000,PMT($C$11/12,(20-$G$77)*12,(0.78)*-($G$123)),IF($C$10&lt;60000,PMT($C$11/12,(25-$G$77)*12,(0.84)*-($G$123)),PMT($C$11/12,(30-2)*12,(0.89)*-($G$123))))))</f>
        <v>195.46078041244061</v>
      </c>
      <c r="I119" s="16">
        <f>IF($C$10&lt;10000,PMT($C$11/12,10*12,(0.75)*-($G$123)),IF($C$10&lt;20000,PMT($C$11/12,13*12,(0.72)*-($G$123)),IF($C$10&lt;40000,PMT($C$11/12,(20-$G$77)*12,(0.78)*-($G$123)),IF($C$10&lt;60000,PMT($C$11/12,(25-$G$77)*12,(0.84)*-($G$123)),PMT($C$11/12,(30-2)*12,(0.89)*-($G$123))))))</f>
        <v>195.46078041244061</v>
      </c>
      <c r="J119" s="16">
        <f>IF($C$10&lt;10000,PMT($C$11/12,8*12,(0.81)*-($I$123)),IF($C$10&lt;20000,PMT($C$11/12,11*12,(0.76)*-($I$123)),IF($C$10&lt;40000,PMT($C$11/12,(20-$I77)*12,(0.8)*-($I$123)),IF($C$10&lt;60000,PMT($C$11/12,(25-$I$77)*12,(0.85)*-($I$123)),PMT($C$11/12,(30-4)*12,(0.89)*-($I$123))))))</f>
        <v>214.75805280165733</v>
      </c>
      <c r="K119" s="16">
        <f>IF($C$10&lt;10000,PMT($C$11/12,8*12,(0.81)*-($I$123)),IF($C$10&lt;20000,PMT($C$11/12,11*12,(0.76)*-($I$123)),IF($C$10&lt;40000,PMT($C$11/12,(20-$I77)*12,(0.8)*-($I$123)),IF($C$10&lt;60000,PMT($C$11/12,(25-$I$77)*12,(0.85)*-($I$123)),PMT($C$11/12,(30-4)*12,(0.89)*-($I$123))))))</f>
        <v>214.75805280165733</v>
      </c>
      <c r="L119" s="16">
        <f>IF($C$10&lt;10000,PMT($C$11/12,6*12,(0.87)*-($K$123)),IF($C$10&lt;20000,PMT($C$11/12,9*12,(0.81)*-($K$123)),IF($C$10&lt;40000,PMT($C$11/12,(20-$K$77)*12,(0.82)*-($K$123)),IF($C$10&lt;60000,PMT($C$11/12,(25-$K$77)*12,(0.87)*-($K$123)),PMT($C$11/12,(30-6)*12,(0.9)*-($K$123))))))</f>
        <v>235.21048638454661</v>
      </c>
      <c r="M119" s="16">
        <f>IF($C$10&lt;10000,PMT($C$11/12,6*12,(0.87)*-($K$123)),IF($C$10&lt;20000,PMT($C$11/12,9*12,(0.81)*-($K$123)),IF($C$10&lt;40000,PMT($C$11/12,(20-$K$77)*12,(0.82)*-($K$123)),IF($C$10&lt;60000,PMT($C$11/12,(25-$K$77)*12,(0.87)*-($K$123)),PMT($C$11/12,(30-6)*12,(0.9)*-($K$123))))))</f>
        <v>235.21048638454661</v>
      </c>
      <c r="N119" s="16">
        <f>IF($C$10&lt;10000,PMT($C$11/12,4*12,0.93*-($M$123)),IF($C$10&lt;20000,PMT($C$11/12,7*12,(0.85)*-($M$123)),IF($C$10&lt;40000,PMT($C$11/12,(20-$M$77)*12,(0.85)*-($M$123)),IF($C$10&lt;60000,PMT($C$11/12,(25-$M$77)*12,(0.88)*-($M$123)),PMT($C$11/12,(30-8)*12,(0.91)*-($M$123))))))</f>
        <v>260.06258608551758</v>
      </c>
      <c r="O119" s="16">
        <f>IF($C$10&lt;10000,PMT($C$11/12,4*12,0.93*-($M$123)),IF($C$10&lt;20000,PMT($C$11/12,7*12,(0.85)*-($M$123)),IF($C$10&lt;40000,PMT($C$11/12,(20-$M$77)*12,(0.85)*-($M$123)),IF($C$10&lt;60000,PMT($C$11/12,(25-$M$77)*12,(0.88)*-($M$123)),PMT($C$11/12,(30-8)*12,(0.91)*-($M$123))))))</f>
        <v>260.06258608551758</v>
      </c>
      <c r="P119" s="16">
        <f>IF($C$10&lt;10000,PMT($C$11/12,2*12,-($O$123)),IF($C$10&lt;20000,PMT($C$11/12,5*12,(0.9)*-($O$123)),IF($C$10&lt;40000,PMT($C$11/12,(20-$O$77)*12,(0.88)*-($O$123)),IF($C$10&lt;60000,PMT($C$11/12,(25-$O$77)*12,(0.89)*-($O$123)),PMT($C$11/12,(30-10)*12,(0.915)*-($O$123))))))</f>
        <v>285.99988295707351</v>
      </c>
      <c r="Q119" s="16">
        <f>IF($C$10&lt;10000,(PMT($C$11/12,2*12,-($O$123)))+(((P119*12)-((P119*12)-(P123*$C$11)))/12),IF($C$10&lt;20000,PMT($C$11/12,5*12,(0.9)*-($O$123)),IF($C$10&lt;40000,PMT($C$11/12,(20-$O$77)*12,(0.88)*-($O$123)),IF($C$10&lt;60000,PMT($C$11/12,(25-$O$77)*12,(0.89)*-($O$123)),PMT($C$11/12,(30-10)*12,(0.915)*-($O$123))))))</f>
        <v>285.99988295707351</v>
      </c>
      <c r="R119" s="16">
        <f>IF($C$10&lt;10000,0,IF($C$10&lt;20000,PMT($C$11/12,3*12,(0.94)*-($Q$123)),IF($C$10&lt;40000,PMT($C$11/12,(20-$Q$77)*12,(0.9)*-($Q$123)),IF($C$10&lt;60000,PMT($C$11/12,(25-$Q$77)*12,(0.91)*-($Q$123)),PMT($C$11/12,(30-12)*12,(0.925)*-($Q$123))))))</f>
        <v>309.76926047844432</v>
      </c>
      <c r="S119" s="16">
        <f>IF($C$10&lt;10000,0,IF($C$10&lt;20000,PMT($C$11/12,3*12,(0.94)*-($Q$123)),IF($C$10&lt;40000,PMT($C$11/12,(20-$Q$77)*12,(0.9)*-($Q$123)),IF($C$10&lt;60000,PMT($C$11/12,(25-$Q$77)*12,(0.91)*-($Q$123)),PMT($C$11/12,(30-12)*12,(0.925)*-($Q$123))))))</f>
        <v>309.76926047844432</v>
      </c>
      <c r="T119" s="16">
        <f>IF($C$10&lt;10000,0,IF($C$10&lt;20000,(PMT($C$11/12,12,-($S$123))),IF($C$10&lt;40000,PMT($C$11/12,(20-$S$77)*12,(0.93)*-($S$123)),IF($C$10&lt;60000,PMT($C$11/12,(25-$S$77)*12,(0.92)*-($S$123)),PMT($C$11/12,(30-14)*12,(0.935)*-($S$123))))))</f>
        <v>340.2784327806994</v>
      </c>
      <c r="U119" s="16">
        <f>IF($C$10&lt;20000,0,IF($C$10&lt;40000,PMT($C$11/12,(20-$S$77)*12,(0.93)*-($S$123)),IF($C$10&lt;60000,PMT($C$11/12,(25-$S$77)*12,(0.92)*-($S$123)),PMT($C$11/12,(30-14)*12,(0.935)*-($S$123)))))</f>
        <v>340.2784327806994</v>
      </c>
      <c r="V119" s="16">
        <f>IF($C$10&lt;10000,0,IF($C$10&lt;20000,0,IF($C$10&lt;40000,PMT($C$11/12,(20-$U$77)*12,(0.96)*-($U$123)),IF($C$10&lt;60000,PMT($C$11/12,(25-$U$77)*12,(0.94)*-($U$123)),PMT($C$11/12,(30-16)*12,(0.945)*-($U$123))))))</f>
        <v>375.31704412210473</v>
      </c>
      <c r="W119" s="16">
        <f>IF($C$10&lt;10000,0,IF($C$10&lt;20000,0,IF($C$10&lt;40000,PMT($C$11/12,(20-$U$77)*12,(0.96)*-($U$123)),IF($C$10&lt;60000,PMT($C$11/12,(25-$U$77)*12,(0.94)*-($U$123)),PMT($C$11/12,(30-16)*12,(0.945)*-($U$123))))))</f>
        <v>375.31704412210473</v>
      </c>
      <c r="X119" s="16">
        <f>IF($C$10&lt;10000,0,IF($C$10&lt;20000,0,IF($C$10&lt;40000,PMT($C$11/12,(20-$W$77)*12,-($W$123)),IF($C$10&lt;60000,PMT($C$11/12,(25-$W$77)*12,(0.96)*-($W$123)),PMT($C$11/12,(30-18)*12,(0.955)*-($W$123))))))</f>
        <v>428.41961282369385</v>
      </c>
      <c r="Y119" s="16">
        <f>IF($C$10&lt;10000,0,IF($C$10&lt;20000,0,IF($C$10&lt;40000,(PMT($C$11/12,(20-$W$77)*12,-($W$123)))+(((X119*12)-((X119*12)-(X123*$C$11)))/12),IF($C$10&lt;60000,PMT($C$11/12,(25-$W$77)*12,(0.96)*-($W$123)),PMT($C$11/12,(30-18)*12,(0.955)*-($W$123))))))</f>
        <v>482.52877943716544</v>
      </c>
      <c r="Z119" s="16">
        <f>IF($C$10&lt;40000,0,IF($C$10&lt;60000,PMT($C$11/12,(25-$Y$77)*12,(0.97)*-($Y$123)),PMT($C$11/12,(30-20)*12,(0.965)*-($Y$123))))</f>
        <v>0</v>
      </c>
      <c r="AA119" s="16">
        <f>IF($C$10&lt;40000,0,IF($C$10&lt;60000,PMT($C$11/12,(25-$Y$77)*12,(0.97)*-($Y$123)),PMT($C$11/12,(30-20)*12,(0.965)*-($Y$123))))</f>
        <v>0</v>
      </c>
      <c r="AB119" s="16">
        <f>IF($C$10&lt;40000,0,IF($C$10&lt;60000,PMT($C$11/12,(25-$AA$77)*12,(0.98)*-($AA$123)),PMT($C$11/12,(30-22)*12,(0.975)*-($AA$123))))</f>
        <v>0</v>
      </c>
      <c r="AC119" s="16">
        <f>IF($C$10&lt;40000,0,IF($C$10&lt;60000,PMT($C$11/12,(25-$AA$77)*12,(0.98)*-($AA$123)),PMT($C$11/12,(30-22)*12,(0.975)*-($AA$123))))</f>
        <v>0</v>
      </c>
      <c r="AD119" s="16">
        <f>IF($C$10&lt;40000,0,IF($C$10&lt;60000,PMT($C$11/12,12,-($AC$123)),PMT($C$11/12,(30-24)*12,(0.985)*-($AC$123))))</f>
        <v>0</v>
      </c>
      <c r="AE119" s="16">
        <f>IF($C$10&lt;60000,0,PMT($C$11/12,(30-24)*12,(0.985)*-($AC$123)))</f>
        <v>0</v>
      </c>
      <c r="AF119" s="16">
        <f>IF($C$10&lt;60000,0,PMT($C$11/12,(30-26)*12,(0.99)*-($AE$123)))</f>
        <v>0</v>
      </c>
      <c r="AG119" s="16">
        <f>IF($C$10&lt;60000,0,PMT($C$11/12,(30-26)*12,(0.99)*-($AE$123)))</f>
        <v>0</v>
      </c>
      <c r="AH119" s="16">
        <f>IF($C$10&lt;60000,0,PMT($C$11/12,(30-28)*12,-($AG$123)))</f>
        <v>0</v>
      </c>
      <c r="AI119" s="16">
        <f>IF($C$10&lt;60000,0,(PMT($C$11/12,(30-28)*12,-($AG$123)))+(((AH119*12)-((AH119*12)-(AH123*$C$11)))/12))</f>
        <v>0</v>
      </c>
      <c r="AJ119" s="59"/>
      <c r="AK119" s="59"/>
      <c r="AL119" s="59"/>
      <c r="AM119" s="59"/>
      <c r="AN119" s="59"/>
      <c r="AO119" s="59"/>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30"/>
      <c r="FI119" s="30"/>
      <c r="FJ119" s="30"/>
      <c r="FK119" s="30"/>
      <c r="FL119" s="30"/>
      <c r="FM119" s="30"/>
      <c r="FN119" s="30"/>
      <c r="FO119" s="30"/>
      <c r="FP119" s="30"/>
      <c r="FQ119" s="30"/>
      <c r="FR119" s="30"/>
      <c r="FS119" s="30"/>
      <c r="FT119" s="30"/>
      <c r="FU119" s="30"/>
      <c r="FV119" s="30"/>
      <c r="FW119" s="30"/>
      <c r="FX119" s="30"/>
      <c r="FY119" s="30"/>
      <c r="FZ119" s="30"/>
      <c r="GA119" s="30"/>
      <c r="GB119" s="30"/>
      <c r="GC119" s="30"/>
      <c r="GD119" s="30"/>
      <c r="GE119" s="30"/>
      <c r="GF119" s="30"/>
      <c r="GG119" s="30"/>
      <c r="GH119" s="30"/>
      <c r="GI119" s="30"/>
      <c r="GJ119" s="30"/>
      <c r="GK119" s="30"/>
      <c r="GL119" s="30"/>
      <c r="GM119" s="30"/>
      <c r="GN119" s="30"/>
      <c r="GO119" s="30"/>
      <c r="GP119" s="30"/>
      <c r="GQ119" s="30"/>
      <c r="GR119" s="30"/>
      <c r="GS119" s="30"/>
      <c r="GT119" s="30"/>
      <c r="GU119" s="30"/>
      <c r="GV119" s="30"/>
      <c r="GW119" s="30"/>
      <c r="GX119" s="30"/>
      <c r="GY119" s="30"/>
      <c r="GZ119" s="30"/>
      <c r="HA119" s="30"/>
      <c r="HB119" s="30"/>
      <c r="HC119" s="30"/>
      <c r="HD119" s="30"/>
      <c r="HE119" s="30"/>
      <c r="HF119" s="30"/>
      <c r="HG119" s="30"/>
      <c r="HH119" s="30"/>
      <c r="HI119" s="30"/>
      <c r="HJ119" s="30"/>
      <c r="HK119" s="30"/>
      <c r="HL119" s="30"/>
      <c r="HM119" s="30"/>
      <c r="HN119" s="30"/>
      <c r="HO119" s="30"/>
      <c r="HP119" s="30"/>
      <c r="HQ119" s="30"/>
      <c r="HR119" s="30"/>
      <c r="HS119" s="30"/>
      <c r="HT119" s="30"/>
      <c r="HU119" s="30"/>
      <c r="HV119" s="30"/>
      <c r="HW119" s="30"/>
      <c r="HX119" s="30"/>
      <c r="HY119" s="30"/>
      <c r="HZ119" s="30"/>
      <c r="IA119" s="30"/>
      <c r="IB119" s="30"/>
      <c r="IC119" s="30"/>
      <c r="ID119" s="30"/>
      <c r="IE119" s="30"/>
      <c r="IF119" s="30"/>
      <c r="IG119" s="30"/>
      <c r="IH119" s="30"/>
      <c r="II119" s="30"/>
      <c r="IJ119" s="30"/>
      <c r="IK119" s="30"/>
      <c r="IL119" s="30"/>
      <c r="IM119" s="30"/>
      <c r="IN119" s="30"/>
      <c r="IO119" s="30"/>
      <c r="IP119" s="30"/>
      <c r="IQ119" s="30"/>
      <c r="IR119" s="30"/>
      <c r="IS119" s="30"/>
      <c r="IT119" s="30"/>
      <c r="IU119" s="30"/>
      <c r="IV119" s="30"/>
      <c r="IW119" s="30"/>
      <c r="IX119" s="30"/>
      <c r="IY119" s="30"/>
      <c r="IZ119" s="30"/>
      <c r="JA119" s="30"/>
      <c r="JB119" s="30"/>
      <c r="JC119" s="30"/>
      <c r="JD119" s="30"/>
      <c r="JE119" s="30"/>
      <c r="JF119" s="30"/>
      <c r="JG119" s="30"/>
      <c r="JH119" s="30"/>
      <c r="JI119" s="30"/>
      <c r="JJ119" s="30"/>
      <c r="JK119" s="30"/>
      <c r="JL119" s="30"/>
      <c r="JM119" s="30"/>
      <c r="JN119" s="30"/>
      <c r="JO119" s="30"/>
      <c r="JP119" s="30"/>
      <c r="JQ119" s="30"/>
      <c r="JR119" s="30"/>
      <c r="JS119" s="30"/>
      <c r="JT119" s="30"/>
      <c r="JU119" s="30"/>
      <c r="JV119" s="30"/>
      <c r="JW119" s="30"/>
      <c r="JX119" s="30"/>
      <c r="JY119" s="30"/>
      <c r="JZ119" s="30"/>
      <c r="KA119" s="30"/>
      <c r="KB119" s="30"/>
      <c r="KC119" s="30"/>
      <c r="KD119" s="30"/>
      <c r="KE119" s="30"/>
      <c r="KF119" s="30"/>
      <c r="KG119" s="30"/>
      <c r="KH119" s="30"/>
      <c r="KI119" s="30"/>
      <c r="KJ119" s="30"/>
      <c r="KK119" s="30"/>
      <c r="KL119" s="30"/>
      <c r="KM119" s="30"/>
      <c r="KN119" s="30"/>
      <c r="KO119" s="30"/>
      <c r="KP119" s="30"/>
      <c r="KQ119" s="30"/>
      <c r="KR119" s="30"/>
      <c r="KS119" s="30"/>
      <c r="KT119" s="30"/>
      <c r="KU119" s="30"/>
      <c r="KV119" s="30"/>
      <c r="KW119" s="30"/>
      <c r="KX119" s="30"/>
      <c r="KY119" s="30"/>
      <c r="KZ119" s="30"/>
      <c r="LA119" s="30"/>
      <c r="LB119" s="30"/>
      <c r="LC119" s="30"/>
      <c r="LD119" s="30"/>
      <c r="LE119" s="30"/>
      <c r="LF119" s="30"/>
      <c r="LG119" s="30"/>
      <c r="LH119" s="30"/>
      <c r="LI119" s="30"/>
      <c r="LJ119" s="30"/>
      <c r="LK119" s="30"/>
      <c r="LL119" s="30"/>
      <c r="LM119" s="30"/>
      <c r="LN119" s="30"/>
      <c r="LO119" s="30"/>
      <c r="LP119" s="30"/>
      <c r="LQ119" s="30"/>
      <c r="LR119" s="30"/>
      <c r="LS119" s="30"/>
      <c r="LT119" s="30"/>
      <c r="LU119" s="30"/>
      <c r="LV119" s="30"/>
      <c r="LW119" s="30"/>
      <c r="LX119" s="30"/>
      <c r="LY119" s="30"/>
      <c r="LZ119" s="30"/>
      <c r="MA119" s="30"/>
      <c r="MB119" s="30"/>
      <c r="MC119" s="30"/>
      <c r="MD119" s="30"/>
      <c r="ME119" s="30"/>
      <c r="MF119" s="30"/>
      <c r="MG119" s="30"/>
      <c r="MH119" s="30"/>
      <c r="MI119" s="30"/>
      <c r="MJ119" s="30"/>
      <c r="MK119" s="30"/>
      <c r="ML119" s="30"/>
      <c r="MM119" s="30"/>
      <c r="MN119" s="30"/>
      <c r="MO119" s="30"/>
      <c r="MP119" s="30"/>
      <c r="MQ119" s="30"/>
      <c r="MR119" s="30"/>
      <c r="MS119" s="30"/>
      <c r="MT119" s="30"/>
      <c r="MU119" s="30"/>
      <c r="MV119" s="30"/>
      <c r="MW119" s="30"/>
      <c r="MX119" s="30"/>
      <c r="MY119" s="30"/>
      <c r="MZ119" s="30"/>
      <c r="NA119" s="30"/>
      <c r="NB119" s="30"/>
      <c r="NC119" s="30"/>
      <c r="ND119" s="30"/>
      <c r="NE119" s="30"/>
      <c r="NF119" s="30"/>
      <c r="NG119" s="30"/>
      <c r="NH119" s="30"/>
      <c r="NI119" s="30"/>
      <c r="NJ119" s="30"/>
      <c r="NK119" s="30"/>
      <c r="NL119" s="30"/>
      <c r="NM119" s="30"/>
      <c r="NN119" s="30"/>
      <c r="NO119" s="30"/>
      <c r="NP119" s="30"/>
      <c r="NQ119" s="30"/>
      <c r="NR119" s="30"/>
      <c r="NS119" s="30"/>
      <c r="NT119" s="30"/>
      <c r="NU119" s="30"/>
      <c r="NV119" s="30"/>
      <c r="NW119" s="30"/>
      <c r="NX119" s="30"/>
      <c r="NY119" s="30"/>
      <c r="NZ119" s="30"/>
      <c r="OA119" s="30"/>
      <c r="OB119" s="30"/>
      <c r="OC119" s="30"/>
      <c r="OD119" s="30"/>
      <c r="OE119" s="30"/>
      <c r="OF119" s="30"/>
      <c r="OG119" s="30"/>
      <c r="OH119" s="30"/>
      <c r="OI119" s="30"/>
      <c r="OJ119" s="30"/>
      <c r="OK119" s="30"/>
      <c r="OL119" s="30"/>
      <c r="OM119" s="30"/>
      <c r="ON119" s="30"/>
      <c r="OO119" s="30"/>
      <c r="OP119" s="30"/>
      <c r="OQ119" s="30"/>
      <c r="OR119" s="30"/>
      <c r="OS119" s="30"/>
      <c r="OT119" s="30"/>
      <c r="OU119" s="30"/>
      <c r="OV119" s="30"/>
      <c r="OW119" s="30"/>
      <c r="OX119" s="30"/>
      <c r="OY119" s="30"/>
      <c r="OZ119" s="30"/>
      <c r="PA119" s="30"/>
      <c r="PB119" s="30"/>
      <c r="PC119" s="30"/>
      <c r="PD119" s="30"/>
      <c r="PE119" s="30"/>
      <c r="PF119" s="30"/>
      <c r="PG119" s="30"/>
      <c r="PH119" s="30"/>
      <c r="PI119" s="30"/>
      <c r="PJ119" s="30"/>
      <c r="PK119" s="30"/>
      <c r="PL119" s="30"/>
      <c r="PM119" s="30"/>
      <c r="PN119" s="30"/>
      <c r="PO119" s="30"/>
      <c r="PP119" s="30"/>
      <c r="PQ119" s="30"/>
      <c r="PR119" s="30"/>
      <c r="PS119" s="30"/>
      <c r="PT119" s="30"/>
      <c r="PU119" s="30"/>
      <c r="PV119" s="30"/>
      <c r="PW119" s="30"/>
      <c r="PX119" s="30"/>
      <c r="PY119" s="30"/>
      <c r="PZ119" s="30"/>
      <c r="QA119" s="30"/>
      <c r="QB119" s="30"/>
      <c r="QC119" s="30"/>
      <c r="QD119" s="30"/>
      <c r="QE119" s="30"/>
      <c r="QF119" s="30"/>
      <c r="QG119" s="30"/>
      <c r="QH119" s="30"/>
      <c r="QI119" s="30"/>
      <c r="QJ119" s="30"/>
      <c r="QK119" s="30"/>
      <c r="QL119" s="30"/>
      <c r="QM119" s="30"/>
      <c r="QN119" s="30"/>
      <c r="QO119" s="30"/>
      <c r="QP119" s="30"/>
      <c r="QQ119" s="30"/>
      <c r="QR119" s="30"/>
      <c r="QS119" s="30"/>
      <c r="QT119" s="30"/>
      <c r="QU119" s="30"/>
      <c r="QV119" s="30"/>
      <c r="QW119" s="30"/>
      <c r="QX119" s="30"/>
      <c r="QY119" s="30"/>
      <c r="QZ119" s="30"/>
      <c r="RA119" s="30"/>
      <c r="RB119" s="30"/>
      <c r="RC119" s="30"/>
      <c r="RD119" s="30"/>
      <c r="RE119" s="30"/>
      <c r="RF119" s="30"/>
      <c r="RG119" s="30"/>
      <c r="RH119" s="30"/>
      <c r="RI119" s="30"/>
      <c r="RJ119" s="30"/>
      <c r="RK119" s="30"/>
      <c r="RL119" s="30"/>
      <c r="RM119" s="30"/>
      <c r="RN119" s="30"/>
      <c r="RO119" s="30"/>
      <c r="RP119" s="30"/>
      <c r="RQ119" s="30"/>
      <c r="RR119" s="30"/>
      <c r="RS119" s="30"/>
      <c r="RT119" s="30"/>
      <c r="RU119" s="30"/>
      <c r="RV119" s="30"/>
      <c r="RW119" s="30"/>
      <c r="RX119" s="30"/>
      <c r="RY119" s="30"/>
      <c r="RZ119" s="30"/>
      <c r="SA119" s="30"/>
      <c r="SB119" s="30"/>
      <c r="SC119" s="30"/>
      <c r="SD119" s="30"/>
    </row>
    <row r="120" spans="1:498" s="20" customFormat="1" hidden="1" x14ac:dyDescent="0.25">
      <c r="A120" s="68"/>
      <c r="B120" s="68" t="s">
        <v>23</v>
      </c>
      <c r="C120" s="68"/>
      <c r="D120" s="68"/>
      <c r="E120" s="21"/>
      <c r="F120" s="25">
        <f>F119*12</f>
        <v>2092.8278819016423</v>
      </c>
      <c r="G120" s="25">
        <f>G119*12</f>
        <v>2092.8278819016423</v>
      </c>
      <c r="H120" s="25">
        <f t="shared" ref="H120:N120" si="66">H119*12</f>
        <v>2345.5293649492874</v>
      </c>
      <c r="I120" s="25">
        <f t="shared" si="66"/>
        <v>2345.5293649492874</v>
      </c>
      <c r="J120" s="25">
        <f t="shared" si="66"/>
        <v>2577.0966336198881</v>
      </c>
      <c r="K120" s="25">
        <f t="shared" si="66"/>
        <v>2577.0966336198881</v>
      </c>
      <c r="L120" s="25">
        <f t="shared" si="66"/>
        <v>2822.5258366145595</v>
      </c>
      <c r="M120" s="25">
        <f t="shared" si="66"/>
        <v>2822.5258366145595</v>
      </c>
      <c r="N120" s="25">
        <f t="shared" si="66"/>
        <v>3120.7510330262112</v>
      </c>
      <c r="O120" s="25">
        <f>O119*12</f>
        <v>3120.7510330262112</v>
      </c>
      <c r="P120" s="25">
        <f t="shared" ref="P120:AI120" si="67">P119*12</f>
        <v>3431.9985954848821</v>
      </c>
      <c r="Q120" s="25">
        <f t="shared" si="67"/>
        <v>3431.9985954848821</v>
      </c>
      <c r="R120" s="25">
        <f t="shared" si="67"/>
        <v>3717.2311257413321</v>
      </c>
      <c r="S120" s="25">
        <f t="shared" si="67"/>
        <v>3717.2311257413321</v>
      </c>
      <c r="T120" s="25">
        <f t="shared" si="67"/>
        <v>4083.3411933683929</v>
      </c>
      <c r="U120" s="25">
        <f t="shared" si="67"/>
        <v>4083.3411933683929</v>
      </c>
      <c r="V120" s="25">
        <f t="shared" si="67"/>
        <v>4503.8045294652566</v>
      </c>
      <c r="W120" s="25">
        <f t="shared" si="67"/>
        <v>4503.8045294652566</v>
      </c>
      <c r="X120" s="25">
        <f t="shared" si="67"/>
        <v>5141.0353538843265</v>
      </c>
      <c r="Y120" s="25">
        <f t="shared" si="67"/>
        <v>5790.3453532459853</v>
      </c>
      <c r="Z120" s="30">
        <f t="shared" si="67"/>
        <v>0</v>
      </c>
      <c r="AA120" s="30">
        <f t="shared" si="67"/>
        <v>0</v>
      </c>
      <c r="AB120" s="30">
        <f t="shared" si="67"/>
        <v>0</v>
      </c>
      <c r="AC120" s="30">
        <f t="shared" si="67"/>
        <v>0</v>
      </c>
      <c r="AD120" s="30">
        <f t="shared" si="67"/>
        <v>0</v>
      </c>
      <c r="AE120" s="20">
        <f t="shared" si="67"/>
        <v>0</v>
      </c>
      <c r="AF120" s="20">
        <f t="shared" si="67"/>
        <v>0</v>
      </c>
      <c r="AG120" s="20">
        <f t="shared" si="67"/>
        <v>0</v>
      </c>
      <c r="AH120" s="20">
        <f t="shared" si="67"/>
        <v>0</v>
      </c>
      <c r="AI120" s="20">
        <f t="shared" si="67"/>
        <v>0</v>
      </c>
      <c r="AJ120" s="59"/>
      <c r="AK120" s="59"/>
      <c r="AL120" s="59"/>
      <c r="AM120" s="59"/>
      <c r="AN120" s="59"/>
      <c r="AO120" s="59"/>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c r="FQ120" s="30"/>
      <c r="FR120" s="30"/>
      <c r="FS120" s="30"/>
      <c r="FT120" s="30"/>
      <c r="FU120" s="30"/>
      <c r="FV120" s="30"/>
      <c r="FW120" s="30"/>
      <c r="FX120" s="30"/>
      <c r="FY120" s="30"/>
      <c r="FZ120" s="30"/>
      <c r="GA120" s="30"/>
      <c r="GB120" s="30"/>
      <c r="GC120" s="30"/>
      <c r="GD120" s="30"/>
      <c r="GE120" s="30"/>
      <c r="GF120" s="30"/>
      <c r="GG120" s="30"/>
      <c r="GH120" s="30"/>
      <c r="GI120" s="30"/>
      <c r="GJ120" s="30"/>
      <c r="GK120" s="30"/>
      <c r="GL120" s="30"/>
      <c r="GM120" s="30"/>
      <c r="GN120" s="30"/>
      <c r="GO120" s="30"/>
      <c r="GP120" s="30"/>
      <c r="GQ120" s="30"/>
      <c r="GR120" s="30"/>
      <c r="GS120" s="30"/>
      <c r="GT120" s="30"/>
      <c r="GU120" s="30"/>
      <c r="GV120" s="30"/>
      <c r="GW120" s="30"/>
      <c r="GX120" s="30"/>
      <c r="GY120" s="30"/>
      <c r="GZ120" s="30"/>
      <c r="HA120" s="30"/>
      <c r="HB120" s="30"/>
      <c r="HC120" s="30"/>
      <c r="HD120" s="30"/>
      <c r="HE120" s="30"/>
      <c r="HF120" s="30"/>
      <c r="HG120" s="30"/>
      <c r="HH120" s="30"/>
      <c r="HI120" s="30"/>
      <c r="HJ120" s="30"/>
      <c r="HK120" s="30"/>
      <c r="HL120" s="30"/>
      <c r="HM120" s="30"/>
      <c r="HN120" s="30"/>
      <c r="HO120" s="30"/>
      <c r="HP120" s="30"/>
      <c r="HQ120" s="30"/>
      <c r="HR120" s="30"/>
      <c r="HS120" s="30"/>
      <c r="HT120" s="30"/>
      <c r="HU120" s="30"/>
      <c r="HV120" s="30"/>
      <c r="HW120" s="30"/>
      <c r="HX120" s="30"/>
      <c r="HY120" s="30"/>
      <c r="HZ120" s="30"/>
      <c r="IA120" s="30"/>
      <c r="IB120" s="30"/>
      <c r="IC120" s="30"/>
      <c r="ID120" s="30"/>
      <c r="IE120" s="30"/>
      <c r="IF120" s="30"/>
      <c r="IG120" s="30"/>
      <c r="IH120" s="30"/>
      <c r="II120" s="30"/>
      <c r="IJ120" s="30"/>
      <c r="IK120" s="30"/>
      <c r="IL120" s="30"/>
      <c r="IM120" s="30"/>
      <c r="IN120" s="30"/>
      <c r="IO120" s="30"/>
      <c r="IP120" s="30"/>
      <c r="IQ120" s="30"/>
      <c r="IR120" s="30"/>
      <c r="IS120" s="30"/>
      <c r="IT120" s="30"/>
      <c r="IU120" s="30"/>
      <c r="IV120" s="30"/>
      <c r="IW120" s="30"/>
      <c r="IX120" s="30"/>
      <c r="IY120" s="30"/>
      <c r="IZ120" s="30"/>
      <c r="JA120" s="30"/>
      <c r="JB120" s="30"/>
      <c r="JC120" s="30"/>
      <c r="JD120" s="30"/>
      <c r="JE120" s="30"/>
      <c r="JF120" s="30"/>
      <c r="JG120" s="30"/>
      <c r="JH120" s="30"/>
      <c r="JI120" s="30"/>
      <c r="JJ120" s="30"/>
      <c r="JK120" s="30"/>
      <c r="JL120" s="30"/>
      <c r="JM120" s="30"/>
      <c r="JN120" s="30"/>
      <c r="JO120" s="30"/>
      <c r="JP120" s="30"/>
      <c r="JQ120" s="30"/>
      <c r="JR120" s="30"/>
      <c r="JS120" s="30"/>
      <c r="JT120" s="30"/>
      <c r="JU120" s="30"/>
      <c r="JV120" s="30"/>
      <c r="JW120" s="30"/>
      <c r="JX120" s="30"/>
      <c r="JY120" s="30"/>
      <c r="JZ120" s="30"/>
      <c r="KA120" s="30"/>
      <c r="KB120" s="30"/>
      <c r="KC120" s="30"/>
      <c r="KD120" s="30"/>
      <c r="KE120" s="30"/>
      <c r="KF120" s="30"/>
      <c r="KG120" s="30"/>
      <c r="KH120" s="30"/>
      <c r="KI120" s="30"/>
      <c r="KJ120" s="30"/>
      <c r="KK120" s="30"/>
      <c r="KL120" s="30"/>
      <c r="KM120" s="30"/>
      <c r="KN120" s="30"/>
      <c r="KO120" s="30"/>
      <c r="KP120" s="30"/>
      <c r="KQ120" s="30"/>
      <c r="KR120" s="30"/>
      <c r="KS120" s="30"/>
      <c r="KT120" s="30"/>
      <c r="KU120" s="30"/>
      <c r="KV120" s="30"/>
      <c r="KW120" s="30"/>
      <c r="KX120" s="30"/>
      <c r="KY120" s="30"/>
      <c r="KZ120" s="30"/>
      <c r="LA120" s="30"/>
      <c r="LB120" s="30"/>
      <c r="LC120" s="30"/>
      <c r="LD120" s="30"/>
      <c r="LE120" s="30"/>
      <c r="LF120" s="30"/>
      <c r="LG120" s="30"/>
      <c r="LH120" s="30"/>
      <c r="LI120" s="30"/>
      <c r="LJ120" s="30"/>
      <c r="LK120" s="30"/>
      <c r="LL120" s="30"/>
      <c r="LM120" s="30"/>
      <c r="LN120" s="30"/>
      <c r="LO120" s="30"/>
      <c r="LP120" s="30"/>
      <c r="LQ120" s="30"/>
      <c r="LR120" s="30"/>
      <c r="LS120" s="30"/>
      <c r="LT120" s="30"/>
      <c r="LU120" s="30"/>
      <c r="LV120" s="30"/>
      <c r="LW120" s="30"/>
      <c r="LX120" s="30"/>
      <c r="LY120" s="30"/>
      <c r="LZ120" s="30"/>
      <c r="MA120" s="30"/>
      <c r="MB120" s="30"/>
      <c r="MC120" s="30"/>
      <c r="MD120" s="30"/>
      <c r="ME120" s="30"/>
      <c r="MF120" s="30"/>
      <c r="MG120" s="30"/>
      <c r="MH120" s="30"/>
      <c r="MI120" s="30"/>
      <c r="MJ120" s="30"/>
      <c r="MK120" s="30"/>
      <c r="ML120" s="30"/>
      <c r="MM120" s="30"/>
      <c r="MN120" s="30"/>
      <c r="MO120" s="30"/>
      <c r="MP120" s="30"/>
      <c r="MQ120" s="30"/>
      <c r="MR120" s="30"/>
      <c r="MS120" s="30"/>
      <c r="MT120" s="30"/>
      <c r="MU120" s="30"/>
      <c r="MV120" s="30"/>
      <c r="MW120" s="30"/>
      <c r="MX120" s="30"/>
      <c r="MY120" s="30"/>
      <c r="MZ120" s="30"/>
      <c r="NA120" s="30"/>
      <c r="NB120" s="30"/>
      <c r="NC120" s="30"/>
      <c r="ND120" s="30"/>
      <c r="NE120" s="30"/>
      <c r="NF120" s="30"/>
      <c r="NG120" s="30"/>
      <c r="NH120" s="30"/>
      <c r="NI120" s="30"/>
      <c r="NJ120" s="30"/>
      <c r="NK120" s="30"/>
      <c r="NL120" s="30"/>
      <c r="NM120" s="30"/>
      <c r="NN120" s="30"/>
      <c r="NO120" s="30"/>
      <c r="NP120" s="30"/>
      <c r="NQ120" s="30"/>
      <c r="NR120" s="30"/>
      <c r="NS120" s="30"/>
      <c r="NT120" s="30"/>
      <c r="NU120" s="30"/>
      <c r="NV120" s="30"/>
      <c r="NW120" s="30"/>
      <c r="NX120" s="30"/>
      <c r="NY120" s="30"/>
      <c r="NZ120" s="30"/>
      <c r="OA120" s="30"/>
      <c r="OB120" s="30"/>
      <c r="OC120" s="30"/>
      <c r="OD120" s="30"/>
      <c r="OE120" s="30"/>
      <c r="OF120" s="30"/>
      <c r="OG120" s="30"/>
      <c r="OH120" s="30"/>
      <c r="OI120" s="30"/>
      <c r="OJ120" s="30"/>
      <c r="OK120" s="30"/>
      <c r="OL120" s="30"/>
      <c r="OM120" s="30"/>
      <c r="ON120" s="30"/>
      <c r="OO120" s="30"/>
      <c r="OP120" s="30"/>
      <c r="OQ120" s="30"/>
      <c r="OR120" s="30"/>
      <c r="OS120" s="30"/>
      <c r="OT120" s="30"/>
      <c r="OU120" s="30"/>
      <c r="OV120" s="30"/>
      <c r="OW120" s="30"/>
      <c r="OX120" s="30"/>
      <c r="OY120" s="30"/>
      <c r="OZ120" s="30"/>
      <c r="PA120" s="30"/>
      <c r="PB120" s="30"/>
      <c r="PC120" s="30"/>
      <c r="PD120" s="30"/>
      <c r="PE120" s="30"/>
      <c r="PF120" s="30"/>
      <c r="PG120" s="30"/>
      <c r="PH120" s="30"/>
      <c r="PI120" s="30"/>
      <c r="PJ120" s="30"/>
      <c r="PK120" s="30"/>
      <c r="PL120" s="30"/>
      <c r="PM120" s="30"/>
      <c r="PN120" s="30"/>
      <c r="PO120" s="30"/>
      <c r="PP120" s="30"/>
      <c r="PQ120" s="30"/>
      <c r="PR120" s="30"/>
      <c r="PS120" s="30"/>
      <c r="PT120" s="30"/>
      <c r="PU120" s="30"/>
      <c r="PV120" s="30"/>
      <c r="PW120" s="30"/>
      <c r="PX120" s="30"/>
      <c r="PY120" s="30"/>
      <c r="PZ120" s="30"/>
      <c r="QA120" s="30"/>
      <c r="QB120" s="30"/>
      <c r="QC120" s="30"/>
      <c r="QD120" s="30"/>
      <c r="QE120" s="30"/>
      <c r="QF120" s="30"/>
      <c r="QG120" s="30"/>
      <c r="QH120" s="30"/>
      <c r="QI120" s="30"/>
      <c r="QJ120" s="30"/>
      <c r="QK120" s="30"/>
      <c r="QL120" s="30"/>
      <c r="QM120" s="30"/>
      <c r="QN120" s="30"/>
      <c r="QO120" s="30"/>
      <c r="QP120" s="30"/>
      <c r="QQ120" s="30"/>
      <c r="QR120" s="30"/>
      <c r="QS120" s="30"/>
      <c r="QT120" s="30"/>
      <c r="QU120" s="30"/>
      <c r="QV120" s="30"/>
      <c r="QW120" s="30"/>
      <c r="QX120" s="30"/>
      <c r="QY120" s="30"/>
      <c r="QZ120" s="30"/>
      <c r="RA120" s="30"/>
      <c r="RB120" s="30"/>
      <c r="RC120" s="30"/>
      <c r="RD120" s="30"/>
      <c r="RE120" s="30"/>
      <c r="RF120" s="30"/>
      <c r="RG120" s="30"/>
      <c r="RH120" s="30"/>
      <c r="RI120" s="30"/>
      <c r="RJ120" s="30"/>
      <c r="RK120" s="30"/>
      <c r="RL120" s="30"/>
      <c r="RM120" s="30"/>
      <c r="RN120" s="30"/>
      <c r="RO120" s="30"/>
      <c r="RP120" s="30"/>
      <c r="RQ120" s="30"/>
      <c r="RR120" s="30"/>
      <c r="RS120" s="30"/>
      <c r="RT120" s="30"/>
      <c r="RU120" s="30"/>
      <c r="RV120" s="30"/>
      <c r="RW120" s="30"/>
      <c r="RX120" s="30"/>
      <c r="RY120" s="30"/>
      <c r="RZ120" s="30"/>
      <c r="SA120" s="30"/>
      <c r="SB120" s="30"/>
      <c r="SC120" s="30"/>
      <c r="SD120" s="30"/>
    </row>
    <row r="121" spans="1:498" s="20" customFormat="1" hidden="1" x14ac:dyDescent="0.25">
      <c r="A121" s="68"/>
      <c r="B121" s="68" t="s">
        <v>14</v>
      </c>
      <c r="C121" s="68"/>
      <c r="D121" s="68"/>
      <c r="E121" s="21"/>
      <c r="F121" s="25">
        <f>$C$10*$C$11</f>
        <v>2575</v>
      </c>
      <c r="G121" s="25">
        <f t="shared" ref="G121:P121" si="68">IF(G119=0,0,F123*$C$11)</f>
        <v>2637.0796602051637</v>
      </c>
      <c r="H121" s="25">
        <f t="shared" si="68"/>
        <v>2707.1520766617423</v>
      </c>
      <c r="I121" s="25">
        <f t="shared" si="68"/>
        <v>2753.7110007947208</v>
      </c>
      <c r="J121" s="25">
        <f t="shared" si="68"/>
        <v>2806.2643864098204</v>
      </c>
      <c r="K121" s="25">
        <f t="shared" si="68"/>
        <v>2835.7697345815245</v>
      </c>
      <c r="L121" s="25">
        <f t="shared" si="68"/>
        <v>2869.0738963303352</v>
      </c>
      <c r="M121" s="25">
        <f t="shared" si="68"/>
        <v>2875.0669590187413</v>
      </c>
      <c r="N121" s="25">
        <f t="shared" si="68"/>
        <v>2881.8316285282799</v>
      </c>
      <c r="O121" s="25">
        <f t="shared" si="68"/>
        <v>2851.0707551991713</v>
      </c>
      <c r="P121" s="25">
        <f t="shared" si="68"/>
        <v>2816.3494194289401</v>
      </c>
      <c r="Q121" s="25">
        <f>IF(Q119=0,0,P123*$C$11)</f>
        <v>2737.0845880117372</v>
      </c>
      <c r="R121" s="25">
        <f>IF(R119=0,0,Q123*$C$11)</f>
        <v>2647.6144095495702</v>
      </c>
      <c r="S121" s="25">
        <f t="shared" ref="S121:AI121" si="69">IF(S119=0,0,R123*$C$11)</f>
        <v>2509.9012573398804</v>
      </c>
      <c r="T121" s="25">
        <f t="shared" si="69"/>
        <v>2354.4575367831935</v>
      </c>
      <c r="U121" s="25">
        <f t="shared" si="69"/>
        <v>2131.863765997849</v>
      </c>
      <c r="V121" s="25">
        <f t="shared" si="69"/>
        <v>1880.6110472238915</v>
      </c>
      <c r="W121" s="25">
        <f t="shared" si="69"/>
        <v>1542.8748863853159</v>
      </c>
      <c r="X121" s="25">
        <f t="shared" si="69"/>
        <v>1161.6551948387737</v>
      </c>
      <c r="Y121" s="25">
        <f t="shared" si="69"/>
        <v>649.30999936165858</v>
      </c>
      <c r="Z121" s="25">
        <f t="shared" si="69"/>
        <v>0</v>
      </c>
      <c r="AA121" s="25">
        <f t="shared" si="69"/>
        <v>0</v>
      </c>
      <c r="AB121" s="25">
        <f t="shared" si="69"/>
        <v>0</v>
      </c>
      <c r="AC121" s="25">
        <f t="shared" si="69"/>
        <v>0</v>
      </c>
      <c r="AD121" s="25">
        <f t="shared" si="69"/>
        <v>0</v>
      </c>
      <c r="AE121" s="22">
        <f t="shared" si="69"/>
        <v>0</v>
      </c>
      <c r="AF121" s="22">
        <f t="shared" si="69"/>
        <v>0</v>
      </c>
      <c r="AG121" s="22">
        <f t="shared" si="69"/>
        <v>0</v>
      </c>
      <c r="AH121" s="22">
        <f t="shared" si="69"/>
        <v>0</v>
      </c>
      <c r="AI121" s="22">
        <f t="shared" si="69"/>
        <v>0</v>
      </c>
      <c r="AJ121" s="59"/>
      <c r="AK121" s="59"/>
      <c r="AL121" s="59"/>
      <c r="AM121" s="59"/>
      <c r="AN121" s="59"/>
      <c r="AO121" s="59"/>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30"/>
      <c r="FI121" s="30"/>
      <c r="FJ121" s="30"/>
      <c r="FK121" s="30"/>
      <c r="FL121" s="30"/>
      <c r="FM121" s="30"/>
      <c r="FN121" s="30"/>
      <c r="FO121" s="30"/>
      <c r="FP121" s="30"/>
      <c r="FQ121" s="30"/>
      <c r="FR121" s="30"/>
      <c r="FS121" s="30"/>
      <c r="FT121" s="30"/>
      <c r="FU121" s="30"/>
      <c r="FV121" s="30"/>
      <c r="FW121" s="30"/>
      <c r="FX121" s="30"/>
      <c r="FY121" s="30"/>
      <c r="FZ121" s="30"/>
      <c r="GA121" s="30"/>
      <c r="GB121" s="30"/>
      <c r="GC121" s="30"/>
      <c r="GD121" s="30"/>
      <c r="GE121" s="30"/>
      <c r="GF121" s="30"/>
      <c r="GG121" s="30"/>
      <c r="GH121" s="30"/>
      <c r="GI121" s="30"/>
      <c r="GJ121" s="30"/>
      <c r="GK121" s="30"/>
      <c r="GL121" s="30"/>
      <c r="GM121" s="30"/>
      <c r="GN121" s="30"/>
      <c r="GO121" s="30"/>
      <c r="GP121" s="30"/>
      <c r="GQ121" s="30"/>
      <c r="GR121" s="30"/>
      <c r="GS121" s="30"/>
      <c r="GT121" s="30"/>
      <c r="GU121" s="30"/>
      <c r="GV121" s="30"/>
      <c r="GW121" s="30"/>
      <c r="GX121" s="30"/>
      <c r="GY121" s="30"/>
      <c r="GZ121" s="30"/>
      <c r="HA121" s="30"/>
      <c r="HB121" s="30"/>
      <c r="HC121" s="30"/>
      <c r="HD121" s="30"/>
      <c r="HE121" s="30"/>
      <c r="HF121" s="30"/>
      <c r="HG121" s="30"/>
      <c r="HH121" s="30"/>
      <c r="HI121" s="30"/>
      <c r="HJ121" s="30"/>
      <c r="HK121" s="30"/>
      <c r="HL121" s="30"/>
      <c r="HM121" s="30"/>
      <c r="HN121" s="30"/>
      <c r="HO121" s="30"/>
      <c r="HP121" s="30"/>
      <c r="HQ121" s="30"/>
      <c r="HR121" s="30"/>
      <c r="HS121" s="30"/>
      <c r="HT121" s="30"/>
      <c r="HU121" s="30"/>
      <c r="HV121" s="30"/>
      <c r="HW121" s="30"/>
      <c r="HX121" s="30"/>
      <c r="HY121" s="30"/>
      <c r="HZ121" s="30"/>
      <c r="IA121" s="30"/>
      <c r="IB121" s="30"/>
      <c r="IC121" s="30"/>
      <c r="ID121" s="30"/>
      <c r="IE121" s="30"/>
      <c r="IF121" s="30"/>
      <c r="IG121" s="30"/>
      <c r="IH121" s="30"/>
      <c r="II121" s="30"/>
      <c r="IJ121" s="30"/>
      <c r="IK121" s="30"/>
      <c r="IL121" s="30"/>
      <c r="IM121" s="30"/>
      <c r="IN121" s="30"/>
      <c r="IO121" s="30"/>
      <c r="IP121" s="30"/>
      <c r="IQ121" s="30"/>
      <c r="IR121" s="30"/>
      <c r="IS121" s="30"/>
      <c r="IT121" s="30"/>
      <c r="IU121" s="30"/>
      <c r="IV121" s="30"/>
      <c r="IW121" s="30"/>
      <c r="IX121" s="30"/>
      <c r="IY121" s="30"/>
      <c r="IZ121" s="30"/>
      <c r="JA121" s="30"/>
      <c r="JB121" s="30"/>
      <c r="JC121" s="30"/>
      <c r="JD121" s="30"/>
      <c r="JE121" s="30"/>
      <c r="JF121" s="30"/>
      <c r="JG121" s="30"/>
      <c r="JH121" s="30"/>
      <c r="JI121" s="30"/>
      <c r="JJ121" s="30"/>
      <c r="JK121" s="30"/>
      <c r="JL121" s="30"/>
      <c r="JM121" s="30"/>
      <c r="JN121" s="30"/>
      <c r="JO121" s="30"/>
      <c r="JP121" s="30"/>
      <c r="JQ121" s="30"/>
      <c r="JR121" s="30"/>
      <c r="JS121" s="30"/>
      <c r="JT121" s="30"/>
      <c r="JU121" s="30"/>
      <c r="JV121" s="30"/>
      <c r="JW121" s="30"/>
      <c r="JX121" s="30"/>
      <c r="JY121" s="30"/>
      <c r="JZ121" s="30"/>
      <c r="KA121" s="30"/>
      <c r="KB121" s="30"/>
      <c r="KC121" s="30"/>
      <c r="KD121" s="30"/>
      <c r="KE121" s="30"/>
      <c r="KF121" s="30"/>
      <c r="KG121" s="30"/>
      <c r="KH121" s="30"/>
      <c r="KI121" s="30"/>
      <c r="KJ121" s="30"/>
      <c r="KK121" s="30"/>
      <c r="KL121" s="30"/>
      <c r="KM121" s="30"/>
      <c r="KN121" s="30"/>
      <c r="KO121" s="30"/>
      <c r="KP121" s="30"/>
      <c r="KQ121" s="30"/>
      <c r="KR121" s="30"/>
      <c r="KS121" s="30"/>
      <c r="KT121" s="30"/>
      <c r="KU121" s="30"/>
      <c r="KV121" s="30"/>
      <c r="KW121" s="30"/>
      <c r="KX121" s="30"/>
      <c r="KY121" s="30"/>
      <c r="KZ121" s="30"/>
      <c r="LA121" s="30"/>
      <c r="LB121" s="30"/>
      <c r="LC121" s="30"/>
      <c r="LD121" s="30"/>
      <c r="LE121" s="30"/>
      <c r="LF121" s="30"/>
      <c r="LG121" s="30"/>
      <c r="LH121" s="30"/>
      <c r="LI121" s="30"/>
      <c r="LJ121" s="30"/>
      <c r="LK121" s="30"/>
      <c r="LL121" s="30"/>
      <c r="LM121" s="30"/>
      <c r="LN121" s="30"/>
      <c r="LO121" s="30"/>
      <c r="LP121" s="30"/>
      <c r="LQ121" s="30"/>
      <c r="LR121" s="30"/>
      <c r="LS121" s="30"/>
      <c r="LT121" s="30"/>
      <c r="LU121" s="30"/>
      <c r="LV121" s="30"/>
      <c r="LW121" s="30"/>
      <c r="LX121" s="30"/>
      <c r="LY121" s="30"/>
      <c r="LZ121" s="30"/>
      <c r="MA121" s="30"/>
      <c r="MB121" s="30"/>
      <c r="MC121" s="30"/>
      <c r="MD121" s="30"/>
      <c r="ME121" s="30"/>
      <c r="MF121" s="30"/>
      <c r="MG121" s="30"/>
      <c r="MH121" s="30"/>
      <c r="MI121" s="30"/>
      <c r="MJ121" s="30"/>
      <c r="MK121" s="30"/>
      <c r="ML121" s="30"/>
      <c r="MM121" s="30"/>
      <c r="MN121" s="30"/>
      <c r="MO121" s="30"/>
      <c r="MP121" s="30"/>
      <c r="MQ121" s="30"/>
      <c r="MR121" s="30"/>
      <c r="MS121" s="30"/>
      <c r="MT121" s="30"/>
      <c r="MU121" s="30"/>
      <c r="MV121" s="30"/>
      <c r="MW121" s="30"/>
      <c r="MX121" s="30"/>
      <c r="MY121" s="30"/>
      <c r="MZ121" s="30"/>
      <c r="NA121" s="30"/>
      <c r="NB121" s="30"/>
      <c r="NC121" s="30"/>
      <c r="ND121" s="30"/>
      <c r="NE121" s="30"/>
      <c r="NF121" s="30"/>
      <c r="NG121" s="30"/>
      <c r="NH121" s="30"/>
      <c r="NI121" s="30"/>
      <c r="NJ121" s="30"/>
      <c r="NK121" s="30"/>
      <c r="NL121" s="30"/>
      <c r="NM121" s="30"/>
      <c r="NN121" s="30"/>
      <c r="NO121" s="30"/>
      <c r="NP121" s="30"/>
      <c r="NQ121" s="30"/>
      <c r="NR121" s="30"/>
      <c r="NS121" s="30"/>
      <c r="NT121" s="30"/>
      <c r="NU121" s="30"/>
      <c r="NV121" s="30"/>
      <c r="NW121" s="30"/>
      <c r="NX121" s="30"/>
      <c r="NY121" s="30"/>
      <c r="NZ121" s="30"/>
      <c r="OA121" s="30"/>
      <c r="OB121" s="30"/>
      <c r="OC121" s="30"/>
      <c r="OD121" s="30"/>
      <c r="OE121" s="30"/>
      <c r="OF121" s="30"/>
      <c r="OG121" s="30"/>
      <c r="OH121" s="30"/>
      <c r="OI121" s="30"/>
      <c r="OJ121" s="30"/>
      <c r="OK121" s="30"/>
      <c r="OL121" s="30"/>
      <c r="OM121" s="30"/>
      <c r="ON121" s="30"/>
      <c r="OO121" s="30"/>
      <c r="OP121" s="30"/>
      <c r="OQ121" s="30"/>
      <c r="OR121" s="30"/>
      <c r="OS121" s="30"/>
      <c r="OT121" s="30"/>
      <c r="OU121" s="30"/>
      <c r="OV121" s="30"/>
      <c r="OW121" s="30"/>
      <c r="OX121" s="30"/>
      <c r="OY121" s="30"/>
      <c r="OZ121" s="30"/>
      <c r="PA121" s="30"/>
      <c r="PB121" s="30"/>
      <c r="PC121" s="30"/>
      <c r="PD121" s="30"/>
      <c r="PE121" s="30"/>
      <c r="PF121" s="30"/>
      <c r="PG121" s="30"/>
      <c r="PH121" s="30"/>
      <c r="PI121" s="30"/>
      <c r="PJ121" s="30"/>
      <c r="PK121" s="30"/>
      <c r="PL121" s="30"/>
      <c r="PM121" s="30"/>
      <c r="PN121" s="30"/>
      <c r="PO121" s="30"/>
      <c r="PP121" s="30"/>
      <c r="PQ121" s="30"/>
      <c r="PR121" s="30"/>
      <c r="PS121" s="30"/>
      <c r="PT121" s="30"/>
      <c r="PU121" s="30"/>
      <c r="PV121" s="30"/>
      <c r="PW121" s="30"/>
      <c r="PX121" s="30"/>
      <c r="PY121" s="30"/>
      <c r="PZ121" s="30"/>
      <c r="QA121" s="30"/>
      <c r="QB121" s="30"/>
      <c r="QC121" s="30"/>
      <c r="QD121" s="30"/>
      <c r="QE121" s="30"/>
      <c r="QF121" s="30"/>
      <c r="QG121" s="30"/>
      <c r="QH121" s="30"/>
      <c r="QI121" s="30"/>
      <c r="QJ121" s="30"/>
      <c r="QK121" s="30"/>
      <c r="QL121" s="30"/>
      <c r="QM121" s="30"/>
      <c r="QN121" s="30"/>
      <c r="QO121" s="30"/>
      <c r="QP121" s="30"/>
      <c r="QQ121" s="30"/>
      <c r="QR121" s="30"/>
      <c r="QS121" s="30"/>
      <c r="QT121" s="30"/>
      <c r="QU121" s="30"/>
      <c r="QV121" s="30"/>
      <c r="QW121" s="30"/>
      <c r="QX121" s="30"/>
      <c r="QY121" s="30"/>
      <c r="QZ121" s="30"/>
      <c r="RA121" s="30"/>
      <c r="RB121" s="30"/>
      <c r="RC121" s="30"/>
      <c r="RD121" s="30"/>
      <c r="RE121" s="30"/>
      <c r="RF121" s="30"/>
      <c r="RG121" s="30"/>
      <c r="RH121" s="30"/>
      <c r="RI121" s="30"/>
      <c r="RJ121" s="30"/>
      <c r="RK121" s="30"/>
      <c r="RL121" s="30"/>
      <c r="RM121" s="30"/>
      <c r="RN121" s="30"/>
      <c r="RO121" s="30"/>
      <c r="RP121" s="30"/>
      <c r="RQ121" s="30"/>
      <c r="RR121" s="30"/>
      <c r="RS121" s="30"/>
      <c r="RT121" s="30"/>
      <c r="RU121" s="30"/>
      <c r="RV121" s="30"/>
      <c r="RW121" s="30"/>
      <c r="RX121" s="30"/>
      <c r="RY121" s="30"/>
      <c r="RZ121" s="30"/>
      <c r="SA121" s="30"/>
      <c r="SB121" s="30"/>
      <c r="SC121" s="30"/>
      <c r="SD121" s="30"/>
    </row>
    <row r="122" spans="1:498" s="20" customFormat="1" hidden="1" x14ac:dyDescent="0.25">
      <c r="A122" s="68"/>
      <c r="B122" s="68" t="s">
        <v>22</v>
      </c>
      <c r="C122" s="68"/>
      <c r="D122" s="68"/>
      <c r="E122" s="21"/>
      <c r="F122" s="25">
        <f>F120-F121</f>
        <v>-482.17211809835771</v>
      </c>
      <c r="G122" s="25">
        <f>G120-G121</f>
        <v>-544.25177830352141</v>
      </c>
      <c r="H122" s="25">
        <f t="shared" ref="H122:N122" si="70">H120-H121</f>
        <v>-361.62271171245493</v>
      </c>
      <c r="I122" s="25">
        <f t="shared" si="70"/>
        <v>-408.18163584543345</v>
      </c>
      <c r="J122" s="25">
        <f t="shared" si="70"/>
        <v>-229.16775278993236</v>
      </c>
      <c r="K122" s="25">
        <f t="shared" si="70"/>
        <v>-258.67310096163646</v>
      </c>
      <c r="L122" s="25">
        <f t="shared" si="70"/>
        <v>-46.548059715775707</v>
      </c>
      <c r="M122" s="25">
        <f t="shared" si="70"/>
        <v>-52.541122404181806</v>
      </c>
      <c r="N122" s="25">
        <f t="shared" si="70"/>
        <v>238.91940449793128</v>
      </c>
      <c r="O122" s="25">
        <f>O120-O121</f>
        <v>269.68027782703984</v>
      </c>
      <c r="P122" s="25">
        <f t="shared" ref="P122:AI122" si="71">P120-P121</f>
        <v>615.64917605594201</v>
      </c>
      <c r="Q122" s="25">
        <f t="shared" si="71"/>
        <v>694.91400747314492</v>
      </c>
      <c r="R122" s="25">
        <f t="shared" si="71"/>
        <v>1069.616716191762</v>
      </c>
      <c r="S122" s="25">
        <f t="shared" si="71"/>
        <v>1207.3298684014517</v>
      </c>
      <c r="T122" s="25">
        <f t="shared" si="71"/>
        <v>1728.8836565851993</v>
      </c>
      <c r="U122" s="25">
        <f t="shared" si="71"/>
        <v>1951.4774273705439</v>
      </c>
      <c r="V122" s="25">
        <f t="shared" si="71"/>
        <v>2623.193482241365</v>
      </c>
      <c r="W122" s="25">
        <f t="shared" si="71"/>
        <v>2960.9296430799404</v>
      </c>
      <c r="X122" s="25">
        <f t="shared" si="71"/>
        <v>3979.3801590455528</v>
      </c>
      <c r="Y122" s="25">
        <f t="shared" si="71"/>
        <v>5141.0353538843265</v>
      </c>
      <c r="Z122" s="25">
        <f t="shared" si="71"/>
        <v>0</v>
      </c>
      <c r="AA122" s="25">
        <f t="shared" si="71"/>
        <v>0</v>
      </c>
      <c r="AB122" s="25">
        <f t="shared" si="71"/>
        <v>0</v>
      </c>
      <c r="AC122" s="25">
        <f t="shared" si="71"/>
        <v>0</v>
      </c>
      <c r="AD122" s="25">
        <f t="shared" si="71"/>
        <v>0</v>
      </c>
      <c r="AE122" s="22">
        <f t="shared" si="71"/>
        <v>0</v>
      </c>
      <c r="AF122" s="22">
        <f t="shared" si="71"/>
        <v>0</v>
      </c>
      <c r="AG122" s="22">
        <f t="shared" si="71"/>
        <v>0</v>
      </c>
      <c r="AH122" s="22">
        <f t="shared" si="71"/>
        <v>0</v>
      </c>
      <c r="AI122" s="22">
        <f t="shared" si="71"/>
        <v>0</v>
      </c>
      <c r="AJ122" s="59"/>
      <c r="AK122" s="59"/>
      <c r="AL122" s="59"/>
      <c r="AM122" s="59"/>
      <c r="AN122" s="59"/>
      <c r="AO122" s="59"/>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30"/>
      <c r="FI122" s="30"/>
      <c r="FJ122" s="30"/>
      <c r="FK122" s="30"/>
      <c r="FL122" s="30"/>
      <c r="FM122" s="30"/>
      <c r="FN122" s="30"/>
      <c r="FO122" s="30"/>
      <c r="FP122" s="30"/>
      <c r="FQ122" s="30"/>
      <c r="FR122" s="30"/>
      <c r="FS122" s="30"/>
      <c r="FT122" s="30"/>
      <c r="FU122" s="30"/>
      <c r="FV122" s="30"/>
      <c r="FW122" s="30"/>
      <c r="FX122" s="30"/>
      <c r="FY122" s="30"/>
      <c r="FZ122" s="30"/>
      <c r="GA122" s="30"/>
      <c r="GB122" s="30"/>
      <c r="GC122" s="30"/>
      <c r="GD122" s="30"/>
      <c r="GE122" s="30"/>
      <c r="GF122" s="30"/>
      <c r="GG122" s="30"/>
      <c r="GH122" s="30"/>
      <c r="GI122" s="30"/>
      <c r="GJ122" s="30"/>
      <c r="GK122" s="30"/>
      <c r="GL122" s="30"/>
      <c r="GM122" s="30"/>
      <c r="GN122" s="30"/>
      <c r="GO122" s="30"/>
      <c r="GP122" s="30"/>
      <c r="GQ122" s="30"/>
      <c r="GR122" s="30"/>
      <c r="GS122" s="30"/>
      <c r="GT122" s="30"/>
      <c r="GU122" s="30"/>
      <c r="GV122" s="30"/>
      <c r="GW122" s="30"/>
      <c r="GX122" s="30"/>
      <c r="GY122" s="30"/>
      <c r="GZ122" s="30"/>
      <c r="HA122" s="30"/>
      <c r="HB122" s="30"/>
      <c r="HC122" s="30"/>
      <c r="HD122" s="30"/>
      <c r="HE122" s="30"/>
      <c r="HF122" s="30"/>
      <c r="HG122" s="30"/>
      <c r="HH122" s="30"/>
      <c r="HI122" s="30"/>
      <c r="HJ122" s="30"/>
      <c r="HK122" s="30"/>
      <c r="HL122" s="30"/>
      <c r="HM122" s="30"/>
      <c r="HN122" s="30"/>
      <c r="HO122" s="30"/>
      <c r="HP122" s="30"/>
      <c r="HQ122" s="30"/>
      <c r="HR122" s="30"/>
      <c r="HS122" s="30"/>
      <c r="HT122" s="30"/>
      <c r="HU122" s="30"/>
      <c r="HV122" s="30"/>
      <c r="HW122" s="30"/>
      <c r="HX122" s="30"/>
      <c r="HY122" s="30"/>
      <c r="HZ122" s="30"/>
      <c r="IA122" s="30"/>
      <c r="IB122" s="30"/>
      <c r="IC122" s="30"/>
      <c r="ID122" s="30"/>
      <c r="IE122" s="30"/>
      <c r="IF122" s="30"/>
      <c r="IG122" s="30"/>
      <c r="IH122" s="30"/>
      <c r="II122" s="30"/>
      <c r="IJ122" s="30"/>
      <c r="IK122" s="30"/>
      <c r="IL122" s="30"/>
      <c r="IM122" s="30"/>
      <c r="IN122" s="30"/>
      <c r="IO122" s="30"/>
      <c r="IP122" s="30"/>
      <c r="IQ122" s="30"/>
      <c r="IR122" s="30"/>
      <c r="IS122" s="30"/>
      <c r="IT122" s="30"/>
      <c r="IU122" s="30"/>
      <c r="IV122" s="30"/>
      <c r="IW122" s="30"/>
      <c r="IX122" s="30"/>
      <c r="IY122" s="30"/>
      <c r="IZ122" s="30"/>
      <c r="JA122" s="30"/>
      <c r="JB122" s="30"/>
      <c r="JC122" s="30"/>
      <c r="JD122" s="30"/>
      <c r="JE122" s="30"/>
      <c r="JF122" s="30"/>
      <c r="JG122" s="30"/>
      <c r="JH122" s="30"/>
      <c r="JI122" s="30"/>
      <c r="JJ122" s="30"/>
      <c r="JK122" s="30"/>
      <c r="JL122" s="30"/>
      <c r="JM122" s="30"/>
      <c r="JN122" s="30"/>
      <c r="JO122" s="30"/>
      <c r="JP122" s="30"/>
      <c r="JQ122" s="30"/>
      <c r="JR122" s="30"/>
      <c r="JS122" s="30"/>
      <c r="JT122" s="30"/>
      <c r="JU122" s="30"/>
      <c r="JV122" s="30"/>
      <c r="JW122" s="30"/>
      <c r="JX122" s="30"/>
      <c r="JY122" s="30"/>
      <c r="JZ122" s="30"/>
      <c r="KA122" s="30"/>
      <c r="KB122" s="30"/>
      <c r="KC122" s="30"/>
      <c r="KD122" s="30"/>
      <c r="KE122" s="30"/>
      <c r="KF122" s="30"/>
      <c r="KG122" s="30"/>
      <c r="KH122" s="30"/>
      <c r="KI122" s="30"/>
      <c r="KJ122" s="30"/>
      <c r="KK122" s="30"/>
      <c r="KL122" s="30"/>
      <c r="KM122" s="30"/>
      <c r="KN122" s="30"/>
      <c r="KO122" s="30"/>
      <c r="KP122" s="30"/>
      <c r="KQ122" s="30"/>
      <c r="KR122" s="30"/>
      <c r="KS122" s="30"/>
      <c r="KT122" s="30"/>
      <c r="KU122" s="30"/>
      <c r="KV122" s="30"/>
      <c r="KW122" s="30"/>
      <c r="KX122" s="30"/>
      <c r="KY122" s="30"/>
      <c r="KZ122" s="30"/>
      <c r="LA122" s="30"/>
      <c r="LB122" s="30"/>
      <c r="LC122" s="30"/>
      <c r="LD122" s="30"/>
      <c r="LE122" s="30"/>
      <c r="LF122" s="30"/>
      <c r="LG122" s="30"/>
      <c r="LH122" s="30"/>
      <c r="LI122" s="30"/>
      <c r="LJ122" s="30"/>
      <c r="LK122" s="30"/>
      <c r="LL122" s="30"/>
      <c r="LM122" s="30"/>
      <c r="LN122" s="30"/>
      <c r="LO122" s="30"/>
      <c r="LP122" s="30"/>
      <c r="LQ122" s="30"/>
      <c r="LR122" s="30"/>
      <c r="LS122" s="30"/>
      <c r="LT122" s="30"/>
      <c r="LU122" s="30"/>
      <c r="LV122" s="30"/>
      <c r="LW122" s="30"/>
      <c r="LX122" s="30"/>
      <c r="LY122" s="30"/>
      <c r="LZ122" s="30"/>
      <c r="MA122" s="30"/>
      <c r="MB122" s="30"/>
      <c r="MC122" s="30"/>
      <c r="MD122" s="30"/>
      <c r="ME122" s="30"/>
      <c r="MF122" s="30"/>
      <c r="MG122" s="30"/>
      <c r="MH122" s="30"/>
      <c r="MI122" s="30"/>
      <c r="MJ122" s="30"/>
      <c r="MK122" s="30"/>
      <c r="ML122" s="30"/>
      <c r="MM122" s="30"/>
      <c r="MN122" s="30"/>
      <c r="MO122" s="30"/>
      <c r="MP122" s="30"/>
      <c r="MQ122" s="30"/>
      <c r="MR122" s="30"/>
      <c r="MS122" s="30"/>
      <c r="MT122" s="30"/>
      <c r="MU122" s="30"/>
      <c r="MV122" s="30"/>
      <c r="MW122" s="30"/>
      <c r="MX122" s="30"/>
      <c r="MY122" s="30"/>
      <c r="MZ122" s="30"/>
      <c r="NA122" s="30"/>
      <c r="NB122" s="30"/>
      <c r="NC122" s="30"/>
      <c r="ND122" s="30"/>
      <c r="NE122" s="30"/>
      <c r="NF122" s="30"/>
      <c r="NG122" s="30"/>
      <c r="NH122" s="30"/>
      <c r="NI122" s="30"/>
      <c r="NJ122" s="30"/>
      <c r="NK122" s="30"/>
      <c r="NL122" s="30"/>
      <c r="NM122" s="30"/>
      <c r="NN122" s="30"/>
      <c r="NO122" s="30"/>
      <c r="NP122" s="30"/>
      <c r="NQ122" s="30"/>
      <c r="NR122" s="30"/>
      <c r="NS122" s="30"/>
      <c r="NT122" s="30"/>
      <c r="NU122" s="30"/>
      <c r="NV122" s="30"/>
      <c r="NW122" s="30"/>
      <c r="NX122" s="30"/>
      <c r="NY122" s="30"/>
      <c r="NZ122" s="30"/>
      <c r="OA122" s="30"/>
      <c r="OB122" s="30"/>
      <c r="OC122" s="30"/>
      <c r="OD122" s="30"/>
      <c r="OE122" s="30"/>
      <c r="OF122" s="30"/>
      <c r="OG122" s="30"/>
      <c r="OH122" s="30"/>
      <c r="OI122" s="30"/>
      <c r="OJ122" s="30"/>
      <c r="OK122" s="30"/>
      <c r="OL122" s="30"/>
      <c r="OM122" s="30"/>
      <c r="ON122" s="30"/>
      <c r="OO122" s="30"/>
      <c r="OP122" s="30"/>
      <c r="OQ122" s="30"/>
      <c r="OR122" s="30"/>
      <c r="OS122" s="30"/>
      <c r="OT122" s="30"/>
      <c r="OU122" s="30"/>
      <c r="OV122" s="30"/>
      <c r="OW122" s="30"/>
      <c r="OX122" s="30"/>
      <c r="OY122" s="30"/>
      <c r="OZ122" s="30"/>
      <c r="PA122" s="30"/>
      <c r="PB122" s="30"/>
      <c r="PC122" s="30"/>
      <c r="PD122" s="30"/>
      <c r="PE122" s="30"/>
      <c r="PF122" s="30"/>
      <c r="PG122" s="30"/>
      <c r="PH122" s="30"/>
      <c r="PI122" s="30"/>
      <c r="PJ122" s="30"/>
      <c r="PK122" s="30"/>
      <c r="PL122" s="30"/>
      <c r="PM122" s="30"/>
      <c r="PN122" s="30"/>
      <c r="PO122" s="30"/>
      <c r="PP122" s="30"/>
      <c r="PQ122" s="30"/>
      <c r="PR122" s="30"/>
      <c r="PS122" s="30"/>
      <c r="PT122" s="30"/>
      <c r="PU122" s="30"/>
      <c r="PV122" s="30"/>
      <c r="PW122" s="30"/>
      <c r="PX122" s="30"/>
      <c r="PY122" s="30"/>
      <c r="PZ122" s="30"/>
      <c r="QA122" s="30"/>
      <c r="QB122" s="30"/>
      <c r="QC122" s="30"/>
      <c r="QD122" s="30"/>
      <c r="QE122" s="30"/>
      <c r="QF122" s="30"/>
      <c r="QG122" s="30"/>
      <c r="QH122" s="30"/>
      <c r="QI122" s="30"/>
      <c r="QJ122" s="30"/>
      <c r="QK122" s="30"/>
      <c r="QL122" s="30"/>
      <c r="QM122" s="30"/>
      <c r="QN122" s="30"/>
      <c r="QO122" s="30"/>
      <c r="QP122" s="30"/>
      <c r="QQ122" s="30"/>
      <c r="QR122" s="30"/>
      <c r="QS122" s="30"/>
      <c r="QT122" s="30"/>
      <c r="QU122" s="30"/>
      <c r="QV122" s="30"/>
      <c r="QW122" s="30"/>
      <c r="QX122" s="30"/>
      <c r="QY122" s="30"/>
      <c r="QZ122" s="30"/>
      <c r="RA122" s="30"/>
      <c r="RB122" s="30"/>
      <c r="RC122" s="30"/>
      <c r="RD122" s="30"/>
      <c r="RE122" s="30"/>
      <c r="RF122" s="30"/>
      <c r="RG122" s="30"/>
      <c r="RH122" s="30"/>
      <c r="RI122" s="30"/>
      <c r="RJ122" s="30"/>
      <c r="RK122" s="30"/>
      <c r="RL122" s="30"/>
      <c r="RM122" s="30"/>
      <c r="RN122" s="30"/>
      <c r="RO122" s="30"/>
      <c r="RP122" s="30"/>
      <c r="RQ122" s="30"/>
      <c r="RR122" s="30"/>
      <c r="RS122" s="30"/>
      <c r="RT122" s="30"/>
      <c r="RU122" s="30"/>
      <c r="RV122" s="30"/>
      <c r="RW122" s="30"/>
      <c r="RX122" s="30"/>
      <c r="RY122" s="30"/>
      <c r="RZ122" s="30"/>
      <c r="SA122" s="30"/>
      <c r="SB122" s="30"/>
      <c r="SC122" s="30"/>
      <c r="SD122" s="30"/>
    </row>
    <row r="123" spans="1:498" s="20" customFormat="1" hidden="1" x14ac:dyDescent="0.25">
      <c r="A123" s="68"/>
      <c r="B123" s="68" t="s">
        <v>16</v>
      </c>
      <c r="C123" s="68"/>
      <c r="D123" s="68"/>
      <c r="E123" s="21"/>
      <c r="F123" s="25">
        <f>$C$10-F122</f>
        <v>20482.172118098359</v>
      </c>
      <c r="G123" s="25">
        <f t="shared" ref="G123:Q123" si="72">IF(G119=0,0,F123-G122)</f>
        <v>21026.42389640188</v>
      </c>
      <c r="H123" s="25">
        <f t="shared" si="72"/>
        <v>21388.046608114335</v>
      </c>
      <c r="I123" s="25">
        <f t="shared" si="72"/>
        <v>21796.228243959769</v>
      </c>
      <c r="J123" s="25">
        <f t="shared" si="72"/>
        <v>22025.395996749703</v>
      </c>
      <c r="K123" s="25">
        <f t="shared" si="72"/>
        <v>22284.069097711341</v>
      </c>
      <c r="L123" s="25">
        <f t="shared" si="72"/>
        <v>22330.617157427117</v>
      </c>
      <c r="M123" s="25">
        <f t="shared" si="72"/>
        <v>22383.158279831299</v>
      </c>
      <c r="N123" s="25">
        <f t="shared" si="72"/>
        <v>22144.238875333369</v>
      </c>
      <c r="O123" s="25">
        <f t="shared" si="72"/>
        <v>21874.55859750633</v>
      </c>
      <c r="P123" s="25">
        <f t="shared" si="72"/>
        <v>21258.909421450386</v>
      </c>
      <c r="Q123" s="25">
        <f t="shared" si="72"/>
        <v>20563.995413977242</v>
      </c>
      <c r="R123" s="25">
        <f>IF(R119=0,0,Q123-R122)</f>
        <v>19494.37869778548</v>
      </c>
      <c r="S123" s="25">
        <f t="shared" ref="S123:AI123" si="73">IF(S119=0,0,R123-S122)</f>
        <v>18287.048829384028</v>
      </c>
      <c r="T123" s="25">
        <f t="shared" si="73"/>
        <v>16558.165172798828</v>
      </c>
      <c r="U123" s="25">
        <f t="shared" si="73"/>
        <v>14606.687745428284</v>
      </c>
      <c r="V123" s="25">
        <f t="shared" si="73"/>
        <v>11983.49426318692</v>
      </c>
      <c r="W123" s="25">
        <f t="shared" si="73"/>
        <v>9022.5646201069794</v>
      </c>
      <c r="X123" s="25">
        <f t="shared" si="73"/>
        <v>5043.1844610614262</v>
      </c>
      <c r="Y123" s="25">
        <f t="shared" si="73"/>
        <v>-97.850892822900278</v>
      </c>
      <c r="Z123" s="25">
        <f t="shared" si="73"/>
        <v>0</v>
      </c>
      <c r="AA123" s="25">
        <f t="shared" si="73"/>
        <v>0</v>
      </c>
      <c r="AB123" s="25">
        <f t="shared" si="73"/>
        <v>0</v>
      </c>
      <c r="AC123" s="25">
        <f t="shared" si="73"/>
        <v>0</v>
      </c>
      <c r="AD123" s="25">
        <f t="shared" si="73"/>
        <v>0</v>
      </c>
      <c r="AE123" s="22">
        <f t="shared" si="73"/>
        <v>0</v>
      </c>
      <c r="AF123" s="22">
        <f t="shared" si="73"/>
        <v>0</v>
      </c>
      <c r="AG123" s="22">
        <f t="shared" si="73"/>
        <v>0</v>
      </c>
      <c r="AH123" s="22">
        <f t="shared" si="73"/>
        <v>0</v>
      </c>
      <c r="AI123" s="22">
        <f t="shared" si="73"/>
        <v>0</v>
      </c>
      <c r="AJ123" s="59"/>
      <c r="AK123" s="59"/>
      <c r="AL123" s="59"/>
      <c r="AM123" s="59"/>
      <c r="AN123" s="59"/>
      <c r="AO123" s="59"/>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c r="EY123" s="30"/>
      <c r="EZ123" s="30"/>
      <c r="FA123" s="30"/>
      <c r="FB123" s="30"/>
      <c r="FC123" s="30"/>
      <c r="FD123" s="30"/>
      <c r="FE123" s="30"/>
      <c r="FF123" s="30"/>
      <c r="FG123" s="30"/>
      <c r="FH123" s="30"/>
      <c r="FI123" s="30"/>
      <c r="FJ123" s="30"/>
      <c r="FK123" s="30"/>
      <c r="FL123" s="30"/>
      <c r="FM123" s="30"/>
      <c r="FN123" s="30"/>
      <c r="FO123" s="30"/>
      <c r="FP123" s="30"/>
      <c r="FQ123" s="30"/>
      <c r="FR123" s="30"/>
      <c r="FS123" s="30"/>
      <c r="FT123" s="30"/>
      <c r="FU123" s="30"/>
      <c r="FV123" s="30"/>
      <c r="FW123" s="30"/>
      <c r="FX123" s="30"/>
      <c r="FY123" s="30"/>
      <c r="FZ123" s="30"/>
      <c r="GA123" s="30"/>
      <c r="GB123" s="30"/>
      <c r="GC123" s="30"/>
      <c r="GD123" s="30"/>
      <c r="GE123" s="30"/>
      <c r="GF123" s="30"/>
      <c r="GG123" s="30"/>
      <c r="GH123" s="30"/>
      <c r="GI123" s="30"/>
      <c r="GJ123" s="30"/>
      <c r="GK123" s="30"/>
      <c r="GL123" s="30"/>
      <c r="GM123" s="30"/>
      <c r="GN123" s="30"/>
      <c r="GO123" s="30"/>
      <c r="GP123" s="30"/>
      <c r="GQ123" s="30"/>
      <c r="GR123" s="30"/>
      <c r="GS123" s="30"/>
      <c r="GT123" s="30"/>
      <c r="GU123" s="30"/>
      <c r="GV123" s="30"/>
      <c r="GW123" s="30"/>
      <c r="GX123" s="30"/>
      <c r="GY123" s="30"/>
      <c r="GZ123" s="30"/>
      <c r="HA123" s="30"/>
      <c r="HB123" s="30"/>
      <c r="HC123" s="30"/>
      <c r="HD123" s="30"/>
      <c r="HE123" s="30"/>
      <c r="HF123" s="30"/>
      <c r="HG123" s="30"/>
      <c r="HH123" s="30"/>
      <c r="HI123" s="30"/>
      <c r="HJ123" s="30"/>
      <c r="HK123" s="30"/>
      <c r="HL123" s="30"/>
      <c r="HM123" s="30"/>
      <c r="HN123" s="30"/>
      <c r="HO123" s="30"/>
      <c r="HP123" s="30"/>
      <c r="HQ123" s="30"/>
      <c r="HR123" s="30"/>
      <c r="HS123" s="30"/>
      <c r="HT123" s="30"/>
      <c r="HU123" s="30"/>
      <c r="HV123" s="30"/>
      <c r="HW123" s="30"/>
      <c r="HX123" s="30"/>
      <c r="HY123" s="30"/>
      <c r="HZ123" s="30"/>
      <c r="IA123" s="30"/>
      <c r="IB123" s="30"/>
      <c r="IC123" s="30"/>
      <c r="ID123" s="30"/>
      <c r="IE123" s="30"/>
      <c r="IF123" s="30"/>
      <c r="IG123" s="30"/>
      <c r="IH123" s="30"/>
      <c r="II123" s="30"/>
      <c r="IJ123" s="30"/>
      <c r="IK123" s="30"/>
      <c r="IL123" s="30"/>
      <c r="IM123" s="30"/>
      <c r="IN123" s="30"/>
      <c r="IO123" s="30"/>
      <c r="IP123" s="30"/>
      <c r="IQ123" s="30"/>
      <c r="IR123" s="30"/>
      <c r="IS123" s="30"/>
      <c r="IT123" s="30"/>
      <c r="IU123" s="30"/>
      <c r="IV123" s="30"/>
      <c r="IW123" s="30"/>
      <c r="IX123" s="30"/>
      <c r="IY123" s="30"/>
      <c r="IZ123" s="30"/>
      <c r="JA123" s="30"/>
      <c r="JB123" s="30"/>
      <c r="JC123" s="30"/>
      <c r="JD123" s="30"/>
      <c r="JE123" s="30"/>
      <c r="JF123" s="30"/>
      <c r="JG123" s="30"/>
      <c r="JH123" s="30"/>
      <c r="JI123" s="30"/>
      <c r="JJ123" s="30"/>
      <c r="JK123" s="30"/>
      <c r="JL123" s="30"/>
      <c r="JM123" s="30"/>
      <c r="JN123" s="30"/>
      <c r="JO123" s="30"/>
      <c r="JP123" s="30"/>
      <c r="JQ123" s="30"/>
      <c r="JR123" s="30"/>
      <c r="JS123" s="30"/>
      <c r="JT123" s="30"/>
      <c r="JU123" s="30"/>
      <c r="JV123" s="30"/>
      <c r="JW123" s="30"/>
      <c r="JX123" s="30"/>
      <c r="JY123" s="30"/>
      <c r="JZ123" s="30"/>
      <c r="KA123" s="30"/>
      <c r="KB123" s="30"/>
      <c r="KC123" s="30"/>
      <c r="KD123" s="30"/>
      <c r="KE123" s="30"/>
      <c r="KF123" s="30"/>
      <c r="KG123" s="30"/>
      <c r="KH123" s="30"/>
      <c r="KI123" s="30"/>
      <c r="KJ123" s="30"/>
      <c r="KK123" s="30"/>
      <c r="KL123" s="30"/>
      <c r="KM123" s="30"/>
      <c r="KN123" s="30"/>
      <c r="KO123" s="30"/>
      <c r="KP123" s="30"/>
      <c r="KQ123" s="30"/>
      <c r="KR123" s="30"/>
      <c r="KS123" s="30"/>
      <c r="KT123" s="30"/>
      <c r="KU123" s="30"/>
      <c r="KV123" s="30"/>
      <c r="KW123" s="30"/>
      <c r="KX123" s="30"/>
      <c r="KY123" s="30"/>
      <c r="KZ123" s="30"/>
      <c r="LA123" s="30"/>
      <c r="LB123" s="30"/>
      <c r="LC123" s="30"/>
      <c r="LD123" s="30"/>
      <c r="LE123" s="30"/>
      <c r="LF123" s="30"/>
      <c r="LG123" s="30"/>
      <c r="LH123" s="30"/>
      <c r="LI123" s="30"/>
      <c r="LJ123" s="30"/>
      <c r="LK123" s="30"/>
      <c r="LL123" s="30"/>
      <c r="LM123" s="30"/>
      <c r="LN123" s="30"/>
      <c r="LO123" s="30"/>
      <c r="LP123" s="30"/>
      <c r="LQ123" s="30"/>
      <c r="LR123" s="30"/>
      <c r="LS123" s="30"/>
      <c r="LT123" s="30"/>
      <c r="LU123" s="30"/>
      <c r="LV123" s="30"/>
      <c r="LW123" s="30"/>
      <c r="LX123" s="30"/>
      <c r="LY123" s="30"/>
      <c r="LZ123" s="30"/>
      <c r="MA123" s="30"/>
      <c r="MB123" s="30"/>
      <c r="MC123" s="30"/>
      <c r="MD123" s="30"/>
      <c r="ME123" s="30"/>
      <c r="MF123" s="30"/>
      <c r="MG123" s="30"/>
      <c r="MH123" s="30"/>
      <c r="MI123" s="30"/>
      <c r="MJ123" s="30"/>
      <c r="MK123" s="30"/>
      <c r="ML123" s="30"/>
      <c r="MM123" s="30"/>
      <c r="MN123" s="30"/>
      <c r="MO123" s="30"/>
      <c r="MP123" s="30"/>
      <c r="MQ123" s="30"/>
      <c r="MR123" s="30"/>
      <c r="MS123" s="30"/>
      <c r="MT123" s="30"/>
      <c r="MU123" s="30"/>
      <c r="MV123" s="30"/>
      <c r="MW123" s="30"/>
      <c r="MX123" s="30"/>
      <c r="MY123" s="30"/>
      <c r="MZ123" s="30"/>
      <c r="NA123" s="30"/>
      <c r="NB123" s="30"/>
      <c r="NC123" s="30"/>
      <c r="ND123" s="30"/>
      <c r="NE123" s="30"/>
      <c r="NF123" s="30"/>
      <c r="NG123" s="30"/>
      <c r="NH123" s="30"/>
      <c r="NI123" s="30"/>
      <c r="NJ123" s="30"/>
      <c r="NK123" s="30"/>
      <c r="NL123" s="30"/>
      <c r="NM123" s="30"/>
      <c r="NN123" s="30"/>
      <c r="NO123" s="30"/>
      <c r="NP123" s="30"/>
      <c r="NQ123" s="30"/>
      <c r="NR123" s="30"/>
      <c r="NS123" s="30"/>
      <c r="NT123" s="30"/>
      <c r="NU123" s="30"/>
      <c r="NV123" s="30"/>
      <c r="NW123" s="30"/>
      <c r="NX123" s="30"/>
      <c r="NY123" s="30"/>
      <c r="NZ123" s="30"/>
      <c r="OA123" s="30"/>
      <c r="OB123" s="30"/>
      <c r="OC123" s="30"/>
      <c r="OD123" s="30"/>
      <c r="OE123" s="30"/>
      <c r="OF123" s="30"/>
      <c r="OG123" s="30"/>
      <c r="OH123" s="30"/>
      <c r="OI123" s="30"/>
      <c r="OJ123" s="30"/>
      <c r="OK123" s="30"/>
      <c r="OL123" s="30"/>
      <c r="OM123" s="30"/>
      <c r="ON123" s="30"/>
      <c r="OO123" s="30"/>
      <c r="OP123" s="30"/>
      <c r="OQ123" s="30"/>
      <c r="OR123" s="30"/>
      <c r="OS123" s="30"/>
      <c r="OT123" s="30"/>
      <c r="OU123" s="30"/>
      <c r="OV123" s="30"/>
      <c r="OW123" s="30"/>
      <c r="OX123" s="30"/>
      <c r="OY123" s="30"/>
      <c r="OZ123" s="30"/>
      <c r="PA123" s="30"/>
      <c r="PB123" s="30"/>
      <c r="PC123" s="30"/>
      <c r="PD123" s="30"/>
      <c r="PE123" s="30"/>
      <c r="PF123" s="30"/>
      <c r="PG123" s="30"/>
      <c r="PH123" s="30"/>
      <c r="PI123" s="30"/>
      <c r="PJ123" s="30"/>
      <c r="PK123" s="30"/>
      <c r="PL123" s="30"/>
      <c r="PM123" s="30"/>
      <c r="PN123" s="30"/>
      <c r="PO123" s="30"/>
      <c r="PP123" s="30"/>
      <c r="PQ123" s="30"/>
      <c r="PR123" s="30"/>
      <c r="PS123" s="30"/>
      <c r="PT123" s="30"/>
      <c r="PU123" s="30"/>
      <c r="PV123" s="30"/>
      <c r="PW123" s="30"/>
      <c r="PX123" s="30"/>
      <c r="PY123" s="30"/>
      <c r="PZ123" s="30"/>
      <c r="QA123" s="30"/>
      <c r="QB123" s="30"/>
      <c r="QC123" s="30"/>
      <c r="QD123" s="30"/>
      <c r="QE123" s="30"/>
      <c r="QF123" s="30"/>
      <c r="QG123" s="30"/>
      <c r="QH123" s="30"/>
      <c r="QI123" s="30"/>
      <c r="QJ123" s="30"/>
      <c r="QK123" s="30"/>
      <c r="QL123" s="30"/>
      <c r="QM123" s="30"/>
      <c r="QN123" s="30"/>
      <c r="QO123" s="30"/>
      <c r="QP123" s="30"/>
      <c r="QQ123" s="30"/>
      <c r="QR123" s="30"/>
      <c r="QS123" s="30"/>
      <c r="QT123" s="30"/>
      <c r="QU123" s="30"/>
      <c r="QV123" s="30"/>
      <c r="QW123" s="30"/>
      <c r="QX123" s="30"/>
      <c r="QY123" s="30"/>
      <c r="QZ123" s="30"/>
      <c r="RA123" s="30"/>
      <c r="RB123" s="30"/>
      <c r="RC123" s="30"/>
      <c r="RD123" s="30"/>
      <c r="RE123" s="30"/>
      <c r="RF123" s="30"/>
      <c r="RG123" s="30"/>
      <c r="RH123" s="30"/>
      <c r="RI123" s="30"/>
      <c r="RJ123" s="30"/>
      <c r="RK123" s="30"/>
      <c r="RL123" s="30"/>
      <c r="RM123" s="30"/>
      <c r="RN123" s="30"/>
      <c r="RO123" s="30"/>
      <c r="RP123" s="30"/>
      <c r="RQ123" s="30"/>
      <c r="RR123" s="30"/>
      <c r="RS123" s="30"/>
      <c r="RT123" s="30"/>
      <c r="RU123" s="30"/>
      <c r="RV123" s="30"/>
      <c r="RW123" s="30"/>
      <c r="RX123" s="30"/>
      <c r="RY123" s="30"/>
      <c r="RZ123" s="30"/>
      <c r="SA123" s="30"/>
      <c r="SB123" s="30"/>
      <c r="SC123" s="30"/>
      <c r="SD123" s="30"/>
    </row>
    <row r="124" spans="1:498" s="20" customFormat="1" hidden="1" x14ac:dyDescent="0.25">
      <c r="A124" s="68"/>
      <c r="B124" s="68"/>
      <c r="C124" s="68"/>
      <c r="D124" s="68"/>
      <c r="E124" s="21"/>
      <c r="F124" s="25"/>
      <c r="G124" s="25"/>
      <c r="H124" s="25"/>
      <c r="I124" s="25"/>
      <c r="J124" s="25"/>
      <c r="K124" s="25"/>
      <c r="L124" s="25"/>
      <c r="M124" s="25"/>
      <c r="N124" s="25"/>
      <c r="O124" s="25"/>
      <c r="P124" s="25"/>
      <c r="Q124" s="25"/>
      <c r="R124" s="25"/>
      <c r="S124" s="25"/>
      <c r="T124" s="25"/>
      <c r="U124" s="25"/>
      <c r="V124" s="25"/>
      <c r="W124" s="25"/>
      <c r="X124" s="25"/>
      <c r="Y124" s="25"/>
      <c r="Z124" s="30"/>
      <c r="AA124" s="30"/>
      <c r="AB124" s="30"/>
      <c r="AC124" s="30"/>
      <c r="AD124" s="30"/>
      <c r="AJ124" s="59"/>
      <c r="AK124" s="59"/>
      <c r="AL124" s="59"/>
      <c r="AM124" s="59"/>
      <c r="AN124" s="59"/>
      <c r="AO124" s="59"/>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30"/>
      <c r="FI124" s="30"/>
      <c r="FJ124" s="30"/>
      <c r="FK124" s="30"/>
      <c r="FL124" s="30"/>
      <c r="FM124" s="30"/>
      <c r="FN124" s="30"/>
      <c r="FO124" s="30"/>
      <c r="FP124" s="30"/>
      <c r="FQ124" s="30"/>
      <c r="FR124" s="30"/>
      <c r="FS124" s="30"/>
      <c r="FT124" s="30"/>
      <c r="FU124" s="30"/>
      <c r="FV124" s="30"/>
      <c r="FW124" s="30"/>
      <c r="FX124" s="30"/>
      <c r="FY124" s="30"/>
      <c r="FZ124" s="30"/>
      <c r="GA124" s="30"/>
      <c r="GB124" s="30"/>
      <c r="GC124" s="30"/>
      <c r="GD124" s="30"/>
      <c r="GE124" s="30"/>
      <c r="GF124" s="30"/>
      <c r="GG124" s="30"/>
      <c r="GH124" s="30"/>
      <c r="GI124" s="30"/>
      <c r="GJ124" s="30"/>
      <c r="GK124" s="30"/>
      <c r="GL124" s="30"/>
      <c r="GM124" s="30"/>
      <c r="GN124" s="30"/>
      <c r="GO124" s="30"/>
      <c r="GP124" s="30"/>
      <c r="GQ124" s="30"/>
      <c r="GR124" s="30"/>
      <c r="GS124" s="30"/>
      <c r="GT124" s="30"/>
      <c r="GU124" s="30"/>
      <c r="GV124" s="30"/>
      <c r="GW124" s="30"/>
      <c r="GX124" s="30"/>
      <c r="GY124" s="30"/>
      <c r="GZ124" s="30"/>
      <c r="HA124" s="30"/>
      <c r="HB124" s="30"/>
      <c r="HC124" s="30"/>
      <c r="HD124" s="30"/>
      <c r="HE124" s="30"/>
      <c r="HF124" s="30"/>
      <c r="HG124" s="30"/>
      <c r="HH124" s="30"/>
      <c r="HI124" s="30"/>
      <c r="HJ124" s="30"/>
      <c r="HK124" s="30"/>
      <c r="HL124" s="30"/>
      <c r="HM124" s="30"/>
      <c r="HN124" s="30"/>
      <c r="HO124" s="30"/>
      <c r="HP124" s="30"/>
      <c r="HQ124" s="30"/>
      <c r="HR124" s="30"/>
      <c r="HS124" s="30"/>
      <c r="HT124" s="30"/>
      <c r="HU124" s="30"/>
      <c r="HV124" s="30"/>
      <c r="HW124" s="30"/>
      <c r="HX124" s="30"/>
      <c r="HY124" s="30"/>
      <c r="HZ124" s="30"/>
      <c r="IA124" s="30"/>
      <c r="IB124" s="30"/>
      <c r="IC124" s="30"/>
      <c r="ID124" s="30"/>
      <c r="IE124" s="30"/>
      <c r="IF124" s="30"/>
      <c r="IG124" s="30"/>
      <c r="IH124" s="30"/>
      <c r="II124" s="30"/>
      <c r="IJ124" s="30"/>
      <c r="IK124" s="30"/>
      <c r="IL124" s="30"/>
      <c r="IM124" s="30"/>
      <c r="IN124" s="30"/>
      <c r="IO124" s="30"/>
      <c r="IP124" s="30"/>
      <c r="IQ124" s="30"/>
      <c r="IR124" s="30"/>
      <c r="IS124" s="30"/>
      <c r="IT124" s="30"/>
      <c r="IU124" s="30"/>
      <c r="IV124" s="30"/>
      <c r="IW124" s="30"/>
      <c r="IX124" s="30"/>
      <c r="IY124" s="30"/>
      <c r="IZ124" s="30"/>
      <c r="JA124" s="30"/>
      <c r="JB124" s="30"/>
      <c r="JC124" s="30"/>
      <c r="JD124" s="30"/>
      <c r="JE124" s="30"/>
      <c r="JF124" s="30"/>
      <c r="JG124" s="30"/>
      <c r="JH124" s="30"/>
      <c r="JI124" s="30"/>
      <c r="JJ124" s="30"/>
      <c r="JK124" s="30"/>
      <c r="JL124" s="30"/>
      <c r="JM124" s="30"/>
      <c r="JN124" s="30"/>
      <c r="JO124" s="30"/>
      <c r="JP124" s="30"/>
      <c r="JQ124" s="30"/>
      <c r="JR124" s="30"/>
      <c r="JS124" s="30"/>
      <c r="JT124" s="30"/>
      <c r="JU124" s="30"/>
      <c r="JV124" s="30"/>
      <c r="JW124" s="30"/>
      <c r="JX124" s="30"/>
      <c r="JY124" s="30"/>
      <c r="JZ124" s="30"/>
      <c r="KA124" s="30"/>
      <c r="KB124" s="30"/>
      <c r="KC124" s="30"/>
      <c r="KD124" s="30"/>
      <c r="KE124" s="30"/>
      <c r="KF124" s="30"/>
      <c r="KG124" s="30"/>
      <c r="KH124" s="30"/>
      <c r="KI124" s="30"/>
      <c r="KJ124" s="30"/>
      <c r="KK124" s="30"/>
      <c r="KL124" s="30"/>
      <c r="KM124" s="30"/>
      <c r="KN124" s="30"/>
      <c r="KO124" s="30"/>
      <c r="KP124" s="30"/>
      <c r="KQ124" s="30"/>
      <c r="KR124" s="30"/>
      <c r="KS124" s="30"/>
      <c r="KT124" s="30"/>
      <c r="KU124" s="30"/>
      <c r="KV124" s="30"/>
      <c r="KW124" s="30"/>
      <c r="KX124" s="30"/>
      <c r="KY124" s="30"/>
      <c r="KZ124" s="30"/>
      <c r="LA124" s="30"/>
      <c r="LB124" s="30"/>
      <c r="LC124" s="30"/>
      <c r="LD124" s="30"/>
      <c r="LE124" s="30"/>
      <c r="LF124" s="30"/>
      <c r="LG124" s="30"/>
      <c r="LH124" s="30"/>
      <c r="LI124" s="30"/>
      <c r="LJ124" s="30"/>
      <c r="LK124" s="30"/>
      <c r="LL124" s="30"/>
      <c r="LM124" s="30"/>
      <c r="LN124" s="30"/>
      <c r="LO124" s="30"/>
      <c r="LP124" s="30"/>
      <c r="LQ124" s="30"/>
      <c r="LR124" s="30"/>
      <c r="LS124" s="30"/>
      <c r="LT124" s="30"/>
      <c r="LU124" s="30"/>
      <c r="LV124" s="30"/>
      <c r="LW124" s="30"/>
      <c r="LX124" s="30"/>
      <c r="LY124" s="30"/>
      <c r="LZ124" s="30"/>
      <c r="MA124" s="30"/>
      <c r="MB124" s="30"/>
      <c r="MC124" s="30"/>
      <c r="MD124" s="30"/>
      <c r="ME124" s="30"/>
      <c r="MF124" s="30"/>
      <c r="MG124" s="30"/>
      <c r="MH124" s="30"/>
      <c r="MI124" s="30"/>
      <c r="MJ124" s="30"/>
      <c r="MK124" s="30"/>
      <c r="ML124" s="30"/>
      <c r="MM124" s="30"/>
      <c r="MN124" s="30"/>
      <c r="MO124" s="30"/>
      <c r="MP124" s="30"/>
      <c r="MQ124" s="30"/>
      <c r="MR124" s="30"/>
      <c r="MS124" s="30"/>
      <c r="MT124" s="30"/>
      <c r="MU124" s="30"/>
      <c r="MV124" s="30"/>
      <c r="MW124" s="30"/>
      <c r="MX124" s="30"/>
      <c r="MY124" s="30"/>
      <c r="MZ124" s="30"/>
      <c r="NA124" s="30"/>
      <c r="NB124" s="30"/>
      <c r="NC124" s="30"/>
      <c r="ND124" s="30"/>
      <c r="NE124" s="30"/>
      <c r="NF124" s="30"/>
      <c r="NG124" s="30"/>
      <c r="NH124" s="30"/>
      <c r="NI124" s="30"/>
      <c r="NJ124" s="30"/>
      <c r="NK124" s="30"/>
      <c r="NL124" s="30"/>
      <c r="NM124" s="30"/>
      <c r="NN124" s="30"/>
      <c r="NO124" s="30"/>
      <c r="NP124" s="30"/>
      <c r="NQ124" s="30"/>
      <c r="NR124" s="30"/>
      <c r="NS124" s="30"/>
      <c r="NT124" s="30"/>
      <c r="NU124" s="30"/>
      <c r="NV124" s="30"/>
      <c r="NW124" s="30"/>
      <c r="NX124" s="30"/>
      <c r="NY124" s="30"/>
      <c r="NZ124" s="30"/>
      <c r="OA124" s="30"/>
      <c r="OB124" s="30"/>
      <c r="OC124" s="30"/>
      <c r="OD124" s="30"/>
      <c r="OE124" s="30"/>
      <c r="OF124" s="30"/>
      <c r="OG124" s="30"/>
      <c r="OH124" s="30"/>
      <c r="OI124" s="30"/>
      <c r="OJ124" s="30"/>
      <c r="OK124" s="30"/>
      <c r="OL124" s="30"/>
      <c r="OM124" s="30"/>
      <c r="ON124" s="30"/>
      <c r="OO124" s="30"/>
      <c r="OP124" s="30"/>
      <c r="OQ124" s="30"/>
      <c r="OR124" s="30"/>
      <c r="OS124" s="30"/>
      <c r="OT124" s="30"/>
      <c r="OU124" s="30"/>
      <c r="OV124" s="30"/>
      <c r="OW124" s="30"/>
      <c r="OX124" s="30"/>
      <c r="OY124" s="30"/>
      <c r="OZ124" s="30"/>
      <c r="PA124" s="30"/>
      <c r="PB124" s="30"/>
      <c r="PC124" s="30"/>
      <c r="PD124" s="30"/>
      <c r="PE124" s="30"/>
      <c r="PF124" s="30"/>
      <c r="PG124" s="30"/>
      <c r="PH124" s="30"/>
      <c r="PI124" s="30"/>
      <c r="PJ124" s="30"/>
      <c r="PK124" s="30"/>
      <c r="PL124" s="30"/>
      <c r="PM124" s="30"/>
      <c r="PN124" s="30"/>
      <c r="PO124" s="30"/>
      <c r="PP124" s="30"/>
      <c r="PQ124" s="30"/>
      <c r="PR124" s="30"/>
      <c r="PS124" s="30"/>
      <c r="PT124" s="30"/>
      <c r="PU124" s="30"/>
      <c r="PV124" s="30"/>
      <c r="PW124" s="30"/>
      <c r="PX124" s="30"/>
      <c r="PY124" s="30"/>
      <c r="PZ124" s="30"/>
      <c r="QA124" s="30"/>
      <c r="QB124" s="30"/>
      <c r="QC124" s="30"/>
      <c r="QD124" s="30"/>
      <c r="QE124" s="30"/>
      <c r="QF124" s="30"/>
      <c r="QG124" s="30"/>
      <c r="QH124" s="30"/>
      <c r="QI124" s="30"/>
      <c r="QJ124" s="30"/>
      <c r="QK124" s="30"/>
      <c r="QL124" s="30"/>
      <c r="QM124" s="30"/>
      <c r="QN124" s="30"/>
      <c r="QO124" s="30"/>
      <c r="QP124" s="30"/>
      <c r="QQ124" s="30"/>
      <c r="QR124" s="30"/>
      <c r="QS124" s="30"/>
      <c r="QT124" s="30"/>
      <c r="QU124" s="30"/>
      <c r="QV124" s="30"/>
      <c r="QW124" s="30"/>
      <c r="QX124" s="30"/>
      <c r="QY124" s="30"/>
      <c r="QZ124" s="30"/>
      <c r="RA124" s="30"/>
      <c r="RB124" s="30"/>
      <c r="RC124" s="30"/>
      <c r="RD124" s="30"/>
      <c r="RE124" s="30"/>
      <c r="RF124" s="30"/>
      <c r="RG124" s="30"/>
      <c r="RH124" s="30"/>
      <c r="RI124" s="30"/>
      <c r="RJ124" s="30"/>
      <c r="RK124" s="30"/>
      <c r="RL124" s="30"/>
      <c r="RM124" s="30"/>
      <c r="RN124" s="30"/>
      <c r="RO124" s="30"/>
      <c r="RP124" s="30"/>
      <c r="RQ124" s="30"/>
      <c r="RR124" s="30"/>
      <c r="RS124" s="30"/>
      <c r="RT124" s="30"/>
      <c r="RU124" s="30"/>
      <c r="RV124" s="30"/>
      <c r="RW124" s="30"/>
      <c r="RX124" s="30"/>
      <c r="RY124" s="30"/>
      <c r="RZ124" s="30"/>
      <c r="SA124" s="30"/>
      <c r="SB124" s="30"/>
      <c r="SC124" s="30"/>
      <c r="SD124" s="30"/>
    </row>
    <row r="125" spans="1:498" s="20" customFormat="1" hidden="1" x14ac:dyDescent="0.25">
      <c r="A125" s="68"/>
      <c r="B125" s="68" t="s">
        <v>24</v>
      </c>
      <c r="C125" s="68"/>
      <c r="D125" s="68"/>
      <c r="E125" s="21"/>
      <c r="F125" s="25">
        <f t="shared" ref="F125:AI125" si="74">F80-F81+N("Annual income minus exemption")</f>
        <v>12764.7</v>
      </c>
      <c r="G125" s="25">
        <f t="shared" si="74"/>
        <v>13532.089500000002</v>
      </c>
      <c r="H125" s="25">
        <f t="shared" si="74"/>
        <v>14336.620297650006</v>
      </c>
      <c r="I125" s="25">
        <f t="shared" si="74"/>
        <v>15179.939832369018</v>
      </c>
      <c r="J125" s="25">
        <f t="shared" si="74"/>
        <v>16063.765502019407</v>
      </c>
      <c r="K125" s="25">
        <f t="shared" si="74"/>
        <v>16989.887563172335</v>
      </c>
      <c r="L125" s="25">
        <f t="shared" si="74"/>
        <v>17960.172149942286</v>
      </c>
      <c r="M125" s="25">
        <f t="shared" si="74"/>
        <v>18976.564416197543</v>
      </c>
      <c r="N125" s="25">
        <f t="shared" si="74"/>
        <v>20041.091806147469</v>
      </c>
      <c r="O125" s="25">
        <f t="shared" si="74"/>
        <v>21155.867458509274</v>
      </c>
      <c r="P125" s="25">
        <f t="shared" si="74"/>
        <v>22323.093749666463</v>
      </c>
      <c r="Q125" s="25">
        <f t="shared" si="74"/>
        <v>23545.065981449639</v>
      </c>
      <c r="R125" s="25">
        <f t="shared" si="74"/>
        <v>24824.176219397239</v>
      </c>
      <c r="S125" s="25">
        <f t="shared" si="74"/>
        <v>26162.917287589855</v>
      </c>
      <c r="T125" s="25">
        <f t="shared" si="74"/>
        <v>27563.886926397536</v>
      </c>
      <c r="U125" s="25">
        <f t="shared" si="74"/>
        <v>29029.792119734848</v>
      </c>
      <c r="V125" s="25">
        <f t="shared" si="74"/>
        <v>30563.453598684318</v>
      </c>
      <c r="W125" s="25">
        <f t="shared" si="74"/>
        <v>32167.810528625185</v>
      </c>
      <c r="X125" s="25">
        <f t="shared" si="74"/>
        <v>33845.925387292125</v>
      </c>
      <c r="Y125" s="25">
        <f t="shared" si="74"/>
        <v>35600.989041487534</v>
      </c>
      <c r="Z125" s="25">
        <f t="shared" si="74"/>
        <v>37436.32603048224</v>
      </c>
      <c r="AA125" s="25">
        <f t="shared" si="74"/>
        <v>39355.400064462847</v>
      </c>
      <c r="AB125" s="25">
        <f t="shared" si="74"/>
        <v>41361.819746720983</v>
      </c>
      <c r="AC125" s="25">
        <f t="shared" si="74"/>
        <v>43459.344528629394</v>
      </c>
      <c r="AD125" s="25">
        <f t="shared" si="74"/>
        <v>45651.89090681434</v>
      </c>
      <c r="AE125" s="22">
        <f t="shared" si="74"/>
        <v>-32030.751321410855</v>
      </c>
      <c r="AF125" s="22">
        <f t="shared" si="74"/>
        <v>-32834.723179578265</v>
      </c>
      <c r="AG125" s="22">
        <f t="shared" si="74"/>
        <v>-33658.874731385673</v>
      </c>
      <c r="AH125" s="22">
        <f t="shared" si="74"/>
        <v>-34503.71248714345</v>
      </c>
      <c r="AI125" s="22">
        <f t="shared" si="74"/>
        <v>-35369.755670570747</v>
      </c>
      <c r="AJ125" s="59"/>
      <c r="AK125" s="59"/>
      <c r="AL125" s="59"/>
      <c r="AM125" s="59"/>
      <c r="AN125" s="59"/>
      <c r="AO125" s="59"/>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c r="EV125" s="30"/>
      <c r="EW125" s="30"/>
      <c r="EX125" s="30"/>
      <c r="EY125" s="30"/>
      <c r="EZ125" s="30"/>
      <c r="FA125" s="30"/>
      <c r="FB125" s="30"/>
      <c r="FC125" s="30"/>
      <c r="FD125" s="30"/>
      <c r="FE125" s="30"/>
      <c r="FF125" s="30"/>
      <c r="FG125" s="30"/>
      <c r="FH125" s="30"/>
      <c r="FI125" s="30"/>
      <c r="FJ125" s="30"/>
      <c r="FK125" s="30"/>
      <c r="FL125" s="30"/>
      <c r="FM125" s="30"/>
      <c r="FN125" s="30"/>
      <c r="FO125" s="30"/>
      <c r="FP125" s="30"/>
      <c r="FQ125" s="30"/>
      <c r="FR125" s="30"/>
      <c r="FS125" s="30"/>
      <c r="FT125" s="30"/>
      <c r="FU125" s="30"/>
      <c r="FV125" s="30"/>
      <c r="FW125" s="30"/>
      <c r="FX125" s="30"/>
      <c r="FY125" s="30"/>
      <c r="FZ125" s="30"/>
      <c r="GA125" s="30"/>
      <c r="GB125" s="30"/>
      <c r="GC125" s="30"/>
      <c r="GD125" s="30"/>
      <c r="GE125" s="30"/>
      <c r="GF125" s="30"/>
      <c r="GG125" s="30"/>
      <c r="GH125" s="30"/>
      <c r="GI125" s="30"/>
      <c r="GJ125" s="30"/>
      <c r="GK125" s="30"/>
      <c r="GL125" s="30"/>
      <c r="GM125" s="30"/>
      <c r="GN125" s="30"/>
      <c r="GO125" s="30"/>
      <c r="GP125" s="30"/>
      <c r="GQ125" s="30"/>
      <c r="GR125" s="30"/>
      <c r="GS125" s="30"/>
      <c r="GT125" s="30"/>
      <c r="GU125" s="30"/>
      <c r="GV125" s="30"/>
      <c r="GW125" s="30"/>
      <c r="GX125" s="30"/>
      <c r="GY125" s="30"/>
      <c r="GZ125" s="30"/>
      <c r="HA125" s="30"/>
      <c r="HB125" s="30"/>
      <c r="HC125" s="30"/>
      <c r="HD125" s="30"/>
      <c r="HE125" s="30"/>
      <c r="HF125" s="30"/>
      <c r="HG125" s="30"/>
      <c r="HH125" s="30"/>
      <c r="HI125" s="30"/>
      <c r="HJ125" s="30"/>
      <c r="HK125" s="30"/>
      <c r="HL125" s="30"/>
      <c r="HM125" s="30"/>
      <c r="HN125" s="30"/>
      <c r="HO125" s="30"/>
      <c r="HP125" s="30"/>
      <c r="HQ125" s="30"/>
      <c r="HR125" s="30"/>
      <c r="HS125" s="30"/>
      <c r="HT125" s="30"/>
      <c r="HU125" s="30"/>
      <c r="HV125" s="30"/>
      <c r="HW125" s="30"/>
      <c r="HX125" s="30"/>
      <c r="HY125" s="30"/>
      <c r="HZ125" s="30"/>
      <c r="IA125" s="30"/>
      <c r="IB125" s="30"/>
      <c r="IC125" s="30"/>
      <c r="ID125" s="30"/>
      <c r="IE125" s="30"/>
      <c r="IF125" s="30"/>
      <c r="IG125" s="30"/>
      <c r="IH125" s="30"/>
      <c r="II125" s="30"/>
      <c r="IJ125" s="30"/>
      <c r="IK125" s="30"/>
      <c r="IL125" s="30"/>
      <c r="IM125" s="30"/>
      <c r="IN125" s="30"/>
      <c r="IO125" s="30"/>
      <c r="IP125" s="30"/>
      <c r="IQ125" s="30"/>
      <c r="IR125" s="30"/>
      <c r="IS125" s="30"/>
      <c r="IT125" s="30"/>
      <c r="IU125" s="30"/>
      <c r="IV125" s="30"/>
      <c r="IW125" s="30"/>
      <c r="IX125" s="30"/>
      <c r="IY125" s="30"/>
      <c r="IZ125" s="30"/>
      <c r="JA125" s="30"/>
      <c r="JB125" s="30"/>
      <c r="JC125" s="30"/>
      <c r="JD125" s="30"/>
      <c r="JE125" s="30"/>
      <c r="JF125" s="30"/>
      <c r="JG125" s="30"/>
      <c r="JH125" s="30"/>
      <c r="JI125" s="30"/>
      <c r="JJ125" s="30"/>
      <c r="JK125" s="30"/>
      <c r="JL125" s="30"/>
      <c r="JM125" s="30"/>
      <c r="JN125" s="30"/>
      <c r="JO125" s="30"/>
      <c r="JP125" s="30"/>
      <c r="JQ125" s="30"/>
      <c r="JR125" s="30"/>
      <c r="JS125" s="30"/>
      <c r="JT125" s="30"/>
      <c r="JU125" s="30"/>
      <c r="JV125" s="30"/>
      <c r="JW125" s="30"/>
      <c r="JX125" s="30"/>
      <c r="JY125" s="30"/>
      <c r="JZ125" s="30"/>
      <c r="KA125" s="30"/>
      <c r="KB125" s="30"/>
      <c r="KC125" s="30"/>
      <c r="KD125" s="30"/>
      <c r="KE125" s="30"/>
      <c r="KF125" s="30"/>
      <c r="KG125" s="30"/>
      <c r="KH125" s="30"/>
      <c r="KI125" s="30"/>
      <c r="KJ125" s="30"/>
      <c r="KK125" s="30"/>
      <c r="KL125" s="30"/>
      <c r="KM125" s="30"/>
      <c r="KN125" s="30"/>
      <c r="KO125" s="30"/>
      <c r="KP125" s="30"/>
      <c r="KQ125" s="30"/>
      <c r="KR125" s="30"/>
      <c r="KS125" s="30"/>
      <c r="KT125" s="30"/>
      <c r="KU125" s="30"/>
      <c r="KV125" s="30"/>
      <c r="KW125" s="30"/>
      <c r="KX125" s="30"/>
      <c r="KY125" s="30"/>
      <c r="KZ125" s="30"/>
      <c r="LA125" s="30"/>
      <c r="LB125" s="30"/>
      <c r="LC125" s="30"/>
      <c r="LD125" s="30"/>
      <c r="LE125" s="30"/>
      <c r="LF125" s="30"/>
      <c r="LG125" s="30"/>
      <c r="LH125" s="30"/>
      <c r="LI125" s="30"/>
      <c r="LJ125" s="30"/>
      <c r="LK125" s="30"/>
      <c r="LL125" s="30"/>
      <c r="LM125" s="30"/>
      <c r="LN125" s="30"/>
      <c r="LO125" s="30"/>
      <c r="LP125" s="30"/>
      <c r="LQ125" s="30"/>
      <c r="LR125" s="30"/>
      <c r="LS125" s="30"/>
      <c r="LT125" s="30"/>
      <c r="LU125" s="30"/>
      <c r="LV125" s="30"/>
      <c r="LW125" s="30"/>
      <c r="LX125" s="30"/>
      <c r="LY125" s="30"/>
      <c r="LZ125" s="30"/>
      <c r="MA125" s="30"/>
      <c r="MB125" s="30"/>
      <c r="MC125" s="30"/>
      <c r="MD125" s="30"/>
      <c r="ME125" s="30"/>
      <c r="MF125" s="30"/>
      <c r="MG125" s="30"/>
      <c r="MH125" s="30"/>
      <c r="MI125" s="30"/>
      <c r="MJ125" s="30"/>
      <c r="MK125" s="30"/>
      <c r="ML125" s="30"/>
      <c r="MM125" s="30"/>
      <c r="MN125" s="30"/>
      <c r="MO125" s="30"/>
      <c r="MP125" s="30"/>
      <c r="MQ125" s="30"/>
      <c r="MR125" s="30"/>
      <c r="MS125" s="30"/>
      <c r="MT125" s="30"/>
      <c r="MU125" s="30"/>
      <c r="MV125" s="30"/>
      <c r="MW125" s="30"/>
      <c r="MX125" s="30"/>
      <c r="MY125" s="30"/>
      <c r="MZ125" s="30"/>
      <c r="NA125" s="30"/>
      <c r="NB125" s="30"/>
      <c r="NC125" s="30"/>
      <c r="ND125" s="30"/>
      <c r="NE125" s="30"/>
      <c r="NF125" s="30"/>
      <c r="NG125" s="30"/>
      <c r="NH125" s="30"/>
      <c r="NI125" s="30"/>
      <c r="NJ125" s="30"/>
      <c r="NK125" s="30"/>
      <c r="NL125" s="30"/>
      <c r="NM125" s="30"/>
      <c r="NN125" s="30"/>
      <c r="NO125" s="30"/>
      <c r="NP125" s="30"/>
      <c r="NQ125" s="30"/>
      <c r="NR125" s="30"/>
      <c r="NS125" s="30"/>
      <c r="NT125" s="30"/>
      <c r="NU125" s="30"/>
      <c r="NV125" s="30"/>
      <c r="NW125" s="30"/>
      <c r="NX125" s="30"/>
      <c r="NY125" s="30"/>
      <c r="NZ125" s="30"/>
      <c r="OA125" s="30"/>
      <c r="OB125" s="30"/>
      <c r="OC125" s="30"/>
      <c r="OD125" s="30"/>
      <c r="OE125" s="30"/>
      <c r="OF125" s="30"/>
      <c r="OG125" s="30"/>
      <c r="OH125" s="30"/>
      <c r="OI125" s="30"/>
      <c r="OJ125" s="30"/>
      <c r="OK125" s="30"/>
      <c r="OL125" s="30"/>
      <c r="OM125" s="30"/>
      <c r="ON125" s="30"/>
      <c r="OO125" s="30"/>
      <c r="OP125" s="30"/>
      <c r="OQ125" s="30"/>
      <c r="OR125" s="30"/>
      <c r="OS125" s="30"/>
      <c r="OT125" s="30"/>
      <c r="OU125" s="30"/>
      <c r="OV125" s="30"/>
      <c r="OW125" s="30"/>
      <c r="OX125" s="30"/>
      <c r="OY125" s="30"/>
      <c r="OZ125" s="30"/>
      <c r="PA125" s="30"/>
      <c r="PB125" s="30"/>
      <c r="PC125" s="30"/>
      <c r="PD125" s="30"/>
      <c r="PE125" s="30"/>
      <c r="PF125" s="30"/>
      <c r="PG125" s="30"/>
      <c r="PH125" s="30"/>
      <c r="PI125" s="30"/>
      <c r="PJ125" s="30"/>
      <c r="PK125" s="30"/>
      <c r="PL125" s="30"/>
      <c r="PM125" s="30"/>
      <c r="PN125" s="30"/>
      <c r="PO125" s="30"/>
      <c r="PP125" s="30"/>
      <c r="PQ125" s="30"/>
      <c r="PR125" s="30"/>
      <c r="PS125" s="30"/>
      <c r="PT125" s="30"/>
      <c r="PU125" s="30"/>
      <c r="PV125" s="30"/>
      <c r="PW125" s="30"/>
      <c r="PX125" s="30"/>
      <c r="PY125" s="30"/>
      <c r="PZ125" s="30"/>
      <c r="QA125" s="30"/>
      <c r="QB125" s="30"/>
      <c r="QC125" s="30"/>
      <c r="QD125" s="30"/>
      <c r="QE125" s="30"/>
      <c r="QF125" s="30"/>
      <c r="QG125" s="30"/>
      <c r="QH125" s="30"/>
      <c r="QI125" s="30"/>
      <c r="QJ125" s="30"/>
      <c r="QK125" s="30"/>
      <c r="QL125" s="30"/>
      <c r="QM125" s="30"/>
      <c r="QN125" s="30"/>
      <c r="QO125" s="30"/>
      <c r="QP125" s="30"/>
      <c r="QQ125" s="30"/>
      <c r="QR125" s="30"/>
      <c r="QS125" s="30"/>
      <c r="QT125" s="30"/>
      <c r="QU125" s="30"/>
      <c r="QV125" s="30"/>
      <c r="QW125" s="30"/>
      <c r="QX125" s="30"/>
      <c r="QY125" s="30"/>
      <c r="QZ125" s="30"/>
      <c r="RA125" s="30"/>
      <c r="RB125" s="30"/>
      <c r="RC125" s="30"/>
      <c r="RD125" s="30"/>
      <c r="RE125" s="30"/>
      <c r="RF125" s="30"/>
      <c r="RG125" s="30"/>
      <c r="RH125" s="30"/>
      <c r="RI125" s="30"/>
      <c r="RJ125" s="30"/>
      <c r="RK125" s="30"/>
      <c r="RL125" s="30"/>
      <c r="RM125" s="30"/>
      <c r="RN125" s="30"/>
      <c r="RO125" s="30"/>
      <c r="RP125" s="30"/>
      <c r="RQ125" s="30"/>
      <c r="RR125" s="30"/>
      <c r="RS125" s="30"/>
      <c r="RT125" s="30"/>
      <c r="RU125" s="30"/>
      <c r="RV125" s="30"/>
      <c r="RW125" s="30"/>
      <c r="RX125" s="30"/>
      <c r="RY125" s="30"/>
      <c r="RZ125" s="30"/>
      <c r="SA125" s="30"/>
      <c r="SB125" s="30"/>
      <c r="SC125" s="30"/>
      <c r="SD125" s="30"/>
    </row>
    <row r="126" spans="1:498" s="20" customFormat="1" hidden="1" x14ac:dyDescent="0.25">
      <c r="A126" s="68"/>
      <c r="B126" s="68" t="s">
        <v>25</v>
      </c>
      <c r="C126" s="68"/>
      <c r="D126" s="68"/>
      <c r="E126" s="21"/>
      <c r="F126" s="25">
        <f>F125*$C$15+N("Income minus exemption multiplied by the percentage of share of income you must pay")</f>
        <v>1914.7049999999999</v>
      </c>
      <c r="G126" s="25">
        <f t="shared" ref="G126:AD126" si="75">G125*$C$15+N("Income minus exemption multiplied by the percentage of share of income you must pay")</f>
        <v>2029.8134250000003</v>
      </c>
      <c r="H126" s="25">
        <f t="shared" si="75"/>
        <v>2150.4930446475009</v>
      </c>
      <c r="I126" s="25">
        <f t="shared" si="75"/>
        <v>2276.9909748553528</v>
      </c>
      <c r="J126" s="25">
        <f t="shared" si="75"/>
        <v>2409.5648253029108</v>
      </c>
      <c r="K126" s="25">
        <f t="shared" si="75"/>
        <v>2548.48313447585</v>
      </c>
      <c r="L126" s="25">
        <f t="shared" si="75"/>
        <v>2694.0258224913428</v>
      </c>
      <c r="M126" s="25">
        <f t="shared" si="75"/>
        <v>2846.4846624296315</v>
      </c>
      <c r="N126" s="25">
        <f t="shared" si="75"/>
        <v>3006.1637709221204</v>
      </c>
      <c r="O126" s="25">
        <f t="shared" si="75"/>
        <v>3173.3801187763911</v>
      </c>
      <c r="P126" s="25">
        <f t="shared" si="75"/>
        <v>3348.4640624499693</v>
      </c>
      <c r="Q126" s="25">
        <f t="shared" si="75"/>
        <v>3531.759897217446</v>
      </c>
      <c r="R126" s="25">
        <f t="shared" si="75"/>
        <v>3723.6264329095857</v>
      </c>
      <c r="S126" s="25">
        <f t="shared" si="75"/>
        <v>3924.437593138478</v>
      </c>
      <c r="T126" s="25">
        <f t="shared" si="75"/>
        <v>4134.5830389596304</v>
      </c>
      <c r="U126" s="25">
        <f t="shared" si="75"/>
        <v>4354.4688179602272</v>
      </c>
      <c r="V126" s="25">
        <f t="shared" si="75"/>
        <v>4584.5180398026478</v>
      </c>
      <c r="W126" s="25">
        <f t="shared" si="75"/>
        <v>4825.1715792937775</v>
      </c>
      <c r="X126" s="25">
        <f t="shared" si="75"/>
        <v>5076.8888080938186</v>
      </c>
      <c r="Y126" s="25">
        <f t="shared" si="75"/>
        <v>5340.1483562231297</v>
      </c>
      <c r="Z126" s="25">
        <f t="shared" si="75"/>
        <v>5615.4489045723358</v>
      </c>
      <c r="AA126" s="25">
        <f t="shared" si="75"/>
        <v>5903.310009669427</v>
      </c>
      <c r="AB126" s="25">
        <f t="shared" si="75"/>
        <v>6204.2729620081473</v>
      </c>
      <c r="AC126" s="25">
        <f t="shared" si="75"/>
        <v>6518.9016792944085</v>
      </c>
      <c r="AD126" s="25">
        <f t="shared" si="75"/>
        <v>6847.7836360221509</v>
      </c>
      <c r="AE126" s="22"/>
      <c r="AF126" s="22"/>
      <c r="AG126" s="22"/>
      <c r="AH126" s="22"/>
      <c r="AI126" s="22"/>
      <c r="AJ126" s="59"/>
      <c r="AK126" s="59"/>
      <c r="AL126" s="59"/>
      <c r="AM126" s="59"/>
      <c r="AN126" s="59"/>
      <c r="AO126" s="59"/>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0"/>
      <c r="FV126" s="30"/>
      <c r="FW126" s="30"/>
      <c r="FX126" s="30"/>
      <c r="FY126" s="30"/>
      <c r="FZ126" s="30"/>
      <c r="GA126" s="30"/>
      <c r="GB126" s="30"/>
      <c r="GC126" s="30"/>
      <c r="GD126" s="30"/>
      <c r="GE126" s="30"/>
      <c r="GF126" s="30"/>
      <c r="GG126" s="30"/>
      <c r="GH126" s="30"/>
      <c r="GI126" s="30"/>
      <c r="GJ126" s="30"/>
      <c r="GK126" s="30"/>
      <c r="GL126" s="30"/>
      <c r="GM126" s="30"/>
      <c r="GN126" s="30"/>
      <c r="GO126" s="30"/>
      <c r="GP126" s="30"/>
      <c r="GQ126" s="30"/>
      <c r="GR126" s="30"/>
      <c r="GS126" s="30"/>
      <c r="GT126" s="30"/>
      <c r="GU126" s="30"/>
      <c r="GV126" s="30"/>
      <c r="GW126" s="30"/>
      <c r="GX126" s="30"/>
      <c r="GY126" s="30"/>
      <c r="GZ126" s="30"/>
      <c r="HA126" s="30"/>
      <c r="HB126" s="30"/>
      <c r="HC126" s="30"/>
      <c r="HD126" s="30"/>
      <c r="HE126" s="30"/>
      <c r="HF126" s="30"/>
      <c r="HG126" s="30"/>
      <c r="HH126" s="30"/>
      <c r="HI126" s="30"/>
      <c r="HJ126" s="30"/>
      <c r="HK126" s="30"/>
      <c r="HL126" s="30"/>
      <c r="HM126" s="30"/>
      <c r="HN126" s="30"/>
      <c r="HO126" s="30"/>
      <c r="HP126" s="30"/>
      <c r="HQ126" s="30"/>
      <c r="HR126" s="30"/>
      <c r="HS126" s="30"/>
      <c r="HT126" s="30"/>
      <c r="HU126" s="30"/>
      <c r="HV126" s="30"/>
      <c r="HW126" s="30"/>
      <c r="HX126" s="30"/>
      <c r="HY126" s="30"/>
      <c r="HZ126" s="30"/>
      <c r="IA126" s="30"/>
      <c r="IB126" s="30"/>
      <c r="IC126" s="30"/>
      <c r="ID126" s="30"/>
      <c r="IE126" s="30"/>
      <c r="IF126" s="30"/>
      <c r="IG126" s="30"/>
      <c r="IH126" s="30"/>
      <c r="II126" s="30"/>
      <c r="IJ126" s="30"/>
      <c r="IK126" s="30"/>
      <c r="IL126" s="30"/>
      <c r="IM126" s="30"/>
      <c r="IN126" s="30"/>
      <c r="IO126" s="30"/>
      <c r="IP126" s="30"/>
      <c r="IQ126" s="30"/>
      <c r="IR126" s="30"/>
      <c r="IS126" s="30"/>
      <c r="IT126" s="30"/>
      <c r="IU126" s="30"/>
      <c r="IV126" s="30"/>
      <c r="IW126" s="30"/>
      <c r="IX126" s="30"/>
      <c r="IY126" s="30"/>
      <c r="IZ126" s="30"/>
      <c r="JA126" s="30"/>
      <c r="JB126" s="30"/>
      <c r="JC126" s="30"/>
      <c r="JD126" s="30"/>
      <c r="JE126" s="30"/>
      <c r="JF126" s="30"/>
      <c r="JG126" s="30"/>
      <c r="JH126" s="30"/>
      <c r="JI126" s="30"/>
      <c r="JJ126" s="30"/>
      <c r="JK126" s="30"/>
      <c r="JL126" s="30"/>
      <c r="JM126" s="30"/>
      <c r="JN126" s="30"/>
      <c r="JO126" s="30"/>
      <c r="JP126" s="30"/>
      <c r="JQ126" s="30"/>
      <c r="JR126" s="30"/>
      <c r="JS126" s="30"/>
      <c r="JT126" s="30"/>
      <c r="JU126" s="30"/>
      <c r="JV126" s="30"/>
      <c r="JW126" s="30"/>
      <c r="JX126" s="30"/>
      <c r="JY126" s="30"/>
      <c r="JZ126" s="30"/>
      <c r="KA126" s="30"/>
      <c r="KB126" s="30"/>
      <c r="KC126" s="30"/>
      <c r="KD126" s="30"/>
      <c r="KE126" s="30"/>
      <c r="KF126" s="30"/>
      <c r="KG126" s="30"/>
      <c r="KH126" s="30"/>
      <c r="KI126" s="30"/>
      <c r="KJ126" s="30"/>
      <c r="KK126" s="30"/>
      <c r="KL126" s="30"/>
      <c r="KM126" s="30"/>
      <c r="KN126" s="30"/>
      <c r="KO126" s="30"/>
      <c r="KP126" s="30"/>
      <c r="KQ126" s="30"/>
      <c r="KR126" s="30"/>
      <c r="KS126" s="30"/>
      <c r="KT126" s="30"/>
      <c r="KU126" s="30"/>
      <c r="KV126" s="30"/>
      <c r="KW126" s="30"/>
      <c r="KX126" s="30"/>
      <c r="KY126" s="30"/>
      <c r="KZ126" s="30"/>
      <c r="LA126" s="30"/>
      <c r="LB126" s="30"/>
      <c r="LC126" s="30"/>
      <c r="LD126" s="30"/>
      <c r="LE126" s="30"/>
      <c r="LF126" s="30"/>
      <c r="LG126" s="30"/>
      <c r="LH126" s="30"/>
      <c r="LI126" s="30"/>
      <c r="LJ126" s="30"/>
      <c r="LK126" s="30"/>
      <c r="LL126" s="30"/>
      <c r="LM126" s="30"/>
      <c r="LN126" s="30"/>
      <c r="LO126" s="30"/>
      <c r="LP126" s="30"/>
      <c r="LQ126" s="30"/>
      <c r="LR126" s="30"/>
      <c r="LS126" s="30"/>
      <c r="LT126" s="30"/>
      <c r="LU126" s="30"/>
      <c r="LV126" s="30"/>
      <c r="LW126" s="30"/>
      <c r="LX126" s="30"/>
      <c r="LY126" s="30"/>
      <c r="LZ126" s="30"/>
      <c r="MA126" s="30"/>
      <c r="MB126" s="30"/>
      <c r="MC126" s="30"/>
      <c r="MD126" s="30"/>
      <c r="ME126" s="30"/>
      <c r="MF126" s="30"/>
      <c r="MG126" s="30"/>
      <c r="MH126" s="30"/>
      <c r="MI126" s="30"/>
      <c r="MJ126" s="30"/>
      <c r="MK126" s="30"/>
      <c r="ML126" s="30"/>
      <c r="MM126" s="30"/>
      <c r="MN126" s="30"/>
      <c r="MO126" s="30"/>
      <c r="MP126" s="30"/>
      <c r="MQ126" s="30"/>
      <c r="MR126" s="30"/>
      <c r="MS126" s="30"/>
      <c r="MT126" s="30"/>
      <c r="MU126" s="30"/>
      <c r="MV126" s="30"/>
      <c r="MW126" s="30"/>
      <c r="MX126" s="30"/>
      <c r="MY126" s="30"/>
      <c r="MZ126" s="30"/>
      <c r="NA126" s="30"/>
      <c r="NB126" s="30"/>
      <c r="NC126" s="30"/>
      <c r="ND126" s="30"/>
      <c r="NE126" s="30"/>
      <c r="NF126" s="30"/>
      <c r="NG126" s="30"/>
      <c r="NH126" s="30"/>
      <c r="NI126" s="30"/>
      <c r="NJ126" s="30"/>
      <c r="NK126" s="30"/>
      <c r="NL126" s="30"/>
      <c r="NM126" s="30"/>
      <c r="NN126" s="30"/>
      <c r="NO126" s="30"/>
      <c r="NP126" s="30"/>
      <c r="NQ126" s="30"/>
      <c r="NR126" s="30"/>
      <c r="NS126" s="30"/>
      <c r="NT126" s="30"/>
      <c r="NU126" s="30"/>
      <c r="NV126" s="30"/>
      <c r="NW126" s="30"/>
      <c r="NX126" s="30"/>
      <c r="NY126" s="30"/>
      <c r="NZ126" s="30"/>
      <c r="OA126" s="30"/>
      <c r="OB126" s="30"/>
      <c r="OC126" s="30"/>
      <c r="OD126" s="30"/>
      <c r="OE126" s="30"/>
      <c r="OF126" s="30"/>
      <c r="OG126" s="30"/>
      <c r="OH126" s="30"/>
      <c r="OI126" s="30"/>
      <c r="OJ126" s="30"/>
      <c r="OK126" s="30"/>
      <c r="OL126" s="30"/>
      <c r="OM126" s="30"/>
      <c r="ON126" s="30"/>
      <c r="OO126" s="30"/>
      <c r="OP126" s="30"/>
      <c r="OQ126" s="30"/>
      <c r="OR126" s="30"/>
      <c r="OS126" s="30"/>
      <c r="OT126" s="30"/>
      <c r="OU126" s="30"/>
      <c r="OV126" s="30"/>
      <c r="OW126" s="30"/>
      <c r="OX126" s="30"/>
      <c r="OY126" s="30"/>
      <c r="OZ126" s="30"/>
      <c r="PA126" s="30"/>
      <c r="PB126" s="30"/>
      <c r="PC126" s="30"/>
      <c r="PD126" s="30"/>
      <c r="PE126" s="30"/>
      <c r="PF126" s="30"/>
      <c r="PG126" s="30"/>
      <c r="PH126" s="30"/>
      <c r="PI126" s="30"/>
      <c r="PJ126" s="30"/>
      <c r="PK126" s="30"/>
      <c r="PL126" s="30"/>
      <c r="PM126" s="30"/>
      <c r="PN126" s="30"/>
      <c r="PO126" s="30"/>
      <c r="PP126" s="30"/>
      <c r="PQ126" s="30"/>
      <c r="PR126" s="30"/>
      <c r="PS126" s="30"/>
      <c r="PT126" s="30"/>
      <c r="PU126" s="30"/>
      <c r="PV126" s="30"/>
      <c r="PW126" s="30"/>
      <c r="PX126" s="30"/>
      <c r="PY126" s="30"/>
      <c r="PZ126" s="30"/>
      <c r="QA126" s="30"/>
      <c r="QB126" s="30"/>
      <c r="QC126" s="30"/>
      <c r="QD126" s="30"/>
      <c r="QE126" s="30"/>
      <c r="QF126" s="30"/>
      <c r="QG126" s="30"/>
      <c r="QH126" s="30"/>
      <c r="QI126" s="30"/>
      <c r="QJ126" s="30"/>
      <c r="QK126" s="30"/>
      <c r="QL126" s="30"/>
      <c r="QM126" s="30"/>
      <c r="QN126" s="30"/>
      <c r="QO126" s="30"/>
      <c r="QP126" s="30"/>
      <c r="QQ126" s="30"/>
      <c r="QR126" s="30"/>
      <c r="QS126" s="30"/>
      <c r="QT126" s="30"/>
      <c r="QU126" s="30"/>
      <c r="QV126" s="30"/>
      <c r="QW126" s="30"/>
      <c r="QX126" s="30"/>
      <c r="QY126" s="30"/>
      <c r="QZ126" s="30"/>
      <c r="RA126" s="30"/>
      <c r="RB126" s="30"/>
      <c r="RC126" s="30"/>
      <c r="RD126" s="30"/>
      <c r="RE126" s="30"/>
      <c r="RF126" s="30"/>
      <c r="RG126" s="30"/>
      <c r="RH126" s="30"/>
      <c r="RI126" s="30"/>
      <c r="RJ126" s="30"/>
      <c r="RK126" s="30"/>
      <c r="RL126" s="30"/>
      <c r="RM126" s="30"/>
      <c r="RN126" s="30"/>
      <c r="RO126" s="30"/>
      <c r="RP126" s="30"/>
      <c r="RQ126" s="30"/>
      <c r="RR126" s="30"/>
      <c r="RS126" s="30"/>
      <c r="RT126" s="30"/>
      <c r="RU126" s="30"/>
      <c r="RV126" s="30"/>
      <c r="RW126" s="30"/>
      <c r="RX126" s="30"/>
      <c r="RY126" s="30"/>
      <c r="RZ126" s="30"/>
      <c r="SA126" s="30"/>
      <c r="SB126" s="30"/>
      <c r="SC126" s="30"/>
      <c r="SD126" s="30"/>
    </row>
    <row r="127" spans="1:498" s="20" customFormat="1" hidden="1" x14ac:dyDescent="0.25">
      <c r="A127" s="68"/>
      <c r="B127" s="68"/>
      <c r="C127" s="68"/>
      <c r="D127" s="68"/>
      <c r="E127" s="21"/>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J127" s="59"/>
      <c r="AK127" s="59"/>
      <c r="AL127" s="59"/>
      <c r="AM127" s="59"/>
      <c r="AN127" s="59"/>
      <c r="AO127" s="59"/>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c r="EV127" s="30"/>
      <c r="EW127" s="30"/>
      <c r="EX127" s="30"/>
      <c r="EY127" s="30"/>
      <c r="EZ127" s="30"/>
      <c r="FA127" s="30"/>
      <c r="FB127" s="30"/>
      <c r="FC127" s="30"/>
      <c r="FD127" s="30"/>
      <c r="FE127" s="30"/>
      <c r="FF127" s="30"/>
      <c r="FG127" s="30"/>
      <c r="FH127" s="30"/>
      <c r="FI127" s="30"/>
      <c r="FJ127" s="30"/>
      <c r="FK127" s="30"/>
      <c r="FL127" s="30"/>
      <c r="FM127" s="30"/>
      <c r="FN127" s="30"/>
      <c r="FO127" s="30"/>
      <c r="FP127" s="30"/>
      <c r="FQ127" s="30"/>
      <c r="FR127" s="30"/>
      <c r="FS127" s="30"/>
      <c r="FT127" s="30"/>
      <c r="FU127" s="30"/>
      <c r="FV127" s="30"/>
      <c r="FW127" s="30"/>
      <c r="FX127" s="30"/>
      <c r="FY127" s="30"/>
      <c r="FZ127" s="30"/>
      <c r="GA127" s="30"/>
      <c r="GB127" s="30"/>
      <c r="GC127" s="30"/>
      <c r="GD127" s="30"/>
      <c r="GE127" s="30"/>
      <c r="GF127" s="30"/>
      <c r="GG127" s="30"/>
      <c r="GH127" s="30"/>
      <c r="GI127" s="30"/>
      <c r="GJ127" s="30"/>
      <c r="GK127" s="30"/>
      <c r="GL127" s="30"/>
      <c r="GM127" s="30"/>
      <c r="GN127" s="30"/>
      <c r="GO127" s="30"/>
      <c r="GP127" s="30"/>
      <c r="GQ127" s="30"/>
      <c r="GR127" s="30"/>
      <c r="GS127" s="30"/>
      <c r="GT127" s="30"/>
      <c r="GU127" s="30"/>
      <c r="GV127" s="30"/>
      <c r="GW127" s="30"/>
      <c r="GX127" s="30"/>
      <c r="GY127" s="30"/>
      <c r="GZ127" s="30"/>
      <c r="HA127" s="30"/>
      <c r="HB127" s="30"/>
      <c r="HC127" s="30"/>
      <c r="HD127" s="30"/>
      <c r="HE127" s="30"/>
      <c r="HF127" s="30"/>
      <c r="HG127" s="30"/>
      <c r="HH127" s="30"/>
      <c r="HI127" s="30"/>
      <c r="HJ127" s="30"/>
      <c r="HK127" s="30"/>
      <c r="HL127" s="30"/>
      <c r="HM127" s="30"/>
      <c r="HN127" s="30"/>
      <c r="HO127" s="30"/>
      <c r="HP127" s="30"/>
      <c r="HQ127" s="30"/>
      <c r="HR127" s="30"/>
      <c r="HS127" s="30"/>
      <c r="HT127" s="30"/>
      <c r="HU127" s="30"/>
      <c r="HV127" s="30"/>
      <c r="HW127" s="30"/>
      <c r="HX127" s="30"/>
      <c r="HY127" s="30"/>
      <c r="HZ127" s="30"/>
      <c r="IA127" s="30"/>
      <c r="IB127" s="30"/>
      <c r="IC127" s="30"/>
      <c r="ID127" s="30"/>
      <c r="IE127" s="30"/>
      <c r="IF127" s="30"/>
      <c r="IG127" s="30"/>
      <c r="IH127" s="30"/>
      <c r="II127" s="30"/>
      <c r="IJ127" s="30"/>
      <c r="IK127" s="30"/>
      <c r="IL127" s="30"/>
      <c r="IM127" s="30"/>
      <c r="IN127" s="30"/>
      <c r="IO127" s="30"/>
      <c r="IP127" s="30"/>
      <c r="IQ127" s="30"/>
      <c r="IR127" s="30"/>
      <c r="IS127" s="30"/>
      <c r="IT127" s="30"/>
      <c r="IU127" s="30"/>
      <c r="IV127" s="30"/>
      <c r="IW127" s="30"/>
      <c r="IX127" s="30"/>
      <c r="IY127" s="30"/>
      <c r="IZ127" s="30"/>
      <c r="JA127" s="30"/>
      <c r="JB127" s="30"/>
      <c r="JC127" s="30"/>
      <c r="JD127" s="30"/>
      <c r="JE127" s="30"/>
      <c r="JF127" s="30"/>
      <c r="JG127" s="30"/>
      <c r="JH127" s="30"/>
      <c r="JI127" s="30"/>
      <c r="JJ127" s="30"/>
      <c r="JK127" s="30"/>
      <c r="JL127" s="30"/>
      <c r="JM127" s="30"/>
      <c r="JN127" s="30"/>
      <c r="JO127" s="30"/>
      <c r="JP127" s="30"/>
      <c r="JQ127" s="30"/>
      <c r="JR127" s="30"/>
      <c r="JS127" s="30"/>
      <c r="JT127" s="30"/>
      <c r="JU127" s="30"/>
      <c r="JV127" s="30"/>
      <c r="JW127" s="30"/>
      <c r="JX127" s="30"/>
      <c r="JY127" s="30"/>
      <c r="JZ127" s="30"/>
      <c r="KA127" s="30"/>
      <c r="KB127" s="30"/>
      <c r="KC127" s="30"/>
      <c r="KD127" s="30"/>
      <c r="KE127" s="30"/>
      <c r="KF127" s="30"/>
      <c r="KG127" s="30"/>
      <c r="KH127" s="30"/>
      <c r="KI127" s="30"/>
      <c r="KJ127" s="30"/>
      <c r="KK127" s="30"/>
      <c r="KL127" s="30"/>
      <c r="KM127" s="30"/>
      <c r="KN127" s="30"/>
      <c r="KO127" s="30"/>
      <c r="KP127" s="30"/>
      <c r="KQ127" s="30"/>
      <c r="KR127" s="30"/>
      <c r="KS127" s="30"/>
      <c r="KT127" s="30"/>
      <c r="KU127" s="30"/>
      <c r="KV127" s="30"/>
      <c r="KW127" s="30"/>
      <c r="KX127" s="30"/>
      <c r="KY127" s="30"/>
      <c r="KZ127" s="30"/>
      <c r="LA127" s="30"/>
      <c r="LB127" s="30"/>
      <c r="LC127" s="30"/>
      <c r="LD127" s="30"/>
      <c r="LE127" s="30"/>
      <c r="LF127" s="30"/>
      <c r="LG127" s="30"/>
      <c r="LH127" s="30"/>
      <c r="LI127" s="30"/>
      <c r="LJ127" s="30"/>
      <c r="LK127" s="30"/>
      <c r="LL127" s="30"/>
      <c r="LM127" s="30"/>
      <c r="LN127" s="30"/>
      <c r="LO127" s="30"/>
      <c r="LP127" s="30"/>
      <c r="LQ127" s="30"/>
      <c r="LR127" s="30"/>
      <c r="LS127" s="30"/>
      <c r="LT127" s="30"/>
      <c r="LU127" s="30"/>
      <c r="LV127" s="30"/>
      <c r="LW127" s="30"/>
      <c r="LX127" s="30"/>
      <c r="LY127" s="30"/>
      <c r="LZ127" s="30"/>
      <c r="MA127" s="30"/>
      <c r="MB127" s="30"/>
      <c r="MC127" s="30"/>
      <c r="MD127" s="30"/>
      <c r="ME127" s="30"/>
      <c r="MF127" s="30"/>
      <c r="MG127" s="30"/>
      <c r="MH127" s="30"/>
      <c r="MI127" s="30"/>
      <c r="MJ127" s="30"/>
      <c r="MK127" s="30"/>
      <c r="ML127" s="30"/>
      <c r="MM127" s="30"/>
      <c r="MN127" s="30"/>
      <c r="MO127" s="30"/>
      <c r="MP127" s="30"/>
      <c r="MQ127" s="30"/>
      <c r="MR127" s="30"/>
      <c r="MS127" s="30"/>
      <c r="MT127" s="30"/>
      <c r="MU127" s="30"/>
      <c r="MV127" s="30"/>
      <c r="MW127" s="30"/>
      <c r="MX127" s="30"/>
      <c r="MY127" s="30"/>
      <c r="MZ127" s="30"/>
      <c r="NA127" s="30"/>
      <c r="NB127" s="30"/>
      <c r="NC127" s="30"/>
      <c r="ND127" s="30"/>
      <c r="NE127" s="30"/>
      <c r="NF127" s="30"/>
      <c r="NG127" s="30"/>
      <c r="NH127" s="30"/>
      <c r="NI127" s="30"/>
      <c r="NJ127" s="30"/>
      <c r="NK127" s="30"/>
      <c r="NL127" s="30"/>
      <c r="NM127" s="30"/>
      <c r="NN127" s="30"/>
      <c r="NO127" s="30"/>
      <c r="NP127" s="30"/>
      <c r="NQ127" s="30"/>
      <c r="NR127" s="30"/>
      <c r="NS127" s="30"/>
      <c r="NT127" s="30"/>
      <c r="NU127" s="30"/>
      <c r="NV127" s="30"/>
      <c r="NW127" s="30"/>
      <c r="NX127" s="30"/>
      <c r="NY127" s="30"/>
      <c r="NZ127" s="30"/>
      <c r="OA127" s="30"/>
      <c r="OB127" s="30"/>
      <c r="OC127" s="30"/>
      <c r="OD127" s="30"/>
      <c r="OE127" s="30"/>
      <c r="OF127" s="30"/>
      <c r="OG127" s="30"/>
      <c r="OH127" s="30"/>
      <c r="OI127" s="30"/>
      <c r="OJ127" s="30"/>
      <c r="OK127" s="30"/>
      <c r="OL127" s="30"/>
      <c r="OM127" s="30"/>
      <c r="ON127" s="30"/>
      <c r="OO127" s="30"/>
      <c r="OP127" s="30"/>
      <c r="OQ127" s="30"/>
      <c r="OR127" s="30"/>
      <c r="OS127" s="30"/>
      <c r="OT127" s="30"/>
      <c r="OU127" s="30"/>
      <c r="OV127" s="30"/>
      <c r="OW127" s="30"/>
      <c r="OX127" s="30"/>
      <c r="OY127" s="30"/>
      <c r="OZ127" s="30"/>
      <c r="PA127" s="30"/>
      <c r="PB127" s="30"/>
      <c r="PC127" s="30"/>
      <c r="PD127" s="30"/>
      <c r="PE127" s="30"/>
      <c r="PF127" s="30"/>
      <c r="PG127" s="30"/>
      <c r="PH127" s="30"/>
      <c r="PI127" s="30"/>
      <c r="PJ127" s="30"/>
      <c r="PK127" s="30"/>
      <c r="PL127" s="30"/>
      <c r="PM127" s="30"/>
      <c r="PN127" s="30"/>
      <c r="PO127" s="30"/>
      <c r="PP127" s="30"/>
      <c r="PQ127" s="30"/>
      <c r="PR127" s="30"/>
      <c r="PS127" s="30"/>
      <c r="PT127" s="30"/>
      <c r="PU127" s="30"/>
      <c r="PV127" s="30"/>
      <c r="PW127" s="30"/>
      <c r="PX127" s="30"/>
      <c r="PY127" s="30"/>
      <c r="PZ127" s="30"/>
      <c r="QA127" s="30"/>
      <c r="QB127" s="30"/>
      <c r="QC127" s="30"/>
      <c r="QD127" s="30"/>
      <c r="QE127" s="30"/>
      <c r="QF127" s="30"/>
      <c r="QG127" s="30"/>
      <c r="QH127" s="30"/>
      <c r="QI127" s="30"/>
      <c r="QJ127" s="30"/>
      <c r="QK127" s="30"/>
      <c r="QL127" s="30"/>
      <c r="QM127" s="30"/>
      <c r="QN127" s="30"/>
      <c r="QO127" s="30"/>
      <c r="QP127" s="30"/>
      <c r="QQ127" s="30"/>
      <c r="QR127" s="30"/>
      <c r="QS127" s="30"/>
      <c r="QT127" s="30"/>
      <c r="QU127" s="30"/>
      <c r="QV127" s="30"/>
      <c r="QW127" s="30"/>
      <c r="QX127" s="30"/>
      <c r="QY127" s="30"/>
      <c r="QZ127" s="30"/>
      <c r="RA127" s="30"/>
      <c r="RB127" s="30"/>
      <c r="RC127" s="30"/>
      <c r="RD127" s="30"/>
      <c r="RE127" s="30"/>
      <c r="RF127" s="30"/>
      <c r="RG127" s="30"/>
      <c r="RH127" s="30"/>
      <c r="RI127" s="30"/>
      <c r="RJ127" s="30"/>
      <c r="RK127" s="30"/>
      <c r="RL127" s="30"/>
      <c r="RM127" s="30"/>
      <c r="RN127" s="30"/>
      <c r="RO127" s="30"/>
      <c r="RP127" s="30"/>
      <c r="RQ127" s="30"/>
      <c r="RR127" s="30"/>
      <c r="RS127" s="30"/>
      <c r="RT127" s="30"/>
      <c r="RU127" s="30"/>
      <c r="RV127" s="30"/>
      <c r="RW127" s="30"/>
      <c r="RX127" s="30"/>
      <c r="RY127" s="30"/>
      <c r="RZ127" s="30"/>
      <c r="SA127" s="30"/>
      <c r="SB127" s="30"/>
      <c r="SC127" s="30"/>
      <c r="SD127" s="30"/>
    </row>
    <row r="128" spans="1:498" s="20" customFormat="1" hidden="1" x14ac:dyDescent="0.25">
      <c r="A128" s="68"/>
      <c r="B128" s="88" t="s">
        <v>35</v>
      </c>
      <c r="C128" s="68"/>
      <c r="D128" s="68"/>
      <c r="E128" s="21" t="s">
        <v>7</v>
      </c>
      <c r="F128" s="30">
        <v>1</v>
      </c>
      <c r="G128" s="30">
        <v>2</v>
      </c>
      <c r="H128" s="30">
        <v>3</v>
      </c>
      <c r="I128" s="30">
        <v>4</v>
      </c>
      <c r="J128" s="30">
        <v>5</v>
      </c>
      <c r="K128" s="30">
        <v>6</v>
      </c>
      <c r="L128" s="30">
        <v>7</v>
      </c>
      <c r="M128" s="30">
        <v>8</v>
      </c>
      <c r="N128" s="30">
        <v>9</v>
      </c>
      <c r="O128" s="30">
        <v>10</v>
      </c>
      <c r="P128" s="30">
        <v>11</v>
      </c>
      <c r="Q128" s="30">
        <v>12</v>
      </c>
      <c r="R128" s="30">
        <v>13</v>
      </c>
      <c r="S128" s="30">
        <v>14</v>
      </c>
      <c r="T128" s="30">
        <v>15</v>
      </c>
      <c r="U128" s="30">
        <v>16</v>
      </c>
      <c r="V128" s="30">
        <v>17</v>
      </c>
      <c r="W128" s="30">
        <v>18</v>
      </c>
      <c r="X128" s="30">
        <v>19</v>
      </c>
      <c r="Y128" s="30">
        <v>20</v>
      </c>
      <c r="Z128" s="30">
        <v>21</v>
      </c>
      <c r="AA128" s="30">
        <v>22</v>
      </c>
      <c r="AB128" s="30">
        <v>23</v>
      </c>
      <c r="AC128" s="30">
        <v>24</v>
      </c>
      <c r="AD128" s="30">
        <v>25</v>
      </c>
      <c r="AJ128" s="59"/>
      <c r="AK128" s="59"/>
      <c r="AL128" s="59"/>
      <c r="AM128" s="59"/>
      <c r="AN128" s="59"/>
      <c r="AO128" s="59"/>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c r="EV128" s="30"/>
      <c r="EW128" s="30"/>
      <c r="EX128" s="30"/>
      <c r="EY128" s="30"/>
      <c r="EZ128" s="30"/>
      <c r="FA128" s="30"/>
      <c r="FB128" s="30"/>
      <c r="FC128" s="30"/>
      <c r="FD128" s="30"/>
      <c r="FE128" s="30"/>
      <c r="FF128" s="30"/>
      <c r="FG128" s="30"/>
      <c r="FH128" s="30"/>
      <c r="FI128" s="30"/>
      <c r="FJ128" s="30"/>
      <c r="FK128" s="30"/>
      <c r="FL128" s="30"/>
      <c r="FM128" s="30"/>
      <c r="FN128" s="30"/>
      <c r="FO128" s="30"/>
      <c r="FP128" s="30"/>
      <c r="FQ128" s="30"/>
      <c r="FR128" s="30"/>
      <c r="FS128" s="30"/>
      <c r="FT128" s="30"/>
      <c r="FU128" s="30"/>
      <c r="FV128" s="30"/>
      <c r="FW128" s="30"/>
      <c r="FX128" s="30"/>
      <c r="FY128" s="30"/>
      <c r="FZ128" s="30"/>
      <c r="GA128" s="30"/>
      <c r="GB128" s="30"/>
      <c r="GC128" s="30"/>
      <c r="GD128" s="30"/>
      <c r="GE128" s="30"/>
      <c r="GF128" s="30"/>
      <c r="GG128" s="30"/>
      <c r="GH128" s="30"/>
      <c r="GI128" s="30"/>
      <c r="GJ128" s="30"/>
      <c r="GK128" s="30"/>
      <c r="GL128" s="30"/>
      <c r="GM128" s="30"/>
      <c r="GN128" s="30"/>
      <c r="GO128" s="30"/>
      <c r="GP128" s="30"/>
      <c r="GQ128" s="30"/>
      <c r="GR128" s="30"/>
      <c r="GS128" s="30"/>
      <c r="GT128" s="30"/>
      <c r="GU128" s="30"/>
      <c r="GV128" s="30"/>
      <c r="GW128" s="30"/>
      <c r="GX128" s="30"/>
      <c r="GY128" s="30"/>
      <c r="GZ128" s="30"/>
      <c r="HA128" s="30"/>
      <c r="HB128" s="30"/>
      <c r="HC128" s="30"/>
      <c r="HD128" s="30"/>
      <c r="HE128" s="30"/>
      <c r="HF128" s="30"/>
      <c r="HG128" s="30"/>
      <c r="HH128" s="30"/>
      <c r="HI128" s="30"/>
      <c r="HJ128" s="30"/>
      <c r="HK128" s="30"/>
      <c r="HL128" s="30"/>
      <c r="HM128" s="30"/>
      <c r="HN128" s="30"/>
      <c r="HO128" s="30"/>
      <c r="HP128" s="30"/>
      <c r="HQ128" s="30"/>
      <c r="HR128" s="30"/>
      <c r="HS128" s="30"/>
      <c r="HT128" s="30"/>
      <c r="HU128" s="30"/>
      <c r="HV128" s="30"/>
      <c r="HW128" s="30"/>
      <c r="HX128" s="30"/>
      <c r="HY128" s="30"/>
      <c r="HZ128" s="30"/>
      <c r="IA128" s="30"/>
      <c r="IB128" s="30"/>
      <c r="IC128" s="30"/>
      <c r="ID128" s="30"/>
      <c r="IE128" s="30"/>
      <c r="IF128" s="30"/>
      <c r="IG128" s="30"/>
      <c r="IH128" s="30"/>
      <c r="II128" s="30"/>
      <c r="IJ128" s="30"/>
      <c r="IK128" s="30"/>
      <c r="IL128" s="30"/>
      <c r="IM128" s="30"/>
      <c r="IN128" s="30"/>
      <c r="IO128" s="30"/>
      <c r="IP128" s="30"/>
      <c r="IQ128" s="30"/>
      <c r="IR128" s="30"/>
      <c r="IS128" s="30"/>
      <c r="IT128" s="30"/>
      <c r="IU128" s="30"/>
      <c r="IV128" s="30"/>
      <c r="IW128" s="30"/>
      <c r="IX128" s="30"/>
      <c r="IY128" s="30"/>
      <c r="IZ128" s="30"/>
      <c r="JA128" s="30"/>
      <c r="JB128" s="30"/>
      <c r="JC128" s="30"/>
      <c r="JD128" s="30"/>
      <c r="JE128" s="30"/>
      <c r="JF128" s="30"/>
      <c r="JG128" s="30"/>
      <c r="JH128" s="30"/>
      <c r="JI128" s="30"/>
      <c r="JJ128" s="30"/>
      <c r="JK128" s="30"/>
      <c r="JL128" s="30"/>
      <c r="JM128" s="30"/>
      <c r="JN128" s="30"/>
      <c r="JO128" s="30"/>
      <c r="JP128" s="30"/>
      <c r="JQ128" s="30"/>
      <c r="JR128" s="30"/>
      <c r="JS128" s="30"/>
      <c r="JT128" s="30"/>
      <c r="JU128" s="30"/>
      <c r="JV128" s="30"/>
      <c r="JW128" s="30"/>
      <c r="JX128" s="30"/>
      <c r="JY128" s="30"/>
      <c r="JZ128" s="30"/>
      <c r="KA128" s="30"/>
      <c r="KB128" s="30"/>
      <c r="KC128" s="30"/>
      <c r="KD128" s="30"/>
      <c r="KE128" s="30"/>
      <c r="KF128" s="30"/>
      <c r="KG128" s="30"/>
      <c r="KH128" s="30"/>
      <c r="KI128" s="30"/>
      <c r="KJ128" s="30"/>
      <c r="KK128" s="30"/>
      <c r="KL128" s="30"/>
      <c r="KM128" s="30"/>
      <c r="KN128" s="30"/>
      <c r="KO128" s="30"/>
      <c r="KP128" s="30"/>
      <c r="KQ128" s="30"/>
      <c r="KR128" s="30"/>
      <c r="KS128" s="30"/>
      <c r="KT128" s="30"/>
      <c r="KU128" s="30"/>
      <c r="KV128" s="30"/>
      <c r="KW128" s="30"/>
      <c r="KX128" s="30"/>
      <c r="KY128" s="30"/>
      <c r="KZ128" s="30"/>
      <c r="LA128" s="30"/>
      <c r="LB128" s="30"/>
      <c r="LC128" s="30"/>
      <c r="LD128" s="30"/>
      <c r="LE128" s="30"/>
      <c r="LF128" s="30"/>
      <c r="LG128" s="30"/>
      <c r="LH128" s="30"/>
      <c r="LI128" s="30"/>
      <c r="LJ128" s="30"/>
      <c r="LK128" s="30"/>
      <c r="LL128" s="30"/>
      <c r="LM128" s="30"/>
      <c r="LN128" s="30"/>
      <c r="LO128" s="30"/>
      <c r="LP128" s="30"/>
      <c r="LQ128" s="30"/>
      <c r="LR128" s="30"/>
      <c r="LS128" s="30"/>
      <c r="LT128" s="30"/>
      <c r="LU128" s="30"/>
      <c r="LV128" s="30"/>
      <c r="LW128" s="30"/>
      <c r="LX128" s="30"/>
      <c r="LY128" s="30"/>
      <c r="LZ128" s="30"/>
      <c r="MA128" s="30"/>
      <c r="MB128" s="30"/>
      <c r="MC128" s="30"/>
      <c r="MD128" s="30"/>
      <c r="ME128" s="30"/>
      <c r="MF128" s="30"/>
      <c r="MG128" s="30"/>
      <c r="MH128" s="30"/>
      <c r="MI128" s="30"/>
      <c r="MJ128" s="30"/>
      <c r="MK128" s="30"/>
      <c r="ML128" s="30"/>
      <c r="MM128" s="30"/>
      <c r="MN128" s="30"/>
      <c r="MO128" s="30"/>
      <c r="MP128" s="30"/>
      <c r="MQ128" s="30"/>
      <c r="MR128" s="30"/>
      <c r="MS128" s="30"/>
      <c r="MT128" s="30"/>
      <c r="MU128" s="30"/>
      <c r="MV128" s="30"/>
      <c r="MW128" s="30"/>
      <c r="MX128" s="30"/>
      <c r="MY128" s="30"/>
      <c r="MZ128" s="30"/>
      <c r="NA128" s="30"/>
      <c r="NB128" s="30"/>
      <c r="NC128" s="30"/>
      <c r="ND128" s="30"/>
      <c r="NE128" s="30"/>
      <c r="NF128" s="30"/>
      <c r="NG128" s="30"/>
      <c r="NH128" s="30"/>
      <c r="NI128" s="30"/>
      <c r="NJ128" s="30"/>
      <c r="NK128" s="30"/>
      <c r="NL128" s="30"/>
      <c r="NM128" s="30"/>
      <c r="NN128" s="30"/>
      <c r="NO128" s="30"/>
      <c r="NP128" s="30"/>
      <c r="NQ128" s="30"/>
      <c r="NR128" s="30"/>
      <c r="NS128" s="30"/>
      <c r="NT128" s="30"/>
      <c r="NU128" s="30"/>
      <c r="NV128" s="30"/>
      <c r="NW128" s="30"/>
      <c r="NX128" s="30"/>
      <c r="NY128" s="30"/>
      <c r="NZ128" s="30"/>
      <c r="OA128" s="30"/>
      <c r="OB128" s="30"/>
      <c r="OC128" s="30"/>
      <c r="OD128" s="30"/>
      <c r="OE128" s="30"/>
      <c r="OF128" s="30"/>
      <c r="OG128" s="30"/>
      <c r="OH128" s="30"/>
      <c r="OI128" s="30"/>
      <c r="OJ128" s="30"/>
      <c r="OK128" s="30"/>
      <c r="OL128" s="30"/>
      <c r="OM128" s="30"/>
      <c r="ON128" s="30"/>
      <c r="OO128" s="30"/>
      <c r="OP128" s="30"/>
      <c r="OQ128" s="30"/>
      <c r="OR128" s="30"/>
      <c r="OS128" s="30"/>
      <c r="OT128" s="30"/>
      <c r="OU128" s="30"/>
      <c r="OV128" s="30"/>
      <c r="OW128" s="30"/>
      <c r="OX128" s="30"/>
      <c r="OY128" s="30"/>
      <c r="OZ128" s="30"/>
      <c r="PA128" s="30"/>
      <c r="PB128" s="30"/>
      <c r="PC128" s="30"/>
      <c r="PD128" s="30"/>
      <c r="PE128" s="30"/>
      <c r="PF128" s="30"/>
      <c r="PG128" s="30"/>
      <c r="PH128" s="30"/>
      <c r="PI128" s="30"/>
      <c r="PJ128" s="30"/>
      <c r="PK128" s="30"/>
      <c r="PL128" s="30"/>
      <c r="PM128" s="30"/>
      <c r="PN128" s="30"/>
      <c r="PO128" s="30"/>
      <c r="PP128" s="30"/>
      <c r="PQ128" s="30"/>
      <c r="PR128" s="30"/>
      <c r="PS128" s="30"/>
      <c r="PT128" s="30"/>
      <c r="PU128" s="30"/>
      <c r="PV128" s="30"/>
      <c r="PW128" s="30"/>
      <c r="PX128" s="30"/>
      <c r="PY128" s="30"/>
      <c r="PZ128" s="30"/>
      <c r="QA128" s="30"/>
      <c r="QB128" s="30"/>
      <c r="QC128" s="30"/>
      <c r="QD128" s="30"/>
      <c r="QE128" s="30"/>
      <c r="QF128" s="30"/>
      <c r="QG128" s="30"/>
      <c r="QH128" s="30"/>
      <c r="QI128" s="30"/>
      <c r="QJ128" s="30"/>
      <c r="QK128" s="30"/>
      <c r="QL128" s="30"/>
      <c r="QM128" s="30"/>
      <c r="QN128" s="30"/>
      <c r="QO128" s="30"/>
      <c r="QP128" s="30"/>
      <c r="QQ128" s="30"/>
      <c r="QR128" s="30"/>
      <c r="QS128" s="30"/>
      <c r="QT128" s="30"/>
      <c r="QU128" s="30"/>
      <c r="QV128" s="30"/>
      <c r="QW128" s="30"/>
      <c r="QX128" s="30"/>
      <c r="QY128" s="30"/>
      <c r="QZ128" s="30"/>
      <c r="RA128" s="30"/>
      <c r="RB128" s="30"/>
      <c r="RC128" s="30"/>
      <c r="RD128" s="30"/>
      <c r="RE128" s="30"/>
      <c r="RF128" s="30"/>
      <c r="RG128" s="30"/>
      <c r="RH128" s="30"/>
      <c r="RI128" s="30"/>
      <c r="RJ128" s="30"/>
      <c r="RK128" s="30"/>
      <c r="RL128" s="30"/>
      <c r="RM128" s="30"/>
      <c r="RN128" s="30"/>
      <c r="RO128" s="30"/>
      <c r="RP128" s="30"/>
      <c r="RQ128" s="30"/>
      <c r="RR128" s="30"/>
      <c r="RS128" s="30"/>
      <c r="RT128" s="30"/>
      <c r="RU128" s="30"/>
      <c r="RV128" s="30"/>
      <c r="RW128" s="30"/>
      <c r="RX128" s="30"/>
      <c r="RY128" s="30"/>
      <c r="RZ128" s="30"/>
      <c r="SA128" s="30"/>
      <c r="SB128" s="30"/>
      <c r="SC128" s="30"/>
      <c r="SD128" s="30"/>
    </row>
    <row r="129" spans="1:498" s="20" customFormat="1" hidden="1" x14ac:dyDescent="0.25">
      <c r="A129" s="68"/>
      <c r="B129" s="68" t="s">
        <v>13</v>
      </c>
      <c r="C129" s="68"/>
      <c r="D129" s="68"/>
      <c r="E129" s="21"/>
      <c r="F129" s="25">
        <f>F137*12</f>
        <v>1276.4700000000003</v>
      </c>
      <c r="G129" s="25">
        <f t="shared" ref="G129:Y129" si="76">IF(
AND(
G77&gt;20+N("If it is past the 20th year AND"),
$D$89&lt;=40000+N("The loan balance is greater than 40k THEN")),
0+N("The loan balance is zero")+N("If not, THEN"),
IF(
F135=0+N("If the preceding year's loan balance is zero then"),
0+N("the current IBR payment is zero")+N("If the condition is not met then"),
IF(
AND(
G135=0+N("If this year's loan balance will be zero AND"),
I135=0+N("two year's from now it will be zero, then")),
F135+N("this is the last year of payment, and therefore the total payment made this year will simply be the remaining loan balance from last year")+N("If not then"),
G137*12+N("The monthly IBR payment multiplied by twelve"))))</f>
        <v>1353.2089500000002</v>
      </c>
      <c r="H129" s="25">
        <f t="shared" si="76"/>
        <v>1433.6620297650006</v>
      </c>
      <c r="I129" s="25">
        <f t="shared" si="76"/>
        <v>1517.9939832369018</v>
      </c>
      <c r="J129" s="25">
        <f t="shared" si="76"/>
        <v>1606.376550201941</v>
      </c>
      <c r="K129" s="25">
        <f t="shared" si="76"/>
        <v>1698.9887563172335</v>
      </c>
      <c r="L129" s="25">
        <f t="shared" si="76"/>
        <v>1796.0172149942287</v>
      </c>
      <c r="M129" s="25">
        <f t="shared" si="76"/>
        <v>1897.6564416197543</v>
      </c>
      <c r="N129" s="25">
        <f t="shared" si="76"/>
        <v>2004.1091806147469</v>
      </c>
      <c r="O129" s="25">
        <f t="shared" si="76"/>
        <v>2115.5867458509274</v>
      </c>
      <c r="P129" s="25">
        <f t="shared" si="76"/>
        <v>3348.4640624499698</v>
      </c>
      <c r="Q129" s="25">
        <f t="shared" si="76"/>
        <v>3531.7598972174455</v>
      </c>
      <c r="R129" s="25">
        <f t="shared" si="76"/>
        <v>3723.6264329095857</v>
      </c>
      <c r="S129" s="25">
        <f t="shared" si="76"/>
        <v>3924.437593138478</v>
      </c>
      <c r="T129" s="25">
        <f t="shared" si="76"/>
        <v>4134.5830389596304</v>
      </c>
      <c r="U129" s="25">
        <f t="shared" si="76"/>
        <v>4354.4688179602272</v>
      </c>
      <c r="V129" s="25">
        <f t="shared" si="76"/>
        <v>4584.5180398026478</v>
      </c>
      <c r="W129" s="25">
        <f t="shared" si="76"/>
        <v>4825.1715792937775</v>
      </c>
      <c r="X129" s="25">
        <f t="shared" si="76"/>
        <v>5076.8888080938186</v>
      </c>
      <c r="Y129" s="25">
        <f t="shared" si="76"/>
        <v>5340.1483562231297</v>
      </c>
      <c r="Z129" s="25">
        <f>IF(
AND(
Z77&gt;20+N("If it is past the 20th year AND"),
+C10&lt;=40000+N("The loan balance is greater than 40k THEN")),
0+N("The loan balance is zero")+N("If not, THEN"),
IF(
Y135=0+N("If the preceding year's loan balance is zero then"),
0+N("the current IBR payment is zero")+N("If the condition is not met then"),
IF(
AND(
Z135=0+N("If this year's loan balance will be zero AND"),
AB135=0+N("two year's from now it will be zero, then")),
Y135+N("this is the last year of payment, and therefore the total payment made this year will simply be the remaining loan balance from last year")+N("If not then"),
Z137*12+N("The monthly IBR payment multiplied by twelve"))))</f>
        <v>0</v>
      </c>
      <c r="AA129" s="25">
        <f>IF(
AND(
AA77&gt;20+N("If it is past the 20th year AND"),
$D$89&lt;=40000+N("The loan balance is greater than 40k THEN")),
0+N("The loan balance is zero")+N("If not, THEN"),
IF(
Z135=0+N("If the preceding year's loan balance is zero then"),
0+N("the current IBR payment is zero")+N("If the condition is not met then"),
IF(
AND(
AA135=0+N("If this year's loan balance will be zero AND"),
AC135=0+N("two year's from now it will be zero, then")),
Z135+N("this is the last year of payment, and therefore the total payment made this year will simply be the remaining loan balance from last year")+N("If not then"),
AA137*12+N("The monthly IBR payment multiplied by twelve"))))</f>
        <v>0</v>
      </c>
      <c r="AB129" s="25">
        <f>IF(
AND(
AB77&gt;20+N("If it is past the 20th year AND"),
$D$89&lt;=40000+N("The loan balance is greater than 40k THEN")),
0+N("The loan balance is zero")+N("If not, THEN"),
IF(
AA135=0+N("If the preceding year's loan balance is zero then"),
0+N("the current IBR payment is zero")+N("If the condition is not met then"),
IF(
AND(
AB135=0+N("If this year's loan balance will be zero AND"),
AD135=0+N("two year's from now it will be zero, then")),
AA135+N("this is the last year of payment, and therefore the total payment made this year will simply be the remaining loan balance from last year")+N("If not then"),
AB137*12+N("The monthly IBR payment multiplied by twelve"))))</f>
        <v>0</v>
      </c>
      <c r="AC129" s="25">
        <f>IF(
AND(
AC77&gt;20+N("If it is past the 20th year AND"),
$D$89&lt;=40000+N("The loan balance is greater than 40k THEN")),
0+N("The loan balance is zero")+N("If not, THEN"),
IF(
AB135=0+N("If the preceding year's loan balance is zero then"),
0+N("the current IBR payment is zero")+N("If the condition is not met then"),
IF(
AND(
AC135=0+N("If this year's loan balance will be zero AND"),
AE135=0+N("two year's from now it will be zero, then")),
AB135+N("this is the last year of payment, and therefore the total payment made this year will simply be the remaining loan balance from last year")+N("If not then"),
AC137*12+N("The monthly IBR payment multiplied by twelve"))))</f>
        <v>0</v>
      </c>
      <c r="AD129" s="25">
        <f>IF(
AND(
AD77&gt;20+N("If it is past the 20th year AND"),
$D$89&lt;=40000+N("The loan balance is greater than 40k THEN")),
0+N("The loan balance is zero")+N("If not, THEN"),
IF(
AC135=0+N("If the preceding year's loan balance is zero then"),
0+N("the current IBR payment is zero")+N("If the condition is not met then"),
IF(
AND(
AD135=0+N("If this year's loan balance will be zero AND"),
AF135=0+N("two year's from now it will be zero, then")),
AC135+N("this is the last year of payment, and therefore the total payment made this year will simply be the remaining loan balance from last year")+N("If not then"),
AD137*12+N("The monthly IBR payment multiplied by twelve"))))</f>
        <v>0</v>
      </c>
      <c r="AJ129" s="59"/>
      <c r="AK129" s="59"/>
      <c r="AL129" s="59"/>
      <c r="AM129" s="59"/>
      <c r="AN129" s="59"/>
      <c r="AO129" s="59"/>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0"/>
      <c r="FV129" s="30"/>
      <c r="FW129" s="30"/>
      <c r="FX129" s="30"/>
      <c r="FY129" s="30"/>
      <c r="FZ129" s="30"/>
      <c r="GA129" s="30"/>
      <c r="GB129" s="30"/>
      <c r="GC129" s="30"/>
      <c r="GD129" s="30"/>
      <c r="GE129" s="30"/>
      <c r="GF129" s="30"/>
      <c r="GG129" s="30"/>
      <c r="GH129" s="30"/>
      <c r="GI129" s="30"/>
      <c r="GJ129" s="30"/>
      <c r="GK129" s="30"/>
      <c r="GL129" s="30"/>
      <c r="GM129" s="30"/>
      <c r="GN129" s="30"/>
      <c r="GO129" s="30"/>
      <c r="GP129" s="30"/>
      <c r="GQ129" s="30"/>
      <c r="GR129" s="30"/>
      <c r="GS129" s="30"/>
      <c r="GT129" s="30"/>
      <c r="GU129" s="30"/>
      <c r="GV129" s="30"/>
      <c r="GW129" s="30"/>
      <c r="GX129" s="30"/>
      <c r="GY129" s="30"/>
      <c r="GZ129" s="30"/>
      <c r="HA129" s="30"/>
      <c r="HB129" s="30"/>
      <c r="HC129" s="30"/>
      <c r="HD129" s="30"/>
      <c r="HE129" s="30"/>
      <c r="HF129" s="30"/>
      <c r="HG129" s="30"/>
      <c r="HH129" s="30"/>
      <c r="HI129" s="30"/>
      <c r="HJ129" s="30"/>
      <c r="HK129" s="30"/>
      <c r="HL129" s="30"/>
      <c r="HM129" s="30"/>
      <c r="HN129" s="30"/>
      <c r="HO129" s="30"/>
      <c r="HP129" s="30"/>
      <c r="HQ129" s="30"/>
      <c r="HR129" s="30"/>
      <c r="HS129" s="30"/>
      <c r="HT129" s="30"/>
      <c r="HU129" s="30"/>
      <c r="HV129" s="30"/>
      <c r="HW129" s="30"/>
      <c r="HX129" s="30"/>
      <c r="HY129" s="30"/>
      <c r="HZ129" s="30"/>
      <c r="IA129" s="30"/>
      <c r="IB129" s="30"/>
      <c r="IC129" s="30"/>
      <c r="ID129" s="30"/>
      <c r="IE129" s="30"/>
      <c r="IF129" s="30"/>
      <c r="IG129" s="30"/>
      <c r="IH129" s="30"/>
      <c r="II129" s="30"/>
      <c r="IJ129" s="30"/>
      <c r="IK129" s="30"/>
      <c r="IL129" s="30"/>
      <c r="IM129" s="30"/>
      <c r="IN129" s="30"/>
      <c r="IO129" s="30"/>
      <c r="IP129" s="30"/>
      <c r="IQ129" s="30"/>
      <c r="IR129" s="30"/>
      <c r="IS129" s="30"/>
      <c r="IT129" s="30"/>
      <c r="IU129" s="30"/>
      <c r="IV129" s="30"/>
      <c r="IW129" s="30"/>
      <c r="IX129" s="30"/>
      <c r="IY129" s="30"/>
      <c r="IZ129" s="30"/>
      <c r="JA129" s="30"/>
      <c r="JB129" s="30"/>
      <c r="JC129" s="30"/>
      <c r="JD129" s="30"/>
      <c r="JE129" s="30"/>
      <c r="JF129" s="30"/>
      <c r="JG129" s="30"/>
      <c r="JH129" s="30"/>
      <c r="JI129" s="30"/>
      <c r="JJ129" s="30"/>
      <c r="JK129" s="30"/>
      <c r="JL129" s="30"/>
      <c r="JM129" s="30"/>
      <c r="JN129" s="30"/>
      <c r="JO129" s="30"/>
      <c r="JP129" s="30"/>
      <c r="JQ129" s="30"/>
      <c r="JR129" s="30"/>
      <c r="JS129" s="30"/>
      <c r="JT129" s="30"/>
      <c r="JU129" s="30"/>
      <c r="JV129" s="30"/>
      <c r="JW129" s="30"/>
      <c r="JX129" s="30"/>
      <c r="JY129" s="30"/>
      <c r="JZ129" s="30"/>
      <c r="KA129" s="30"/>
      <c r="KB129" s="30"/>
      <c r="KC129" s="30"/>
      <c r="KD129" s="30"/>
      <c r="KE129" s="30"/>
      <c r="KF129" s="30"/>
      <c r="KG129" s="30"/>
      <c r="KH129" s="30"/>
      <c r="KI129" s="30"/>
      <c r="KJ129" s="30"/>
      <c r="KK129" s="30"/>
      <c r="KL129" s="30"/>
      <c r="KM129" s="30"/>
      <c r="KN129" s="30"/>
      <c r="KO129" s="30"/>
      <c r="KP129" s="30"/>
      <c r="KQ129" s="30"/>
      <c r="KR129" s="30"/>
      <c r="KS129" s="30"/>
      <c r="KT129" s="30"/>
      <c r="KU129" s="30"/>
      <c r="KV129" s="30"/>
      <c r="KW129" s="30"/>
      <c r="KX129" s="30"/>
      <c r="KY129" s="30"/>
      <c r="KZ129" s="30"/>
      <c r="LA129" s="30"/>
      <c r="LB129" s="30"/>
      <c r="LC129" s="30"/>
      <c r="LD129" s="30"/>
      <c r="LE129" s="30"/>
      <c r="LF129" s="30"/>
      <c r="LG129" s="30"/>
      <c r="LH129" s="30"/>
      <c r="LI129" s="30"/>
      <c r="LJ129" s="30"/>
      <c r="LK129" s="30"/>
      <c r="LL129" s="30"/>
      <c r="LM129" s="30"/>
      <c r="LN129" s="30"/>
      <c r="LO129" s="30"/>
      <c r="LP129" s="30"/>
      <c r="LQ129" s="30"/>
      <c r="LR129" s="30"/>
      <c r="LS129" s="30"/>
      <c r="LT129" s="30"/>
      <c r="LU129" s="30"/>
      <c r="LV129" s="30"/>
      <c r="LW129" s="30"/>
      <c r="LX129" s="30"/>
      <c r="LY129" s="30"/>
      <c r="LZ129" s="30"/>
      <c r="MA129" s="30"/>
      <c r="MB129" s="30"/>
      <c r="MC129" s="30"/>
      <c r="MD129" s="30"/>
      <c r="ME129" s="30"/>
      <c r="MF129" s="30"/>
      <c r="MG129" s="30"/>
      <c r="MH129" s="30"/>
      <c r="MI129" s="30"/>
      <c r="MJ129" s="30"/>
      <c r="MK129" s="30"/>
      <c r="ML129" s="30"/>
      <c r="MM129" s="30"/>
      <c r="MN129" s="30"/>
      <c r="MO129" s="30"/>
      <c r="MP129" s="30"/>
      <c r="MQ129" s="30"/>
      <c r="MR129" s="30"/>
      <c r="MS129" s="30"/>
      <c r="MT129" s="30"/>
      <c r="MU129" s="30"/>
      <c r="MV129" s="30"/>
      <c r="MW129" s="30"/>
      <c r="MX129" s="30"/>
      <c r="MY129" s="30"/>
      <c r="MZ129" s="30"/>
      <c r="NA129" s="30"/>
      <c r="NB129" s="30"/>
      <c r="NC129" s="30"/>
      <c r="ND129" s="30"/>
      <c r="NE129" s="30"/>
      <c r="NF129" s="30"/>
      <c r="NG129" s="30"/>
      <c r="NH129" s="30"/>
      <c r="NI129" s="30"/>
      <c r="NJ129" s="30"/>
      <c r="NK129" s="30"/>
      <c r="NL129" s="30"/>
      <c r="NM129" s="30"/>
      <c r="NN129" s="30"/>
      <c r="NO129" s="30"/>
      <c r="NP129" s="30"/>
      <c r="NQ129" s="30"/>
      <c r="NR129" s="30"/>
      <c r="NS129" s="30"/>
      <c r="NT129" s="30"/>
      <c r="NU129" s="30"/>
      <c r="NV129" s="30"/>
      <c r="NW129" s="30"/>
      <c r="NX129" s="30"/>
      <c r="NY129" s="30"/>
      <c r="NZ129" s="30"/>
      <c r="OA129" s="30"/>
      <c r="OB129" s="30"/>
      <c r="OC129" s="30"/>
      <c r="OD129" s="30"/>
      <c r="OE129" s="30"/>
      <c r="OF129" s="30"/>
      <c r="OG129" s="30"/>
      <c r="OH129" s="30"/>
      <c r="OI129" s="30"/>
      <c r="OJ129" s="30"/>
      <c r="OK129" s="30"/>
      <c r="OL129" s="30"/>
      <c r="OM129" s="30"/>
      <c r="ON129" s="30"/>
      <c r="OO129" s="30"/>
      <c r="OP129" s="30"/>
      <c r="OQ129" s="30"/>
      <c r="OR129" s="30"/>
      <c r="OS129" s="30"/>
      <c r="OT129" s="30"/>
      <c r="OU129" s="30"/>
      <c r="OV129" s="30"/>
      <c r="OW129" s="30"/>
      <c r="OX129" s="30"/>
      <c r="OY129" s="30"/>
      <c r="OZ129" s="30"/>
      <c r="PA129" s="30"/>
      <c r="PB129" s="30"/>
      <c r="PC129" s="30"/>
      <c r="PD129" s="30"/>
      <c r="PE129" s="30"/>
      <c r="PF129" s="30"/>
      <c r="PG129" s="30"/>
      <c r="PH129" s="30"/>
      <c r="PI129" s="30"/>
      <c r="PJ129" s="30"/>
      <c r="PK129" s="30"/>
      <c r="PL129" s="30"/>
      <c r="PM129" s="30"/>
      <c r="PN129" s="30"/>
      <c r="PO129" s="30"/>
      <c r="PP129" s="30"/>
      <c r="PQ129" s="30"/>
      <c r="PR129" s="30"/>
      <c r="PS129" s="30"/>
      <c r="PT129" s="30"/>
      <c r="PU129" s="30"/>
      <c r="PV129" s="30"/>
      <c r="PW129" s="30"/>
      <c r="PX129" s="30"/>
      <c r="PY129" s="30"/>
      <c r="PZ129" s="30"/>
      <c r="QA129" s="30"/>
      <c r="QB129" s="30"/>
      <c r="QC129" s="30"/>
      <c r="QD129" s="30"/>
      <c r="QE129" s="30"/>
      <c r="QF129" s="30"/>
      <c r="QG129" s="30"/>
      <c r="QH129" s="30"/>
      <c r="QI129" s="30"/>
      <c r="QJ129" s="30"/>
      <c r="QK129" s="30"/>
      <c r="QL129" s="30"/>
      <c r="QM129" s="30"/>
      <c r="QN129" s="30"/>
      <c r="QO129" s="30"/>
      <c r="QP129" s="30"/>
      <c r="QQ129" s="30"/>
      <c r="QR129" s="30"/>
      <c r="QS129" s="30"/>
      <c r="QT129" s="30"/>
      <c r="QU129" s="30"/>
      <c r="QV129" s="30"/>
      <c r="QW129" s="30"/>
      <c r="QX129" s="30"/>
      <c r="QY129" s="30"/>
      <c r="QZ129" s="30"/>
      <c r="RA129" s="30"/>
      <c r="RB129" s="30"/>
      <c r="RC129" s="30"/>
      <c r="RD129" s="30"/>
      <c r="RE129" s="30"/>
      <c r="RF129" s="30"/>
      <c r="RG129" s="30"/>
      <c r="RH129" s="30"/>
      <c r="RI129" s="30"/>
      <c r="RJ129" s="30"/>
      <c r="RK129" s="30"/>
      <c r="RL129" s="30"/>
      <c r="RM129" s="30"/>
      <c r="RN129" s="30"/>
      <c r="RO129" s="30"/>
      <c r="RP129" s="30"/>
      <c r="RQ129" s="30"/>
      <c r="RR129" s="30"/>
      <c r="RS129" s="30"/>
      <c r="RT129" s="30"/>
      <c r="RU129" s="30"/>
      <c r="RV129" s="30"/>
      <c r="RW129" s="30"/>
      <c r="RX129" s="30"/>
      <c r="RY129" s="30"/>
      <c r="RZ129" s="30"/>
      <c r="SA129" s="30"/>
      <c r="SB129" s="30"/>
      <c r="SC129" s="30"/>
      <c r="SD129" s="30"/>
    </row>
    <row r="130" spans="1:498" s="20" customFormat="1" hidden="1" x14ac:dyDescent="0.25">
      <c r="A130" s="68"/>
      <c r="B130" s="68" t="s">
        <v>14</v>
      </c>
      <c r="C130" s="68"/>
      <c r="D130" s="68"/>
      <c r="E130" s="21"/>
      <c r="F130" s="25">
        <f>D89*C11</f>
        <v>2575</v>
      </c>
      <c r="G130" s="25">
        <f t="shared" ref="G130:AD130" si="77">IF(
F131&gt;0+N("IF the student negatively amortized the previous year, then"),
$D$89*$C$11+N("Annual interest is the original loan balance multiplied by the interest rate")+N("If they made a principal payment in the previous year then..."),
F135*$C$11+N("Since the previous year's loan balance must be lower tahn the original loan balance, the annual interest is the previous year's loan balance multiplied by the interest rate"))</f>
        <v>2575</v>
      </c>
      <c r="H130" s="25">
        <f t="shared" si="77"/>
        <v>2575</v>
      </c>
      <c r="I130" s="25">
        <f t="shared" si="77"/>
        <v>2575</v>
      </c>
      <c r="J130" s="25">
        <f t="shared" si="77"/>
        <v>2575</v>
      </c>
      <c r="K130" s="25">
        <f t="shared" si="77"/>
        <v>2575</v>
      </c>
      <c r="L130" s="25">
        <f t="shared" si="77"/>
        <v>2575</v>
      </c>
      <c r="M130" s="25">
        <f t="shared" si="77"/>
        <v>2575</v>
      </c>
      <c r="N130" s="25">
        <f t="shared" si="77"/>
        <v>2575</v>
      </c>
      <c r="O130" s="25">
        <f t="shared" si="77"/>
        <v>2575</v>
      </c>
      <c r="P130" s="25">
        <f t="shared" si="77"/>
        <v>2575</v>
      </c>
      <c r="Q130" s="25">
        <f t="shared" si="77"/>
        <v>2575</v>
      </c>
      <c r="R130" s="25">
        <f t="shared" si="77"/>
        <v>2575</v>
      </c>
      <c r="S130" s="25">
        <f t="shared" si="77"/>
        <v>2575</v>
      </c>
      <c r="T130" s="25">
        <f t="shared" si="77"/>
        <v>2575</v>
      </c>
      <c r="U130" s="25">
        <f t="shared" si="77"/>
        <v>2575</v>
      </c>
      <c r="V130" s="25">
        <f t="shared" si="77"/>
        <v>2575</v>
      </c>
      <c r="W130" s="25">
        <f t="shared" si="77"/>
        <v>3038.6749867816807</v>
      </c>
      <c r="X130" s="25">
        <f t="shared" si="77"/>
        <v>2808.663550495748</v>
      </c>
      <c r="Y130" s="25">
        <f t="shared" si="77"/>
        <v>2516.629548579996</v>
      </c>
      <c r="Z130" s="25">
        <f t="shared" si="77"/>
        <v>2153.1015020959421</v>
      </c>
      <c r="AA130" s="25">
        <f t="shared" si="77"/>
        <v>0</v>
      </c>
      <c r="AB130" s="25">
        <f t="shared" si="77"/>
        <v>0</v>
      </c>
      <c r="AC130" s="25">
        <f t="shared" si="77"/>
        <v>0</v>
      </c>
      <c r="AD130" s="25">
        <f t="shared" si="77"/>
        <v>0</v>
      </c>
      <c r="AJ130" s="59"/>
      <c r="AK130" s="59"/>
      <c r="AL130" s="59"/>
      <c r="AM130" s="59"/>
      <c r="AN130" s="59"/>
      <c r="AO130" s="59"/>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c r="EV130" s="30"/>
      <c r="EW130" s="30"/>
      <c r="EX130" s="30"/>
      <c r="EY130" s="30"/>
      <c r="EZ130" s="30"/>
      <c r="FA130" s="30"/>
      <c r="FB130" s="30"/>
      <c r="FC130" s="30"/>
      <c r="FD130" s="30"/>
      <c r="FE130" s="30"/>
      <c r="FF130" s="30"/>
      <c r="FG130" s="30"/>
      <c r="FH130" s="30"/>
      <c r="FI130" s="30"/>
      <c r="FJ130" s="30"/>
      <c r="FK130" s="30"/>
      <c r="FL130" s="30"/>
      <c r="FM130" s="30"/>
      <c r="FN130" s="30"/>
      <c r="FO130" s="30"/>
      <c r="FP130" s="30"/>
      <c r="FQ130" s="30"/>
      <c r="FR130" s="30"/>
      <c r="FS130" s="30"/>
      <c r="FT130" s="30"/>
      <c r="FU130" s="30"/>
      <c r="FV130" s="30"/>
      <c r="FW130" s="30"/>
      <c r="FX130" s="30"/>
      <c r="FY130" s="30"/>
      <c r="FZ130" s="30"/>
      <c r="GA130" s="30"/>
      <c r="GB130" s="30"/>
      <c r="GC130" s="30"/>
      <c r="GD130" s="30"/>
      <c r="GE130" s="30"/>
      <c r="GF130" s="30"/>
      <c r="GG130" s="30"/>
      <c r="GH130" s="30"/>
      <c r="GI130" s="30"/>
      <c r="GJ130" s="30"/>
      <c r="GK130" s="30"/>
      <c r="GL130" s="30"/>
      <c r="GM130" s="30"/>
      <c r="GN130" s="30"/>
      <c r="GO130" s="30"/>
      <c r="GP130" s="30"/>
      <c r="GQ130" s="30"/>
      <c r="GR130" s="30"/>
      <c r="GS130" s="30"/>
      <c r="GT130" s="30"/>
      <c r="GU130" s="30"/>
      <c r="GV130" s="30"/>
      <c r="GW130" s="30"/>
      <c r="GX130" s="30"/>
      <c r="GY130" s="30"/>
      <c r="GZ130" s="30"/>
      <c r="HA130" s="30"/>
      <c r="HB130" s="30"/>
      <c r="HC130" s="30"/>
      <c r="HD130" s="30"/>
      <c r="HE130" s="30"/>
      <c r="HF130" s="30"/>
      <c r="HG130" s="30"/>
      <c r="HH130" s="30"/>
      <c r="HI130" s="30"/>
      <c r="HJ130" s="30"/>
      <c r="HK130" s="30"/>
      <c r="HL130" s="30"/>
      <c r="HM130" s="30"/>
      <c r="HN130" s="30"/>
      <c r="HO130" s="30"/>
      <c r="HP130" s="30"/>
      <c r="HQ130" s="30"/>
      <c r="HR130" s="30"/>
      <c r="HS130" s="30"/>
      <c r="HT130" s="30"/>
      <c r="HU130" s="30"/>
      <c r="HV130" s="30"/>
      <c r="HW130" s="30"/>
      <c r="HX130" s="30"/>
      <c r="HY130" s="30"/>
      <c r="HZ130" s="30"/>
      <c r="IA130" s="30"/>
      <c r="IB130" s="30"/>
      <c r="IC130" s="30"/>
      <c r="ID130" s="30"/>
      <c r="IE130" s="30"/>
      <c r="IF130" s="30"/>
      <c r="IG130" s="30"/>
      <c r="IH130" s="30"/>
      <c r="II130" s="30"/>
      <c r="IJ130" s="30"/>
      <c r="IK130" s="30"/>
      <c r="IL130" s="30"/>
      <c r="IM130" s="30"/>
      <c r="IN130" s="30"/>
      <c r="IO130" s="30"/>
      <c r="IP130" s="30"/>
      <c r="IQ130" s="30"/>
      <c r="IR130" s="30"/>
      <c r="IS130" s="30"/>
      <c r="IT130" s="30"/>
      <c r="IU130" s="30"/>
      <c r="IV130" s="30"/>
      <c r="IW130" s="30"/>
      <c r="IX130" s="30"/>
      <c r="IY130" s="30"/>
      <c r="IZ130" s="30"/>
      <c r="JA130" s="30"/>
      <c r="JB130" s="30"/>
      <c r="JC130" s="30"/>
      <c r="JD130" s="30"/>
      <c r="JE130" s="30"/>
      <c r="JF130" s="30"/>
      <c r="JG130" s="30"/>
      <c r="JH130" s="30"/>
      <c r="JI130" s="30"/>
      <c r="JJ130" s="30"/>
      <c r="JK130" s="30"/>
      <c r="JL130" s="30"/>
      <c r="JM130" s="30"/>
      <c r="JN130" s="30"/>
      <c r="JO130" s="30"/>
      <c r="JP130" s="30"/>
      <c r="JQ130" s="30"/>
      <c r="JR130" s="30"/>
      <c r="JS130" s="30"/>
      <c r="JT130" s="30"/>
      <c r="JU130" s="30"/>
      <c r="JV130" s="30"/>
      <c r="JW130" s="30"/>
      <c r="JX130" s="30"/>
      <c r="JY130" s="30"/>
      <c r="JZ130" s="30"/>
      <c r="KA130" s="30"/>
      <c r="KB130" s="30"/>
      <c r="KC130" s="30"/>
      <c r="KD130" s="30"/>
      <c r="KE130" s="30"/>
      <c r="KF130" s="30"/>
      <c r="KG130" s="30"/>
      <c r="KH130" s="30"/>
      <c r="KI130" s="30"/>
      <c r="KJ130" s="30"/>
      <c r="KK130" s="30"/>
      <c r="KL130" s="30"/>
      <c r="KM130" s="30"/>
      <c r="KN130" s="30"/>
      <c r="KO130" s="30"/>
      <c r="KP130" s="30"/>
      <c r="KQ130" s="30"/>
      <c r="KR130" s="30"/>
      <c r="KS130" s="30"/>
      <c r="KT130" s="30"/>
      <c r="KU130" s="30"/>
      <c r="KV130" s="30"/>
      <c r="KW130" s="30"/>
      <c r="KX130" s="30"/>
      <c r="KY130" s="30"/>
      <c r="KZ130" s="30"/>
      <c r="LA130" s="30"/>
      <c r="LB130" s="30"/>
      <c r="LC130" s="30"/>
      <c r="LD130" s="30"/>
      <c r="LE130" s="30"/>
      <c r="LF130" s="30"/>
      <c r="LG130" s="30"/>
      <c r="LH130" s="30"/>
      <c r="LI130" s="30"/>
      <c r="LJ130" s="30"/>
      <c r="LK130" s="30"/>
      <c r="LL130" s="30"/>
      <c r="LM130" s="30"/>
      <c r="LN130" s="30"/>
      <c r="LO130" s="30"/>
      <c r="LP130" s="30"/>
      <c r="LQ130" s="30"/>
      <c r="LR130" s="30"/>
      <c r="LS130" s="30"/>
      <c r="LT130" s="30"/>
      <c r="LU130" s="30"/>
      <c r="LV130" s="30"/>
      <c r="LW130" s="30"/>
      <c r="LX130" s="30"/>
      <c r="LY130" s="30"/>
      <c r="LZ130" s="30"/>
      <c r="MA130" s="30"/>
      <c r="MB130" s="30"/>
      <c r="MC130" s="30"/>
      <c r="MD130" s="30"/>
      <c r="ME130" s="30"/>
      <c r="MF130" s="30"/>
      <c r="MG130" s="30"/>
      <c r="MH130" s="30"/>
      <c r="MI130" s="30"/>
      <c r="MJ130" s="30"/>
      <c r="MK130" s="30"/>
      <c r="ML130" s="30"/>
      <c r="MM130" s="30"/>
      <c r="MN130" s="30"/>
      <c r="MO130" s="30"/>
      <c r="MP130" s="30"/>
      <c r="MQ130" s="30"/>
      <c r="MR130" s="30"/>
      <c r="MS130" s="30"/>
      <c r="MT130" s="30"/>
      <c r="MU130" s="30"/>
      <c r="MV130" s="30"/>
      <c r="MW130" s="30"/>
      <c r="MX130" s="30"/>
      <c r="MY130" s="30"/>
      <c r="MZ130" s="30"/>
      <c r="NA130" s="30"/>
      <c r="NB130" s="30"/>
      <c r="NC130" s="30"/>
      <c r="ND130" s="30"/>
      <c r="NE130" s="30"/>
      <c r="NF130" s="30"/>
      <c r="NG130" s="30"/>
      <c r="NH130" s="30"/>
      <c r="NI130" s="30"/>
      <c r="NJ130" s="30"/>
      <c r="NK130" s="30"/>
      <c r="NL130" s="30"/>
      <c r="NM130" s="30"/>
      <c r="NN130" s="30"/>
      <c r="NO130" s="30"/>
      <c r="NP130" s="30"/>
      <c r="NQ130" s="30"/>
      <c r="NR130" s="30"/>
      <c r="NS130" s="30"/>
      <c r="NT130" s="30"/>
      <c r="NU130" s="30"/>
      <c r="NV130" s="30"/>
      <c r="NW130" s="30"/>
      <c r="NX130" s="30"/>
      <c r="NY130" s="30"/>
      <c r="NZ130" s="30"/>
      <c r="OA130" s="30"/>
      <c r="OB130" s="30"/>
      <c r="OC130" s="30"/>
      <c r="OD130" s="30"/>
      <c r="OE130" s="30"/>
      <c r="OF130" s="30"/>
      <c r="OG130" s="30"/>
      <c r="OH130" s="30"/>
      <c r="OI130" s="30"/>
      <c r="OJ130" s="30"/>
      <c r="OK130" s="30"/>
      <c r="OL130" s="30"/>
      <c r="OM130" s="30"/>
      <c r="ON130" s="30"/>
      <c r="OO130" s="30"/>
      <c r="OP130" s="30"/>
      <c r="OQ130" s="30"/>
      <c r="OR130" s="30"/>
      <c r="OS130" s="30"/>
      <c r="OT130" s="30"/>
      <c r="OU130" s="30"/>
      <c r="OV130" s="30"/>
      <c r="OW130" s="30"/>
      <c r="OX130" s="30"/>
      <c r="OY130" s="30"/>
      <c r="OZ130" s="30"/>
      <c r="PA130" s="30"/>
      <c r="PB130" s="30"/>
      <c r="PC130" s="30"/>
      <c r="PD130" s="30"/>
      <c r="PE130" s="30"/>
      <c r="PF130" s="30"/>
      <c r="PG130" s="30"/>
      <c r="PH130" s="30"/>
      <c r="PI130" s="30"/>
      <c r="PJ130" s="30"/>
      <c r="PK130" s="30"/>
      <c r="PL130" s="30"/>
      <c r="PM130" s="30"/>
      <c r="PN130" s="30"/>
      <c r="PO130" s="30"/>
      <c r="PP130" s="30"/>
      <c r="PQ130" s="30"/>
      <c r="PR130" s="30"/>
      <c r="PS130" s="30"/>
      <c r="PT130" s="30"/>
      <c r="PU130" s="30"/>
      <c r="PV130" s="30"/>
      <c r="PW130" s="30"/>
      <c r="PX130" s="30"/>
      <c r="PY130" s="30"/>
      <c r="PZ130" s="30"/>
      <c r="QA130" s="30"/>
      <c r="QB130" s="30"/>
      <c r="QC130" s="30"/>
      <c r="QD130" s="30"/>
      <c r="QE130" s="30"/>
      <c r="QF130" s="30"/>
      <c r="QG130" s="30"/>
      <c r="QH130" s="30"/>
      <c r="QI130" s="30"/>
      <c r="QJ130" s="30"/>
      <c r="QK130" s="30"/>
      <c r="QL130" s="30"/>
      <c r="QM130" s="30"/>
      <c r="QN130" s="30"/>
      <c r="QO130" s="30"/>
      <c r="QP130" s="30"/>
      <c r="QQ130" s="30"/>
      <c r="QR130" s="30"/>
      <c r="QS130" s="30"/>
      <c r="QT130" s="30"/>
      <c r="QU130" s="30"/>
      <c r="QV130" s="30"/>
      <c r="QW130" s="30"/>
      <c r="QX130" s="30"/>
      <c r="QY130" s="30"/>
      <c r="QZ130" s="30"/>
      <c r="RA130" s="30"/>
      <c r="RB130" s="30"/>
      <c r="RC130" s="30"/>
      <c r="RD130" s="30"/>
      <c r="RE130" s="30"/>
      <c r="RF130" s="30"/>
      <c r="RG130" s="30"/>
      <c r="RH130" s="30"/>
      <c r="RI130" s="30"/>
      <c r="RJ130" s="30"/>
      <c r="RK130" s="30"/>
      <c r="RL130" s="30"/>
      <c r="RM130" s="30"/>
      <c r="RN130" s="30"/>
      <c r="RO130" s="30"/>
      <c r="RP130" s="30"/>
      <c r="RQ130" s="30"/>
      <c r="RR130" s="30"/>
      <c r="RS130" s="30"/>
      <c r="RT130" s="30"/>
      <c r="RU130" s="30"/>
      <c r="RV130" s="30"/>
      <c r="RW130" s="30"/>
      <c r="RX130" s="30"/>
      <c r="RY130" s="30"/>
      <c r="RZ130" s="30"/>
      <c r="SA130" s="30"/>
      <c r="SB130" s="30"/>
      <c r="SC130" s="30"/>
      <c r="SD130" s="30"/>
    </row>
    <row r="131" spans="1:498" s="20" customFormat="1" hidden="1" x14ac:dyDescent="0.25">
      <c r="A131" s="68"/>
      <c r="B131" s="68" t="s">
        <v>15</v>
      </c>
      <c r="C131" s="68"/>
      <c r="D131" s="68"/>
      <c r="E131" s="21"/>
      <c r="F131" s="28">
        <f>($C$26*$C$11)-((F137*12)*C32)+N("CNAPP equals the annual interest on unsubs minus the the percentage of the annual IBR payment that would be put towards unsubs")</f>
        <v>1298.5299999999997</v>
      </c>
      <c r="G131" s="28">
        <f>IF(
F131=-$C$10+N("IF the principal payment from the previous year equals the original loan balance then"),
0+N("The CAN/PP euals zero, because you have paid of the loan")+N("if CAN/PP does not equal the original loan balance, then..."),
IF(
$C$11=0+N("If the interest rate is zero, then"),
(-(G137*12))+F131+N("CNAPP equals the last year's CNAPP minus whatever the annual IBR payment was")+N("If the interest rate is not zero, then..."),
IF(
G130=0+N("If the annual interest paid equals zero, then..."),
0+N("CNAPP equals zero")+N("If the annual interest rate does not equal zero, then..."),
(($C$26*$C$11)-((G137*12)*$C$32))+F131+N("CNAPP equals the previous CNAPP plus the annual interest on unsubs minus the the percentage of the annual IBR payment that would be put towards unsubs"))))</f>
        <v>2520.3210499999996</v>
      </c>
      <c r="H131" s="28">
        <f>IF(
G131=-$C$10+N("IF the principal payment from the previous year equals the original loan balance then"),
0+N("The CAN/PP euals zero, because you have paid of the loan")+N("if CAN/PP does not equal the original loan balance, then..."),
IF(
$C$11=0+N("If the interest rate is zero, then"),
(-(H137*12))+G131+N("CNAPP equals the last year's CNAPP minus whatever the annual IBR payment was")+N("If the interest rate is not zero, then..."),
IF(
H130=0+N("If the annual interest paid equals zero, then..."),
0+N("CNAPP equals zero")+N("If the annual interest rate does not equal zero, then..."),
(($C$26*$C$11)-((H137*12)*$C$32))+G131+N("CNAPP equals the previous CNAPP plus the annual interest on unsubs minus the the percentage of the annual IBR payment that would be put towards unsubs"))))</f>
        <v>3661.6590202349989</v>
      </c>
      <c r="I131" s="28">
        <f t="shared" ref="I131:AD131" si="78">IF(
H131=-$C$10+N("IF the principal payment from the previous year equals the original loan balance then"),
0+N("The CAN/PP euals zero, because you have paid of the loan")+N("if CAN/PP does not equal the original loan balance, then..."),
IF(
$C$11=0+N("If the interest rate is zero, then"),
(-(I137*12))+H131+N("CNAPP equals the last year's CNAPP minus whatever the annual IBR payment was")+N("If the interest rate is not zero, then..."),
IF(
I130=0+N("If the annual interest paid equals zero, then..."),
0+N("CNAPP equals zero")+N("If the annual interest rate does not equal zero, then..."),
I130-(I137*12)+H131+N("CNAPP equals the previous CNAPP plus the annual interest minus the annual IBR payment"))))</f>
        <v>4718.6650369980971</v>
      </c>
      <c r="J131" s="28">
        <f>IF(
I131=-$C$10+N("IF the principal payment from the previous year equals the original loan balance then"),
0+N("The CAN/PP euals zero, because you have paid of the loan")+N("if CAN/PP does not equal the original loan balance, then..."),
IF(
$C$11=0+N("If the interest rate is zero, then"),
(-(J137*12))+I131+N("CNAPP equals the last year's CNAPP minus whatever the annual IBR payment was")+N("If the interest rate is not zero, then..."),
IF(
J130=0+N("If the annual interest paid equals zero, then..."),
0+N("CNAPP equals zero")+N("If the annual interest rate does not equal zero, then..."),
J130-(J137*12)+I131+N("CNAPP equals the previous CNAPP plus the annual interest minus the annual IBR payment"))))</f>
        <v>5687.2884867961566</v>
      </c>
      <c r="K131" s="28">
        <f t="shared" si="78"/>
        <v>6563.2997304789233</v>
      </c>
      <c r="L131" s="28">
        <f t="shared" si="78"/>
        <v>7342.2825154846942</v>
      </c>
      <c r="M131" s="28">
        <f t="shared" si="78"/>
        <v>8019.6260738649398</v>
      </c>
      <c r="N131" s="28">
        <f t="shared" si="78"/>
        <v>8590.5168932501929</v>
      </c>
      <c r="O131" s="28">
        <f t="shared" si="78"/>
        <v>9049.9301473992655</v>
      </c>
      <c r="P131" s="28">
        <f t="shared" si="78"/>
        <v>8276.4660849492957</v>
      </c>
      <c r="Q131" s="28">
        <f t="shared" si="78"/>
        <v>7319.7061877318502</v>
      </c>
      <c r="R131" s="28">
        <f t="shared" si="78"/>
        <v>6171.0797548222645</v>
      </c>
      <c r="S131" s="28">
        <f t="shared" si="78"/>
        <v>4821.642161683787</v>
      </c>
      <c r="T131" s="28">
        <f t="shared" si="78"/>
        <v>3262.0591227241566</v>
      </c>
      <c r="U131" s="28">
        <f t="shared" si="78"/>
        <v>1482.5903047639295</v>
      </c>
      <c r="V131" s="28">
        <f t="shared" si="78"/>
        <v>-526.92773503871831</v>
      </c>
      <c r="W131" s="28">
        <f t="shared" si="78"/>
        <v>-2313.4243275508152</v>
      </c>
      <c r="X131" s="28">
        <f t="shared" si="78"/>
        <v>-4581.6495851488853</v>
      </c>
      <c r="Y131" s="28">
        <f t="shared" si="78"/>
        <v>-7405.1683927920185</v>
      </c>
      <c r="Z131" s="28">
        <f t="shared" si="78"/>
        <v>-5252.0668906960764</v>
      </c>
      <c r="AA131" s="28">
        <f t="shared" si="78"/>
        <v>0</v>
      </c>
      <c r="AB131" s="28">
        <f t="shared" si="78"/>
        <v>0</v>
      </c>
      <c r="AC131" s="28">
        <f t="shared" si="78"/>
        <v>0</v>
      </c>
      <c r="AD131" s="28">
        <f t="shared" si="78"/>
        <v>0</v>
      </c>
      <c r="AJ131" s="59"/>
      <c r="AK131" s="59"/>
      <c r="AL131" s="59"/>
      <c r="AM131" s="59"/>
      <c r="AN131" s="59"/>
      <c r="AO131" s="59"/>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c r="ES131" s="30"/>
      <c r="ET131" s="30"/>
      <c r="EU131" s="30"/>
      <c r="EV131" s="30"/>
      <c r="EW131" s="30"/>
      <c r="EX131" s="30"/>
      <c r="EY131" s="30"/>
      <c r="EZ131" s="30"/>
      <c r="FA131" s="30"/>
      <c r="FB131" s="30"/>
      <c r="FC131" s="30"/>
      <c r="FD131" s="30"/>
      <c r="FE131" s="30"/>
      <c r="FF131" s="30"/>
      <c r="FG131" s="30"/>
      <c r="FH131" s="30"/>
      <c r="FI131" s="30"/>
      <c r="FJ131" s="30"/>
      <c r="FK131" s="30"/>
      <c r="FL131" s="30"/>
      <c r="FM131" s="30"/>
      <c r="FN131" s="30"/>
      <c r="FO131" s="30"/>
      <c r="FP131" s="30"/>
      <c r="FQ131" s="30"/>
      <c r="FR131" s="30"/>
      <c r="FS131" s="30"/>
      <c r="FT131" s="30"/>
      <c r="FU131" s="30"/>
      <c r="FV131" s="30"/>
      <c r="FW131" s="30"/>
      <c r="FX131" s="30"/>
      <c r="FY131" s="30"/>
      <c r="FZ131" s="30"/>
      <c r="GA131" s="30"/>
      <c r="GB131" s="30"/>
      <c r="GC131" s="30"/>
      <c r="GD131" s="30"/>
      <c r="GE131" s="30"/>
      <c r="GF131" s="30"/>
      <c r="GG131" s="30"/>
      <c r="GH131" s="30"/>
      <c r="GI131" s="30"/>
      <c r="GJ131" s="30"/>
      <c r="GK131" s="30"/>
      <c r="GL131" s="30"/>
      <c r="GM131" s="30"/>
      <c r="GN131" s="30"/>
      <c r="GO131" s="30"/>
      <c r="GP131" s="30"/>
      <c r="GQ131" s="30"/>
      <c r="GR131" s="30"/>
      <c r="GS131" s="30"/>
      <c r="GT131" s="30"/>
      <c r="GU131" s="30"/>
      <c r="GV131" s="30"/>
      <c r="GW131" s="30"/>
      <c r="GX131" s="30"/>
      <c r="GY131" s="30"/>
      <c r="GZ131" s="30"/>
      <c r="HA131" s="30"/>
      <c r="HB131" s="30"/>
      <c r="HC131" s="30"/>
      <c r="HD131" s="30"/>
      <c r="HE131" s="30"/>
      <c r="HF131" s="30"/>
      <c r="HG131" s="30"/>
      <c r="HH131" s="30"/>
      <c r="HI131" s="30"/>
      <c r="HJ131" s="30"/>
      <c r="HK131" s="30"/>
      <c r="HL131" s="30"/>
      <c r="HM131" s="30"/>
      <c r="HN131" s="30"/>
      <c r="HO131" s="30"/>
      <c r="HP131" s="30"/>
      <c r="HQ131" s="30"/>
      <c r="HR131" s="30"/>
      <c r="HS131" s="30"/>
      <c r="HT131" s="30"/>
      <c r="HU131" s="30"/>
      <c r="HV131" s="30"/>
      <c r="HW131" s="30"/>
      <c r="HX131" s="30"/>
      <c r="HY131" s="30"/>
      <c r="HZ131" s="30"/>
      <c r="IA131" s="30"/>
      <c r="IB131" s="30"/>
      <c r="IC131" s="30"/>
      <c r="ID131" s="30"/>
      <c r="IE131" s="30"/>
      <c r="IF131" s="30"/>
      <c r="IG131" s="30"/>
      <c r="IH131" s="30"/>
      <c r="II131" s="30"/>
      <c r="IJ131" s="30"/>
      <c r="IK131" s="30"/>
      <c r="IL131" s="30"/>
      <c r="IM131" s="30"/>
      <c r="IN131" s="30"/>
      <c r="IO131" s="30"/>
      <c r="IP131" s="30"/>
      <c r="IQ131" s="30"/>
      <c r="IR131" s="30"/>
      <c r="IS131" s="30"/>
      <c r="IT131" s="30"/>
      <c r="IU131" s="30"/>
      <c r="IV131" s="30"/>
      <c r="IW131" s="30"/>
      <c r="IX131" s="30"/>
      <c r="IY131" s="30"/>
      <c r="IZ131" s="30"/>
      <c r="JA131" s="30"/>
      <c r="JB131" s="30"/>
      <c r="JC131" s="30"/>
      <c r="JD131" s="30"/>
      <c r="JE131" s="30"/>
      <c r="JF131" s="30"/>
      <c r="JG131" s="30"/>
      <c r="JH131" s="30"/>
      <c r="JI131" s="30"/>
      <c r="JJ131" s="30"/>
      <c r="JK131" s="30"/>
      <c r="JL131" s="30"/>
      <c r="JM131" s="30"/>
      <c r="JN131" s="30"/>
      <c r="JO131" s="30"/>
      <c r="JP131" s="30"/>
      <c r="JQ131" s="30"/>
      <c r="JR131" s="30"/>
      <c r="JS131" s="30"/>
      <c r="JT131" s="30"/>
      <c r="JU131" s="30"/>
      <c r="JV131" s="30"/>
      <c r="JW131" s="30"/>
      <c r="JX131" s="30"/>
      <c r="JY131" s="30"/>
      <c r="JZ131" s="30"/>
      <c r="KA131" s="30"/>
      <c r="KB131" s="30"/>
      <c r="KC131" s="30"/>
      <c r="KD131" s="30"/>
      <c r="KE131" s="30"/>
      <c r="KF131" s="30"/>
      <c r="KG131" s="30"/>
      <c r="KH131" s="30"/>
      <c r="KI131" s="30"/>
      <c r="KJ131" s="30"/>
      <c r="KK131" s="30"/>
      <c r="KL131" s="30"/>
      <c r="KM131" s="30"/>
      <c r="KN131" s="30"/>
      <c r="KO131" s="30"/>
      <c r="KP131" s="30"/>
      <c r="KQ131" s="30"/>
      <c r="KR131" s="30"/>
      <c r="KS131" s="30"/>
      <c r="KT131" s="30"/>
      <c r="KU131" s="30"/>
      <c r="KV131" s="30"/>
      <c r="KW131" s="30"/>
      <c r="KX131" s="30"/>
      <c r="KY131" s="30"/>
      <c r="KZ131" s="30"/>
      <c r="LA131" s="30"/>
      <c r="LB131" s="30"/>
      <c r="LC131" s="30"/>
      <c r="LD131" s="30"/>
      <c r="LE131" s="30"/>
      <c r="LF131" s="30"/>
      <c r="LG131" s="30"/>
      <c r="LH131" s="30"/>
      <c r="LI131" s="30"/>
      <c r="LJ131" s="30"/>
      <c r="LK131" s="30"/>
      <c r="LL131" s="30"/>
      <c r="LM131" s="30"/>
      <c r="LN131" s="30"/>
      <c r="LO131" s="30"/>
      <c r="LP131" s="30"/>
      <c r="LQ131" s="30"/>
      <c r="LR131" s="30"/>
      <c r="LS131" s="30"/>
      <c r="LT131" s="30"/>
      <c r="LU131" s="30"/>
      <c r="LV131" s="30"/>
      <c r="LW131" s="30"/>
      <c r="LX131" s="30"/>
      <c r="LY131" s="30"/>
      <c r="LZ131" s="30"/>
      <c r="MA131" s="30"/>
      <c r="MB131" s="30"/>
      <c r="MC131" s="30"/>
      <c r="MD131" s="30"/>
      <c r="ME131" s="30"/>
      <c r="MF131" s="30"/>
      <c r="MG131" s="30"/>
      <c r="MH131" s="30"/>
      <c r="MI131" s="30"/>
      <c r="MJ131" s="30"/>
      <c r="MK131" s="30"/>
      <c r="ML131" s="30"/>
      <c r="MM131" s="30"/>
      <c r="MN131" s="30"/>
      <c r="MO131" s="30"/>
      <c r="MP131" s="30"/>
      <c r="MQ131" s="30"/>
      <c r="MR131" s="30"/>
      <c r="MS131" s="30"/>
      <c r="MT131" s="30"/>
      <c r="MU131" s="30"/>
      <c r="MV131" s="30"/>
      <c r="MW131" s="30"/>
      <c r="MX131" s="30"/>
      <c r="MY131" s="30"/>
      <c r="MZ131" s="30"/>
      <c r="NA131" s="30"/>
      <c r="NB131" s="30"/>
      <c r="NC131" s="30"/>
      <c r="ND131" s="30"/>
      <c r="NE131" s="30"/>
      <c r="NF131" s="30"/>
      <c r="NG131" s="30"/>
      <c r="NH131" s="30"/>
      <c r="NI131" s="30"/>
      <c r="NJ131" s="30"/>
      <c r="NK131" s="30"/>
      <c r="NL131" s="30"/>
      <c r="NM131" s="30"/>
      <c r="NN131" s="30"/>
      <c r="NO131" s="30"/>
      <c r="NP131" s="30"/>
      <c r="NQ131" s="30"/>
      <c r="NR131" s="30"/>
      <c r="NS131" s="30"/>
      <c r="NT131" s="30"/>
      <c r="NU131" s="30"/>
      <c r="NV131" s="30"/>
      <c r="NW131" s="30"/>
      <c r="NX131" s="30"/>
      <c r="NY131" s="30"/>
      <c r="NZ131" s="30"/>
      <c r="OA131" s="30"/>
      <c r="OB131" s="30"/>
      <c r="OC131" s="30"/>
      <c r="OD131" s="30"/>
      <c r="OE131" s="30"/>
      <c r="OF131" s="30"/>
      <c r="OG131" s="30"/>
      <c r="OH131" s="30"/>
      <c r="OI131" s="30"/>
      <c r="OJ131" s="30"/>
      <c r="OK131" s="30"/>
      <c r="OL131" s="30"/>
      <c r="OM131" s="30"/>
      <c r="ON131" s="30"/>
      <c r="OO131" s="30"/>
      <c r="OP131" s="30"/>
      <c r="OQ131" s="30"/>
      <c r="OR131" s="30"/>
      <c r="OS131" s="30"/>
      <c r="OT131" s="30"/>
      <c r="OU131" s="30"/>
      <c r="OV131" s="30"/>
      <c r="OW131" s="30"/>
      <c r="OX131" s="30"/>
      <c r="OY131" s="30"/>
      <c r="OZ131" s="30"/>
      <c r="PA131" s="30"/>
      <c r="PB131" s="30"/>
      <c r="PC131" s="30"/>
      <c r="PD131" s="30"/>
      <c r="PE131" s="30"/>
      <c r="PF131" s="30"/>
      <c r="PG131" s="30"/>
      <c r="PH131" s="30"/>
      <c r="PI131" s="30"/>
      <c r="PJ131" s="30"/>
      <c r="PK131" s="30"/>
      <c r="PL131" s="30"/>
      <c r="PM131" s="30"/>
      <c r="PN131" s="30"/>
      <c r="PO131" s="30"/>
      <c r="PP131" s="30"/>
      <c r="PQ131" s="30"/>
      <c r="PR131" s="30"/>
      <c r="PS131" s="30"/>
      <c r="PT131" s="30"/>
      <c r="PU131" s="30"/>
      <c r="PV131" s="30"/>
      <c r="PW131" s="30"/>
      <c r="PX131" s="30"/>
      <c r="PY131" s="30"/>
      <c r="PZ131" s="30"/>
      <c r="QA131" s="30"/>
      <c r="QB131" s="30"/>
      <c r="QC131" s="30"/>
      <c r="QD131" s="30"/>
      <c r="QE131" s="30"/>
      <c r="QF131" s="30"/>
      <c r="QG131" s="30"/>
      <c r="QH131" s="30"/>
      <c r="QI131" s="30"/>
      <c r="QJ131" s="30"/>
      <c r="QK131" s="30"/>
      <c r="QL131" s="30"/>
      <c r="QM131" s="30"/>
      <c r="QN131" s="30"/>
      <c r="QO131" s="30"/>
      <c r="QP131" s="30"/>
      <c r="QQ131" s="30"/>
      <c r="QR131" s="30"/>
      <c r="QS131" s="30"/>
      <c r="QT131" s="30"/>
      <c r="QU131" s="30"/>
      <c r="QV131" s="30"/>
      <c r="QW131" s="30"/>
      <c r="QX131" s="30"/>
      <c r="QY131" s="30"/>
      <c r="QZ131" s="30"/>
      <c r="RA131" s="30"/>
      <c r="RB131" s="30"/>
      <c r="RC131" s="30"/>
      <c r="RD131" s="30"/>
      <c r="RE131" s="30"/>
      <c r="RF131" s="30"/>
      <c r="RG131" s="30"/>
      <c r="RH131" s="30"/>
      <c r="RI131" s="30"/>
      <c r="RJ131" s="30"/>
      <c r="RK131" s="30"/>
      <c r="RL131" s="30"/>
      <c r="RM131" s="30"/>
      <c r="RN131" s="30"/>
      <c r="RO131" s="30"/>
      <c r="RP131" s="30"/>
      <c r="RQ131" s="30"/>
      <c r="RR131" s="30"/>
      <c r="RS131" s="30"/>
      <c r="RT131" s="30"/>
      <c r="RU131" s="30"/>
      <c r="RV131" s="30"/>
      <c r="RW131" s="30"/>
      <c r="RX131" s="30"/>
      <c r="RY131" s="30"/>
      <c r="RZ131" s="30"/>
      <c r="SA131" s="30"/>
      <c r="SB131" s="30"/>
      <c r="SC131" s="30"/>
      <c r="SD131" s="30"/>
    </row>
    <row r="132" spans="1:498" s="86" customFormat="1" ht="25.5" hidden="1" customHeight="1" x14ac:dyDescent="0.25">
      <c r="A132" s="68"/>
      <c r="B132" s="68"/>
      <c r="C132" s="68"/>
      <c r="D132" s="68"/>
      <c r="E132" s="142"/>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68"/>
      <c r="AF132" s="68"/>
      <c r="AG132" s="68"/>
      <c r="AH132" s="68"/>
      <c r="AI132" s="68"/>
      <c r="AJ132" s="68"/>
      <c r="AK132" s="68"/>
      <c r="AL132" s="68"/>
      <c r="AM132" s="68"/>
      <c r="AN132" s="68"/>
      <c r="AO132" s="68"/>
    </row>
    <row r="133" spans="1:498" s="47" customFormat="1" hidden="1" x14ac:dyDescent="0.25">
      <c r="A133" s="68"/>
      <c r="B133" s="171">
        <v>7</v>
      </c>
      <c r="C133" s="224" t="s">
        <v>60</v>
      </c>
      <c r="D133" s="224"/>
      <c r="E133" s="224"/>
      <c r="F133" s="89">
        <f>F137</f>
        <v>106.37250000000002</v>
      </c>
      <c r="G133" s="90">
        <f t="shared" ref="G133:AD133" si="79">IF($C$10=0,"",IF($F$133="Ineligible","",G137))</f>
        <v>112.76741250000002</v>
      </c>
      <c r="H133" s="90">
        <f t="shared" si="79"/>
        <v>119.47183581375005</v>
      </c>
      <c r="I133" s="90">
        <f t="shared" si="79"/>
        <v>126.49949860307515</v>
      </c>
      <c r="J133" s="90">
        <f t="shared" si="79"/>
        <v>133.8647125168284</v>
      </c>
      <c r="K133" s="90">
        <f t="shared" si="79"/>
        <v>141.58239635976946</v>
      </c>
      <c r="L133" s="90">
        <f t="shared" si="79"/>
        <v>149.66810124951905</v>
      </c>
      <c r="M133" s="90">
        <f t="shared" si="79"/>
        <v>158.13803680164619</v>
      </c>
      <c r="N133" s="90">
        <f t="shared" si="79"/>
        <v>167.00909838456224</v>
      </c>
      <c r="O133" s="90">
        <f t="shared" si="79"/>
        <v>176.29889548757728</v>
      </c>
      <c r="P133" s="90">
        <f t="shared" si="79"/>
        <v>279.0386718708308</v>
      </c>
      <c r="Q133" s="90">
        <f t="shared" si="79"/>
        <v>294.31332476812048</v>
      </c>
      <c r="R133" s="90">
        <f t="shared" si="79"/>
        <v>310.30220274246545</v>
      </c>
      <c r="S133" s="90">
        <f t="shared" si="79"/>
        <v>327.03646609487316</v>
      </c>
      <c r="T133" s="90">
        <f t="shared" si="79"/>
        <v>344.5485865799692</v>
      </c>
      <c r="U133" s="90">
        <f t="shared" si="79"/>
        <v>362.8724014966856</v>
      </c>
      <c r="V133" s="90">
        <f t="shared" si="79"/>
        <v>382.04316998355398</v>
      </c>
      <c r="W133" s="90">
        <f t="shared" si="79"/>
        <v>402.09763160781478</v>
      </c>
      <c r="X133" s="90">
        <f t="shared" si="79"/>
        <v>423.07406734115153</v>
      </c>
      <c r="Y133" s="90">
        <f t="shared" si="79"/>
        <v>445.01236301859416</v>
      </c>
      <c r="Z133" s="90">
        <f t="shared" si="79"/>
        <v>0</v>
      </c>
      <c r="AA133" s="90">
        <f t="shared" si="79"/>
        <v>0</v>
      </c>
      <c r="AB133" s="90">
        <f t="shared" si="79"/>
        <v>0</v>
      </c>
      <c r="AC133" s="90">
        <f t="shared" si="79"/>
        <v>0</v>
      </c>
      <c r="AD133" s="90">
        <f t="shared" si="79"/>
        <v>0</v>
      </c>
      <c r="AE133" s="124"/>
      <c r="AF133" s="125"/>
      <c r="AG133" s="125"/>
      <c r="AH133" s="125"/>
      <c r="AI133" s="126"/>
      <c r="AJ133" s="68"/>
      <c r="AK133" s="68"/>
      <c r="AL133" s="68"/>
      <c r="AM133" s="68"/>
      <c r="AN133" s="68"/>
      <c r="AO133" s="68"/>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0"/>
      <c r="FV133" s="30"/>
      <c r="FW133" s="30"/>
      <c r="FX133" s="30"/>
      <c r="FY133" s="30"/>
      <c r="FZ133" s="30"/>
      <c r="GA133" s="30"/>
      <c r="GB133" s="30"/>
      <c r="GC133" s="30"/>
      <c r="GD133" s="30"/>
      <c r="GE133" s="30"/>
      <c r="GF133" s="30"/>
      <c r="GG133" s="30"/>
      <c r="GH133" s="30"/>
      <c r="GI133" s="30"/>
      <c r="GJ133" s="30"/>
      <c r="GK133" s="30"/>
      <c r="GL133" s="30"/>
      <c r="GM133" s="30"/>
      <c r="GN133" s="30"/>
      <c r="GO133" s="30"/>
      <c r="GP133" s="30"/>
      <c r="GQ133" s="30"/>
      <c r="GR133" s="30"/>
      <c r="GS133" s="30"/>
      <c r="GT133" s="30"/>
      <c r="GU133" s="30"/>
      <c r="GV133" s="30"/>
      <c r="GW133" s="30"/>
      <c r="GX133" s="30"/>
      <c r="GY133" s="30"/>
      <c r="GZ133" s="30"/>
      <c r="HA133" s="30"/>
      <c r="HB133" s="30"/>
      <c r="HC133" s="30"/>
      <c r="HD133" s="30"/>
      <c r="HE133" s="30"/>
      <c r="HF133" s="30"/>
      <c r="HG133" s="30"/>
      <c r="HH133" s="30"/>
      <c r="HI133" s="30"/>
      <c r="HJ133" s="30"/>
      <c r="HK133" s="30"/>
      <c r="HL133" s="30"/>
      <c r="HM133" s="30"/>
      <c r="HN133" s="30"/>
      <c r="HO133" s="30"/>
      <c r="HP133" s="30"/>
      <c r="HQ133" s="30"/>
      <c r="HR133" s="30"/>
      <c r="HS133" s="30"/>
      <c r="HT133" s="30"/>
      <c r="HU133" s="30"/>
      <c r="HV133" s="30"/>
      <c r="HW133" s="30"/>
      <c r="HX133" s="30"/>
      <c r="HY133" s="30"/>
      <c r="HZ133" s="30"/>
      <c r="IA133" s="30"/>
      <c r="IB133" s="30"/>
      <c r="IC133" s="30"/>
      <c r="ID133" s="30"/>
      <c r="IE133" s="30"/>
      <c r="IF133" s="30"/>
      <c r="IG133" s="30"/>
      <c r="IH133" s="30"/>
      <c r="II133" s="30"/>
      <c r="IJ133" s="30"/>
      <c r="IK133" s="30"/>
      <c r="IL133" s="30"/>
      <c r="IM133" s="30"/>
      <c r="IN133" s="30"/>
      <c r="IO133" s="30"/>
      <c r="IP133" s="30"/>
      <c r="IQ133" s="30"/>
      <c r="IR133" s="30"/>
      <c r="IS133" s="30"/>
      <c r="IT133" s="30"/>
      <c r="IU133" s="30"/>
      <c r="IV133" s="30"/>
      <c r="IW133" s="30"/>
      <c r="IX133" s="30"/>
      <c r="IY133" s="30"/>
      <c r="IZ133" s="30"/>
      <c r="JA133" s="30"/>
      <c r="JB133" s="30"/>
      <c r="JC133" s="30"/>
      <c r="JD133" s="30"/>
      <c r="JE133" s="30"/>
      <c r="JF133" s="30"/>
      <c r="JG133" s="30"/>
      <c r="JH133" s="30"/>
      <c r="JI133" s="30"/>
      <c r="JJ133" s="30"/>
      <c r="JK133" s="30"/>
      <c r="JL133" s="30"/>
      <c r="JM133" s="30"/>
      <c r="JN133" s="30"/>
      <c r="JO133" s="30"/>
      <c r="JP133" s="30"/>
      <c r="JQ133" s="30"/>
      <c r="JR133" s="30"/>
      <c r="JS133" s="30"/>
      <c r="JT133" s="30"/>
      <c r="JU133" s="30"/>
      <c r="JV133" s="30"/>
      <c r="JW133" s="30"/>
      <c r="JX133" s="30"/>
      <c r="JY133" s="30"/>
      <c r="JZ133" s="30"/>
      <c r="KA133" s="30"/>
      <c r="KB133" s="30"/>
      <c r="KC133" s="30"/>
      <c r="KD133" s="30"/>
      <c r="KE133" s="30"/>
      <c r="KF133" s="30"/>
      <c r="KG133" s="30"/>
      <c r="KH133" s="30"/>
      <c r="KI133" s="30"/>
      <c r="KJ133" s="30"/>
      <c r="KK133" s="30"/>
      <c r="KL133" s="30"/>
      <c r="KM133" s="30"/>
      <c r="KN133" s="30"/>
      <c r="KO133" s="30"/>
      <c r="KP133" s="30"/>
      <c r="KQ133" s="30"/>
      <c r="KR133" s="30"/>
      <c r="KS133" s="30"/>
      <c r="KT133" s="30"/>
      <c r="KU133" s="30"/>
      <c r="KV133" s="30"/>
      <c r="KW133" s="30"/>
      <c r="KX133" s="30"/>
      <c r="KY133" s="30"/>
      <c r="KZ133" s="30"/>
      <c r="LA133" s="30"/>
      <c r="LB133" s="30"/>
      <c r="LC133" s="30"/>
      <c r="LD133" s="30"/>
      <c r="LE133" s="30"/>
      <c r="LF133" s="30"/>
      <c r="LG133" s="30"/>
      <c r="LH133" s="30"/>
      <c r="LI133" s="30"/>
      <c r="LJ133" s="30"/>
      <c r="LK133" s="30"/>
      <c r="LL133" s="30"/>
      <c r="LM133" s="30"/>
      <c r="LN133" s="30"/>
      <c r="LO133" s="30"/>
      <c r="LP133" s="30"/>
      <c r="LQ133" s="30"/>
      <c r="LR133" s="30"/>
      <c r="LS133" s="30"/>
      <c r="LT133" s="30"/>
      <c r="LU133" s="30"/>
      <c r="LV133" s="30"/>
      <c r="LW133" s="30"/>
      <c r="LX133" s="30"/>
      <c r="LY133" s="30"/>
      <c r="LZ133" s="30"/>
      <c r="MA133" s="30"/>
      <c r="MB133" s="30"/>
      <c r="MC133" s="30"/>
      <c r="MD133" s="30"/>
      <c r="ME133" s="30"/>
      <c r="MF133" s="30"/>
      <c r="MG133" s="30"/>
      <c r="MH133" s="30"/>
      <c r="MI133" s="30"/>
      <c r="MJ133" s="30"/>
      <c r="MK133" s="30"/>
      <c r="ML133" s="30"/>
      <c r="MM133" s="30"/>
      <c r="MN133" s="30"/>
      <c r="MO133" s="30"/>
      <c r="MP133" s="30"/>
      <c r="MQ133" s="30"/>
      <c r="MR133" s="30"/>
      <c r="MS133" s="30"/>
      <c r="MT133" s="30"/>
      <c r="MU133" s="30"/>
      <c r="MV133" s="30"/>
      <c r="MW133" s="30"/>
      <c r="MX133" s="30"/>
      <c r="MY133" s="30"/>
      <c r="MZ133" s="30"/>
      <c r="NA133" s="30"/>
      <c r="NB133" s="30"/>
      <c r="NC133" s="30"/>
      <c r="ND133" s="30"/>
      <c r="NE133" s="30"/>
      <c r="NF133" s="30"/>
      <c r="NG133" s="30"/>
      <c r="NH133" s="30"/>
      <c r="NI133" s="30"/>
      <c r="NJ133" s="30"/>
      <c r="NK133" s="30"/>
      <c r="NL133" s="30"/>
      <c r="NM133" s="30"/>
      <c r="NN133" s="30"/>
      <c r="NO133" s="30"/>
      <c r="NP133" s="30"/>
      <c r="NQ133" s="30"/>
      <c r="NR133" s="30"/>
      <c r="NS133" s="30"/>
      <c r="NT133" s="30"/>
      <c r="NU133" s="30"/>
      <c r="NV133" s="30"/>
      <c r="NW133" s="30"/>
      <c r="NX133" s="30"/>
      <c r="NY133" s="30"/>
      <c r="NZ133" s="30"/>
      <c r="OA133" s="30"/>
      <c r="OB133" s="30"/>
      <c r="OC133" s="30"/>
      <c r="OD133" s="30"/>
      <c r="OE133" s="30"/>
      <c r="OF133" s="30"/>
      <c r="OG133" s="30"/>
      <c r="OH133" s="30"/>
      <c r="OI133" s="30"/>
      <c r="OJ133" s="30"/>
      <c r="OK133" s="30"/>
      <c r="OL133" s="30"/>
      <c r="OM133" s="30"/>
      <c r="ON133" s="30"/>
      <c r="OO133" s="30"/>
      <c r="OP133" s="30"/>
      <c r="OQ133" s="30"/>
      <c r="OR133" s="30"/>
      <c r="OS133" s="30"/>
      <c r="OT133" s="30"/>
      <c r="OU133" s="30"/>
      <c r="OV133" s="30"/>
      <c r="OW133" s="30"/>
      <c r="OX133" s="30"/>
      <c r="OY133" s="30"/>
      <c r="OZ133" s="30"/>
      <c r="PA133" s="30"/>
      <c r="PB133" s="30"/>
      <c r="PC133" s="30"/>
      <c r="PD133" s="30"/>
      <c r="PE133" s="30"/>
      <c r="PF133" s="30"/>
      <c r="PG133" s="30"/>
      <c r="PH133" s="30"/>
      <c r="PI133" s="30"/>
      <c r="PJ133" s="30"/>
      <c r="PK133" s="30"/>
      <c r="PL133" s="30"/>
      <c r="PM133" s="30"/>
      <c r="PN133" s="30"/>
      <c r="PO133" s="30"/>
      <c r="PP133" s="30"/>
      <c r="PQ133" s="30"/>
      <c r="PR133" s="30"/>
      <c r="PS133" s="30"/>
      <c r="PT133" s="30"/>
      <c r="PU133" s="30"/>
      <c r="PV133" s="30"/>
      <c r="PW133" s="30"/>
      <c r="PX133" s="30"/>
      <c r="PY133" s="30"/>
      <c r="PZ133" s="30"/>
      <c r="QA133" s="30"/>
      <c r="QB133" s="30"/>
      <c r="QC133" s="30"/>
      <c r="QD133" s="30"/>
      <c r="QE133" s="30"/>
      <c r="QF133" s="30"/>
      <c r="QG133" s="30"/>
      <c r="QH133" s="30"/>
      <c r="QI133" s="30"/>
      <c r="QJ133" s="30"/>
      <c r="QK133" s="30"/>
      <c r="QL133" s="30"/>
      <c r="QM133" s="30"/>
      <c r="QN133" s="30"/>
      <c r="QO133" s="30"/>
      <c r="QP133" s="30"/>
      <c r="QQ133" s="30"/>
      <c r="QR133" s="30"/>
      <c r="QS133" s="30"/>
      <c r="QT133" s="30"/>
      <c r="QU133" s="30"/>
      <c r="QV133" s="30"/>
      <c r="QW133" s="30"/>
      <c r="QX133" s="30"/>
      <c r="QY133" s="30"/>
      <c r="QZ133" s="30"/>
      <c r="RA133" s="30"/>
      <c r="RB133" s="30"/>
      <c r="RC133" s="30"/>
      <c r="RD133" s="30"/>
      <c r="RE133" s="30"/>
      <c r="RF133" s="30"/>
      <c r="RG133" s="30"/>
      <c r="RH133" s="30"/>
      <c r="RI133" s="30"/>
      <c r="RJ133" s="30"/>
      <c r="RK133" s="30"/>
      <c r="RL133" s="30"/>
      <c r="RM133" s="30"/>
      <c r="RN133" s="30"/>
      <c r="RO133" s="30"/>
      <c r="RP133" s="30"/>
      <c r="RQ133" s="30"/>
      <c r="RR133" s="30"/>
      <c r="RS133" s="30"/>
      <c r="RT133" s="30"/>
      <c r="RU133" s="30"/>
      <c r="RV133" s="30"/>
      <c r="RW133" s="30"/>
      <c r="RX133" s="30"/>
      <c r="RY133" s="30"/>
      <c r="RZ133" s="30"/>
      <c r="SA133" s="30"/>
      <c r="SB133" s="30"/>
      <c r="SC133" s="30"/>
      <c r="SD133" s="30"/>
    </row>
    <row r="134" spans="1:498" s="47" customFormat="1" hidden="1" x14ac:dyDescent="0.25">
      <c r="A134" s="68"/>
      <c r="B134" s="68"/>
      <c r="C134" s="225" t="s">
        <v>44</v>
      </c>
      <c r="D134" s="225"/>
      <c r="E134" s="225"/>
      <c r="F134" s="89">
        <f t="shared" ref="F134:AD134" si="80">IF($C$10=0,"",IF($F$133="Ineligible","",F135))</f>
        <v>21298.53</v>
      </c>
      <c r="G134" s="89">
        <f t="shared" si="80"/>
        <v>22520.321049999999</v>
      </c>
      <c r="H134" s="89">
        <f t="shared" si="80"/>
        <v>23661.659020234998</v>
      </c>
      <c r="I134" s="89">
        <f t="shared" si="80"/>
        <v>24718.665036998096</v>
      </c>
      <c r="J134" s="89">
        <f t="shared" si="80"/>
        <v>25687.288486796155</v>
      </c>
      <c r="K134" s="89">
        <f t="shared" si="80"/>
        <v>26563.299730478924</v>
      </c>
      <c r="L134" s="89">
        <f t="shared" si="80"/>
        <v>27342.282515484694</v>
      </c>
      <c r="M134" s="89">
        <f t="shared" si="80"/>
        <v>28019.62607386494</v>
      </c>
      <c r="N134" s="89">
        <f t="shared" si="80"/>
        <v>28590.516893250191</v>
      </c>
      <c r="O134" s="89">
        <f t="shared" si="80"/>
        <v>29049.930147399267</v>
      </c>
      <c r="P134" s="89">
        <f t="shared" si="80"/>
        <v>28276.466084949294</v>
      </c>
      <c r="Q134" s="89">
        <f t="shared" si="80"/>
        <v>27319.706187731848</v>
      </c>
      <c r="R134" s="89">
        <f t="shared" si="80"/>
        <v>27113.491926492734</v>
      </c>
      <c r="S134" s="89">
        <f t="shared" si="80"/>
        <v>26679.916418890192</v>
      </c>
      <c r="T134" s="89">
        <f t="shared" si="80"/>
        <v>25980.372618862672</v>
      </c>
      <c r="U134" s="89">
        <f t="shared" si="80"/>
        <v>24970.876775581011</v>
      </c>
      <c r="V134" s="89">
        <f t="shared" si="80"/>
        <v>23601.359120634414</v>
      </c>
      <c r="W134" s="89">
        <f t="shared" si="80"/>
        <v>21814.862528122314</v>
      </c>
      <c r="X134" s="89">
        <f t="shared" si="80"/>
        <v>19546.637270524239</v>
      </c>
      <c r="Y134" s="89">
        <f t="shared" si="80"/>
        <v>16723.118462881102</v>
      </c>
      <c r="Z134" s="89">
        <f t="shared" si="80"/>
        <v>0</v>
      </c>
      <c r="AA134" s="89">
        <f t="shared" si="80"/>
        <v>0</v>
      </c>
      <c r="AB134" s="89">
        <f t="shared" si="80"/>
        <v>0</v>
      </c>
      <c r="AC134" s="89">
        <f t="shared" si="80"/>
        <v>0</v>
      </c>
      <c r="AD134" s="89">
        <f t="shared" si="80"/>
        <v>0</v>
      </c>
      <c r="AE134" s="127"/>
      <c r="AF134" s="103"/>
      <c r="AG134" s="103"/>
      <c r="AH134" s="103"/>
      <c r="AI134" s="128"/>
      <c r="AJ134" s="59"/>
      <c r="AK134" s="59"/>
      <c r="AL134" s="59"/>
      <c r="AM134" s="59"/>
      <c r="AN134" s="59"/>
      <c r="AO134" s="59"/>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c r="IB134" s="30"/>
      <c r="IC134" s="30"/>
      <c r="ID134" s="30"/>
      <c r="IE134" s="30"/>
      <c r="IF134" s="30"/>
      <c r="IG134" s="30"/>
      <c r="IH134" s="30"/>
      <c r="II134" s="30"/>
      <c r="IJ134" s="30"/>
      <c r="IK134" s="30"/>
      <c r="IL134" s="30"/>
      <c r="IM134" s="30"/>
      <c r="IN134" s="30"/>
      <c r="IO134" s="30"/>
      <c r="IP134" s="30"/>
      <c r="IQ134" s="30"/>
      <c r="IR134" s="30"/>
      <c r="IS134" s="30"/>
      <c r="IT134" s="30"/>
      <c r="IU134" s="30"/>
      <c r="IV134" s="30"/>
      <c r="IW134" s="30"/>
      <c r="IX134" s="30"/>
      <c r="IY134" s="30"/>
      <c r="IZ134" s="30"/>
      <c r="JA134" s="30"/>
      <c r="JB134" s="30"/>
      <c r="JC134" s="30"/>
      <c r="JD134" s="30"/>
      <c r="JE134" s="30"/>
      <c r="JF134" s="30"/>
      <c r="JG134" s="30"/>
      <c r="JH134" s="30"/>
      <c r="JI134" s="30"/>
      <c r="JJ134" s="30"/>
      <c r="JK134" s="30"/>
      <c r="JL134" s="30"/>
      <c r="JM134" s="30"/>
      <c r="JN134" s="30"/>
      <c r="JO134" s="30"/>
      <c r="JP134" s="30"/>
      <c r="JQ134" s="30"/>
      <c r="JR134" s="30"/>
      <c r="JS134" s="30"/>
      <c r="JT134" s="30"/>
      <c r="JU134" s="30"/>
      <c r="JV134" s="30"/>
      <c r="JW134" s="30"/>
      <c r="JX134" s="30"/>
      <c r="JY134" s="30"/>
      <c r="JZ134" s="30"/>
      <c r="KA134" s="30"/>
      <c r="KB134" s="30"/>
      <c r="KC134" s="30"/>
      <c r="KD134" s="30"/>
      <c r="KE134" s="30"/>
      <c r="KF134" s="30"/>
      <c r="KG134" s="30"/>
      <c r="KH134" s="30"/>
      <c r="KI134" s="30"/>
      <c r="KJ134" s="30"/>
      <c r="KK134" s="30"/>
      <c r="KL134" s="30"/>
      <c r="KM134" s="30"/>
      <c r="KN134" s="30"/>
      <c r="KO134" s="30"/>
      <c r="KP134" s="30"/>
      <c r="KQ134" s="30"/>
      <c r="KR134" s="30"/>
      <c r="KS134" s="30"/>
      <c r="KT134" s="30"/>
      <c r="KU134" s="30"/>
      <c r="KV134" s="30"/>
      <c r="KW134" s="30"/>
      <c r="KX134" s="30"/>
      <c r="KY134" s="30"/>
      <c r="KZ134" s="30"/>
      <c r="LA134" s="30"/>
      <c r="LB134" s="30"/>
      <c r="LC134" s="30"/>
      <c r="LD134" s="30"/>
      <c r="LE134" s="30"/>
      <c r="LF134" s="30"/>
      <c r="LG134" s="30"/>
      <c r="LH134" s="30"/>
      <c r="LI134" s="30"/>
      <c r="LJ134" s="30"/>
      <c r="LK134" s="30"/>
      <c r="LL134" s="30"/>
      <c r="LM134" s="30"/>
      <c r="LN134" s="30"/>
      <c r="LO134" s="30"/>
      <c r="LP134" s="30"/>
      <c r="LQ134" s="30"/>
      <c r="LR134" s="30"/>
      <c r="LS134" s="30"/>
      <c r="LT134" s="30"/>
      <c r="LU134" s="30"/>
      <c r="LV134" s="30"/>
      <c r="LW134" s="30"/>
      <c r="LX134" s="30"/>
      <c r="LY134" s="30"/>
      <c r="LZ134" s="30"/>
      <c r="MA134" s="30"/>
      <c r="MB134" s="30"/>
      <c r="MC134" s="30"/>
      <c r="MD134" s="30"/>
      <c r="ME134" s="30"/>
      <c r="MF134" s="30"/>
      <c r="MG134" s="30"/>
      <c r="MH134" s="30"/>
      <c r="MI134" s="30"/>
      <c r="MJ134" s="30"/>
      <c r="MK134" s="30"/>
      <c r="ML134" s="30"/>
      <c r="MM134" s="30"/>
      <c r="MN134" s="30"/>
      <c r="MO134" s="30"/>
      <c r="MP134" s="30"/>
      <c r="MQ134" s="30"/>
      <c r="MR134" s="30"/>
      <c r="MS134" s="30"/>
      <c r="MT134" s="30"/>
      <c r="MU134" s="30"/>
      <c r="MV134" s="30"/>
      <c r="MW134" s="30"/>
      <c r="MX134" s="30"/>
      <c r="MY134" s="30"/>
      <c r="MZ134" s="30"/>
      <c r="NA134" s="30"/>
      <c r="NB134" s="30"/>
      <c r="NC134" s="30"/>
      <c r="ND134" s="30"/>
      <c r="NE134" s="30"/>
      <c r="NF134" s="30"/>
      <c r="NG134" s="30"/>
      <c r="NH134" s="30"/>
      <c r="NI134" s="30"/>
      <c r="NJ134" s="30"/>
      <c r="NK134" s="30"/>
      <c r="NL134" s="30"/>
      <c r="NM134" s="30"/>
      <c r="NN134" s="30"/>
      <c r="NO134" s="30"/>
      <c r="NP134" s="30"/>
      <c r="NQ134" s="30"/>
      <c r="NR134" s="30"/>
      <c r="NS134" s="30"/>
      <c r="NT134" s="30"/>
      <c r="NU134" s="30"/>
      <c r="NV134" s="30"/>
      <c r="NW134" s="30"/>
      <c r="NX134" s="30"/>
      <c r="NY134" s="30"/>
      <c r="NZ134" s="30"/>
      <c r="OA134" s="30"/>
      <c r="OB134" s="30"/>
      <c r="OC134" s="30"/>
      <c r="OD134" s="30"/>
      <c r="OE134" s="30"/>
      <c r="OF134" s="30"/>
      <c r="OG134" s="30"/>
      <c r="OH134" s="30"/>
      <c r="OI134" s="30"/>
      <c r="OJ134" s="30"/>
      <c r="OK134" s="30"/>
      <c r="OL134" s="30"/>
      <c r="OM134" s="30"/>
      <c r="ON134" s="30"/>
      <c r="OO134" s="30"/>
      <c r="OP134" s="30"/>
      <c r="OQ134" s="30"/>
      <c r="OR134" s="30"/>
      <c r="OS134" s="30"/>
      <c r="OT134" s="30"/>
      <c r="OU134" s="30"/>
      <c r="OV134" s="30"/>
      <c r="OW134" s="30"/>
      <c r="OX134" s="30"/>
      <c r="OY134" s="30"/>
      <c r="OZ134" s="30"/>
      <c r="PA134" s="30"/>
      <c r="PB134" s="30"/>
      <c r="PC134" s="30"/>
      <c r="PD134" s="30"/>
      <c r="PE134" s="30"/>
      <c r="PF134" s="30"/>
      <c r="PG134" s="30"/>
      <c r="PH134" s="30"/>
      <c r="PI134" s="30"/>
      <c r="PJ134" s="30"/>
      <c r="PK134" s="30"/>
      <c r="PL134" s="30"/>
      <c r="PM134" s="30"/>
      <c r="PN134" s="30"/>
      <c r="PO134" s="30"/>
      <c r="PP134" s="30"/>
      <c r="PQ134" s="30"/>
      <c r="PR134" s="30"/>
      <c r="PS134" s="30"/>
      <c r="PT134" s="30"/>
      <c r="PU134" s="30"/>
      <c r="PV134" s="30"/>
      <c r="PW134" s="30"/>
      <c r="PX134" s="30"/>
      <c r="PY134" s="30"/>
      <c r="PZ134" s="30"/>
      <c r="QA134" s="30"/>
      <c r="QB134" s="30"/>
      <c r="QC134" s="30"/>
      <c r="QD134" s="30"/>
      <c r="QE134" s="30"/>
      <c r="QF134" s="30"/>
      <c r="QG134" s="30"/>
      <c r="QH134" s="30"/>
      <c r="QI134" s="30"/>
      <c r="QJ134" s="30"/>
      <c r="QK134" s="30"/>
      <c r="QL134" s="30"/>
      <c r="QM134" s="30"/>
      <c r="QN134" s="30"/>
      <c r="QO134" s="30"/>
      <c r="QP134" s="30"/>
      <c r="QQ134" s="30"/>
      <c r="QR134" s="30"/>
      <c r="QS134" s="30"/>
      <c r="QT134" s="30"/>
      <c r="QU134" s="30"/>
      <c r="QV134" s="30"/>
      <c r="QW134" s="30"/>
      <c r="QX134" s="30"/>
      <c r="QY134" s="30"/>
      <c r="QZ134" s="30"/>
      <c r="RA134" s="30"/>
      <c r="RB134" s="30"/>
      <c r="RC134" s="30"/>
      <c r="RD134" s="30"/>
      <c r="RE134" s="30"/>
      <c r="RF134" s="30"/>
      <c r="RG134" s="30"/>
      <c r="RH134" s="30"/>
      <c r="RI134" s="30"/>
      <c r="RJ134" s="30"/>
      <c r="RK134" s="30"/>
      <c r="RL134" s="30"/>
      <c r="RM134" s="30"/>
      <c r="RN134" s="30"/>
      <c r="RO134" s="30"/>
      <c r="RP134" s="30"/>
      <c r="RQ134" s="30"/>
      <c r="RR134" s="30"/>
      <c r="RS134" s="30"/>
      <c r="RT134" s="30"/>
      <c r="RU134" s="30"/>
      <c r="RV134" s="30"/>
      <c r="RW134" s="30"/>
      <c r="RX134" s="30"/>
      <c r="RY134" s="30"/>
      <c r="RZ134" s="30"/>
      <c r="SA134" s="30"/>
      <c r="SB134" s="30"/>
      <c r="SC134" s="30"/>
      <c r="SD134" s="30"/>
    </row>
    <row r="135" spans="1:498" s="20" customFormat="1" hidden="1" x14ac:dyDescent="0.25">
      <c r="A135" s="68"/>
      <c r="B135" s="68"/>
      <c r="C135" s="68"/>
      <c r="D135" s="71"/>
      <c r="E135" s="144" t="s">
        <v>44</v>
      </c>
      <c r="F135" s="91">
        <f>$C$10+F131</f>
        <v>21298.53</v>
      </c>
      <c r="G135" s="92">
        <f t="shared" ref="G135:AD135" si="81">IF(
OR(
F135&lt;=0+N("If either the loan balance from the preceding year is less than or equal to zero OR"),
AND(
G77&gt;20+N("IT is later than teh 20th year AND"),
$D$89&lt;=40000+N("Initial loan volume is less tahn or equal to 40k OR")),
AND(
$C$11=0+N("if the interest rate is zero AND"),
(F135-(F137*12))&lt;0+N("The loan balance is less than the annual IBR payment then"))),
0+N("the loan balance equals zero, if these conditions were not satisfied then"),
IF(
($C$10+G131)&lt;0+N("If the principal payment is greaterthan the original loan balance then"),
0+N("the loan balance is zero")+N("If not, then"),
IF(
(G125*0.15)/12&gt;=$C$113+N("If the IBR payment is greater than or equal to the standard payment then"),
(F135*(1+$C$11))-(G137*12)+N("the previous loan balance plus interest minus the annual IBR payment is the new loan balance")+N("If the condition is false then"),
($C$10+G131)+N("the new loan balance is the original minus the principal or plus the negative amortization (the plus sign is in the formula because negative amortization is postitive and principal payment is negative in the spreadsheet"))))</f>
        <v>22520.321049999999</v>
      </c>
      <c r="H135" s="92">
        <f t="shared" si="81"/>
        <v>23661.659020234998</v>
      </c>
      <c r="I135" s="92">
        <f t="shared" si="81"/>
        <v>24718.665036998096</v>
      </c>
      <c r="J135" s="92">
        <f t="shared" si="81"/>
        <v>25687.288486796155</v>
      </c>
      <c r="K135" s="92">
        <f t="shared" si="81"/>
        <v>26563.299730478924</v>
      </c>
      <c r="L135" s="92">
        <f t="shared" si="81"/>
        <v>27342.282515484694</v>
      </c>
      <c r="M135" s="92">
        <f t="shared" si="81"/>
        <v>28019.62607386494</v>
      </c>
      <c r="N135" s="92">
        <f t="shared" si="81"/>
        <v>28590.516893250191</v>
      </c>
      <c r="O135" s="92">
        <f t="shared" si="81"/>
        <v>29049.930147399267</v>
      </c>
      <c r="P135" s="92">
        <f t="shared" si="81"/>
        <v>28276.466084949294</v>
      </c>
      <c r="Q135" s="92">
        <f t="shared" si="81"/>
        <v>27319.706187731848</v>
      </c>
      <c r="R135" s="92">
        <f t="shared" si="81"/>
        <v>27113.491926492734</v>
      </c>
      <c r="S135" s="92">
        <f t="shared" si="81"/>
        <v>26679.916418890192</v>
      </c>
      <c r="T135" s="92">
        <f t="shared" si="81"/>
        <v>25980.372618862672</v>
      </c>
      <c r="U135" s="92">
        <f t="shared" si="81"/>
        <v>24970.876775581011</v>
      </c>
      <c r="V135" s="92">
        <f t="shared" si="81"/>
        <v>23601.359120634414</v>
      </c>
      <c r="W135" s="92">
        <f t="shared" si="81"/>
        <v>21814.862528122314</v>
      </c>
      <c r="X135" s="92">
        <f t="shared" si="81"/>
        <v>19546.637270524239</v>
      </c>
      <c r="Y135" s="92">
        <f t="shared" si="81"/>
        <v>16723.118462881102</v>
      </c>
      <c r="Z135" s="92">
        <f t="shared" si="81"/>
        <v>0</v>
      </c>
      <c r="AA135" s="92">
        <f t="shared" si="81"/>
        <v>0</v>
      </c>
      <c r="AB135" s="92">
        <f t="shared" si="81"/>
        <v>0</v>
      </c>
      <c r="AC135" s="92">
        <f t="shared" si="81"/>
        <v>0</v>
      </c>
      <c r="AD135" s="92">
        <f t="shared" si="81"/>
        <v>0</v>
      </c>
      <c r="AE135" s="129"/>
      <c r="AF135" s="130"/>
      <c r="AG135" s="130"/>
      <c r="AH135" s="130"/>
      <c r="AI135" s="131"/>
      <c r="AJ135" s="59"/>
      <c r="AK135" s="59"/>
      <c r="AL135" s="59"/>
      <c r="AM135" s="59"/>
      <c r="AN135" s="59"/>
      <c r="AO135" s="59"/>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c r="CA135" s="30"/>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R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c r="HE135" s="30"/>
      <c r="HF135" s="30"/>
      <c r="HG135" s="30"/>
      <c r="HH135" s="30"/>
      <c r="HI135" s="30"/>
      <c r="HJ135" s="30"/>
      <c r="HK135" s="30"/>
      <c r="HL135" s="30"/>
      <c r="HM135" s="30"/>
      <c r="HN135" s="30"/>
      <c r="HO135" s="30"/>
      <c r="HP135" s="30"/>
      <c r="HQ135" s="30"/>
      <c r="HR135" s="30"/>
      <c r="HS135" s="30"/>
      <c r="HT135" s="30"/>
      <c r="HU135" s="30"/>
      <c r="HV135" s="30"/>
      <c r="HW135" s="30"/>
      <c r="HX135" s="30"/>
      <c r="HY135" s="30"/>
      <c r="HZ135" s="30"/>
      <c r="IA135" s="30"/>
      <c r="IB135" s="30"/>
      <c r="IC135" s="30"/>
      <c r="ID135" s="30"/>
      <c r="IE135" s="30"/>
      <c r="IF135" s="30"/>
      <c r="IG135" s="30"/>
      <c r="IH135" s="30"/>
      <c r="II135" s="30"/>
      <c r="IJ135" s="30"/>
      <c r="IK135" s="30"/>
      <c r="IL135" s="30"/>
      <c r="IM135" s="30"/>
      <c r="IN135" s="30"/>
      <c r="IO135" s="30"/>
      <c r="IP135" s="30"/>
      <c r="IQ135" s="30"/>
      <c r="IR135" s="30"/>
      <c r="IS135" s="30"/>
      <c r="IT135" s="30"/>
      <c r="IU135" s="30"/>
      <c r="IV135" s="30"/>
      <c r="IW135" s="30"/>
      <c r="IX135" s="30"/>
      <c r="IY135" s="30"/>
      <c r="IZ135" s="30"/>
      <c r="JA135" s="30"/>
      <c r="JB135" s="30"/>
      <c r="JC135" s="30"/>
      <c r="JD135" s="30"/>
      <c r="JE135" s="30"/>
      <c r="JF135" s="30"/>
      <c r="JG135" s="30"/>
      <c r="JH135" s="30"/>
      <c r="JI135" s="30"/>
      <c r="JJ135" s="30"/>
      <c r="JK135" s="30"/>
      <c r="JL135" s="30"/>
      <c r="JM135" s="30"/>
      <c r="JN135" s="30"/>
      <c r="JO135" s="30"/>
      <c r="JP135" s="30"/>
      <c r="JQ135" s="30"/>
      <c r="JR135" s="30"/>
      <c r="JS135" s="30"/>
      <c r="JT135" s="30"/>
      <c r="JU135" s="30"/>
      <c r="JV135" s="30"/>
      <c r="JW135" s="30"/>
      <c r="JX135" s="30"/>
      <c r="JY135" s="30"/>
      <c r="JZ135" s="30"/>
      <c r="KA135" s="30"/>
      <c r="KB135" s="30"/>
      <c r="KC135" s="30"/>
      <c r="KD135" s="30"/>
      <c r="KE135" s="30"/>
      <c r="KF135" s="30"/>
      <c r="KG135" s="30"/>
      <c r="KH135" s="30"/>
      <c r="KI135" s="30"/>
      <c r="KJ135" s="30"/>
      <c r="KK135" s="30"/>
      <c r="KL135" s="30"/>
      <c r="KM135" s="30"/>
      <c r="KN135" s="30"/>
      <c r="KO135" s="30"/>
      <c r="KP135" s="30"/>
      <c r="KQ135" s="30"/>
      <c r="KR135" s="30"/>
      <c r="KS135" s="30"/>
      <c r="KT135" s="30"/>
      <c r="KU135" s="30"/>
      <c r="KV135" s="30"/>
      <c r="KW135" s="30"/>
      <c r="KX135" s="30"/>
      <c r="KY135" s="30"/>
      <c r="KZ135" s="30"/>
      <c r="LA135" s="30"/>
      <c r="LB135" s="30"/>
      <c r="LC135" s="30"/>
      <c r="LD135" s="30"/>
      <c r="LE135" s="30"/>
      <c r="LF135" s="30"/>
      <c r="LG135" s="30"/>
      <c r="LH135" s="30"/>
      <c r="LI135" s="30"/>
      <c r="LJ135" s="30"/>
      <c r="LK135" s="30"/>
      <c r="LL135" s="30"/>
      <c r="LM135" s="30"/>
      <c r="LN135" s="30"/>
      <c r="LO135" s="30"/>
      <c r="LP135" s="30"/>
      <c r="LQ135" s="30"/>
      <c r="LR135" s="30"/>
      <c r="LS135" s="30"/>
      <c r="LT135" s="30"/>
      <c r="LU135" s="30"/>
      <c r="LV135" s="30"/>
      <c r="LW135" s="30"/>
      <c r="LX135" s="30"/>
      <c r="LY135" s="30"/>
      <c r="LZ135" s="30"/>
      <c r="MA135" s="30"/>
      <c r="MB135" s="30"/>
      <c r="MC135" s="30"/>
      <c r="MD135" s="30"/>
      <c r="ME135" s="30"/>
      <c r="MF135" s="30"/>
      <c r="MG135" s="30"/>
      <c r="MH135" s="30"/>
      <c r="MI135" s="30"/>
      <c r="MJ135" s="30"/>
      <c r="MK135" s="30"/>
      <c r="ML135" s="30"/>
      <c r="MM135" s="30"/>
      <c r="MN135" s="30"/>
      <c r="MO135" s="30"/>
      <c r="MP135" s="30"/>
      <c r="MQ135" s="30"/>
      <c r="MR135" s="30"/>
      <c r="MS135" s="30"/>
      <c r="MT135" s="30"/>
      <c r="MU135" s="30"/>
      <c r="MV135" s="30"/>
      <c r="MW135" s="30"/>
      <c r="MX135" s="30"/>
      <c r="MY135" s="30"/>
      <c r="MZ135" s="30"/>
      <c r="NA135" s="30"/>
      <c r="NB135" s="30"/>
      <c r="NC135" s="30"/>
      <c r="ND135" s="30"/>
      <c r="NE135" s="30"/>
      <c r="NF135" s="30"/>
      <c r="NG135" s="30"/>
      <c r="NH135" s="30"/>
      <c r="NI135" s="30"/>
      <c r="NJ135" s="30"/>
      <c r="NK135" s="30"/>
      <c r="NL135" s="30"/>
      <c r="NM135" s="30"/>
      <c r="NN135" s="30"/>
      <c r="NO135" s="30"/>
      <c r="NP135" s="30"/>
      <c r="NQ135" s="30"/>
      <c r="NR135" s="30"/>
      <c r="NS135" s="30"/>
      <c r="NT135" s="30"/>
      <c r="NU135" s="30"/>
      <c r="NV135" s="30"/>
      <c r="NW135" s="30"/>
      <c r="NX135" s="30"/>
      <c r="NY135" s="30"/>
      <c r="NZ135" s="30"/>
      <c r="OA135" s="30"/>
      <c r="OB135" s="30"/>
      <c r="OC135" s="30"/>
      <c r="OD135" s="30"/>
      <c r="OE135" s="30"/>
      <c r="OF135" s="30"/>
      <c r="OG135" s="30"/>
      <c r="OH135" s="30"/>
      <c r="OI135" s="30"/>
      <c r="OJ135" s="30"/>
      <c r="OK135" s="30"/>
      <c r="OL135" s="30"/>
      <c r="OM135" s="30"/>
      <c r="ON135" s="30"/>
      <c r="OO135" s="30"/>
      <c r="OP135" s="30"/>
      <c r="OQ135" s="30"/>
      <c r="OR135" s="30"/>
      <c r="OS135" s="30"/>
      <c r="OT135" s="30"/>
      <c r="OU135" s="30"/>
      <c r="OV135" s="30"/>
      <c r="OW135" s="30"/>
      <c r="OX135" s="30"/>
      <c r="OY135" s="30"/>
      <c r="OZ135" s="30"/>
      <c r="PA135" s="30"/>
      <c r="PB135" s="30"/>
      <c r="PC135" s="30"/>
      <c r="PD135" s="30"/>
      <c r="PE135" s="30"/>
      <c r="PF135" s="30"/>
      <c r="PG135" s="30"/>
      <c r="PH135" s="30"/>
      <c r="PI135" s="30"/>
      <c r="PJ135" s="30"/>
      <c r="PK135" s="30"/>
      <c r="PL135" s="30"/>
      <c r="PM135" s="30"/>
      <c r="PN135" s="30"/>
      <c r="PO135" s="30"/>
      <c r="PP135" s="30"/>
      <c r="PQ135" s="30"/>
      <c r="PR135" s="30"/>
      <c r="PS135" s="30"/>
      <c r="PT135" s="30"/>
      <c r="PU135" s="30"/>
      <c r="PV135" s="30"/>
      <c r="PW135" s="30"/>
      <c r="PX135" s="30"/>
      <c r="PY135" s="30"/>
      <c r="PZ135" s="30"/>
      <c r="QA135" s="30"/>
      <c r="QB135" s="30"/>
      <c r="QC135" s="30"/>
      <c r="QD135" s="30"/>
      <c r="QE135" s="30"/>
      <c r="QF135" s="30"/>
      <c r="QG135" s="30"/>
      <c r="QH135" s="30"/>
      <c r="QI135" s="30"/>
      <c r="QJ135" s="30"/>
      <c r="QK135" s="30"/>
      <c r="QL135" s="30"/>
      <c r="QM135" s="30"/>
      <c r="QN135" s="30"/>
      <c r="QO135" s="30"/>
      <c r="QP135" s="30"/>
      <c r="QQ135" s="30"/>
      <c r="QR135" s="30"/>
      <c r="QS135" s="30"/>
      <c r="QT135" s="30"/>
      <c r="QU135" s="30"/>
      <c r="QV135" s="30"/>
      <c r="QW135" s="30"/>
      <c r="QX135" s="30"/>
      <c r="QY135" s="30"/>
      <c r="QZ135" s="30"/>
      <c r="RA135" s="30"/>
      <c r="RB135" s="30"/>
      <c r="RC135" s="30"/>
      <c r="RD135" s="30"/>
      <c r="RE135" s="30"/>
      <c r="RF135" s="30"/>
      <c r="RG135" s="30"/>
      <c r="RH135" s="30"/>
      <c r="RI135" s="30"/>
      <c r="RJ135" s="30"/>
      <c r="RK135" s="30"/>
      <c r="RL135" s="30"/>
      <c r="RM135" s="30"/>
      <c r="RN135" s="30"/>
      <c r="RO135" s="30"/>
      <c r="RP135" s="30"/>
      <c r="RQ135" s="30"/>
      <c r="RR135" s="30"/>
      <c r="RS135" s="30"/>
      <c r="RT135" s="30"/>
      <c r="RU135" s="30"/>
      <c r="RV135" s="30"/>
      <c r="RW135" s="30"/>
      <c r="RX135" s="30"/>
      <c r="RY135" s="30"/>
      <c r="RZ135" s="30"/>
      <c r="SA135" s="30"/>
      <c r="SB135" s="30"/>
      <c r="SC135" s="30"/>
      <c r="SD135" s="30"/>
    </row>
    <row r="136" spans="1:498" hidden="1" x14ac:dyDescent="0.25">
      <c r="A136" s="11"/>
      <c r="B136" s="11"/>
      <c r="C136" s="11"/>
      <c r="D136" s="76"/>
      <c r="E136" s="76"/>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row>
    <row r="137" spans="1:498" hidden="1" x14ac:dyDescent="0.25">
      <c r="A137" s="11"/>
      <c r="B137" s="11"/>
      <c r="C137" s="11"/>
      <c r="D137" s="77"/>
      <c r="E137" s="77"/>
      <c r="F137" s="79">
        <f>IF(F125&lt;=0,0,
IF(AND(F80&gt;((F82+(F83*F78))*3),((F125*0.15)/12)&gt;($D$85/12))+N("If AGI is above 300 percent of poverty and IBR payment would be greater than 15 of discretionary income THEN"),
"Ineligible",
IF(AND(F80&lt;=((F82+(F83*F78))*3),((F125*0.1)/12)&gt;($D$85/12)+N("If AGI is less than or equal to 300 percent of poverty and IBR payment would be greater than 10 of discretionary income THEN")),
"Ineligible",
IF(
F80&lt;((F82+(F83*F78))*3)+N("If AGI is less than 300 percent of poverty THEN"),
(F125*0.1)/12+N("The IBR payment at ten percent")+N("If the income is greater than 300 percent of poverty THEN"),
(F125*0.15)/12+N("The IBR payment at 15 percent")))))</f>
        <v>106.37250000000002</v>
      </c>
      <c r="G137" s="79">
        <f t="shared" ref="G137:AD137" si="82">IF(
AND(
G77&gt;20+N("If it is past the 20th year AND"),
$D$89&lt;=40000+N("The loan balance is greater than 40k THEN")),
0+N("The loan balance is zero")+N("If not, THEN"),
IF(F135=0,
0+N("If loan balance from the preceding year is zero then IBR payment is zero, if not then"),
IF(
G125&lt;0,
0+N("This makes the IBR payment zero is Income minus exemption is negative"),
IF(G80&lt;((G82+(G83*G78))*3)+N("If AGI is less than 300 percent baseline poverty THEN"),
((G125*0.1)/12)+N("IBR at 10 percent"),
((G125*0.15)/12)+N("Then the IBR payment")))))</f>
        <v>112.76741250000002</v>
      </c>
      <c r="H137" s="79">
        <f t="shared" si="82"/>
        <v>119.47183581375005</v>
      </c>
      <c r="I137" s="79">
        <f t="shared" si="82"/>
        <v>126.49949860307515</v>
      </c>
      <c r="J137" s="79">
        <f t="shared" si="82"/>
        <v>133.8647125168284</v>
      </c>
      <c r="K137" s="79">
        <f t="shared" si="82"/>
        <v>141.58239635976946</v>
      </c>
      <c r="L137" s="79">
        <f t="shared" si="82"/>
        <v>149.66810124951905</v>
      </c>
      <c r="M137" s="79">
        <f t="shared" si="82"/>
        <v>158.13803680164619</v>
      </c>
      <c r="N137" s="79">
        <f t="shared" si="82"/>
        <v>167.00909838456224</v>
      </c>
      <c r="O137" s="79">
        <f t="shared" si="82"/>
        <v>176.29889548757728</v>
      </c>
      <c r="P137" s="79">
        <f t="shared" si="82"/>
        <v>279.0386718708308</v>
      </c>
      <c r="Q137" s="79">
        <f t="shared" si="82"/>
        <v>294.31332476812048</v>
      </c>
      <c r="R137" s="79">
        <f t="shared" si="82"/>
        <v>310.30220274246545</v>
      </c>
      <c r="S137" s="79">
        <f t="shared" si="82"/>
        <v>327.03646609487316</v>
      </c>
      <c r="T137" s="79">
        <f t="shared" si="82"/>
        <v>344.5485865799692</v>
      </c>
      <c r="U137" s="79">
        <f t="shared" si="82"/>
        <v>362.8724014966856</v>
      </c>
      <c r="V137" s="79">
        <f t="shared" si="82"/>
        <v>382.04316998355398</v>
      </c>
      <c r="W137" s="79">
        <f t="shared" si="82"/>
        <v>402.09763160781478</v>
      </c>
      <c r="X137" s="79">
        <f t="shared" si="82"/>
        <v>423.07406734115153</v>
      </c>
      <c r="Y137" s="79">
        <f t="shared" si="82"/>
        <v>445.01236301859416</v>
      </c>
      <c r="Z137" s="79">
        <f t="shared" si="82"/>
        <v>0</v>
      </c>
      <c r="AA137" s="79">
        <f t="shared" si="82"/>
        <v>0</v>
      </c>
      <c r="AB137" s="79">
        <f t="shared" si="82"/>
        <v>0</v>
      </c>
      <c r="AC137" s="79">
        <f t="shared" si="82"/>
        <v>0</v>
      </c>
      <c r="AD137" s="79">
        <f t="shared" si="82"/>
        <v>0</v>
      </c>
      <c r="AE137" s="11"/>
      <c r="AF137" s="11"/>
      <c r="AG137" s="11"/>
      <c r="AH137" s="11"/>
      <c r="AI137" s="11"/>
      <c r="AJ137" s="11"/>
      <c r="AK137" s="11"/>
      <c r="AL137" s="11"/>
      <c r="AM137" s="11"/>
      <c r="AN137" s="11"/>
      <c r="AO137" s="11"/>
    </row>
    <row r="138" spans="1:498" s="8" customFormat="1" hidden="1" x14ac:dyDescent="0.25">
      <c r="A138" s="11"/>
      <c r="B138" s="11"/>
      <c r="C138" s="11"/>
      <c r="D138" s="78" t="s">
        <v>26</v>
      </c>
      <c r="E138" s="77"/>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11"/>
      <c r="AF138" s="11"/>
      <c r="AG138" s="11"/>
      <c r="AH138" s="11"/>
      <c r="AI138" s="11"/>
      <c r="AJ138" s="11"/>
      <c r="AK138" s="11"/>
      <c r="AL138" s="11"/>
      <c r="AM138" s="11"/>
      <c r="AN138" s="11"/>
      <c r="AO138" s="11"/>
    </row>
    <row r="139" spans="1:498" hidden="1" x14ac:dyDescent="0.25">
      <c r="A139" s="11"/>
      <c r="B139" s="61" t="s">
        <v>27</v>
      </c>
      <c r="C139" s="11"/>
      <c r="D139" s="60">
        <f>AVERAGE(F139:W139)</f>
        <v>5.4673427946837966E-2</v>
      </c>
      <c r="E139" s="11"/>
      <c r="F139" s="60">
        <f t="shared" ref="F139:AD139" si="83">(F137*12)/F79</f>
        <v>3.8294482944829455E-2</v>
      </c>
      <c r="G139" s="60">
        <f t="shared" si="83"/>
        <v>3.9035263910331415E-2</v>
      </c>
      <c r="H139" s="60">
        <f t="shared" si="83"/>
        <v>3.9765431763923789E-2</v>
      </c>
      <c r="I139" s="60">
        <f t="shared" si="83"/>
        <v>4.0485138558844495E-2</v>
      </c>
      <c r="J139" s="60">
        <f t="shared" si="83"/>
        <v>4.1194534169876451E-2</v>
      </c>
      <c r="K139" s="60">
        <f t="shared" si="83"/>
        <v>4.1893766324558032E-2</v>
      </c>
      <c r="L139" s="60">
        <f t="shared" si="83"/>
        <v>4.2582980633946575E-2</v>
      </c>
      <c r="M139" s="60">
        <f t="shared" si="83"/>
        <v>4.3262320622941004E-2</v>
      </c>
      <c r="N139" s="60">
        <f t="shared" si="83"/>
        <v>4.3931927760170027E-2</v>
      </c>
      <c r="O139" s="60">
        <f t="shared" si="83"/>
        <v>4.4591941487452207E-2</v>
      </c>
      <c r="P139" s="60">
        <f t="shared" si="83"/>
        <v>6.7863748873250876E-2</v>
      </c>
      <c r="Q139" s="60">
        <f t="shared" si="83"/>
        <v>6.8825604778816787E-2</v>
      </c>
      <c r="R139" s="60">
        <f t="shared" si="83"/>
        <v>6.97736802488126E-2</v>
      </c>
      <c r="S139" s="60">
        <f t="shared" si="83"/>
        <v>7.070817271447867E-2</v>
      </c>
      <c r="T139" s="60">
        <f t="shared" si="83"/>
        <v>7.162927677847318E-2</v>
      </c>
      <c r="U139" s="60">
        <f t="shared" si="83"/>
        <v>7.2537184255396972E-2</v>
      </c>
      <c r="V139" s="60">
        <f t="shared" si="83"/>
        <v>7.3432084211737927E-2</v>
      </c>
      <c r="W139" s="60">
        <f t="shared" si="83"/>
        <v>7.4314163005242836E-2</v>
      </c>
      <c r="X139" s="60">
        <f t="shared" si="83"/>
        <v>7.5183604323725423E-2</v>
      </c>
      <c r="Y139" s="60">
        <f t="shared" si="83"/>
        <v>7.6040589223318189E-2</v>
      </c>
      <c r="Z139" s="60">
        <f t="shared" si="83"/>
        <v>0</v>
      </c>
      <c r="AA139" s="60">
        <f t="shared" si="83"/>
        <v>0</v>
      </c>
      <c r="AB139" s="60">
        <f t="shared" si="83"/>
        <v>0</v>
      </c>
      <c r="AC139" s="60">
        <f t="shared" si="83"/>
        <v>0</v>
      </c>
      <c r="AD139" s="60">
        <f t="shared" si="83"/>
        <v>0</v>
      </c>
      <c r="AE139" s="11"/>
      <c r="AF139" s="11"/>
      <c r="AG139" s="11"/>
      <c r="AH139" s="11"/>
      <c r="AI139" s="11"/>
      <c r="AJ139" s="11"/>
      <c r="AK139" s="11"/>
      <c r="AL139" s="11"/>
      <c r="AM139" s="11"/>
      <c r="AN139" s="11"/>
      <c r="AO139" s="11"/>
    </row>
    <row r="140" spans="1:498" ht="14.1" customHeight="1" x14ac:dyDescent="0.25">
      <c r="A140" s="11"/>
      <c r="B140" s="11"/>
      <c r="C140" s="11"/>
      <c r="D140" s="11"/>
      <c r="E140" s="11"/>
      <c r="F140" s="218" t="s">
        <v>85</v>
      </c>
      <c r="G140" s="218"/>
      <c r="H140" s="218"/>
      <c r="I140" s="218"/>
      <c r="J140" s="218"/>
      <c r="K140" s="218"/>
      <c r="L140" s="218"/>
      <c r="M140" s="218"/>
      <c r="N140" s="218"/>
      <c r="O140" s="218"/>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row>
    <row r="141" spans="1:498" x14ac:dyDescent="0.25">
      <c r="A141" s="11"/>
      <c r="B141" s="11"/>
      <c r="C141" s="11"/>
      <c r="D141" s="11"/>
      <c r="E141" s="11"/>
      <c r="F141" s="218"/>
      <c r="G141" s="218"/>
      <c r="H141" s="218"/>
      <c r="I141" s="218"/>
      <c r="J141" s="218"/>
      <c r="K141" s="218"/>
      <c r="L141" s="218"/>
      <c r="M141" s="218"/>
      <c r="N141" s="218"/>
      <c r="O141" s="218"/>
      <c r="P141" s="11"/>
      <c r="Q141" s="11"/>
      <c r="R141" s="11"/>
      <c r="S141" s="11"/>
      <c r="T141" s="11"/>
      <c r="U141" s="11"/>
      <c r="V141" s="11"/>
      <c r="W141" s="11"/>
      <c r="X141" s="11"/>
      <c r="Y141" s="11"/>
      <c r="Z141" s="167"/>
      <c r="AA141" s="11"/>
      <c r="AB141" s="11"/>
      <c r="AC141" s="11"/>
      <c r="AD141" s="11"/>
      <c r="AE141" s="11"/>
      <c r="AF141" s="11"/>
      <c r="AG141" s="11"/>
      <c r="AH141" s="11"/>
      <c r="AI141" s="11"/>
      <c r="AJ141" s="11"/>
      <c r="AK141" s="11"/>
      <c r="AL141" s="11"/>
      <c r="AM141" s="11"/>
      <c r="AN141" s="11"/>
      <c r="AO141" s="11"/>
    </row>
    <row r="142" spans="1:498" x14ac:dyDescent="0.25">
      <c r="A142" s="11"/>
      <c r="B142" s="11"/>
      <c r="C142" s="11"/>
      <c r="D142" s="11"/>
      <c r="E142" s="11"/>
      <c r="F142" s="218"/>
      <c r="G142" s="218"/>
      <c r="H142" s="218"/>
      <c r="I142" s="218"/>
      <c r="J142" s="218"/>
      <c r="K142" s="218"/>
      <c r="L142" s="218"/>
      <c r="M142" s="218"/>
      <c r="N142" s="218"/>
      <c r="O142" s="218"/>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row>
    <row r="143" spans="1:498" x14ac:dyDescent="0.25">
      <c r="A143" s="11"/>
      <c r="B143" s="11"/>
      <c r="C143" s="11"/>
      <c r="D143" s="11"/>
      <c r="E143" s="11"/>
      <c r="F143" s="218"/>
      <c r="G143" s="218"/>
      <c r="H143" s="218"/>
      <c r="I143" s="218"/>
      <c r="J143" s="218"/>
      <c r="K143" s="218"/>
      <c r="L143" s="218"/>
      <c r="M143" s="218"/>
      <c r="N143" s="218"/>
      <c r="O143" s="218"/>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row>
    <row r="144" spans="1:498" s="11" customFormat="1" x14ac:dyDescent="0.25">
      <c r="F144" s="218"/>
      <c r="G144" s="218"/>
      <c r="H144" s="218"/>
      <c r="I144" s="218"/>
      <c r="J144" s="218"/>
      <c r="K144" s="218"/>
      <c r="L144" s="218"/>
      <c r="M144" s="218"/>
      <c r="N144" s="218"/>
      <c r="O144" s="218"/>
    </row>
    <row r="145" spans="6:15" s="11" customFormat="1" x14ac:dyDescent="0.25">
      <c r="F145" s="218"/>
      <c r="G145" s="218"/>
      <c r="H145" s="218"/>
      <c r="I145" s="218"/>
      <c r="J145" s="218"/>
      <c r="K145" s="218"/>
      <c r="L145" s="218"/>
      <c r="M145" s="218"/>
      <c r="N145" s="218"/>
      <c r="O145" s="218"/>
    </row>
    <row r="146" spans="6:15" s="11" customFormat="1" x14ac:dyDescent="0.25">
      <c r="F146" s="218"/>
      <c r="G146" s="218"/>
      <c r="H146" s="218"/>
      <c r="I146" s="218"/>
      <c r="J146" s="218"/>
      <c r="K146" s="218"/>
      <c r="L146" s="218"/>
      <c r="M146" s="218"/>
      <c r="N146" s="218"/>
      <c r="O146" s="218"/>
    </row>
    <row r="147" spans="6:15" s="11" customFormat="1" x14ac:dyDescent="0.25">
      <c r="F147" s="218"/>
      <c r="G147" s="218"/>
      <c r="H147" s="218"/>
      <c r="I147" s="218"/>
      <c r="J147" s="218"/>
      <c r="K147" s="218"/>
      <c r="L147" s="218"/>
      <c r="M147" s="218"/>
      <c r="N147" s="218"/>
      <c r="O147" s="218"/>
    </row>
    <row r="148" spans="6:15" s="11" customFormat="1" x14ac:dyDescent="0.25">
      <c r="F148" s="218"/>
      <c r="G148" s="218"/>
      <c r="H148" s="218"/>
      <c r="I148" s="218"/>
      <c r="J148" s="218"/>
      <c r="K148" s="218"/>
      <c r="L148" s="218"/>
      <c r="M148" s="218"/>
      <c r="N148" s="218"/>
      <c r="O148" s="218"/>
    </row>
    <row r="149" spans="6:15" s="11" customFormat="1" x14ac:dyDescent="0.25"/>
  </sheetData>
  <mergeCells count="20">
    <mergeCell ref="B3:D3"/>
    <mergeCell ref="C100:E100"/>
    <mergeCell ref="C101:E101"/>
    <mergeCell ref="C106:E106"/>
    <mergeCell ref="C107:E107"/>
    <mergeCell ref="C103:E103"/>
    <mergeCell ref="C104:E104"/>
    <mergeCell ref="F21:O37"/>
    <mergeCell ref="F140:O148"/>
    <mergeCell ref="C77:E77"/>
    <mergeCell ref="C79:E79"/>
    <mergeCell ref="C80:E80"/>
    <mergeCell ref="C133:E133"/>
    <mergeCell ref="C134:E134"/>
    <mergeCell ref="C108:E108"/>
    <mergeCell ref="F1:O2"/>
    <mergeCell ref="F3:O4"/>
    <mergeCell ref="F5:O6"/>
    <mergeCell ref="F7:O10"/>
    <mergeCell ref="F13:O20"/>
  </mergeCells>
  <pageMargins left="0.7" right="0.7" top="0.75" bottom="0.75" header="0.3" footer="0.3"/>
  <pageSetup orientation="landscape"/>
  <drawing r:id="rId1"/>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IBR Calculator</vt:lpstr>
      <vt:lpstr>'IBR Calculator'!top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Holt</dc:creator>
  <cp:lastModifiedBy>Jason Delisle</cp:lastModifiedBy>
  <dcterms:created xsi:type="dcterms:W3CDTF">2012-08-18T20:45:09Z</dcterms:created>
  <dcterms:modified xsi:type="dcterms:W3CDTF">2013-04-15T20:14:41Z</dcterms:modified>
</cp:coreProperties>
</file>